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3.xml" ContentType="application/vnd.openxmlformats-officedocument.spreadsheetml.comments+xml"/>
  <Override PartName="/xl/tables/table20.xml" ContentType="application/vnd.openxmlformats-officedocument.spreadsheetml.table+xml"/>
  <Override PartName="/xl/comments4.xml" ContentType="application/vnd.openxmlformats-officedocument.spreadsheetml.comments+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Users\Tim Shorten\Dropbox\work\Stanstar\Projects\COIA\"/>
    </mc:Choice>
  </mc:AlternateContent>
  <bookViews>
    <workbookView xWindow="0" yWindow="0" windowWidth="20490" windowHeight="7455" tabRatio="1000" firstSheet="4" activeTab="10"/>
  </bookViews>
  <sheets>
    <sheet name="demographic RH &amp; HS data" sheetId="26" r:id="rId1"/>
    <sheet name="demographic data charts" sheetId="13" r:id="rId2"/>
    <sheet name="Coverage indicators &amp; quintiles" sheetId="12" r:id="rId3"/>
    <sheet name="Vital events" sheetId="1" r:id="rId4"/>
    <sheet name="Health indicators (impact)" sheetId="27" r:id="rId5"/>
    <sheet name="Health indicators (coverage)" sheetId="28" r:id="rId6"/>
    <sheet name="Innovation &amp; eHealth" sheetId="14" r:id="rId7"/>
    <sheet name="Country Compacts" sheetId="19" r:id="rId8"/>
    <sheet name="Resource tracking" sheetId="16" r:id="rId9"/>
    <sheet name="Reaching Women &amp; children" sheetId="18" r:id="rId10"/>
    <sheet name="National oversight" sheetId="21" r:id="rId11"/>
    <sheet name="Transparency" sheetId="23" r:id="rId12"/>
    <sheet name="1.1 (2)" sheetId="29" r:id="rId13"/>
    <sheet name="1.2DeathRegistration" sheetId="2" r:id="rId14"/>
    <sheet name="1.3MaternalDeathReviews (2)" sheetId="30" r:id="rId15"/>
    <sheet name="1.7CRVSimprovement (2)" sheetId="31" r:id="rId16"/>
    <sheet name="3.1 eHealth strategy (2)" sheetId="32" r:id="rId17"/>
    <sheet name="5.1 Financial reporting sys (2" sheetId="33" r:id="rId18"/>
    <sheet name="4.1 Total Health Expenditur (2" sheetId="34" r:id="rId19"/>
    <sheet name="4.3 RMNCH expenditure (2)" sheetId="35" r:id="rId20"/>
    <sheet name="7.1 Reviews of performance (2)" sheetId="36" r:id="rId21"/>
    <sheet name="8.1 Performance report publ (2" sheetId="37" r:id="rId22"/>
  </sheets>
  <definedNames>
    <definedName name="_xlnm._FilterDatabase" localSheetId="12" hidden="1">'1.1 (2)'!$A$3:$H$3</definedName>
    <definedName name="_xlnm._FilterDatabase" localSheetId="13" hidden="1">'1.2DeathRegistration'!$A$3:$E$78</definedName>
    <definedName name="_xlnm._FilterDatabase" localSheetId="14" hidden="1">'1.3MaternalDeathReviews (2)'!$A$6:$W$6</definedName>
    <definedName name="_xlnm._FilterDatabase" localSheetId="15" hidden="1">'1.7CRVSimprovement (2)'!$A$4:$I$4</definedName>
    <definedName name="_xlnm._FilterDatabase" localSheetId="16" hidden="1">'3.1 eHealth strategy (2)'!$A$4:$I$4</definedName>
    <definedName name="_xlnm._FilterDatabase" localSheetId="18" hidden="1">'4.1 Total Health Expenditur (2'!$A$4:$G$4</definedName>
    <definedName name="_xlnm._FilterDatabase" localSheetId="19" hidden="1">'4.3 RMNCH expenditure (2)'!$A$4:$I$4</definedName>
    <definedName name="_xlnm._FilterDatabase" localSheetId="17" hidden="1">'5.1 Financial reporting sys (2'!$A$4:$K$79</definedName>
    <definedName name="_xlnm._FilterDatabase" localSheetId="20" hidden="1">'7.1 Reviews of performance (2)'!$A$4:$O$79</definedName>
    <definedName name="_xlnm._FilterDatabase" localSheetId="21" hidden="1">'8.1 Performance report publ (2'!$A$4:$I$79</definedName>
    <definedName name="_xlnm._FilterDatabase" localSheetId="7" hidden="1">'Country Compacts'!$A$4:$D$79</definedName>
    <definedName name="_xlnm._FilterDatabase" localSheetId="2" hidden="1">'Coverage indicators &amp; quintiles'!$A$4:$AO$80</definedName>
    <definedName name="_xlnm._FilterDatabase" localSheetId="1" hidden="1">'demographic data charts'!$B$4:$R$79</definedName>
    <definedName name="_xlnm._FilterDatabase" localSheetId="5" hidden="1">'Health indicators (coverage)'!$A$4:$AI$79</definedName>
    <definedName name="_xlnm._FilterDatabase" localSheetId="4" hidden="1">'Health indicators (impact)'!$B$4:$AG$79</definedName>
    <definedName name="_xlnm._FilterDatabase" localSheetId="6" hidden="1">'Innovation &amp; eHealth'!$A$4:$F$4</definedName>
    <definedName name="_xlnm._FilterDatabase" localSheetId="10" hidden="1">'National oversight'!$A$4:$G$79</definedName>
    <definedName name="_xlnm._FilterDatabase" localSheetId="9" hidden="1">'Reaching Women &amp; children'!$A$4:$D$4</definedName>
    <definedName name="_xlnm._FilterDatabase" localSheetId="8" hidden="1">'Resource tracking'!$A$4:$E$4</definedName>
    <definedName name="_xlnm._FilterDatabase" localSheetId="11" hidden="1">Transparency!$A$4:$D$79</definedName>
    <definedName name="_xlnm._FilterDatabase" localSheetId="3" hidden="1">'Vital events'!$A$3:$D$3</definedName>
    <definedName name="_xlnm.Print_Titles" localSheetId="12">'1.1 (2)'!$3:$3</definedName>
    <definedName name="_xlnm.Print_Titles" localSheetId="13">'1.2DeathRegistration'!$3:$3</definedName>
    <definedName name="_xlnm.Print_Titles" localSheetId="14">'1.3MaternalDeathReviews (2)'!$A:$A,'1.3MaternalDeathReviews (2)'!$5:$6</definedName>
    <definedName name="_xlnm.Print_Titles" localSheetId="15">'1.7CRVSimprovement (2)'!$A:$A,'1.7CRVSimprovement (2)'!$3:$4</definedName>
    <definedName name="_xlnm.Print_Titles" localSheetId="16">'3.1 eHealth strategy (2)'!$A:$A,'3.1 eHealth strategy (2)'!$3:$4</definedName>
    <definedName name="_xlnm.Print_Titles" localSheetId="18">'4.1 Total Health Expenditur (2'!$A:$A,'4.1 Total Health Expenditur (2'!$3:$4</definedName>
    <definedName name="_xlnm.Print_Titles" localSheetId="19">'4.3 RMNCH expenditure (2)'!$A:$A,'4.3 RMNCH expenditure (2)'!$3:$4</definedName>
    <definedName name="_xlnm.Print_Titles" localSheetId="17">'5.1 Financial reporting sys (2'!$A:$A,'5.1 Financial reporting sys (2'!$3:$4</definedName>
    <definedName name="_xlnm.Print_Titles" localSheetId="20">'7.1 Reviews of performance (2)'!$A:$A,'7.1 Reviews of performance (2)'!$3:$4</definedName>
    <definedName name="_xlnm.Print_Titles" localSheetId="21">'8.1 Performance report publ (2'!$A:$A,'8.1 Performance report publ (2'!$3:$4</definedName>
    <definedName name="_xlnm.Print_Titles" localSheetId="7">'Country Compacts'!$A:$A,'Country Compacts'!$3:$4</definedName>
    <definedName name="_xlnm.Print_Titles" localSheetId="2">'Coverage indicators &amp; quintiles'!$A:$A,'Coverage indicators &amp; quintiles'!$3:$4</definedName>
    <definedName name="_xlnm.Print_Titles" localSheetId="1">'demographic data charts'!$A:$A,'demographic data charts'!$3:$4</definedName>
    <definedName name="_xlnm.Print_Titles" localSheetId="5">'Health indicators (coverage)'!$A:$A,'Health indicators (coverage)'!$3:$4</definedName>
    <definedName name="_xlnm.Print_Titles" localSheetId="4">'Health indicators (impact)'!$A:$A,'Health indicators (impact)'!$3:$4</definedName>
    <definedName name="_xlnm.Print_Titles" localSheetId="6">'Innovation &amp; eHealth'!$A:$A,'Innovation &amp; eHealth'!$3:$4</definedName>
    <definedName name="_xlnm.Print_Titles" localSheetId="10">'National oversight'!$A:$A,'National oversight'!$3:$4</definedName>
    <definedName name="_xlnm.Print_Titles" localSheetId="9">'Reaching Women &amp; children'!$A:$A,'Reaching Women &amp; children'!$3:$4</definedName>
    <definedName name="_xlnm.Print_Titles" localSheetId="8">'Resource tracking'!$A:$A,'Resource tracking'!$3:$4</definedName>
    <definedName name="_xlnm.Print_Titles" localSheetId="11">Transparency!$A:$A,Transparency!$3:$4</definedName>
    <definedName name="_xlnm.Print_Titles" localSheetId="3">'Vital events'!$3:$3</definedName>
  </definedNames>
  <calcPr calcId="152511" iterateDelta="1E-4"/>
</workbook>
</file>

<file path=xl/calcChain.xml><?xml version="1.0" encoding="utf-8"?>
<calcChain xmlns="http://schemas.openxmlformats.org/spreadsheetml/2006/main">
  <c r="H81" i="1" l="1"/>
  <c r="H80" i="1"/>
  <c r="H79" i="1"/>
  <c r="P79" i="26" l="1"/>
  <c r="P5" i="26"/>
  <c r="P6" i="26"/>
  <c r="P7" i="26"/>
  <c r="P8" i="26"/>
  <c r="P9" i="26"/>
  <c r="P10" i="26"/>
  <c r="P11" i="26"/>
  <c r="P12" i="26"/>
  <c r="P13" i="26"/>
  <c r="P14" i="26"/>
  <c r="P15" i="26"/>
  <c r="P16" i="26"/>
  <c r="P17" i="26"/>
  <c r="P18" i="26"/>
  <c r="P19" i="26"/>
  <c r="P20" i="26"/>
  <c r="P21" i="26"/>
  <c r="P22" i="26"/>
  <c r="P23" i="26"/>
  <c r="P24" i="26"/>
  <c r="P25" i="26"/>
  <c r="P26" i="26"/>
  <c r="P27" i="26"/>
  <c r="P28" i="26"/>
  <c r="P29" i="26"/>
  <c r="P30" i="26"/>
  <c r="P31" i="26"/>
  <c r="P32" i="26"/>
  <c r="P33" i="26"/>
  <c r="P34" i="26"/>
  <c r="P35" i="26"/>
  <c r="P36" i="26"/>
  <c r="P37" i="26"/>
  <c r="P38" i="26"/>
  <c r="P39" i="26"/>
  <c r="P40" i="26"/>
  <c r="P41" i="26"/>
  <c r="P42" i="26"/>
  <c r="P43" i="26"/>
  <c r="P44" i="26"/>
  <c r="P45" i="26"/>
  <c r="P46" i="26"/>
  <c r="P47" i="26"/>
  <c r="P48" i="26"/>
  <c r="P49" i="26"/>
  <c r="P50" i="26"/>
  <c r="P51" i="26"/>
  <c r="P52" i="26"/>
  <c r="P53" i="26"/>
  <c r="P54" i="26"/>
  <c r="P55" i="26"/>
  <c r="P56" i="26"/>
  <c r="P57" i="26"/>
  <c r="P58" i="26"/>
  <c r="P59" i="26"/>
  <c r="P60" i="26"/>
  <c r="P61" i="26"/>
  <c r="P62" i="26"/>
  <c r="P63" i="26"/>
  <c r="P64" i="26"/>
  <c r="P65" i="26"/>
  <c r="P66" i="26"/>
  <c r="P67" i="26"/>
  <c r="P68" i="26"/>
  <c r="P69" i="26"/>
  <c r="P70" i="26"/>
  <c r="P71" i="26"/>
  <c r="P72" i="26"/>
  <c r="P73" i="26"/>
  <c r="P74" i="26"/>
  <c r="P75" i="26"/>
  <c r="P76" i="26"/>
  <c r="P77" i="26"/>
  <c r="P78" i="26"/>
  <c r="L78" i="26"/>
  <c r="L77" i="26"/>
  <c r="L76" i="26"/>
  <c r="L75" i="26"/>
  <c r="L74" i="26"/>
  <c r="L73" i="26"/>
  <c r="L71" i="26"/>
  <c r="L70" i="26"/>
  <c r="L69" i="26"/>
  <c r="L68" i="26"/>
  <c r="L66" i="26"/>
  <c r="L62" i="26"/>
  <c r="L59" i="26"/>
  <c r="L58" i="26"/>
  <c r="L57" i="26"/>
  <c r="L55" i="26"/>
  <c r="L54" i="26"/>
  <c r="L53" i="26"/>
  <c r="L52" i="26"/>
  <c r="L49" i="26"/>
  <c r="L47" i="26"/>
  <c r="L46" i="26"/>
  <c r="L44" i="26"/>
  <c r="L43" i="26"/>
  <c r="L42" i="26"/>
  <c r="L41" i="26"/>
  <c r="L40" i="26"/>
  <c r="L39" i="26"/>
  <c r="L34" i="26"/>
  <c r="L33" i="26"/>
  <c r="L32" i="26"/>
  <c r="L31" i="26"/>
  <c r="L29" i="26"/>
  <c r="L28" i="26"/>
  <c r="L27" i="26"/>
  <c r="L26" i="26"/>
  <c r="L25" i="26"/>
  <c r="L22" i="26"/>
  <c r="L15" i="26"/>
  <c r="L13" i="26"/>
  <c r="L12" i="26"/>
  <c r="L11" i="26"/>
  <c r="L10" i="26"/>
  <c r="L9" i="26"/>
  <c r="AF79" i="28" l="1"/>
  <c r="AF78" i="28"/>
  <c r="AF77" i="28"/>
  <c r="AF76" i="28"/>
  <c r="AF75" i="28"/>
  <c r="AF74" i="28"/>
  <c r="AF73" i="28"/>
  <c r="AF72" i="28"/>
  <c r="AF71" i="28"/>
  <c r="AF70" i="28"/>
  <c r="AF69" i="28"/>
  <c r="AF68" i="28"/>
  <c r="AF67" i="28"/>
  <c r="AF66" i="28"/>
  <c r="AF65" i="28"/>
  <c r="AF64" i="28"/>
  <c r="AF63" i="28"/>
  <c r="AF62" i="28"/>
  <c r="AF61" i="28"/>
  <c r="AF60" i="28"/>
  <c r="AF59" i="28"/>
  <c r="AF58" i="28"/>
  <c r="AF57" i="28"/>
  <c r="AF56" i="28"/>
  <c r="AF55" i="28"/>
  <c r="AF54" i="28"/>
  <c r="AF53" i="28"/>
  <c r="AF52" i="28"/>
  <c r="AF51" i="28"/>
  <c r="AF50" i="28"/>
  <c r="AF48" i="28"/>
  <c r="AF47" i="28"/>
  <c r="AF46" i="28"/>
  <c r="AF45" i="28"/>
  <c r="AF44" i="28"/>
  <c r="AF43" i="28"/>
  <c r="AF42" i="28"/>
  <c r="AF41" i="28"/>
  <c r="AF40" i="28"/>
  <c r="AF39" i="28"/>
  <c r="AF38" i="28"/>
  <c r="AF37" i="28"/>
  <c r="AF36" i="28"/>
  <c r="AF35" i="28"/>
  <c r="AF34" i="28"/>
  <c r="AF33" i="28"/>
  <c r="AF32" i="28"/>
  <c r="AF31" i="28"/>
  <c r="AF30" i="28"/>
  <c r="AF29" i="28"/>
  <c r="AF28" i="28"/>
  <c r="AF27" i="28"/>
  <c r="AF26" i="28"/>
  <c r="AF25" i="28"/>
  <c r="AF24" i="28"/>
  <c r="AF23" i="28"/>
  <c r="AF22" i="28"/>
  <c r="AF21" i="28"/>
  <c r="AF20" i="28"/>
  <c r="AF18" i="28"/>
  <c r="AF17" i="28"/>
  <c r="AF16" i="28"/>
  <c r="AF15" i="28"/>
  <c r="AF14" i="28"/>
  <c r="AF13" i="28"/>
  <c r="AF12" i="28"/>
  <c r="AF11" i="28"/>
  <c r="AF10" i="28"/>
  <c r="AF9" i="28"/>
  <c r="AF8" i="28"/>
  <c r="AF7" i="28"/>
  <c r="AF5" i="28"/>
  <c r="AB79" i="28"/>
  <c r="AB78" i="28"/>
  <c r="AB77" i="28"/>
  <c r="AB76" i="28"/>
  <c r="AB75" i="28"/>
  <c r="AB74" i="28"/>
  <c r="AB73" i="28"/>
  <c r="AB72" i="28"/>
  <c r="AB71" i="28"/>
  <c r="AB70" i="28"/>
  <c r="AB69" i="28"/>
  <c r="AB68" i="28"/>
  <c r="AB67" i="28"/>
  <c r="AB66" i="28"/>
  <c r="AB65" i="28"/>
  <c r="AB64" i="28"/>
  <c r="AB63" i="28"/>
  <c r="AB62" i="28"/>
  <c r="AB61" i="28"/>
  <c r="AB60" i="28"/>
  <c r="AB59" i="28"/>
  <c r="AB58" i="28"/>
  <c r="AB57" i="28"/>
  <c r="AB56" i="28"/>
  <c r="AB55" i="28"/>
  <c r="AB54" i="28"/>
  <c r="AB53" i="28"/>
  <c r="AB52" i="28"/>
  <c r="AB51" i="28"/>
  <c r="AB50" i="28"/>
  <c r="AB49" i="28"/>
  <c r="AB48" i="28"/>
  <c r="AB47" i="28"/>
  <c r="AB46" i="28"/>
  <c r="AB45" i="28"/>
  <c r="AB44" i="28"/>
  <c r="AB43" i="28"/>
  <c r="AB42" i="28"/>
  <c r="AB41" i="28"/>
  <c r="AB40" i="28"/>
  <c r="AB39" i="28"/>
  <c r="AB38" i="28"/>
  <c r="AB37" i="28"/>
  <c r="AB36" i="28"/>
  <c r="AB35" i="28"/>
  <c r="AB34" i="28"/>
  <c r="AB33" i="28"/>
  <c r="AB32" i="28"/>
  <c r="AB31" i="28"/>
  <c r="AB30" i="28"/>
  <c r="AB29" i="28"/>
  <c r="AB28" i="28"/>
  <c r="AB27" i="28"/>
  <c r="AB26" i="28"/>
  <c r="AB25" i="28"/>
  <c r="AB24" i="28"/>
  <c r="AB23" i="28"/>
  <c r="AB22" i="28"/>
  <c r="AB21" i="28"/>
  <c r="AB20" i="28"/>
  <c r="AB19" i="28"/>
  <c r="AB18" i="28"/>
  <c r="AB17" i="28"/>
  <c r="AB16" i="28"/>
  <c r="AB15" i="28"/>
  <c r="AB14" i="28"/>
  <c r="AB13" i="28"/>
  <c r="AB12" i="28"/>
  <c r="AB11" i="28"/>
  <c r="AB10" i="28"/>
  <c r="AB9" i="28"/>
  <c r="AB8" i="28"/>
  <c r="AB7" i="28"/>
  <c r="AB6" i="28"/>
  <c r="AB5" i="28"/>
  <c r="X79" i="28"/>
  <c r="X78" i="28"/>
  <c r="X77" i="28"/>
  <c r="X76" i="28"/>
  <c r="X75" i="28"/>
  <c r="X74" i="28"/>
  <c r="X73" i="28"/>
  <c r="X72" i="28"/>
  <c r="X71" i="28"/>
  <c r="X70" i="28"/>
  <c r="X69" i="28"/>
  <c r="X68" i="28"/>
  <c r="X67" i="28"/>
  <c r="X66" i="28"/>
  <c r="X65" i="28"/>
  <c r="X64" i="28"/>
  <c r="X63" i="28"/>
  <c r="X62" i="28"/>
  <c r="X61" i="28"/>
  <c r="X60" i="28"/>
  <c r="X59" i="28"/>
  <c r="X58" i="28"/>
  <c r="X57" i="28"/>
  <c r="X56" i="28"/>
  <c r="X55" i="28"/>
  <c r="X54" i="28"/>
  <c r="X53" i="28"/>
  <c r="X52" i="28"/>
  <c r="X51" i="28"/>
  <c r="X50" i="28"/>
  <c r="X49" i="28"/>
  <c r="X48" i="28"/>
  <c r="X47" i="28"/>
  <c r="X46" i="28"/>
  <c r="X45" i="28"/>
  <c r="X44" i="28"/>
  <c r="X43" i="28"/>
  <c r="X42" i="28"/>
  <c r="X41" i="28"/>
  <c r="X40" i="28"/>
  <c r="X39" i="28"/>
  <c r="X38" i="28"/>
  <c r="X37" i="28"/>
  <c r="X36" i="28"/>
  <c r="X35" i="28"/>
  <c r="X34" i="28"/>
  <c r="X33" i="28"/>
  <c r="X32" i="28"/>
  <c r="X31" i="28"/>
  <c r="X30" i="28"/>
  <c r="X29" i="28"/>
  <c r="X28" i="28"/>
  <c r="X27" i="28"/>
  <c r="X26" i="28"/>
  <c r="X25" i="28"/>
  <c r="X24" i="28"/>
  <c r="X23" i="28"/>
  <c r="X22" i="28"/>
  <c r="X21" i="28"/>
  <c r="X20" i="28"/>
  <c r="X19" i="28"/>
  <c r="X18" i="28"/>
  <c r="X17" i="28"/>
  <c r="X16" i="28"/>
  <c r="X15" i="28"/>
  <c r="X14" i="28"/>
  <c r="X13" i="28"/>
  <c r="X12" i="28"/>
  <c r="X11" i="28"/>
  <c r="X10" i="28"/>
  <c r="X9" i="28"/>
  <c r="X8" i="28"/>
  <c r="X7" i="28"/>
  <c r="T79" i="28"/>
  <c r="T78" i="28"/>
  <c r="T76" i="28"/>
  <c r="T73" i="28"/>
  <c r="T71" i="28"/>
  <c r="T70" i="28"/>
  <c r="T68" i="28"/>
  <c r="T63" i="28"/>
  <c r="T62" i="28"/>
  <c r="T60" i="28"/>
  <c r="T59" i="28"/>
  <c r="T56" i="28"/>
  <c r="T55" i="28"/>
  <c r="T54" i="28"/>
  <c r="T53" i="28"/>
  <c r="T47" i="28"/>
  <c r="T46" i="28"/>
  <c r="T44" i="28"/>
  <c r="T42" i="28"/>
  <c r="T41" i="28"/>
  <c r="T38" i="28"/>
  <c r="T36" i="28"/>
  <c r="T34" i="28"/>
  <c r="T32" i="28"/>
  <c r="T31" i="28"/>
  <c r="T30" i="28"/>
  <c r="T26" i="28"/>
  <c r="T24" i="28"/>
  <c r="T22" i="28"/>
  <c r="T21" i="28"/>
  <c r="T20" i="28"/>
  <c r="T14" i="28"/>
  <c r="T13" i="28"/>
  <c r="T10" i="28"/>
  <c r="T9" i="28"/>
  <c r="T8" i="28"/>
  <c r="P79" i="28"/>
  <c r="P78" i="28"/>
  <c r="P77" i="28"/>
  <c r="P76" i="28"/>
  <c r="P75" i="28"/>
  <c r="P74" i="28"/>
  <c r="P73" i="28"/>
  <c r="P72" i="28"/>
  <c r="P71" i="28"/>
  <c r="P70" i="28"/>
  <c r="P69" i="28"/>
  <c r="P68" i="28"/>
  <c r="P67" i="28"/>
  <c r="P66" i="28"/>
  <c r="P65" i="28"/>
  <c r="P64" i="28"/>
  <c r="P63" i="28"/>
  <c r="P62" i="28"/>
  <c r="P61" i="28"/>
  <c r="P60" i="28"/>
  <c r="P59" i="28"/>
  <c r="P58" i="28"/>
  <c r="P57" i="28"/>
  <c r="P56" i="28"/>
  <c r="P55" i="28"/>
  <c r="P54" i="28"/>
  <c r="P53" i="28"/>
  <c r="P52" i="28"/>
  <c r="P51" i="28"/>
  <c r="P50" i="28"/>
  <c r="P49" i="28"/>
  <c r="P48" i="28"/>
  <c r="P47" i="28"/>
  <c r="P46" i="28"/>
  <c r="P45" i="28"/>
  <c r="P44" i="28"/>
  <c r="P43" i="28"/>
  <c r="P42" i="28"/>
  <c r="P41" i="28"/>
  <c r="P40" i="28"/>
  <c r="P39" i="28"/>
  <c r="P38" i="28"/>
  <c r="P37" i="28"/>
  <c r="P36" i="28"/>
  <c r="P35" i="28"/>
  <c r="P34" i="28"/>
  <c r="P33" i="28"/>
  <c r="P32" i="28"/>
  <c r="P31" i="28"/>
  <c r="P30" i="28"/>
  <c r="P29" i="28"/>
  <c r="P28" i="28"/>
  <c r="P27" i="28"/>
  <c r="P26" i="28"/>
  <c r="P25" i="28"/>
  <c r="P24" i="28"/>
  <c r="P23" i="28"/>
  <c r="P22" i="28"/>
  <c r="P21" i="28"/>
  <c r="P20" i="28"/>
  <c r="P19" i="28"/>
  <c r="P18" i="28"/>
  <c r="P17" i="28"/>
  <c r="P16" i="28"/>
  <c r="P15" i="28"/>
  <c r="P14" i="28"/>
  <c r="P13" i="28"/>
  <c r="P12" i="28"/>
  <c r="P11" i="28"/>
  <c r="P10" i="28"/>
  <c r="P9" i="28"/>
  <c r="P8" i="28"/>
  <c r="P7" i="28"/>
  <c r="P6" i="28"/>
  <c r="P5" i="28"/>
  <c r="L79" i="28"/>
  <c r="L78" i="28"/>
  <c r="L77" i="28"/>
  <c r="L76" i="28"/>
  <c r="L75" i="28"/>
  <c r="L74" i="28"/>
  <c r="L73" i="28"/>
  <c r="L71" i="28"/>
  <c r="L70" i="28"/>
  <c r="L69" i="28"/>
  <c r="L68" i="28"/>
  <c r="L67" i="28"/>
  <c r="L66" i="28"/>
  <c r="L65" i="28"/>
  <c r="L63" i="28"/>
  <c r="L62" i="28"/>
  <c r="L61" i="28"/>
  <c r="L58" i="28"/>
  <c r="L57" i="28"/>
  <c r="L56" i="28"/>
  <c r="L55" i="28"/>
  <c r="L54" i="28"/>
  <c r="L53" i="28"/>
  <c r="L52" i="28"/>
  <c r="L51" i="28"/>
  <c r="L50" i="28"/>
  <c r="L49" i="28"/>
  <c r="L47" i="28"/>
  <c r="L46" i="28"/>
  <c r="L45" i="28"/>
  <c r="L44" i="28"/>
  <c r="L43" i="28"/>
  <c r="L42" i="28"/>
  <c r="L41" i="28"/>
  <c r="L40" i="28"/>
  <c r="L38" i="28"/>
  <c r="L37" i="28"/>
  <c r="L36" i="28"/>
  <c r="L35" i="28"/>
  <c r="L34" i="28"/>
  <c r="L33" i="28"/>
  <c r="L32" i="28"/>
  <c r="L31" i="28"/>
  <c r="L30" i="28"/>
  <c r="L29" i="28"/>
  <c r="L28" i="28"/>
  <c r="L26" i="28"/>
  <c r="L25" i="28"/>
  <c r="L24" i="28"/>
  <c r="L22" i="28"/>
  <c r="L21" i="28"/>
  <c r="H79" i="28"/>
  <c r="H78" i="28"/>
  <c r="H77" i="28"/>
  <c r="H76" i="28"/>
  <c r="H75" i="28"/>
  <c r="H74" i="28"/>
  <c r="H73" i="28"/>
  <c r="H72" i="28"/>
  <c r="H71" i="28"/>
  <c r="H70" i="28"/>
  <c r="H69" i="28"/>
  <c r="H68" i="28"/>
  <c r="H67" i="28"/>
  <c r="H66" i="28"/>
  <c r="H65" i="28"/>
  <c r="H64" i="28"/>
  <c r="H63" i="28"/>
  <c r="H62" i="28"/>
  <c r="H61" i="28"/>
  <c r="H60" i="28"/>
  <c r="H59" i="28"/>
  <c r="H58" i="28"/>
  <c r="H57" i="28"/>
  <c r="H56" i="28"/>
  <c r="H55" i="28"/>
  <c r="H54" i="28"/>
  <c r="H53" i="28"/>
  <c r="H52" i="28"/>
  <c r="H51" i="28"/>
  <c r="H50" i="28"/>
  <c r="H49" i="28"/>
  <c r="H48" i="28"/>
  <c r="H47" i="28"/>
  <c r="H46" i="28"/>
  <c r="H45" i="28"/>
  <c r="H44" i="28"/>
  <c r="H43" i="28"/>
  <c r="H42" i="28"/>
  <c r="H41" i="28"/>
  <c r="H40" i="28"/>
  <c r="H39" i="28"/>
  <c r="H38" i="28"/>
  <c r="H37" i="28"/>
  <c r="H36" i="28"/>
  <c r="H35" i="28"/>
  <c r="H34" i="28"/>
  <c r="H32" i="28"/>
  <c r="H31" i="28"/>
  <c r="H30" i="28"/>
  <c r="H29" i="28"/>
  <c r="H28" i="28"/>
  <c r="H27" i="28"/>
  <c r="H26" i="28"/>
  <c r="H25" i="28"/>
  <c r="H24" i="28"/>
  <c r="H23" i="28"/>
  <c r="H22" i="28"/>
  <c r="H21" i="28"/>
  <c r="H20" i="28"/>
  <c r="H18" i="28"/>
  <c r="H17" i="28"/>
  <c r="H16" i="28"/>
  <c r="H15" i="28"/>
  <c r="H14" i="28"/>
  <c r="H13" i="28"/>
  <c r="H12" i="28"/>
  <c r="H11" i="28"/>
  <c r="H10" i="28"/>
  <c r="H9" i="28"/>
  <c r="H8" i="28"/>
  <c r="H7" i="28"/>
  <c r="H6" i="28"/>
  <c r="H5" i="28"/>
  <c r="D79" i="28"/>
  <c r="D78" i="28"/>
  <c r="D77" i="28"/>
  <c r="D76" i="28"/>
  <c r="D75" i="28"/>
  <c r="D74" i="28"/>
  <c r="D73" i="28"/>
  <c r="D72" i="28"/>
  <c r="D71" i="28"/>
  <c r="D70" i="28"/>
  <c r="D69" i="28"/>
  <c r="D68" i="28"/>
  <c r="D67" i="28"/>
  <c r="D66" i="28"/>
  <c r="D64" i="28"/>
  <c r="D63" i="28"/>
  <c r="D62" i="28"/>
  <c r="D61" i="28"/>
  <c r="D60" i="28"/>
  <c r="D59" i="28"/>
  <c r="D58" i="28"/>
  <c r="D57" i="28"/>
  <c r="D56" i="28"/>
  <c r="D55" i="28"/>
  <c r="D54" i="28"/>
  <c r="D53" i="28"/>
  <c r="D52" i="28"/>
  <c r="D51" i="28"/>
  <c r="D50" i="28"/>
  <c r="D49" i="28"/>
  <c r="D48" i="28"/>
  <c r="D47" i="28"/>
  <c r="D46" i="28"/>
  <c r="D45" i="28"/>
  <c r="D44" i="28"/>
  <c r="D43" i="28"/>
  <c r="D42" i="28"/>
  <c r="D41" i="28"/>
  <c r="D40" i="28"/>
  <c r="D39" i="28"/>
  <c r="D38" i="28"/>
  <c r="D37" i="28"/>
  <c r="D36" i="28"/>
  <c r="D35" i="28"/>
  <c r="D34" i="28"/>
  <c r="D33" i="28"/>
  <c r="D32" i="28"/>
  <c r="D31" i="28"/>
  <c r="D30" i="28"/>
  <c r="D29" i="28"/>
  <c r="D28" i="28"/>
  <c r="D27" i="28"/>
  <c r="D26" i="28"/>
  <c r="D24" i="28"/>
  <c r="D23" i="28"/>
  <c r="D22" i="28"/>
  <c r="D21" i="28"/>
  <c r="D20" i="28"/>
  <c r="D19" i="28"/>
  <c r="D18" i="28"/>
  <c r="D17" i="28"/>
  <c r="D16" i="28"/>
  <c r="D15" i="28"/>
  <c r="D14" i="28"/>
  <c r="D13" i="28"/>
  <c r="D12" i="28"/>
  <c r="D10" i="28"/>
  <c r="D9" i="28"/>
  <c r="D8" i="28"/>
  <c r="D7" i="28"/>
  <c r="U5" i="27"/>
  <c r="U6" i="27"/>
  <c r="U7" i="27"/>
  <c r="U8" i="27"/>
  <c r="U9" i="27"/>
  <c r="U10" i="27"/>
  <c r="U11" i="27"/>
  <c r="U12" i="27"/>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U56" i="27"/>
  <c r="U57" i="27"/>
  <c r="U58" i="27"/>
  <c r="U59" i="27"/>
  <c r="U60" i="27"/>
  <c r="U61" i="27"/>
  <c r="U62" i="27"/>
  <c r="U63" i="27"/>
  <c r="U64" i="27"/>
  <c r="U65" i="27"/>
  <c r="U66" i="27"/>
  <c r="U67" i="27"/>
  <c r="U68" i="27"/>
  <c r="U69" i="27"/>
  <c r="U70" i="27"/>
  <c r="U71" i="27"/>
  <c r="U72" i="27"/>
  <c r="U73" i="27"/>
  <c r="U74" i="27"/>
  <c r="U75" i="27"/>
  <c r="U76" i="27"/>
  <c r="U77" i="27"/>
  <c r="U78" i="27"/>
  <c r="U79"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5" i="27"/>
  <c r="Z6" i="27"/>
  <c r="AA6" i="27"/>
  <c r="AB6" i="27"/>
  <c r="AC6" i="27"/>
  <c r="AD6" i="27"/>
  <c r="AE6" i="27"/>
  <c r="Z7" i="27"/>
  <c r="AA7" i="27"/>
  <c r="AB7" i="27"/>
  <c r="AC7" i="27"/>
  <c r="AD7" i="27"/>
  <c r="AE7" i="27"/>
  <c r="Y7" i="27"/>
  <c r="Z8" i="27"/>
  <c r="AA8" i="27"/>
  <c r="AB8" i="27"/>
  <c r="AC8" i="27"/>
  <c r="AD8" i="27"/>
  <c r="AE8" i="27"/>
  <c r="Z9" i="27"/>
  <c r="AA9" i="27"/>
  <c r="AB9" i="27"/>
  <c r="AC9" i="27"/>
  <c r="AD9" i="27"/>
  <c r="AE9" i="27"/>
  <c r="Y9" i="27"/>
  <c r="Z10" i="27"/>
  <c r="AA10" i="27"/>
  <c r="AB10" i="27"/>
  <c r="AC10" i="27"/>
  <c r="AD10" i="27"/>
  <c r="AE10" i="27"/>
  <c r="Z11" i="27"/>
  <c r="AA11" i="27"/>
  <c r="AB11" i="27"/>
  <c r="AC11" i="27"/>
  <c r="AD11" i="27"/>
  <c r="AE11" i="27"/>
  <c r="Y11" i="27"/>
  <c r="Z12" i="27"/>
  <c r="AA12" i="27"/>
  <c r="AB12" i="27"/>
  <c r="AC12" i="27"/>
  <c r="AD12" i="27"/>
  <c r="AE12" i="27"/>
  <c r="Z13" i="27"/>
  <c r="AA13" i="27"/>
  <c r="AB13" i="27"/>
  <c r="AC13" i="27"/>
  <c r="AD13" i="27"/>
  <c r="AE13" i="27"/>
  <c r="Y13" i="27"/>
  <c r="Z14" i="27"/>
  <c r="AA14" i="27"/>
  <c r="AB14" i="27"/>
  <c r="AC14" i="27"/>
  <c r="AD14" i="27"/>
  <c r="AE14" i="27"/>
  <c r="Z15" i="27"/>
  <c r="AA15" i="27"/>
  <c r="AB15" i="27"/>
  <c r="AC15" i="27"/>
  <c r="AD15" i="27"/>
  <c r="AE15" i="27"/>
  <c r="Y15" i="27"/>
  <c r="Z16" i="27"/>
  <c r="AA16" i="27"/>
  <c r="AB16" i="27"/>
  <c r="AC16" i="27"/>
  <c r="AD16" i="27"/>
  <c r="AE16" i="27"/>
  <c r="Z17" i="27"/>
  <c r="AA17" i="27"/>
  <c r="AB17" i="27"/>
  <c r="AC17" i="27"/>
  <c r="AD17" i="27"/>
  <c r="AE17" i="27"/>
  <c r="Y17" i="27"/>
  <c r="Z18" i="27"/>
  <c r="AA18" i="27"/>
  <c r="AB18" i="27"/>
  <c r="AC18" i="27"/>
  <c r="AD18" i="27"/>
  <c r="AE18" i="27"/>
  <c r="Z19" i="27"/>
  <c r="AA19" i="27"/>
  <c r="AB19" i="27"/>
  <c r="AC19" i="27"/>
  <c r="AD19" i="27"/>
  <c r="AE19" i="27"/>
  <c r="Y19" i="27"/>
  <c r="Z20" i="27"/>
  <c r="AA20" i="27"/>
  <c r="AB20" i="27"/>
  <c r="AC20" i="27"/>
  <c r="AD20" i="27"/>
  <c r="AE20" i="27"/>
  <c r="Z21" i="27"/>
  <c r="AA21" i="27"/>
  <c r="AB21" i="27"/>
  <c r="AC21" i="27"/>
  <c r="AD21" i="27"/>
  <c r="AE21" i="27"/>
  <c r="Y21" i="27"/>
  <c r="Z22" i="27"/>
  <c r="AA22" i="27"/>
  <c r="AB22" i="27"/>
  <c r="AC22" i="27"/>
  <c r="AD22" i="27"/>
  <c r="AE22" i="27"/>
  <c r="Z23" i="27"/>
  <c r="AA23" i="27"/>
  <c r="AB23" i="27"/>
  <c r="AC23" i="27"/>
  <c r="AD23" i="27"/>
  <c r="AE23" i="27"/>
  <c r="Y23" i="27"/>
  <c r="Z24" i="27"/>
  <c r="AA24" i="27"/>
  <c r="AB24" i="27"/>
  <c r="AC24" i="27"/>
  <c r="AD24" i="27"/>
  <c r="AE24" i="27"/>
  <c r="Z25" i="27"/>
  <c r="AA25" i="27"/>
  <c r="AB25" i="27"/>
  <c r="AC25" i="27"/>
  <c r="AD25" i="27"/>
  <c r="AE25" i="27"/>
  <c r="Y25" i="27"/>
  <c r="Z26" i="27"/>
  <c r="AA26" i="27"/>
  <c r="AB26" i="27"/>
  <c r="AC26" i="27"/>
  <c r="AD26" i="27"/>
  <c r="AE26" i="27"/>
  <c r="Z27" i="27"/>
  <c r="AA27" i="27"/>
  <c r="AB27" i="27"/>
  <c r="AC27" i="27"/>
  <c r="AD27" i="27"/>
  <c r="AE27" i="27"/>
  <c r="Y27" i="27"/>
  <c r="Z28" i="27"/>
  <c r="AA28" i="27"/>
  <c r="AB28" i="27"/>
  <c r="AC28" i="27"/>
  <c r="AD28" i="27"/>
  <c r="AE28" i="27"/>
  <c r="Z29" i="27"/>
  <c r="AA29" i="27"/>
  <c r="AB29" i="27"/>
  <c r="AC29" i="27"/>
  <c r="AD29" i="27"/>
  <c r="AE29" i="27"/>
  <c r="Y29" i="27"/>
  <c r="Z30" i="27"/>
  <c r="AA30" i="27"/>
  <c r="AB30" i="27"/>
  <c r="AC30" i="27"/>
  <c r="AD30" i="27"/>
  <c r="AE30" i="27"/>
  <c r="Z31" i="27"/>
  <c r="AA31" i="27"/>
  <c r="AB31" i="27"/>
  <c r="AC31" i="27"/>
  <c r="AD31" i="27"/>
  <c r="AE31" i="27"/>
  <c r="Y31" i="27"/>
  <c r="Z32" i="27"/>
  <c r="AA32" i="27"/>
  <c r="AB32" i="27"/>
  <c r="AC32" i="27"/>
  <c r="AD32" i="27"/>
  <c r="AE32" i="27"/>
  <c r="Z33" i="27"/>
  <c r="AA33" i="27"/>
  <c r="AB33" i="27"/>
  <c r="AC33" i="27"/>
  <c r="AD33" i="27"/>
  <c r="AE33" i="27"/>
  <c r="Y33" i="27"/>
  <c r="Z34" i="27"/>
  <c r="AA34" i="27"/>
  <c r="AB34" i="27"/>
  <c r="AC34" i="27"/>
  <c r="AD34" i="27"/>
  <c r="AE34" i="27"/>
  <c r="Z35" i="27"/>
  <c r="AA35" i="27"/>
  <c r="AB35" i="27"/>
  <c r="AC35" i="27"/>
  <c r="AD35" i="27"/>
  <c r="AE35" i="27"/>
  <c r="Y35" i="27"/>
  <c r="Z36" i="27"/>
  <c r="AA36" i="27"/>
  <c r="AB36" i="27"/>
  <c r="AC36" i="27"/>
  <c r="AD36" i="27"/>
  <c r="AE36" i="27"/>
  <c r="Z37" i="27"/>
  <c r="AA37" i="27"/>
  <c r="AB37" i="27"/>
  <c r="AC37" i="27"/>
  <c r="AD37" i="27"/>
  <c r="AE37" i="27"/>
  <c r="Y37" i="27"/>
  <c r="Z38" i="27"/>
  <c r="AA38" i="27"/>
  <c r="AB38" i="27"/>
  <c r="AC38" i="27"/>
  <c r="AD38" i="27"/>
  <c r="AE38" i="27"/>
  <c r="Z39" i="27"/>
  <c r="AA39" i="27"/>
  <c r="AB39" i="27"/>
  <c r="AC39" i="27"/>
  <c r="AD39" i="27"/>
  <c r="AE39" i="27"/>
  <c r="Y39" i="27"/>
  <c r="Z40" i="27"/>
  <c r="AA40" i="27"/>
  <c r="AB40" i="27"/>
  <c r="AC40" i="27"/>
  <c r="AD40" i="27"/>
  <c r="AE40" i="27"/>
  <c r="Z41" i="27"/>
  <c r="AA41" i="27"/>
  <c r="AB41" i="27"/>
  <c r="AC41" i="27"/>
  <c r="AD41" i="27"/>
  <c r="AE41" i="27"/>
  <c r="Y41" i="27"/>
  <c r="Z42" i="27"/>
  <c r="AA42" i="27"/>
  <c r="AB42" i="27"/>
  <c r="AC42" i="27"/>
  <c r="AD42" i="27"/>
  <c r="AE42" i="27"/>
  <c r="Z43" i="27"/>
  <c r="AA43" i="27"/>
  <c r="AB43" i="27"/>
  <c r="AC43" i="27"/>
  <c r="AD43" i="27"/>
  <c r="AE43" i="27"/>
  <c r="Y43" i="27"/>
  <c r="Z44" i="27"/>
  <c r="AA44" i="27"/>
  <c r="AB44" i="27"/>
  <c r="AC44" i="27"/>
  <c r="AD44" i="27"/>
  <c r="AE44" i="27"/>
  <c r="Z45" i="27"/>
  <c r="AA45" i="27"/>
  <c r="AB45" i="27"/>
  <c r="AC45" i="27"/>
  <c r="AD45" i="27"/>
  <c r="AE45" i="27"/>
  <c r="Y45" i="27"/>
  <c r="Z46" i="27"/>
  <c r="AA46" i="27"/>
  <c r="AB46" i="27"/>
  <c r="AC46" i="27"/>
  <c r="AD46" i="27"/>
  <c r="AE46" i="27"/>
  <c r="Z47" i="27"/>
  <c r="AA47" i="27"/>
  <c r="AB47" i="27"/>
  <c r="AC47" i="27"/>
  <c r="AD47" i="27"/>
  <c r="AE47" i="27"/>
  <c r="Y47" i="27"/>
  <c r="Z48" i="27"/>
  <c r="AA48" i="27"/>
  <c r="AB48" i="27"/>
  <c r="AC48" i="27"/>
  <c r="AD48" i="27"/>
  <c r="AE48" i="27"/>
  <c r="Z49" i="27"/>
  <c r="AA49" i="27"/>
  <c r="AB49" i="27"/>
  <c r="AC49" i="27"/>
  <c r="AD49" i="27"/>
  <c r="AE49" i="27"/>
  <c r="Y49" i="27"/>
  <c r="Z50" i="27"/>
  <c r="AA50" i="27"/>
  <c r="AB50" i="27"/>
  <c r="AC50" i="27"/>
  <c r="AD50" i="27"/>
  <c r="AE50" i="27"/>
  <c r="Z51" i="27"/>
  <c r="AA51" i="27"/>
  <c r="AB51" i="27"/>
  <c r="AC51" i="27"/>
  <c r="AD51" i="27"/>
  <c r="AE51" i="27"/>
  <c r="Y51" i="27"/>
  <c r="Z52" i="27"/>
  <c r="AA52" i="27"/>
  <c r="AB52" i="27"/>
  <c r="AC52" i="27"/>
  <c r="AD52" i="27"/>
  <c r="AE52" i="27"/>
  <c r="Z53" i="27"/>
  <c r="AA53" i="27"/>
  <c r="AB53" i="27"/>
  <c r="AC53" i="27"/>
  <c r="AD53" i="27"/>
  <c r="AE53" i="27"/>
  <c r="Y53" i="27"/>
  <c r="Z54" i="27"/>
  <c r="AA54" i="27"/>
  <c r="AB54" i="27"/>
  <c r="AC54" i="27"/>
  <c r="AD54" i="27"/>
  <c r="AE54" i="27"/>
  <c r="Z55" i="27"/>
  <c r="AA55" i="27"/>
  <c r="AB55" i="27"/>
  <c r="AC55" i="27"/>
  <c r="AD55" i="27"/>
  <c r="AE55" i="27"/>
  <c r="Y55" i="27"/>
  <c r="Z56" i="27"/>
  <c r="AA56" i="27"/>
  <c r="AB56" i="27"/>
  <c r="AC56" i="27"/>
  <c r="AD56" i="27"/>
  <c r="AE56" i="27"/>
  <c r="Z57" i="27"/>
  <c r="AA57" i="27"/>
  <c r="AB57" i="27"/>
  <c r="AC57" i="27"/>
  <c r="AD57" i="27"/>
  <c r="AE57" i="27"/>
  <c r="Y57" i="27"/>
  <c r="Z58" i="27"/>
  <c r="AA58" i="27"/>
  <c r="AB58" i="27"/>
  <c r="AC58" i="27"/>
  <c r="AD58" i="27"/>
  <c r="AE58" i="27"/>
  <c r="Z59" i="27"/>
  <c r="AA59" i="27"/>
  <c r="AB59" i="27"/>
  <c r="AC59" i="27"/>
  <c r="AD59" i="27"/>
  <c r="AE59" i="27"/>
  <c r="Y59" i="27"/>
  <c r="Z60" i="27"/>
  <c r="AA60" i="27"/>
  <c r="AB60" i="27"/>
  <c r="AC60" i="27"/>
  <c r="AD60" i="27"/>
  <c r="AE60" i="27"/>
  <c r="Z61" i="27"/>
  <c r="AA61" i="27"/>
  <c r="AB61" i="27"/>
  <c r="AC61" i="27"/>
  <c r="AD61" i="27"/>
  <c r="AE61" i="27"/>
  <c r="Y61" i="27"/>
  <c r="Z62" i="27"/>
  <c r="AA62" i="27"/>
  <c r="AB62" i="27"/>
  <c r="AC62" i="27"/>
  <c r="AD62" i="27"/>
  <c r="AE62" i="27"/>
  <c r="Z63" i="27"/>
  <c r="AA63" i="27"/>
  <c r="AB63" i="27"/>
  <c r="AC63" i="27"/>
  <c r="AD63" i="27"/>
  <c r="AE63" i="27"/>
  <c r="Y63" i="27"/>
  <c r="Z64" i="27"/>
  <c r="AA64" i="27"/>
  <c r="AB64" i="27"/>
  <c r="AC64" i="27"/>
  <c r="AD64" i="27"/>
  <c r="AE64" i="27"/>
  <c r="Z65" i="27"/>
  <c r="AA65" i="27"/>
  <c r="AB65" i="27"/>
  <c r="AC65" i="27"/>
  <c r="AD65" i="27"/>
  <c r="AE65" i="27"/>
  <c r="Y65" i="27"/>
  <c r="Z66" i="27"/>
  <c r="AA66" i="27"/>
  <c r="AB66" i="27"/>
  <c r="AC66" i="27"/>
  <c r="AD66" i="27"/>
  <c r="AE66" i="27"/>
  <c r="Z67" i="27"/>
  <c r="AA67" i="27"/>
  <c r="AB67" i="27"/>
  <c r="AC67" i="27"/>
  <c r="AD67" i="27"/>
  <c r="AE67" i="27"/>
  <c r="Y67" i="27"/>
  <c r="Z68" i="27"/>
  <c r="AA68" i="27"/>
  <c r="AB68" i="27"/>
  <c r="AC68" i="27"/>
  <c r="AD68" i="27"/>
  <c r="AE68" i="27"/>
  <c r="Z69" i="27"/>
  <c r="AA69" i="27"/>
  <c r="AB69" i="27"/>
  <c r="AC69" i="27"/>
  <c r="AD69" i="27"/>
  <c r="AE69" i="27"/>
  <c r="Y69" i="27"/>
  <c r="Z70" i="27"/>
  <c r="AA70" i="27"/>
  <c r="AB70" i="27"/>
  <c r="AC70" i="27"/>
  <c r="AD70" i="27"/>
  <c r="AE70" i="27"/>
  <c r="Z71" i="27"/>
  <c r="AA71" i="27"/>
  <c r="AB71" i="27"/>
  <c r="AC71" i="27"/>
  <c r="AD71" i="27"/>
  <c r="AE71" i="27"/>
  <c r="Y71" i="27"/>
  <c r="Z72" i="27"/>
  <c r="AA72" i="27"/>
  <c r="AB72" i="27"/>
  <c r="AC72" i="27"/>
  <c r="AD72" i="27"/>
  <c r="AE72" i="27"/>
  <c r="Z73" i="27"/>
  <c r="AA73" i="27"/>
  <c r="AB73" i="27"/>
  <c r="AC73" i="27"/>
  <c r="AD73" i="27"/>
  <c r="AE73" i="27"/>
  <c r="Y73" i="27"/>
  <c r="Z74" i="27"/>
  <c r="AA74" i="27"/>
  <c r="AB74" i="27"/>
  <c r="AC74" i="27"/>
  <c r="AD74" i="27"/>
  <c r="AE74" i="27"/>
  <c r="Z75" i="27"/>
  <c r="AA75" i="27"/>
  <c r="AB75" i="27"/>
  <c r="AC75" i="27"/>
  <c r="AD75" i="27"/>
  <c r="AE75" i="27"/>
  <c r="Y75" i="27"/>
  <c r="Z76" i="27"/>
  <c r="AA76" i="27"/>
  <c r="AB76" i="27"/>
  <c r="AC76" i="27"/>
  <c r="AD76" i="27"/>
  <c r="AE76" i="27"/>
  <c r="Z77" i="27"/>
  <c r="AA77" i="27"/>
  <c r="AB77" i="27"/>
  <c r="AC77" i="27"/>
  <c r="AD77" i="27"/>
  <c r="AE77" i="27"/>
  <c r="Y77" i="27"/>
  <c r="Z78" i="27"/>
  <c r="AA78" i="27"/>
  <c r="AB78" i="27"/>
  <c r="AC78" i="27"/>
  <c r="AD78" i="27"/>
  <c r="AE78" i="27"/>
  <c r="Z79" i="27"/>
  <c r="AA79" i="27"/>
  <c r="AB79" i="27"/>
  <c r="AC79" i="27"/>
  <c r="AD79" i="27"/>
  <c r="AE79" i="27"/>
  <c r="Y79" i="27"/>
  <c r="AA5" i="27"/>
  <c r="AB5" i="27"/>
  <c r="AC5" i="27"/>
  <c r="AD5" i="27"/>
  <c r="AE5" i="27"/>
  <c r="Z5" i="27"/>
  <c r="Y8" i="27"/>
  <c r="Y12" i="27"/>
  <c r="Y16" i="27"/>
  <c r="Y20" i="27"/>
  <c r="Y24" i="27"/>
  <c r="Y28" i="27"/>
  <c r="Y32" i="27"/>
  <c r="Y36" i="27"/>
  <c r="Y40" i="27"/>
  <c r="Y44" i="27"/>
  <c r="Y48" i="27"/>
  <c r="Y52" i="27"/>
  <c r="Y56" i="27"/>
  <c r="Y60" i="27"/>
  <c r="Y64" i="27"/>
  <c r="Y68" i="27"/>
  <c r="Y72" i="27"/>
  <c r="Y76" i="27"/>
  <c r="Y6" i="27"/>
  <c r="Y10" i="27"/>
  <c r="Y14" i="27"/>
  <c r="Y18" i="27"/>
  <c r="Y22" i="27"/>
  <c r="Y26" i="27"/>
  <c r="Y30" i="27"/>
  <c r="Y34" i="27"/>
  <c r="Y38" i="27"/>
  <c r="Y42" i="27"/>
  <c r="Y46" i="27"/>
  <c r="Y50" i="27"/>
  <c r="Y54" i="27"/>
  <c r="Y58" i="27"/>
  <c r="Y62" i="27"/>
  <c r="Y66" i="27"/>
  <c r="Y70" i="27"/>
  <c r="Y74" i="27"/>
  <c r="Y78" i="27"/>
  <c r="Y5" i="27"/>
  <c r="O7" i="26"/>
  <c r="O8" i="26"/>
  <c r="O9" i="26"/>
  <c r="O10" i="26"/>
  <c r="O12" i="26"/>
  <c r="O13" i="26"/>
  <c r="O14" i="26"/>
  <c r="O15" i="26"/>
  <c r="O16" i="26"/>
  <c r="O17" i="26"/>
  <c r="O18" i="26"/>
  <c r="O20" i="26"/>
  <c r="O21" i="26"/>
  <c r="O22" i="26"/>
  <c r="O24" i="26"/>
  <c r="O25" i="26"/>
  <c r="O26" i="26"/>
  <c r="O29" i="26"/>
  <c r="O30" i="26"/>
  <c r="O31" i="26"/>
  <c r="O32" i="26"/>
  <c r="O33" i="26"/>
  <c r="O34" i="26"/>
  <c r="O35" i="26"/>
  <c r="O36" i="26"/>
  <c r="O37" i="26"/>
  <c r="O38" i="26"/>
  <c r="O39" i="26"/>
  <c r="O40" i="26"/>
  <c r="O41" i="26"/>
  <c r="O42" i="26"/>
  <c r="O43" i="26"/>
  <c r="O44" i="26"/>
  <c r="O45" i="26"/>
  <c r="O46" i="26"/>
  <c r="O47" i="26"/>
  <c r="O48" i="26"/>
  <c r="O50" i="26"/>
  <c r="O51" i="26"/>
  <c r="O53" i="26"/>
  <c r="O54" i="26"/>
  <c r="O55" i="26"/>
  <c r="O56" i="26"/>
  <c r="O58" i="26"/>
  <c r="O59" i="26"/>
  <c r="O60" i="26"/>
  <c r="O61" i="26"/>
  <c r="O62" i="26"/>
  <c r="O63" i="26"/>
  <c r="O65" i="26"/>
  <c r="O66" i="26"/>
  <c r="O69" i="26"/>
  <c r="O70" i="26"/>
  <c r="O71" i="26"/>
  <c r="O73" i="26"/>
  <c r="O74" i="26"/>
  <c r="O75" i="26"/>
  <c r="O76" i="26"/>
  <c r="O77" i="26"/>
  <c r="O78" i="26"/>
  <c r="O79" i="26"/>
  <c r="O5" i="26"/>
  <c r="N6" i="26"/>
  <c r="N7" i="26"/>
  <c r="N8" i="26"/>
  <c r="N9" i="26"/>
  <c r="N10" i="26"/>
  <c r="N11" i="26"/>
  <c r="N12" i="26"/>
  <c r="N13" i="26"/>
  <c r="N14" i="26"/>
  <c r="N15" i="26"/>
  <c r="N16" i="26"/>
  <c r="N17" i="26"/>
  <c r="N18" i="26"/>
  <c r="N19" i="26"/>
  <c r="N20" i="26"/>
  <c r="N21" i="26"/>
  <c r="N22" i="26"/>
  <c r="N23" i="26"/>
  <c r="N24" i="26"/>
  <c r="N25" i="26"/>
  <c r="N26" i="26"/>
  <c r="N27" i="26"/>
  <c r="N28" i="26"/>
  <c r="N29" i="26"/>
  <c r="N30" i="26"/>
  <c r="N31" i="26"/>
  <c r="N32" i="26"/>
  <c r="N33" i="26"/>
  <c r="N34" i="26"/>
  <c r="N35" i="26"/>
  <c r="N36" i="26"/>
  <c r="N37" i="26"/>
  <c r="N38" i="26"/>
  <c r="N39" i="26"/>
  <c r="N40" i="26"/>
  <c r="N41" i="26"/>
  <c r="N42" i="26"/>
  <c r="N43" i="26"/>
  <c r="N44" i="26"/>
  <c r="N45" i="26"/>
  <c r="N46" i="26"/>
  <c r="N47" i="26"/>
  <c r="N48" i="26"/>
  <c r="N49" i="26"/>
  <c r="N50" i="26"/>
  <c r="N51" i="26"/>
  <c r="N52" i="26"/>
  <c r="N53" i="26"/>
  <c r="N54" i="26"/>
  <c r="N55" i="26"/>
  <c r="N56" i="26"/>
  <c r="N57" i="26"/>
  <c r="N58" i="26"/>
  <c r="N59" i="26"/>
  <c r="N60" i="26"/>
  <c r="N61" i="26"/>
  <c r="N62" i="26"/>
  <c r="N63" i="26"/>
  <c r="N64" i="26"/>
  <c r="N65" i="26"/>
  <c r="N66" i="26"/>
  <c r="N67" i="26"/>
  <c r="N68" i="26"/>
  <c r="N69" i="26"/>
  <c r="N70" i="26"/>
  <c r="N71" i="26"/>
  <c r="N72" i="26"/>
  <c r="N73" i="26"/>
  <c r="N74" i="26"/>
  <c r="N75" i="26"/>
  <c r="N76" i="26"/>
  <c r="N77" i="26"/>
  <c r="N78" i="26"/>
  <c r="N79" i="26"/>
  <c r="N5" i="26"/>
  <c r="L6" i="28"/>
  <c r="L7" i="28"/>
  <c r="L8" i="28"/>
  <c r="L9" i="28"/>
  <c r="L10" i="28"/>
  <c r="L11" i="28"/>
  <c r="L13" i="28"/>
  <c r="L14" i="28"/>
  <c r="L15" i="28"/>
  <c r="L16" i="28"/>
  <c r="L17" i="28"/>
  <c r="L18" i="28"/>
  <c r="L5" i="28"/>
  <c r="AH5" i="28"/>
  <c r="AH7" i="28"/>
  <c r="AH8" i="28"/>
  <c r="AH9" i="28"/>
  <c r="AH10" i="28"/>
  <c r="AH11" i="28"/>
  <c r="AH12" i="28"/>
  <c r="AH13" i="28"/>
  <c r="AH14" i="28"/>
  <c r="AH15" i="28"/>
  <c r="AH16" i="28"/>
  <c r="AH17" i="28"/>
  <c r="AH18" i="28"/>
  <c r="AH20" i="28"/>
  <c r="AH21" i="28"/>
  <c r="AH22" i="28"/>
  <c r="AH23" i="28"/>
  <c r="AH24" i="28"/>
  <c r="AH25" i="28"/>
  <c r="AH26" i="28"/>
  <c r="AH27" i="28"/>
  <c r="AH28" i="28"/>
  <c r="AH29" i="28"/>
  <c r="AH30" i="28"/>
  <c r="AH31" i="28"/>
  <c r="AH32" i="28"/>
  <c r="AH33" i="28"/>
  <c r="AH34" i="28"/>
  <c r="AH35" i="28"/>
  <c r="AH36" i="28"/>
  <c r="AH37" i="28"/>
  <c r="AH38" i="28"/>
  <c r="AH39" i="28"/>
  <c r="AH40" i="28"/>
  <c r="AH41" i="28"/>
  <c r="AH42" i="28"/>
  <c r="AH43" i="28"/>
  <c r="AH44" i="28"/>
  <c r="AH45" i="28"/>
  <c r="AH46" i="28"/>
  <c r="AH47" i="28"/>
  <c r="AH48" i="28"/>
  <c r="AH50" i="28"/>
  <c r="AH51" i="28"/>
  <c r="AH52" i="28"/>
  <c r="AH53" i="28"/>
  <c r="AH54" i="28"/>
  <c r="AH55" i="28"/>
  <c r="AH56" i="28"/>
  <c r="AH57" i="28"/>
  <c r="AH58" i="28"/>
  <c r="AH59" i="28"/>
  <c r="AH60" i="28"/>
  <c r="AH61" i="28"/>
  <c r="AH62" i="28"/>
  <c r="AH63" i="28"/>
  <c r="AH64" i="28"/>
  <c r="AH65" i="28"/>
  <c r="AH66" i="28"/>
  <c r="AH67" i="28"/>
  <c r="AH68" i="28"/>
  <c r="AH69" i="28"/>
  <c r="AH70" i="28"/>
  <c r="AH71" i="28"/>
  <c r="AH72" i="28"/>
  <c r="AH73" i="28"/>
  <c r="AH74" i="28"/>
  <c r="AH75" i="28"/>
  <c r="AH76" i="28"/>
  <c r="AH77" i="28"/>
  <c r="AH78" i="28"/>
  <c r="AH79" i="28"/>
  <c r="AG7" i="28"/>
  <c r="AG8" i="28"/>
  <c r="AG9" i="28"/>
  <c r="AG10" i="28"/>
  <c r="AG11" i="28"/>
  <c r="AG12" i="28"/>
  <c r="AG13" i="28"/>
  <c r="AG14" i="28"/>
  <c r="AG15" i="28"/>
  <c r="AG16" i="28"/>
  <c r="AG17" i="28"/>
  <c r="AG18" i="28"/>
  <c r="AG20" i="28"/>
  <c r="AG21" i="28"/>
  <c r="AG22" i="28"/>
  <c r="AG23" i="28"/>
  <c r="AG24" i="28"/>
  <c r="AG25" i="28"/>
  <c r="AG26" i="28"/>
  <c r="AG27" i="28"/>
  <c r="AG28" i="28"/>
  <c r="AG29" i="28"/>
  <c r="AG30" i="28"/>
  <c r="AG31" i="28"/>
  <c r="AG32" i="28"/>
  <c r="AG33" i="28"/>
  <c r="AG34" i="28"/>
  <c r="AG35" i="28"/>
  <c r="AG36" i="28"/>
  <c r="AG37" i="28"/>
  <c r="AG38" i="28"/>
  <c r="AG39" i="28"/>
  <c r="AG40" i="28"/>
  <c r="AG41" i="28"/>
  <c r="AG42" i="28"/>
  <c r="AG43" i="28"/>
  <c r="AG44" i="28"/>
  <c r="AG45" i="28"/>
  <c r="AG46" i="28"/>
  <c r="AG47" i="28"/>
  <c r="AG48" i="28"/>
  <c r="AG50" i="28"/>
  <c r="AG51" i="28"/>
  <c r="AG52" i="28"/>
  <c r="AG53" i="28"/>
  <c r="AG54" i="28"/>
  <c r="AG55" i="28"/>
  <c r="AG56" i="28"/>
  <c r="AG57" i="28"/>
  <c r="AG58" i="28"/>
  <c r="AG59" i="28"/>
  <c r="AG60" i="28"/>
  <c r="AG61" i="28"/>
  <c r="AG62" i="28"/>
  <c r="AG63" i="28"/>
  <c r="AG64" i="28"/>
  <c r="AG65" i="28"/>
  <c r="AG66" i="28"/>
  <c r="AG67" i="28"/>
  <c r="AG68" i="28"/>
  <c r="AG69" i="28"/>
  <c r="AG70" i="28"/>
  <c r="AG71" i="28"/>
  <c r="AG72" i="28"/>
  <c r="AG73" i="28"/>
  <c r="AG74" i="28"/>
  <c r="AG75" i="28"/>
  <c r="AG76" i="28"/>
  <c r="AG77" i="28"/>
  <c r="AG78" i="28"/>
  <c r="AG79" i="28"/>
  <c r="AG5" i="28"/>
  <c r="AD5" i="28"/>
  <c r="AC6" i="28"/>
  <c r="AC7" i="28"/>
  <c r="AC8" i="28"/>
  <c r="AC9" i="28"/>
  <c r="AC10" i="28"/>
  <c r="AC11" i="28"/>
  <c r="AC12" i="28"/>
  <c r="AC13" i="28"/>
  <c r="AC14" i="28"/>
  <c r="AC15" i="28"/>
  <c r="AC16" i="28"/>
  <c r="AC17" i="28"/>
  <c r="AC18" i="28"/>
  <c r="AC19" i="28"/>
  <c r="AC20" i="28"/>
  <c r="AC21" i="28"/>
  <c r="AC22" i="28"/>
  <c r="AC23" i="28"/>
  <c r="AC24" i="28"/>
  <c r="AC25" i="28"/>
  <c r="AC26" i="28"/>
  <c r="AC27" i="28"/>
  <c r="AC28" i="28"/>
  <c r="AC29" i="28"/>
  <c r="AC30" i="28"/>
  <c r="AC31" i="28"/>
  <c r="AC32" i="28"/>
  <c r="AC33" i="28"/>
  <c r="AC34" i="28"/>
  <c r="AC35" i="28"/>
  <c r="AC36" i="28"/>
  <c r="AC37" i="28"/>
  <c r="AC38" i="28"/>
  <c r="AC39" i="28"/>
  <c r="AC40" i="28"/>
  <c r="AC41" i="28"/>
  <c r="AC42" i="28"/>
  <c r="AC43" i="28"/>
  <c r="AC44" i="28"/>
  <c r="AC45" i="28"/>
  <c r="AC46" i="28"/>
  <c r="AC47" i="28"/>
  <c r="AC48" i="28"/>
  <c r="AC49" i="28"/>
  <c r="AC50" i="28"/>
  <c r="AC51" i="28"/>
  <c r="AC52" i="28"/>
  <c r="AC53" i="28"/>
  <c r="AC54" i="28"/>
  <c r="AC55" i="28"/>
  <c r="AC56" i="28"/>
  <c r="AC57" i="28"/>
  <c r="AC58" i="28"/>
  <c r="AC59" i="28"/>
  <c r="AC60" i="28"/>
  <c r="AC61" i="28"/>
  <c r="AC62" i="28"/>
  <c r="AC63" i="28"/>
  <c r="AC64" i="28"/>
  <c r="AC65" i="28"/>
  <c r="AC66" i="28"/>
  <c r="AC67" i="28"/>
  <c r="AC68" i="28"/>
  <c r="AC69" i="28"/>
  <c r="AC70" i="28"/>
  <c r="AC71" i="28"/>
  <c r="AC72" i="28"/>
  <c r="AC73" i="28"/>
  <c r="AC74" i="28"/>
  <c r="AC75" i="28"/>
  <c r="AC76" i="28"/>
  <c r="AC77" i="28"/>
  <c r="AC78" i="28"/>
  <c r="AC79" i="28"/>
  <c r="AC5" i="28"/>
  <c r="Z7" i="28"/>
  <c r="Z8" i="28"/>
  <c r="Z9" i="28"/>
  <c r="Z10" i="28"/>
  <c r="Z11" i="28"/>
  <c r="Z12" i="28"/>
  <c r="Z13" i="28"/>
  <c r="Z14" i="28"/>
  <c r="Z15" i="28"/>
  <c r="Z16" i="28"/>
  <c r="Z17" i="28"/>
  <c r="Z18" i="28"/>
  <c r="Z19" i="28"/>
  <c r="Z20" i="28"/>
  <c r="Z21" i="28"/>
  <c r="Z22" i="28"/>
  <c r="Z23" i="28"/>
  <c r="Z24" i="28"/>
  <c r="Z25" i="28"/>
  <c r="Z26" i="28"/>
  <c r="Z27" i="28"/>
  <c r="Z28" i="28"/>
  <c r="Z29" i="28"/>
  <c r="Z30" i="28"/>
  <c r="Z31" i="28"/>
  <c r="Z32" i="28"/>
  <c r="Z33" i="28"/>
  <c r="Z34" i="28"/>
  <c r="Z35" i="28"/>
  <c r="Z36" i="28"/>
  <c r="Z37" i="28"/>
  <c r="Z38" i="28"/>
  <c r="Z39" i="28"/>
  <c r="Z40" i="28"/>
  <c r="Z41" i="28"/>
  <c r="Z42" i="28"/>
  <c r="Z43" i="28"/>
  <c r="Z44" i="28"/>
  <c r="Z45" i="28"/>
  <c r="Z46" i="28"/>
  <c r="Z47" i="28"/>
  <c r="Z48" i="28"/>
  <c r="Z49" i="28"/>
  <c r="Z50" i="28"/>
  <c r="Z51" i="28"/>
  <c r="Z52" i="28"/>
  <c r="Z53" i="28"/>
  <c r="Z54" i="28"/>
  <c r="Z55" i="28"/>
  <c r="Z56" i="28"/>
  <c r="Z57" i="28"/>
  <c r="Z58" i="28"/>
  <c r="Z59" i="28"/>
  <c r="Z60" i="28"/>
  <c r="Z61" i="28"/>
  <c r="Z62" i="28"/>
  <c r="Z63" i="28"/>
  <c r="Z64" i="28"/>
  <c r="Z65" i="28"/>
  <c r="Z66" i="28"/>
  <c r="Z67" i="28"/>
  <c r="Z68" i="28"/>
  <c r="Z69" i="28"/>
  <c r="Z70" i="28"/>
  <c r="Z71" i="28"/>
  <c r="Z72" i="28"/>
  <c r="Z73" i="28"/>
  <c r="Z74" i="28"/>
  <c r="Z75" i="28"/>
  <c r="Z76" i="28"/>
  <c r="Z77" i="28"/>
  <c r="Z78" i="28"/>
  <c r="Z79" i="28"/>
  <c r="Y7" i="28"/>
  <c r="Y8" i="28"/>
  <c r="Y9" i="28"/>
  <c r="Y10" i="28"/>
  <c r="Y11" i="28"/>
  <c r="Y12" i="28"/>
  <c r="Y13" i="28"/>
  <c r="Y14" i="28"/>
  <c r="Y15" i="28"/>
  <c r="Y16" i="28"/>
  <c r="Y17" i="28"/>
  <c r="Y18" i="28"/>
  <c r="Y19" i="28"/>
  <c r="Y20" i="28"/>
  <c r="Y21" i="28"/>
  <c r="Y22" i="28"/>
  <c r="Y23" i="28"/>
  <c r="Y24" i="28"/>
  <c r="Y25" i="28"/>
  <c r="Y26" i="28"/>
  <c r="Y27" i="28"/>
  <c r="Y28" i="28"/>
  <c r="Y29" i="28"/>
  <c r="Y30" i="28"/>
  <c r="Y31" i="28"/>
  <c r="Y32" i="28"/>
  <c r="Y33" i="28"/>
  <c r="Y34" i="28"/>
  <c r="Y35" i="28"/>
  <c r="Y36" i="28"/>
  <c r="Y37" i="28"/>
  <c r="Y38" i="28"/>
  <c r="Y39" i="28"/>
  <c r="Y40" i="28"/>
  <c r="Y41" i="28"/>
  <c r="Y42" i="28"/>
  <c r="Y43" i="28"/>
  <c r="Y44" i="28"/>
  <c r="Y45" i="28"/>
  <c r="Y46" i="28"/>
  <c r="Y47" i="28"/>
  <c r="Y48" i="28"/>
  <c r="Y49" i="28"/>
  <c r="Y50" i="28"/>
  <c r="Y51" i="28"/>
  <c r="Y52" i="28"/>
  <c r="Y53" i="28"/>
  <c r="Y54" i="28"/>
  <c r="Y55" i="28"/>
  <c r="Y56" i="28"/>
  <c r="Y57" i="28"/>
  <c r="Y58" i="28"/>
  <c r="Y59" i="28"/>
  <c r="Y60" i="28"/>
  <c r="Y61" i="28"/>
  <c r="Y62" i="28"/>
  <c r="Y63" i="28"/>
  <c r="Y64" i="28"/>
  <c r="Y65" i="28"/>
  <c r="Y66" i="28"/>
  <c r="Y67" i="28"/>
  <c r="Y68" i="28"/>
  <c r="Y69" i="28"/>
  <c r="Y70" i="28"/>
  <c r="Y71" i="28"/>
  <c r="Y72" i="28"/>
  <c r="Y73" i="28"/>
  <c r="Y74" i="28"/>
  <c r="Y75" i="28"/>
  <c r="Y76" i="28"/>
  <c r="Y77" i="28"/>
  <c r="Y78" i="28"/>
  <c r="Y79" i="28"/>
  <c r="V5" i="28"/>
  <c r="V7" i="28"/>
  <c r="V8" i="28"/>
  <c r="V9" i="28"/>
  <c r="V10" i="28"/>
  <c r="V13" i="28"/>
  <c r="V14" i="28"/>
  <c r="V20" i="28"/>
  <c r="V21" i="28"/>
  <c r="V22" i="28"/>
  <c r="V24" i="28"/>
  <c r="V26" i="28"/>
  <c r="V29" i="28"/>
  <c r="V30" i="28"/>
  <c r="V31" i="28"/>
  <c r="V32" i="28"/>
  <c r="V34" i="28"/>
  <c r="V36" i="28"/>
  <c r="V37" i="28"/>
  <c r="V38" i="28"/>
  <c r="V40" i="28"/>
  <c r="V41" i="28"/>
  <c r="V42" i="28"/>
  <c r="V43" i="28"/>
  <c r="V44" i="28"/>
  <c r="V45" i="28"/>
  <c r="V46" i="28"/>
  <c r="V47" i="28"/>
  <c r="V48" i="28"/>
  <c r="V53" i="28"/>
  <c r="V54" i="28"/>
  <c r="V55" i="28"/>
  <c r="V56" i="28"/>
  <c r="V58" i="28"/>
  <c r="V59" i="28"/>
  <c r="V60" i="28"/>
  <c r="V61" i="28"/>
  <c r="V62" i="28"/>
  <c r="V63" i="28"/>
  <c r="V68" i="28"/>
  <c r="V69" i="28"/>
  <c r="V70" i="28"/>
  <c r="V71" i="28"/>
  <c r="V73" i="28"/>
  <c r="V74" i="28"/>
  <c r="V76" i="28"/>
  <c r="V78" i="28"/>
  <c r="V79" i="28"/>
  <c r="U8" i="28"/>
  <c r="U9" i="28"/>
  <c r="U10" i="28"/>
  <c r="U13" i="28"/>
  <c r="U14" i="28"/>
  <c r="U20" i="28"/>
  <c r="U21" i="28"/>
  <c r="U22" i="28"/>
  <c r="U24" i="28"/>
  <c r="U26" i="28"/>
  <c r="U30" i="28"/>
  <c r="U31" i="28"/>
  <c r="U32" i="28"/>
  <c r="U34" i="28"/>
  <c r="U36" i="28"/>
  <c r="U38" i="28"/>
  <c r="U41" i="28"/>
  <c r="U42" i="28"/>
  <c r="U44" i="28"/>
  <c r="U46" i="28"/>
  <c r="U47" i="28"/>
  <c r="U53" i="28"/>
  <c r="U54" i="28"/>
  <c r="U55" i="28"/>
  <c r="U56" i="28"/>
  <c r="U59" i="28"/>
  <c r="U60" i="28"/>
  <c r="U62" i="28"/>
  <c r="U63" i="28"/>
  <c r="U68" i="28"/>
  <c r="U70" i="28"/>
  <c r="U71" i="28"/>
  <c r="U73" i="28"/>
  <c r="U76" i="28"/>
  <c r="U78" i="28"/>
  <c r="U79"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54" i="28"/>
  <c r="R55" i="28"/>
  <c r="R56" i="28"/>
  <c r="R57" i="28"/>
  <c r="R58" i="28"/>
  <c r="R59" i="28"/>
  <c r="R60" i="28"/>
  <c r="R61" i="28"/>
  <c r="R62" i="28"/>
  <c r="R63" i="28"/>
  <c r="R64" i="28"/>
  <c r="R65" i="28"/>
  <c r="R66" i="28"/>
  <c r="R67" i="28"/>
  <c r="R68" i="28"/>
  <c r="R69" i="28"/>
  <c r="R70" i="28"/>
  <c r="R71" i="28"/>
  <c r="R72" i="28"/>
  <c r="R73" i="28"/>
  <c r="R74" i="28"/>
  <c r="R75" i="28"/>
  <c r="R76" i="28"/>
  <c r="R77" i="28"/>
  <c r="R78" i="28"/>
  <c r="R79" i="28"/>
  <c r="R5" i="28"/>
  <c r="Q6" i="28"/>
  <c r="Q7" i="28"/>
  <c r="Q8" i="28"/>
  <c r="Q9" i="28"/>
  <c r="Q10" i="28"/>
  <c r="Q11" i="28"/>
  <c r="Q12" i="28"/>
  <c r="Q13" i="28"/>
  <c r="Q14" i="28"/>
  <c r="Q15" i="28"/>
  <c r="Q16" i="28"/>
  <c r="Q17" i="28"/>
  <c r="Q18" i="28"/>
  <c r="Q19" i="28"/>
  <c r="Q20" i="28"/>
  <c r="Q21" i="28"/>
  <c r="Q22" i="28"/>
  <c r="Q23" i="28"/>
  <c r="Q24" i="28"/>
  <c r="Q25" i="28"/>
  <c r="Q26" i="28"/>
  <c r="Q27" i="28"/>
  <c r="Q28" i="28"/>
  <c r="Q29" i="28"/>
  <c r="Q30" i="28"/>
  <c r="Q31" i="28"/>
  <c r="Q32" i="28"/>
  <c r="Q33" i="28"/>
  <c r="Q34" i="28"/>
  <c r="Q35" i="28"/>
  <c r="Q36" i="28"/>
  <c r="Q37" i="28"/>
  <c r="Q38" i="28"/>
  <c r="Q39" i="28"/>
  <c r="Q40" i="28"/>
  <c r="Q41" i="28"/>
  <c r="Q42" i="28"/>
  <c r="Q43" i="28"/>
  <c r="Q44" i="28"/>
  <c r="Q45" i="28"/>
  <c r="Q46" i="28"/>
  <c r="Q47" i="28"/>
  <c r="Q48" i="28"/>
  <c r="Q49" i="28"/>
  <c r="Q50" i="28"/>
  <c r="Q51" i="28"/>
  <c r="Q52" i="28"/>
  <c r="Q53" i="28"/>
  <c r="Q54" i="28"/>
  <c r="Q55" i="28"/>
  <c r="Q56" i="28"/>
  <c r="Q57" i="28"/>
  <c r="Q58" i="28"/>
  <c r="Q59" i="28"/>
  <c r="Q60" i="28"/>
  <c r="Q61" i="28"/>
  <c r="Q62" i="28"/>
  <c r="Q63" i="28"/>
  <c r="Q64" i="28"/>
  <c r="Q65" i="28"/>
  <c r="Q66" i="28"/>
  <c r="Q67" i="28"/>
  <c r="Q68" i="28"/>
  <c r="Q69" i="28"/>
  <c r="Q70" i="28"/>
  <c r="Q71" i="28"/>
  <c r="Q72" i="28"/>
  <c r="Q73" i="28"/>
  <c r="Q74" i="28"/>
  <c r="Q75" i="28"/>
  <c r="Q76" i="28"/>
  <c r="Q77" i="28"/>
  <c r="Q78" i="28"/>
  <c r="Q79" i="28"/>
  <c r="Q5" i="28"/>
  <c r="N6" i="28"/>
  <c r="N7" i="28"/>
  <c r="N8" i="28"/>
  <c r="N9" i="28"/>
  <c r="N10" i="28"/>
  <c r="N11" i="28"/>
  <c r="N12" i="28"/>
  <c r="N13" i="28"/>
  <c r="N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N50" i="28"/>
  <c r="N51" i="28"/>
  <c r="N52" i="28"/>
  <c r="N53" i="28"/>
  <c r="N54" i="28"/>
  <c r="N55" i="28"/>
  <c r="N56" i="28"/>
  <c r="N57" i="28"/>
  <c r="N58" i="28"/>
  <c r="N59" i="28"/>
  <c r="N60" i="28"/>
  <c r="N61" i="28"/>
  <c r="N62" i="28"/>
  <c r="N63" i="28"/>
  <c r="N64" i="28"/>
  <c r="N65" i="28"/>
  <c r="N66" i="28"/>
  <c r="N67" i="28"/>
  <c r="N68" i="28"/>
  <c r="N69" i="28"/>
  <c r="N70" i="28"/>
  <c r="N71" i="28"/>
  <c r="N72" i="28"/>
  <c r="N73" i="28"/>
  <c r="N74" i="28"/>
  <c r="N75" i="28"/>
  <c r="N76" i="28"/>
  <c r="N77" i="28"/>
  <c r="N78" i="28"/>
  <c r="N79" i="28"/>
  <c r="N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62" i="28"/>
  <c r="M63" i="28"/>
  <c r="M64" i="28"/>
  <c r="M65" i="28"/>
  <c r="M66" i="28"/>
  <c r="M67" i="28"/>
  <c r="M68" i="28"/>
  <c r="M69" i="28"/>
  <c r="M70" i="28"/>
  <c r="M71" i="28"/>
  <c r="M72" i="28"/>
  <c r="M73" i="28"/>
  <c r="M74" i="28"/>
  <c r="M75" i="28"/>
  <c r="M76" i="28"/>
  <c r="M77" i="28"/>
  <c r="M78" i="28"/>
  <c r="M79" i="28"/>
  <c r="M5" i="28"/>
  <c r="J6" i="28"/>
  <c r="J7" i="28"/>
  <c r="J8" i="28"/>
  <c r="J9" i="28"/>
  <c r="J10" i="28"/>
  <c r="J11" i="28"/>
  <c r="J12" i="28"/>
  <c r="J13" i="28"/>
  <c r="J14" i="28"/>
  <c r="J15" i="28"/>
  <c r="J16" i="28"/>
  <c r="J17" i="28"/>
  <c r="J18" i="28"/>
  <c r="J20" i="28"/>
  <c r="J21" i="28"/>
  <c r="J22" i="28"/>
  <c r="J23" i="28"/>
  <c r="J24" i="28"/>
  <c r="J25" i="28"/>
  <c r="J26" i="28"/>
  <c r="J27" i="28"/>
  <c r="J28" i="28"/>
  <c r="J29" i="28"/>
  <c r="J30" i="28"/>
  <c r="J31" i="28"/>
  <c r="J32"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62" i="28"/>
  <c r="J63" i="28"/>
  <c r="J64" i="28"/>
  <c r="J65" i="28"/>
  <c r="J66" i="28"/>
  <c r="J67" i="28"/>
  <c r="J68" i="28"/>
  <c r="J69" i="28"/>
  <c r="J70" i="28"/>
  <c r="J71" i="28"/>
  <c r="J72" i="28"/>
  <c r="J73" i="28"/>
  <c r="J74" i="28"/>
  <c r="J75" i="28"/>
  <c r="J76" i="28"/>
  <c r="J77" i="28"/>
  <c r="J78" i="28"/>
  <c r="J79" i="28"/>
  <c r="J5" i="28"/>
  <c r="I6" i="28"/>
  <c r="I7" i="28"/>
  <c r="I8" i="28"/>
  <c r="I9" i="28"/>
  <c r="I10" i="28"/>
  <c r="I11" i="28"/>
  <c r="I12" i="28"/>
  <c r="I13" i="28"/>
  <c r="I14" i="28"/>
  <c r="I15" i="28"/>
  <c r="I16" i="28"/>
  <c r="I17" i="28"/>
  <c r="I18" i="28"/>
  <c r="I20" i="28"/>
  <c r="I21" i="28"/>
  <c r="I22" i="28"/>
  <c r="I23" i="28"/>
  <c r="I24" i="28"/>
  <c r="I25" i="28"/>
  <c r="I26" i="28"/>
  <c r="I27" i="28"/>
  <c r="I28" i="28"/>
  <c r="I29" i="28"/>
  <c r="I30" i="28"/>
  <c r="I31" i="28"/>
  <c r="I32"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5" i="28"/>
  <c r="F7" i="28"/>
  <c r="F8" i="28"/>
  <c r="F9" i="28"/>
  <c r="F10" i="28"/>
  <c r="F12" i="28"/>
  <c r="F13" i="28"/>
  <c r="F14" i="28"/>
  <c r="F15" i="28"/>
  <c r="F16" i="28"/>
  <c r="F17" i="28"/>
  <c r="F18" i="28"/>
  <c r="F19" i="28"/>
  <c r="F20" i="28"/>
  <c r="F21" i="28"/>
  <c r="F22" i="28"/>
  <c r="F23" i="28"/>
  <c r="F24"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6" i="28"/>
  <c r="F67" i="28"/>
  <c r="F68" i="28"/>
  <c r="F69" i="28"/>
  <c r="F70" i="28"/>
  <c r="F71" i="28"/>
  <c r="F72" i="28"/>
  <c r="F73" i="28"/>
  <c r="F74" i="28"/>
  <c r="F75" i="28"/>
  <c r="F76" i="28"/>
  <c r="F77" i="28"/>
  <c r="F78" i="28"/>
  <c r="F79" i="28"/>
  <c r="E7" i="28"/>
  <c r="E8" i="28"/>
  <c r="E9" i="28"/>
  <c r="E10" i="28"/>
  <c r="E12" i="28"/>
  <c r="E13" i="28"/>
  <c r="E14" i="28"/>
  <c r="E15" i="28"/>
  <c r="E16" i="28"/>
  <c r="E17" i="28"/>
  <c r="E18" i="28"/>
  <c r="E19" i="28"/>
  <c r="E20" i="28"/>
  <c r="E21" i="28"/>
  <c r="E22" i="28"/>
  <c r="E23" i="28"/>
  <c r="E24"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6" i="28"/>
  <c r="E67" i="28"/>
  <c r="E68" i="28"/>
  <c r="E69" i="28"/>
  <c r="E70" i="28"/>
  <c r="E71" i="28"/>
  <c r="E72" i="28"/>
  <c r="E73" i="28"/>
  <c r="E74" i="28"/>
  <c r="E75" i="28"/>
  <c r="E76" i="28"/>
  <c r="E77" i="28"/>
  <c r="E78" i="28"/>
  <c r="E79" i="28"/>
  <c r="Y80" i="27"/>
  <c r="L6" i="27"/>
  <c r="K6" i="27" s="1"/>
  <c r="B6" i="27" s="1"/>
  <c r="L7" i="27"/>
  <c r="K7" i="27" s="1"/>
  <c r="B7" i="27" s="1"/>
  <c r="L8" i="27"/>
  <c r="K8" i="27" s="1"/>
  <c r="B8" i="27" s="1"/>
  <c r="L9" i="27"/>
  <c r="K9" i="27" s="1"/>
  <c r="B9" i="27" s="1"/>
  <c r="L10" i="27"/>
  <c r="K10" i="27" s="1"/>
  <c r="B10" i="27" s="1"/>
  <c r="L11" i="27"/>
  <c r="K11" i="27" s="1"/>
  <c r="B11" i="27" s="1"/>
  <c r="L12" i="27"/>
  <c r="K12" i="27" s="1"/>
  <c r="B12" i="27" s="1"/>
  <c r="L13" i="27"/>
  <c r="K13" i="27" s="1"/>
  <c r="B13" i="27" s="1"/>
  <c r="L14" i="27"/>
  <c r="K14" i="27" s="1"/>
  <c r="B14" i="27" s="1"/>
  <c r="L15" i="27"/>
  <c r="K15" i="27" s="1"/>
  <c r="B15" i="27" s="1"/>
  <c r="L16" i="27"/>
  <c r="K16" i="27" s="1"/>
  <c r="B16" i="27" s="1"/>
  <c r="L17" i="27"/>
  <c r="K17" i="27" s="1"/>
  <c r="B17" i="27" s="1"/>
  <c r="L18" i="27"/>
  <c r="K18" i="27" s="1"/>
  <c r="B18" i="27" s="1"/>
  <c r="L19" i="27"/>
  <c r="K19" i="27" s="1"/>
  <c r="B19" i="27" s="1"/>
  <c r="L20" i="27"/>
  <c r="K20" i="27" s="1"/>
  <c r="L21" i="27"/>
  <c r="K21" i="27" s="1"/>
  <c r="B21" i="27" s="1"/>
  <c r="L22" i="27"/>
  <c r="K22" i="27" s="1"/>
  <c r="B22" i="27" s="1"/>
  <c r="L23" i="27"/>
  <c r="K23" i="27" s="1"/>
  <c r="B23" i="27" s="1"/>
  <c r="L24" i="27"/>
  <c r="K24" i="27" s="1"/>
  <c r="B24" i="27" s="1"/>
  <c r="L25" i="27"/>
  <c r="K25" i="27" s="1"/>
  <c r="B25" i="27" s="1"/>
  <c r="L26" i="27"/>
  <c r="K26" i="27" s="1"/>
  <c r="B26" i="27" s="1"/>
  <c r="L27" i="27"/>
  <c r="K27" i="27" s="1"/>
  <c r="B27" i="27" s="1"/>
  <c r="L28" i="27"/>
  <c r="K28" i="27" s="1"/>
  <c r="B28" i="27" s="1"/>
  <c r="L29" i="27"/>
  <c r="K29" i="27" s="1"/>
  <c r="B29" i="27" s="1"/>
  <c r="L30" i="27"/>
  <c r="K30" i="27" s="1"/>
  <c r="B30" i="27" s="1"/>
  <c r="L31" i="27"/>
  <c r="K31" i="27" s="1"/>
  <c r="B31" i="27" s="1"/>
  <c r="L32" i="27"/>
  <c r="K32" i="27" s="1"/>
  <c r="B32" i="27" s="1"/>
  <c r="L33" i="27"/>
  <c r="K33" i="27" s="1"/>
  <c r="B33" i="27" s="1"/>
  <c r="L34" i="27"/>
  <c r="K34" i="27" s="1"/>
  <c r="B34" i="27" s="1"/>
  <c r="L35" i="27"/>
  <c r="K35" i="27" s="1"/>
  <c r="B35" i="27" s="1"/>
  <c r="L36" i="27"/>
  <c r="K36" i="27" s="1"/>
  <c r="B36" i="27" s="1"/>
  <c r="L37" i="27"/>
  <c r="K37" i="27" s="1"/>
  <c r="B37" i="27" s="1"/>
  <c r="L38" i="27"/>
  <c r="K38" i="27" s="1"/>
  <c r="B38" i="27" s="1"/>
  <c r="L39" i="27"/>
  <c r="K39" i="27" s="1"/>
  <c r="B39" i="27" s="1"/>
  <c r="L40" i="27"/>
  <c r="K40" i="27" s="1"/>
  <c r="B40" i="27" s="1"/>
  <c r="L41" i="27"/>
  <c r="K41" i="27" s="1"/>
  <c r="B41" i="27" s="1"/>
  <c r="L42" i="27"/>
  <c r="K42" i="27" s="1"/>
  <c r="B42" i="27" s="1"/>
  <c r="L43" i="27"/>
  <c r="K43" i="27" s="1"/>
  <c r="B43" i="27" s="1"/>
  <c r="L44" i="27"/>
  <c r="K44" i="27" s="1"/>
  <c r="B44" i="27" s="1"/>
  <c r="L45" i="27"/>
  <c r="K45" i="27" s="1"/>
  <c r="B45" i="27" s="1"/>
  <c r="L46" i="27"/>
  <c r="K46" i="27" s="1"/>
  <c r="B46" i="27" s="1"/>
  <c r="L47" i="27"/>
  <c r="K47" i="27" s="1"/>
  <c r="B47" i="27" s="1"/>
  <c r="L48" i="27"/>
  <c r="K48" i="27" s="1"/>
  <c r="B48" i="27" s="1"/>
  <c r="L49" i="27"/>
  <c r="K49" i="27" s="1"/>
  <c r="B49" i="27" s="1"/>
  <c r="L50" i="27"/>
  <c r="K50" i="27" s="1"/>
  <c r="B50" i="27" s="1"/>
  <c r="L51" i="27"/>
  <c r="K51" i="27" s="1"/>
  <c r="B51" i="27" s="1"/>
  <c r="L52" i="27"/>
  <c r="K52" i="27" s="1"/>
  <c r="B52" i="27" s="1"/>
  <c r="L53" i="27"/>
  <c r="K53" i="27" s="1"/>
  <c r="B53" i="27" s="1"/>
  <c r="L54" i="27"/>
  <c r="K54" i="27" s="1"/>
  <c r="B54" i="27" s="1"/>
  <c r="L55" i="27"/>
  <c r="K55" i="27" s="1"/>
  <c r="B55" i="27" s="1"/>
  <c r="L56" i="27"/>
  <c r="K56" i="27" s="1"/>
  <c r="B56" i="27" s="1"/>
  <c r="L57" i="27"/>
  <c r="K57" i="27" s="1"/>
  <c r="B57" i="27" s="1"/>
  <c r="L58" i="27"/>
  <c r="K58" i="27" s="1"/>
  <c r="B58" i="27" s="1"/>
  <c r="L59" i="27"/>
  <c r="K59" i="27" s="1"/>
  <c r="B59" i="27" s="1"/>
  <c r="L60" i="27"/>
  <c r="K60" i="27" s="1"/>
  <c r="B60" i="27" s="1"/>
  <c r="L61" i="27"/>
  <c r="K61" i="27" s="1"/>
  <c r="L62" i="27"/>
  <c r="K62" i="27" s="1"/>
  <c r="B62" i="27" s="1"/>
  <c r="L63" i="27"/>
  <c r="K63" i="27" s="1"/>
  <c r="B63" i="27" s="1"/>
  <c r="L64" i="27"/>
  <c r="K64" i="27" s="1"/>
  <c r="B64" i="27" s="1"/>
  <c r="L65" i="27"/>
  <c r="K65" i="27" s="1"/>
  <c r="B65" i="27" s="1"/>
  <c r="L66" i="27"/>
  <c r="K66" i="27" s="1"/>
  <c r="B66" i="27" s="1"/>
  <c r="L67" i="27"/>
  <c r="K67" i="27" s="1"/>
  <c r="L68" i="27"/>
  <c r="K68" i="27" s="1"/>
  <c r="L69" i="27"/>
  <c r="K69" i="27" s="1"/>
  <c r="B69" i="27" s="1"/>
  <c r="L70" i="27"/>
  <c r="K70" i="27" s="1"/>
  <c r="B70" i="27" s="1"/>
  <c r="L71" i="27"/>
  <c r="K71" i="27" s="1"/>
  <c r="B71" i="27" s="1"/>
  <c r="L72" i="27"/>
  <c r="K72" i="27" s="1"/>
  <c r="B72" i="27" s="1"/>
  <c r="L73" i="27"/>
  <c r="K73" i="27" s="1"/>
  <c r="B73" i="27" s="1"/>
  <c r="L74" i="27"/>
  <c r="K74" i="27" s="1"/>
  <c r="B74" i="27" s="1"/>
  <c r="L75" i="27"/>
  <c r="K75" i="27" s="1"/>
  <c r="B75" i="27" s="1"/>
  <c r="L76" i="27"/>
  <c r="K76" i="27" s="1"/>
  <c r="B76" i="27" s="1"/>
  <c r="L77" i="27"/>
  <c r="K77" i="27" s="1"/>
  <c r="B77" i="27" s="1"/>
  <c r="L78" i="27"/>
  <c r="K78" i="27" s="1"/>
  <c r="B78" i="27" s="1"/>
  <c r="L79" i="27"/>
  <c r="K79" i="27" s="1"/>
  <c r="B79" i="27" s="1"/>
  <c r="L5" i="27"/>
  <c r="K5" i="27" s="1"/>
  <c r="D6" i="27"/>
  <c r="C6" i="27"/>
  <c r="D7" i="27"/>
  <c r="C7" i="27"/>
  <c r="D8" i="27"/>
  <c r="C8" i="27"/>
  <c r="D9" i="27"/>
  <c r="C9" i="27"/>
  <c r="D10" i="27"/>
  <c r="C10" i="27"/>
  <c r="D11" i="27"/>
  <c r="C11" i="27"/>
  <c r="D12" i="27"/>
  <c r="C12" i="27"/>
  <c r="D13" i="27"/>
  <c r="C13" i="27"/>
  <c r="D14" i="27"/>
  <c r="C14" i="27"/>
  <c r="D15" i="27"/>
  <c r="C15" i="27"/>
  <c r="D16" i="27"/>
  <c r="C16" i="27"/>
  <c r="D17" i="27"/>
  <c r="C17" i="27"/>
  <c r="D18" i="27"/>
  <c r="C18" i="27"/>
  <c r="D19" i="27"/>
  <c r="C19" i="27"/>
  <c r="D20" i="27"/>
  <c r="C20" i="27"/>
  <c r="D21" i="27"/>
  <c r="C21" i="27"/>
  <c r="D22" i="27"/>
  <c r="C22" i="27"/>
  <c r="D23" i="27"/>
  <c r="C23" i="27"/>
  <c r="D24" i="27"/>
  <c r="C24" i="27"/>
  <c r="D25" i="27"/>
  <c r="C25" i="27"/>
  <c r="D26" i="27"/>
  <c r="C26" i="27"/>
  <c r="D27" i="27"/>
  <c r="C27" i="27"/>
  <c r="D28" i="27"/>
  <c r="C28" i="27"/>
  <c r="D29" i="27"/>
  <c r="C29" i="27"/>
  <c r="D30" i="27"/>
  <c r="C30" i="27"/>
  <c r="D31" i="27"/>
  <c r="C31" i="27"/>
  <c r="D32" i="27"/>
  <c r="C32" i="27"/>
  <c r="D33" i="27"/>
  <c r="C33" i="27"/>
  <c r="D34" i="27"/>
  <c r="C34" i="27"/>
  <c r="D35" i="27"/>
  <c r="C35" i="27"/>
  <c r="D36" i="27"/>
  <c r="C36" i="27"/>
  <c r="D37" i="27"/>
  <c r="C37" i="27"/>
  <c r="D38" i="27"/>
  <c r="C38" i="27"/>
  <c r="D39" i="27"/>
  <c r="C39" i="27"/>
  <c r="D40" i="27"/>
  <c r="C40" i="27"/>
  <c r="D41" i="27"/>
  <c r="C41" i="27"/>
  <c r="D42" i="27"/>
  <c r="C42" i="27"/>
  <c r="D43" i="27"/>
  <c r="C43" i="27"/>
  <c r="D44" i="27"/>
  <c r="C44" i="27"/>
  <c r="D45" i="27"/>
  <c r="C45" i="27"/>
  <c r="D46" i="27"/>
  <c r="C46" i="27"/>
  <c r="D47" i="27"/>
  <c r="C47" i="27"/>
  <c r="D48" i="27"/>
  <c r="C48" i="27"/>
  <c r="D49" i="27"/>
  <c r="C49" i="27"/>
  <c r="D50" i="27"/>
  <c r="C50" i="27"/>
  <c r="D51" i="27"/>
  <c r="C51" i="27"/>
  <c r="D52" i="27"/>
  <c r="C52" i="27"/>
  <c r="D53" i="27"/>
  <c r="C53" i="27"/>
  <c r="D54" i="27"/>
  <c r="C54" i="27"/>
  <c r="D55" i="27"/>
  <c r="C55" i="27"/>
  <c r="D56" i="27"/>
  <c r="C56" i="27"/>
  <c r="D57" i="27"/>
  <c r="C57" i="27"/>
  <c r="D58" i="27"/>
  <c r="C58" i="27"/>
  <c r="D59" i="27"/>
  <c r="C59" i="27"/>
  <c r="D60" i="27"/>
  <c r="C60" i="27"/>
  <c r="D61" i="27"/>
  <c r="C61" i="27"/>
  <c r="D62" i="27"/>
  <c r="C62" i="27"/>
  <c r="D63" i="27"/>
  <c r="C63" i="27"/>
  <c r="D64" i="27"/>
  <c r="C64" i="27"/>
  <c r="D65" i="27"/>
  <c r="C65" i="27"/>
  <c r="D66" i="27"/>
  <c r="C66" i="27"/>
  <c r="D67" i="27"/>
  <c r="C67" i="27"/>
  <c r="D68" i="27"/>
  <c r="C68" i="27"/>
  <c r="D69" i="27"/>
  <c r="C69" i="27"/>
  <c r="D70" i="27"/>
  <c r="C70" i="27"/>
  <c r="D71" i="27"/>
  <c r="C71" i="27"/>
  <c r="D72" i="27"/>
  <c r="C72" i="27"/>
  <c r="D73" i="27"/>
  <c r="C73" i="27"/>
  <c r="D74" i="27"/>
  <c r="C74" i="27"/>
  <c r="D75" i="27"/>
  <c r="C75" i="27"/>
  <c r="D76" i="27"/>
  <c r="C76" i="27"/>
  <c r="D77" i="27"/>
  <c r="C77" i="27"/>
  <c r="D78" i="27"/>
  <c r="C78" i="27"/>
  <c r="D79" i="27"/>
  <c r="C79" i="27"/>
  <c r="D5" i="27"/>
  <c r="C5" i="27"/>
  <c r="O5" i="27"/>
  <c r="O6" i="27"/>
  <c r="O7" i="27"/>
  <c r="O8" i="27"/>
  <c r="O9" i="27"/>
  <c r="O10" i="27"/>
  <c r="O11" i="27"/>
  <c r="O12" i="27"/>
  <c r="O13" i="27"/>
  <c r="O14" i="27"/>
  <c r="O15" i="27"/>
  <c r="O16" i="27"/>
  <c r="O17" i="27"/>
  <c r="O18" i="27"/>
  <c r="O19" i="27"/>
  <c r="O20" i="27"/>
  <c r="O21" i="27"/>
  <c r="O22" i="27"/>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61" i="27"/>
  <c r="O62" i="27"/>
  <c r="O63" i="27"/>
  <c r="O64" i="27"/>
  <c r="O65" i="27"/>
  <c r="O66" i="27"/>
  <c r="O67" i="27"/>
  <c r="O68" i="27"/>
  <c r="O69" i="27"/>
  <c r="O70" i="27"/>
  <c r="O71" i="27"/>
  <c r="O72" i="27"/>
  <c r="O73" i="27"/>
  <c r="O74" i="27"/>
  <c r="O75" i="27"/>
  <c r="O76" i="27"/>
  <c r="O77" i="27"/>
  <c r="O78" i="27"/>
  <c r="O79" i="27"/>
  <c r="AD6" i="28"/>
  <c r="AD7" i="28"/>
  <c r="AD8" i="28"/>
  <c r="AD9" i="28"/>
  <c r="AD10" i="28"/>
  <c r="AD11" i="28"/>
  <c r="AD12" i="28"/>
  <c r="AD13" i="28"/>
  <c r="AD14" i="28"/>
  <c r="AD15" i="28"/>
  <c r="AD16" i="28"/>
  <c r="AD17" i="28"/>
  <c r="AD18" i="28"/>
  <c r="AD19" i="28"/>
  <c r="AD20" i="28"/>
  <c r="AD21" i="28"/>
  <c r="AD22" i="28"/>
  <c r="AD23" i="28"/>
  <c r="AD24" i="28"/>
  <c r="AD25" i="28"/>
  <c r="AD26" i="28"/>
  <c r="AD27" i="28"/>
  <c r="AD28" i="28"/>
  <c r="AD29" i="28"/>
  <c r="AD30" i="28"/>
  <c r="AD31" i="28"/>
  <c r="AD32" i="28"/>
  <c r="AD33" i="28"/>
  <c r="AD34" i="28"/>
  <c r="AD35" i="28"/>
  <c r="AD36" i="28"/>
  <c r="AD37" i="28"/>
  <c r="AD38" i="28"/>
  <c r="AD39" i="28"/>
  <c r="AD40" i="28"/>
  <c r="AD41" i="28"/>
  <c r="AD42" i="28"/>
  <c r="AD43" i="28"/>
  <c r="AD44" i="28"/>
  <c r="AD45" i="28"/>
  <c r="AD46" i="28"/>
  <c r="AD47" i="28"/>
  <c r="AD48" i="28"/>
  <c r="AD49" i="28"/>
  <c r="AD50" i="28"/>
  <c r="AD51" i="28"/>
  <c r="AD52" i="28"/>
  <c r="AD53" i="28"/>
  <c r="AD54" i="28"/>
  <c r="AD55" i="28"/>
  <c r="AD56" i="28"/>
  <c r="AD57" i="28"/>
  <c r="AD58" i="28"/>
  <c r="AD59" i="28"/>
  <c r="AD60" i="28"/>
  <c r="AD61" i="28"/>
  <c r="AD62" i="28"/>
  <c r="AD63" i="28"/>
  <c r="AD64" i="28"/>
  <c r="AD65" i="28"/>
  <c r="AD66" i="28"/>
  <c r="AD67" i="28"/>
  <c r="AD68" i="28"/>
  <c r="AD69" i="28"/>
  <c r="AD70" i="28"/>
  <c r="AD71" i="28"/>
  <c r="AD72" i="28"/>
  <c r="AD73" i="28"/>
  <c r="AD74" i="28"/>
  <c r="AD75" i="28"/>
  <c r="AD76" i="28"/>
  <c r="AD77" i="28"/>
  <c r="AD78" i="28"/>
  <c r="AD79" i="28"/>
  <c r="R5" i="27"/>
  <c r="R6" i="27"/>
  <c r="R7" i="27"/>
  <c r="R8" i="27"/>
  <c r="R9" i="27"/>
  <c r="R10" i="27"/>
  <c r="R11" i="27"/>
  <c r="R12" i="27"/>
  <c r="R13" i="27"/>
  <c r="R14" i="27"/>
  <c r="R15" i="27"/>
  <c r="R16" i="27"/>
  <c r="R17" i="27"/>
  <c r="R18" i="27"/>
  <c r="R19" i="27"/>
  <c r="R20" i="27"/>
  <c r="R21" i="27"/>
  <c r="R22" i="27"/>
  <c r="R23" i="27"/>
  <c r="R24" i="27"/>
  <c r="R25" i="27"/>
  <c r="R26" i="27"/>
  <c r="R27" i="27"/>
  <c r="R28" i="27"/>
  <c r="R29" i="27"/>
  <c r="R30" i="27"/>
  <c r="R31" i="27"/>
  <c r="R32" i="27"/>
  <c r="R33" i="27"/>
  <c r="R34" i="27"/>
  <c r="R35" i="27"/>
  <c r="R36" i="27"/>
  <c r="R37" i="27"/>
  <c r="R38" i="27"/>
  <c r="R39" i="27"/>
  <c r="R40" i="27"/>
  <c r="R41" i="27"/>
  <c r="R42" i="27"/>
  <c r="R43" i="27"/>
  <c r="R44" i="27"/>
  <c r="R45" i="27"/>
  <c r="R46" i="27"/>
  <c r="R47" i="27"/>
  <c r="R48" i="27"/>
  <c r="R49" i="27"/>
  <c r="R50" i="27"/>
  <c r="R51" i="27"/>
  <c r="R52" i="27"/>
  <c r="R53" i="27"/>
  <c r="R54" i="27"/>
  <c r="R55" i="27"/>
  <c r="R56" i="27"/>
  <c r="R57" i="27"/>
  <c r="R58" i="27"/>
  <c r="R59" i="27"/>
  <c r="R60" i="27"/>
  <c r="R61" i="27"/>
  <c r="R62" i="27"/>
  <c r="R63" i="27"/>
  <c r="R64" i="27"/>
  <c r="R65" i="27"/>
  <c r="R66" i="27"/>
  <c r="R67" i="27"/>
  <c r="R68" i="27"/>
  <c r="R69" i="27"/>
  <c r="R70" i="27"/>
  <c r="R71" i="27"/>
  <c r="R72" i="27"/>
  <c r="R73" i="27"/>
  <c r="R74" i="27"/>
  <c r="R75" i="27"/>
  <c r="R76" i="27"/>
  <c r="R77" i="27"/>
  <c r="R78" i="27"/>
  <c r="R79" i="27"/>
  <c r="E6" i="27"/>
  <c r="F6" i="27"/>
  <c r="E7" i="27"/>
  <c r="F7" i="27"/>
  <c r="E8" i="27"/>
  <c r="F8" i="27"/>
  <c r="E9" i="27"/>
  <c r="F9" i="27"/>
  <c r="E10" i="27"/>
  <c r="F10" i="27"/>
  <c r="E11" i="27"/>
  <c r="F11" i="27"/>
  <c r="E12" i="27"/>
  <c r="F12" i="27"/>
  <c r="E13" i="27"/>
  <c r="F13" i="27"/>
  <c r="E14" i="27"/>
  <c r="F14" i="27"/>
  <c r="E15" i="27"/>
  <c r="F15" i="27"/>
  <c r="E16" i="27"/>
  <c r="F16" i="27"/>
  <c r="E17" i="27"/>
  <c r="F17" i="27"/>
  <c r="E18" i="27"/>
  <c r="F18" i="27"/>
  <c r="E19" i="27"/>
  <c r="F19" i="27"/>
  <c r="E20" i="27"/>
  <c r="F20" i="27"/>
  <c r="E21" i="27"/>
  <c r="F21" i="27"/>
  <c r="E22" i="27"/>
  <c r="F22" i="27"/>
  <c r="E23" i="27"/>
  <c r="F23" i="27"/>
  <c r="E24" i="27"/>
  <c r="F24" i="27"/>
  <c r="E25" i="27"/>
  <c r="F25" i="27"/>
  <c r="E26" i="27"/>
  <c r="F26" i="27"/>
  <c r="E27" i="27"/>
  <c r="F27" i="27"/>
  <c r="E28" i="27"/>
  <c r="F28" i="27"/>
  <c r="E29" i="27"/>
  <c r="F29" i="27"/>
  <c r="E30" i="27"/>
  <c r="F30" i="27"/>
  <c r="E31" i="27"/>
  <c r="F31" i="27"/>
  <c r="E32" i="27"/>
  <c r="F32" i="27"/>
  <c r="E33" i="27"/>
  <c r="F33" i="27"/>
  <c r="E34" i="27"/>
  <c r="F34" i="27"/>
  <c r="E35" i="27"/>
  <c r="F35" i="27"/>
  <c r="E36" i="27"/>
  <c r="F36" i="27"/>
  <c r="E37" i="27"/>
  <c r="F37" i="27"/>
  <c r="E38" i="27"/>
  <c r="F38" i="27"/>
  <c r="E39" i="27"/>
  <c r="F39" i="27"/>
  <c r="E40" i="27"/>
  <c r="F40" i="27"/>
  <c r="E41" i="27"/>
  <c r="F41" i="27"/>
  <c r="E42" i="27"/>
  <c r="F42" i="27"/>
  <c r="E43" i="27"/>
  <c r="F43" i="27"/>
  <c r="E44" i="27"/>
  <c r="F44" i="27"/>
  <c r="E45" i="27"/>
  <c r="F45" i="27"/>
  <c r="E46" i="27"/>
  <c r="F46" i="27"/>
  <c r="E47" i="27"/>
  <c r="F47" i="27"/>
  <c r="E48" i="27"/>
  <c r="F48" i="27"/>
  <c r="E49" i="27"/>
  <c r="F49" i="27"/>
  <c r="E50" i="27"/>
  <c r="F50" i="27"/>
  <c r="E51" i="27"/>
  <c r="F51" i="27"/>
  <c r="E52" i="27"/>
  <c r="F52" i="27"/>
  <c r="E53" i="27"/>
  <c r="F53" i="27"/>
  <c r="E54" i="27"/>
  <c r="F54" i="27"/>
  <c r="E55" i="27"/>
  <c r="F55" i="27"/>
  <c r="E56" i="27"/>
  <c r="F56" i="27"/>
  <c r="E57" i="27"/>
  <c r="F57" i="27"/>
  <c r="E58" i="27"/>
  <c r="F58" i="27"/>
  <c r="E59" i="27"/>
  <c r="F59" i="27"/>
  <c r="E60" i="27"/>
  <c r="F60" i="27"/>
  <c r="E61" i="27"/>
  <c r="F61" i="27"/>
  <c r="E62" i="27"/>
  <c r="F62" i="27"/>
  <c r="E63" i="27"/>
  <c r="F63" i="27"/>
  <c r="E64" i="27"/>
  <c r="F64" i="27"/>
  <c r="E65" i="27"/>
  <c r="F65" i="27"/>
  <c r="E66" i="27"/>
  <c r="F66" i="27"/>
  <c r="E67" i="27"/>
  <c r="F67" i="27"/>
  <c r="E68" i="27"/>
  <c r="F68" i="27"/>
  <c r="E69" i="27"/>
  <c r="F69" i="27"/>
  <c r="E70" i="27"/>
  <c r="F70" i="27"/>
  <c r="E71" i="27"/>
  <c r="F71" i="27"/>
  <c r="E72" i="27"/>
  <c r="F72" i="27"/>
  <c r="E73" i="27"/>
  <c r="F73" i="27"/>
  <c r="E74" i="27"/>
  <c r="F74" i="27"/>
  <c r="E75" i="27"/>
  <c r="F75" i="27"/>
  <c r="E76" i="27"/>
  <c r="F76" i="27"/>
  <c r="E77" i="27"/>
  <c r="F77" i="27"/>
  <c r="E78" i="27"/>
  <c r="F78" i="27"/>
  <c r="E79" i="27"/>
  <c r="F79" i="27"/>
  <c r="E5" i="27"/>
  <c r="F5" i="27"/>
  <c r="P3" i="26"/>
  <c r="B82" i="37"/>
  <c r="B81" i="37"/>
  <c r="B80" i="37"/>
  <c r="B82" i="36"/>
  <c r="B81" i="36"/>
  <c r="B80" i="36"/>
  <c r="B82" i="35"/>
  <c r="B81" i="35"/>
  <c r="B80" i="35"/>
  <c r="B82" i="34"/>
  <c r="B81" i="34"/>
  <c r="B80" i="34"/>
  <c r="B82" i="33"/>
  <c r="B81" i="33"/>
  <c r="B80" i="33"/>
  <c r="B82" i="32"/>
  <c r="B81" i="32"/>
  <c r="B80" i="32"/>
  <c r="B79" i="32"/>
  <c r="B78" i="32"/>
  <c r="B77" i="32"/>
  <c r="B76" i="32"/>
  <c r="B75" i="32"/>
  <c r="B74" i="32"/>
  <c r="B73" i="32"/>
  <c r="B72" i="32"/>
  <c r="B71" i="32"/>
  <c r="B68" i="32"/>
  <c r="B67" i="32"/>
  <c r="B63" i="32"/>
  <c r="B62" i="32"/>
  <c r="B61" i="32"/>
  <c r="B59" i="32"/>
  <c r="B58" i="32"/>
  <c r="B57" i="32"/>
  <c r="B56" i="32"/>
  <c r="B55" i="32"/>
  <c r="B54" i="32"/>
  <c r="B53" i="32"/>
  <c r="B51" i="32"/>
  <c r="B50" i="32"/>
  <c r="B49" i="32"/>
  <c r="B48" i="32"/>
  <c r="B47" i="32"/>
  <c r="B46" i="32"/>
  <c r="B45" i="32"/>
  <c r="B44" i="32"/>
  <c r="B43" i="32"/>
  <c r="B42" i="32"/>
  <c r="B41" i="32"/>
  <c r="B40" i="32"/>
  <c r="B39" i="32"/>
  <c r="B38" i="32"/>
  <c r="B37" i="32"/>
  <c r="B35" i="32"/>
  <c r="B32" i="32"/>
  <c r="B31" i="32"/>
  <c r="B29" i="32"/>
  <c r="B28" i="32"/>
  <c r="B26" i="32"/>
  <c r="B23" i="32"/>
  <c r="B21" i="32"/>
  <c r="B20" i="32"/>
  <c r="B19" i="32"/>
  <c r="B18" i="32"/>
  <c r="B16" i="32"/>
  <c r="B15" i="32"/>
  <c r="B14" i="32"/>
  <c r="B13" i="32"/>
  <c r="B11" i="32"/>
  <c r="B9" i="32"/>
  <c r="B8" i="32"/>
  <c r="B7" i="32"/>
  <c r="B5" i="32"/>
  <c r="C82" i="31"/>
  <c r="B82" i="31"/>
  <c r="C81" i="31"/>
  <c r="B81" i="31"/>
  <c r="C80" i="31"/>
  <c r="B80" i="31"/>
  <c r="C79" i="31"/>
  <c r="B79" i="31"/>
  <c r="C78" i="31"/>
  <c r="B78" i="31"/>
  <c r="C77" i="31"/>
  <c r="B77" i="31"/>
  <c r="C76" i="31"/>
  <c r="B76" i="31"/>
  <c r="C75" i="31"/>
  <c r="B75" i="31"/>
  <c r="C74" i="31"/>
  <c r="B74" i="31"/>
  <c r="C73" i="31"/>
  <c r="B73" i="31"/>
  <c r="C72" i="31"/>
  <c r="B72" i="31"/>
  <c r="C71" i="31"/>
  <c r="B71" i="31"/>
  <c r="C70" i="31"/>
  <c r="B70" i="31"/>
  <c r="C69" i="31"/>
  <c r="B69" i="31"/>
  <c r="C68" i="31"/>
  <c r="B68" i="31"/>
  <c r="C67" i="31"/>
  <c r="B67" i="31"/>
  <c r="C66" i="31"/>
  <c r="B66" i="31"/>
  <c r="C65" i="31"/>
  <c r="B65" i="31"/>
  <c r="C64" i="31"/>
  <c r="B64" i="31"/>
  <c r="C63" i="31"/>
  <c r="B63" i="31"/>
  <c r="C62" i="31"/>
  <c r="B62" i="31"/>
  <c r="C61" i="31"/>
  <c r="B61" i="31"/>
  <c r="C60" i="31"/>
  <c r="B60" i="31"/>
  <c r="C59" i="31"/>
  <c r="B59" i="31"/>
  <c r="C58" i="31"/>
  <c r="B58" i="31"/>
  <c r="C57" i="31"/>
  <c r="B57" i="31"/>
  <c r="C56" i="31"/>
  <c r="B56" i="31"/>
  <c r="C55" i="31"/>
  <c r="B55" i="31"/>
  <c r="C54" i="31"/>
  <c r="B54" i="31"/>
  <c r="C53" i="31"/>
  <c r="B53" i="31"/>
  <c r="C52" i="31"/>
  <c r="B52" i="31"/>
  <c r="C51" i="31"/>
  <c r="B51" i="31"/>
  <c r="C50" i="31"/>
  <c r="B50" i="31"/>
  <c r="C49" i="31"/>
  <c r="B49" i="31"/>
  <c r="C48" i="31"/>
  <c r="B48" i="31"/>
  <c r="C47" i="31"/>
  <c r="B47" i="31"/>
  <c r="C46" i="31"/>
  <c r="B46" i="31"/>
  <c r="C45" i="31"/>
  <c r="B45" i="31"/>
  <c r="C44" i="31"/>
  <c r="B44" i="31"/>
  <c r="C43" i="31"/>
  <c r="B43" i="31"/>
  <c r="C42" i="31"/>
  <c r="B42" i="31"/>
  <c r="C41" i="31"/>
  <c r="B41" i="31"/>
  <c r="C40" i="31"/>
  <c r="B40" i="31"/>
  <c r="C39" i="31"/>
  <c r="B39" i="31"/>
  <c r="C38" i="31"/>
  <c r="B38" i="31"/>
  <c r="C37" i="31"/>
  <c r="B37" i="31"/>
  <c r="C35" i="31"/>
  <c r="B35" i="31"/>
  <c r="C34" i="31"/>
  <c r="B34" i="31"/>
  <c r="C32" i="31"/>
  <c r="B32" i="31"/>
  <c r="C31" i="31"/>
  <c r="B31" i="31"/>
  <c r="C30" i="31"/>
  <c r="B30" i="31"/>
  <c r="C29" i="31"/>
  <c r="B29" i="31"/>
  <c r="C28" i="31"/>
  <c r="B28" i="31"/>
  <c r="C27" i="31"/>
  <c r="B27" i="31"/>
  <c r="C26" i="31"/>
  <c r="B26" i="31"/>
  <c r="C25" i="31"/>
  <c r="B25" i="31"/>
  <c r="C24" i="31"/>
  <c r="B24" i="31"/>
  <c r="C23" i="31"/>
  <c r="B23" i="31"/>
  <c r="C22" i="31"/>
  <c r="B22" i="31"/>
  <c r="C21" i="31"/>
  <c r="B21" i="31"/>
  <c r="C20" i="31"/>
  <c r="B20" i="31"/>
  <c r="C19" i="31"/>
  <c r="B19" i="31"/>
  <c r="C18" i="31"/>
  <c r="B18" i="31"/>
  <c r="C17" i="31"/>
  <c r="B17" i="31"/>
  <c r="C16" i="31"/>
  <c r="B16" i="31"/>
  <c r="C15" i="31"/>
  <c r="B15" i="31"/>
  <c r="C14" i="31"/>
  <c r="B14" i="31"/>
  <c r="C13" i="31"/>
  <c r="B13" i="31"/>
  <c r="C11" i="31"/>
  <c r="B11" i="31"/>
  <c r="C9" i="31"/>
  <c r="B9" i="31"/>
  <c r="C8" i="31"/>
  <c r="B8" i="31"/>
  <c r="C7" i="31"/>
  <c r="B7" i="31"/>
  <c r="C6" i="31"/>
  <c r="B6" i="31"/>
  <c r="C5" i="31"/>
  <c r="B5" i="31"/>
  <c r="E84" i="30"/>
  <c r="D84" i="30"/>
  <c r="B84" i="30"/>
  <c r="E83" i="30"/>
  <c r="D83" i="30"/>
  <c r="B83" i="30"/>
  <c r="E82" i="30"/>
  <c r="D82" i="30"/>
  <c r="B82" i="30"/>
  <c r="E81" i="30"/>
  <c r="D81" i="30"/>
  <c r="C81" i="30"/>
  <c r="E80" i="30"/>
  <c r="D80" i="30"/>
  <c r="C80" i="30"/>
  <c r="E79" i="30"/>
  <c r="D79" i="30"/>
  <c r="C79" i="30"/>
  <c r="E78" i="30"/>
  <c r="D78" i="30"/>
  <c r="C78" i="30"/>
  <c r="E77" i="30"/>
  <c r="D77" i="30"/>
  <c r="C77" i="30"/>
  <c r="E76" i="30"/>
  <c r="D76" i="30"/>
  <c r="C76" i="30"/>
  <c r="E75" i="30"/>
  <c r="D75" i="30"/>
  <c r="C75" i="30"/>
  <c r="E74" i="30"/>
  <c r="C74" i="30"/>
  <c r="E73" i="30"/>
  <c r="D73" i="30"/>
  <c r="C73" i="30"/>
  <c r="E72" i="30"/>
  <c r="C72" i="30"/>
  <c r="C71" i="30"/>
  <c r="E70" i="30"/>
  <c r="D70" i="30"/>
  <c r="C70" i="30"/>
  <c r="E69" i="30"/>
  <c r="D69" i="30"/>
  <c r="C69" i="30"/>
  <c r="C68" i="30"/>
  <c r="C67" i="30"/>
  <c r="C66" i="30"/>
  <c r="E65" i="30"/>
  <c r="D65" i="30"/>
  <c r="C65" i="30"/>
  <c r="E64" i="30"/>
  <c r="D64" i="30"/>
  <c r="C64" i="30"/>
  <c r="C63" i="30"/>
  <c r="E62" i="30"/>
  <c r="D62" i="30"/>
  <c r="C62" i="30"/>
  <c r="E61" i="30"/>
  <c r="D61" i="30"/>
  <c r="C61" i="30"/>
  <c r="E60" i="30"/>
  <c r="C60" i="30"/>
  <c r="E59" i="30"/>
  <c r="D59" i="30"/>
  <c r="C59" i="30"/>
  <c r="E58" i="30"/>
  <c r="D58" i="30"/>
  <c r="C58" i="30"/>
  <c r="E57" i="30"/>
  <c r="D57" i="30"/>
  <c r="C57" i="30"/>
  <c r="E56" i="30"/>
  <c r="D56" i="30"/>
  <c r="C56" i="30"/>
  <c r="E55" i="30"/>
  <c r="C55" i="30"/>
  <c r="E54" i="30"/>
  <c r="C54" i="30"/>
  <c r="E53" i="30"/>
  <c r="D53" i="30"/>
  <c r="C53" i="30"/>
  <c r="C52" i="30"/>
  <c r="E51" i="30"/>
  <c r="D51" i="30"/>
  <c r="C51" i="30"/>
  <c r="C50" i="30"/>
  <c r="E49" i="30"/>
  <c r="D49" i="30"/>
  <c r="C49" i="30"/>
  <c r="E48" i="30"/>
  <c r="D48" i="30"/>
  <c r="C48" i="30"/>
  <c r="E47" i="30"/>
  <c r="C47" i="30"/>
  <c r="E46" i="30"/>
  <c r="D46" i="30"/>
  <c r="C46" i="30"/>
  <c r="E45" i="30"/>
  <c r="C45" i="30"/>
  <c r="E44" i="30"/>
  <c r="D44" i="30"/>
  <c r="C44" i="30"/>
  <c r="E43" i="30"/>
  <c r="C43" i="30"/>
  <c r="E42" i="30"/>
  <c r="D42" i="30"/>
  <c r="C42" i="30"/>
  <c r="E41" i="30"/>
  <c r="D41" i="30"/>
  <c r="C41" i="30"/>
  <c r="C40" i="30"/>
  <c r="E39" i="30"/>
  <c r="C39" i="30"/>
  <c r="C38" i="30"/>
  <c r="E37" i="30"/>
  <c r="D37" i="30"/>
  <c r="C37" i="30"/>
  <c r="E36" i="30"/>
  <c r="D36" i="30"/>
  <c r="C36" i="30"/>
  <c r="E35" i="30"/>
  <c r="D35" i="30"/>
  <c r="C35" i="30"/>
  <c r="E34" i="30"/>
  <c r="C34" i="30"/>
  <c r="E33" i="30"/>
  <c r="D33" i="30"/>
  <c r="C33" i="30"/>
  <c r="E32" i="30"/>
  <c r="D32" i="30"/>
  <c r="C32" i="30"/>
  <c r="E31" i="30"/>
  <c r="D31" i="30"/>
  <c r="C31" i="30"/>
  <c r="C30" i="30"/>
  <c r="C29" i="30"/>
  <c r="C28" i="30"/>
  <c r="C27" i="30"/>
  <c r="E26" i="30"/>
  <c r="C26" i="30"/>
  <c r="C25" i="30"/>
  <c r="E24" i="30"/>
  <c r="C24" i="30"/>
  <c r="C23" i="30"/>
  <c r="E22" i="30"/>
  <c r="D22" i="30"/>
  <c r="C22" i="30"/>
  <c r="E21" i="30"/>
  <c r="D21" i="30"/>
  <c r="C21" i="30"/>
  <c r="E20" i="30"/>
  <c r="C20" i="30"/>
  <c r="C19" i="30"/>
  <c r="C18" i="30"/>
  <c r="E17" i="30"/>
  <c r="D17" i="30"/>
  <c r="C17" i="30"/>
  <c r="E16" i="30"/>
  <c r="D16" i="30"/>
  <c r="C16" i="30"/>
  <c r="E15" i="30"/>
  <c r="D15" i="30"/>
  <c r="C15" i="30"/>
  <c r="E14" i="30"/>
  <c r="C14" i="30"/>
  <c r="E13" i="30"/>
  <c r="D13" i="30"/>
  <c r="C13" i="30"/>
  <c r="E12" i="30"/>
  <c r="D12" i="30"/>
  <c r="C12" i="30"/>
  <c r="E11" i="30"/>
  <c r="D11" i="30"/>
  <c r="C11" i="30"/>
  <c r="E10" i="30"/>
  <c r="C10" i="30"/>
  <c r="E9" i="30"/>
  <c r="D9" i="30"/>
  <c r="C9" i="30"/>
  <c r="C8" i="30"/>
  <c r="E7" i="30"/>
  <c r="D7" i="30"/>
  <c r="C7" i="30"/>
  <c r="B81" i="2"/>
  <c r="B80" i="2"/>
  <c r="B79" i="2"/>
  <c r="B81" i="29"/>
  <c r="B80" i="29"/>
  <c r="B79" i="29"/>
  <c r="B78" i="29"/>
  <c r="B77" i="29"/>
  <c r="B76" i="29"/>
  <c r="B75" i="29"/>
  <c r="B74" i="29"/>
  <c r="B73" i="29"/>
  <c r="B72" i="29"/>
  <c r="B71" i="29"/>
  <c r="B70" i="29"/>
  <c r="B69" i="29"/>
  <c r="B68" i="29"/>
  <c r="B67" i="29"/>
  <c r="B66" i="29"/>
  <c r="B65" i="29"/>
  <c r="B64" i="29"/>
  <c r="B63" i="29"/>
  <c r="B62" i="29"/>
  <c r="B61" i="29"/>
  <c r="B60" i="29"/>
  <c r="B59" i="29"/>
  <c r="B58" i="29"/>
  <c r="B57" i="29"/>
  <c r="B55" i="29"/>
  <c r="B54" i="29"/>
  <c r="B53" i="29"/>
  <c r="B52" i="29"/>
  <c r="B51" i="29"/>
  <c r="B50" i="29"/>
  <c r="B49" i="29"/>
  <c r="B47" i="29"/>
  <c r="B46" i="29"/>
  <c r="B44" i="29"/>
  <c r="B43" i="29"/>
  <c r="B42" i="29"/>
  <c r="B41" i="29"/>
  <c r="B40" i="29"/>
  <c r="B39" i="29"/>
  <c r="B38" i="29"/>
  <c r="B37" i="29"/>
  <c r="B36" i="29"/>
  <c r="B35" i="29"/>
  <c r="B34" i="29"/>
  <c r="B33" i="29"/>
  <c r="B32" i="29"/>
  <c r="B31" i="29"/>
  <c r="B30" i="29"/>
  <c r="B29" i="29"/>
  <c r="B28" i="29"/>
  <c r="B26" i="29"/>
  <c r="B25" i="29"/>
  <c r="B24" i="29"/>
  <c r="B23" i="29"/>
  <c r="B22" i="29"/>
  <c r="B21" i="29"/>
  <c r="B20" i="29"/>
  <c r="B19" i="29"/>
  <c r="B17" i="29"/>
  <c r="B16" i="29"/>
  <c r="B15" i="29"/>
  <c r="B14" i="29"/>
  <c r="B13" i="29"/>
  <c r="B12" i="29"/>
  <c r="B11" i="29"/>
  <c r="B10" i="29"/>
  <c r="B9" i="29"/>
  <c r="B8" i="29"/>
  <c r="B7" i="29"/>
  <c r="B6" i="29"/>
  <c r="B5" i="29"/>
  <c r="B4" i="29"/>
  <c r="B82" i="23"/>
  <c r="B81" i="23"/>
  <c r="B80" i="23"/>
  <c r="B82" i="21"/>
  <c r="B81" i="21"/>
  <c r="B80" i="21"/>
  <c r="F82" i="16"/>
  <c r="B82" i="16"/>
  <c r="F81" i="16"/>
  <c r="B81" i="16"/>
  <c r="F80" i="16"/>
  <c r="B80" i="16"/>
  <c r="B82" i="19"/>
  <c r="B81" i="19"/>
  <c r="B80" i="19"/>
  <c r="B82" i="14"/>
  <c r="B81" i="14"/>
  <c r="B80" i="14"/>
  <c r="L82" i="28"/>
  <c r="L81" i="28"/>
  <c r="L80" i="28"/>
  <c r="T80" i="1"/>
  <c r="J81" i="1"/>
  <c r="I81" i="1"/>
  <c r="J80" i="1"/>
  <c r="I80" i="1"/>
  <c r="T79" i="1"/>
  <c r="J79" i="1"/>
  <c r="I79" i="1"/>
  <c r="T81" i="1"/>
  <c r="C82" i="27"/>
  <c r="C81" i="27"/>
  <c r="C80" i="27"/>
  <c r="Y81" i="27"/>
  <c r="Y82" i="27"/>
  <c r="B6" i="28"/>
  <c r="AF80" i="28"/>
  <c r="AF81" i="28"/>
  <c r="AF82" i="28"/>
  <c r="B65" i="28"/>
  <c r="B33" i="28"/>
  <c r="B17" i="28"/>
  <c r="B67" i="28"/>
  <c r="B61" i="28"/>
  <c r="B45" i="28"/>
  <c r="B29" i="28"/>
  <c r="T81" i="28"/>
  <c r="B11" i="28"/>
  <c r="B72" i="28"/>
  <c r="B68" i="28"/>
  <c r="B18" i="28"/>
  <c r="B74" i="28"/>
  <c r="B66" i="28"/>
  <c r="B58" i="28"/>
  <c r="B50" i="28"/>
  <c r="B25" i="28"/>
  <c r="B5" i="28"/>
  <c r="B71" i="28"/>
  <c r="B62" i="28"/>
  <c r="B54" i="28"/>
  <c r="B46" i="28"/>
  <c r="B26" i="28"/>
  <c r="B21" i="28"/>
  <c r="B78" i="28"/>
  <c r="B70" i="28"/>
  <c r="B53" i="28"/>
  <c r="B41" i="28"/>
  <c r="B37" i="28"/>
  <c r="B24" i="28"/>
  <c r="B20" i="28"/>
  <c r="B12" i="28"/>
  <c r="B38" i="28"/>
  <c r="B79" i="28"/>
  <c r="B75" i="28"/>
  <c r="B42" i="28"/>
  <c r="B30" i="28"/>
  <c r="B13" i="28"/>
  <c r="B76" i="28"/>
  <c r="B63" i="28"/>
  <c r="B59" i="28"/>
  <c r="B55" i="28"/>
  <c r="B47" i="28"/>
  <c r="B43" i="28"/>
  <c r="B39" i="28"/>
  <c r="B31" i="28"/>
  <c r="B22" i="28"/>
  <c r="B14" i="28"/>
  <c r="B9" i="28"/>
  <c r="B73" i="28"/>
  <c r="B69" i="28"/>
  <c r="B56" i="28"/>
  <c r="B48" i="28"/>
  <c r="B40" i="28"/>
  <c r="B32" i="28"/>
  <c r="B15" i="28"/>
  <c r="B10" i="28"/>
  <c r="B7" i="28"/>
  <c r="D81" i="28"/>
  <c r="AB80" i="28"/>
  <c r="B57" i="28"/>
  <c r="X80" i="28"/>
  <c r="X81" i="28"/>
  <c r="B27" i="28"/>
  <c r="P81" i="28"/>
  <c r="AB81" i="28"/>
  <c r="P80" i="28"/>
  <c r="B23" i="28"/>
  <c r="B28" i="28"/>
  <c r="B64" i="28"/>
  <c r="D80" i="28"/>
  <c r="D82" i="28"/>
  <c r="B35" i="28"/>
  <c r="B51" i="28"/>
  <c r="AB82" i="28"/>
  <c r="B8" i="28"/>
  <c r="B49" i="28"/>
  <c r="X82" i="28"/>
  <c r="B77" i="28"/>
  <c r="T82" i="28"/>
  <c r="T80" i="28"/>
  <c r="B34" i="28"/>
  <c r="H81" i="28"/>
  <c r="B44" i="28"/>
  <c r="B60" i="28"/>
  <c r="P82" i="28"/>
  <c r="B19" i="28"/>
  <c r="B36" i="28"/>
  <c r="B52" i="28"/>
  <c r="H82" i="28"/>
  <c r="H80" i="28"/>
  <c r="B16" i="28"/>
  <c r="B81" i="28"/>
  <c r="B82" i="28"/>
  <c r="B80" i="28"/>
  <c r="K81" i="27" l="1"/>
  <c r="K82" i="27"/>
  <c r="K80" i="27"/>
  <c r="B5" i="27"/>
  <c r="B80" i="27" l="1"/>
  <c r="B82" i="27"/>
  <c r="B81" i="27"/>
</calcChain>
</file>

<file path=xl/comments1.xml><?xml version="1.0" encoding="utf-8"?>
<comments xmlns="http://schemas.openxmlformats.org/spreadsheetml/2006/main">
  <authors>
    <author>Tim Shorten</author>
  </authors>
  <commentList>
    <comment ref="G3" authorId="0" shapeId="0">
      <text>
        <r>
          <rPr>
            <b/>
            <sz val="9"/>
            <color indexed="81"/>
            <rFont val="Tahoma"/>
            <family val="2"/>
          </rPr>
          <t>Tim Shorten:</t>
        </r>
        <r>
          <rPr>
            <sz val="9"/>
            <color indexed="81"/>
            <rFont val="Tahoma"/>
            <family val="2"/>
          </rPr>
          <t xml:space="preserve">
which source? NHA?</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 ref="F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comments2.xml><?xml version="1.0" encoding="utf-8"?>
<comments xmlns="http://schemas.openxmlformats.org/spreadsheetml/2006/main">
  <authors>
    <author>Tim Shorten</author>
  </authors>
  <commentList>
    <comment ref="B3" authorId="0" shapeId="0">
      <text>
        <r>
          <rPr>
            <b/>
            <sz val="9"/>
            <color indexed="81"/>
            <rFont val="Tahoma"/>
            <family val="2"/>
          </rPr>
          <t>Tim Shorten:</t>
        </r>
        <r>
          <rPr>
            <sz val="9"/>
            <color indexed="81"/>
            <rFont val="Tahoma"/>
            <family val="2"/>
          </rPr>
          <t xml:space="preserve">
source?</t>
        </r>
      </text>
    </comment>
  </commentList>
</comments>
</file>

<file path=xl/comments3.xml><?xml version="1.0" encoding="utf-8"?>
<comments xmlns="http://schemas.openxmlformats.org/spreadsheetml/2006/main">
  <authors>
    <author>Tim Shorten</author>
  </authors>
  <commentLis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List>
</comments>
</file>

<file path=xl/comments4.xml><?xml version="1.0" encoding="utf-8"?>
<comments xmlns="http://schemas.openxmlformats.org/spreadsheetml/2006/main">
  <authors>
    <author>Tim Shorten</author>
  </authors>
  <commentList>
    <comment ref="C3" authorId="0" shapeId="0">
      <text>
        <r>
          <rPr>
            <b/>
            <sz val="9"/>
            <color indexed="81"/>
            <rFont val="Tahoma"/>
            <family val="2"/>
          </rPr>
          <t>Tim Shorten:</t>
        </r>
        <r>
          <rPr>
            <sz val="9"/>
            <color indexed="81"/>
            <rFont val="Tahoma"/>
            <family val="2"/>
          </rPr>
          <t xml:space="preserve">
which source? NHA?</t>
        </r>
      </text>
    </comment>
    <comment ref="F3" authorId="0" shapeId="0">
      <text>
        <r>
          <rPr>
            <b/>
            <sz val="9"/>
            <color indexed="81"/>
            <rFont val="Tahoma"/>
            <family val="2"/>
          </rPr>
          <t>Tim Shorten:</t>
        </r>
        <r>
          <rPr>
            <sz val="9"/>
            <color indexed="81"/>
            <rFont val="Tahoma"/>
            <family val="2"/>
          </rPr>
          <t xml:space="preserve">
source?</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sharedStrings.xml><?xml version="1.0" encoding="utf-8"?>
<sst xmlns="http://schemas.openxmlformats.org/spreadsheetml/2006/main" count="7713" uniqueCount="824">
  <si>
    <t>Country</t>
  </si>
  <si>
    <t>1.1 Birth registration: at least 75% of births registered</t>
  </si>
  <si>
    <t>Yes/No</t>
  </si>
  <si>
    <t>Afghanistan</t>
  </si>
  <si>
    <t>Angola</t>
  </si>
  <si>
    <t>Azerbaijan</t>
  </si>
  <si>
    <t>Bangladesh</t>
  </si>
  <si>
    <t>Benin</t>
  </si>
  <si>
    <t>Bolivia (Plurinational State of)</t>
  </si>
  <si>
    <t>Botswana</t>
  </si>
  <si>
    <t>Brazil</t>
  </si>
  <si>
    <t>Burkina Faso</t>
  </si>
  <si>
    <t>Burundi</t>
  </si>
  <si>
    <t>Cambodia</t>
  </si>
  <si>
    <t>Cameroon</t>
  </si>
  <si>
    <t>Central African Republic</t>
  </si>
  <si>
    <t>Chad</t>
  </si>
  <si>
    <t>China</t>
  </si>
  <si>
    <t>Comoros</t>
  </si>
  <si>
    <t>Congo</t>
  </si>
  <si>
    <t>Côte d'Ivoire</t>
  </si>
  <si>
    <t>Democratic People's Republic of Korea</t>
  </si>
  <si>
    <t>Democratic Republic of the Congo</t>
  </si>
  <si>
    <t>Djibouti</t>
  </si>
  <si>
    <t>Egypt</t>
  </si>
  <si>
    <t>Equatorial Guinea</t>
  </si>
  <si>
    <t>Eritrea</t>
  </si>
  <si>
    <t>Ethiopia</t>
  </si>
  <si>
    <t>Gabon</t>
  </si>
  <si>
    <t>Gambia</t>
  </si>
  <si>
    <t>Ghana</t>
  </si>
  <si>
    <t>Guatemala</t>
  </si>
  <si>
    <t>Guinea</t>
  </si>
  <si>
    <t>Guinea-Bissau</t>
  </si>
  <si>
    <t>Haiti</t>
  </si>
  <si>
    <t>India</t>
  </si>
  <si>
    <t>Indonesia</t>
  </si>
  <si>
    <t>Iraq</t>
  </si>
  <si>
    <t>Kenya</t>
  </si>
  <si>
    <t>Kyrgyzstan</t>
  </si>
  <si>
    <t>Lao People's Democratic Republic</t>
  </si>
  <si>
    <t>Lesotho</t>
  </si>
  <si>
    <t>Liberia</t>
  </si>
  <si>
    <t>Madagascar</t>
  </si>
  <si>
    <t>Malawi</t>
  </si>
  <si>
    <t>Mali</t>
  </si>
  <si>
    <t>Mauritania</t>
  </si>
  <si>
    <t>Mexico</t>
  </si>
  <si>
    <t>Morocco</t>
  </si>
  <si>
    <t>Mozambique</t>
  </si>
  <si>
    <t>Myanmar</t>
  </si>
  <si>
    <t>Nepal</t>
  </si>
  <si>
    <t>Niger</t>
  </si>
  <si>
    <t>Nigeria</t>
  </si>
  <si>
    <t>Pakistan</t>
  </si>
  <si>
    <t>Papua New Guinea</t>
  </si>
  <si>
    <t>Peru</t>
  </si>
  <si>
    <t>Philippines</t>
  </si>
  <si>
    <t>Rwanda</t>
  </si>
  <si>
    <t>Sao Tome and Principe</t>
  </si>
  <si>
    <t>Senegal</t>
  </si>
  <si>
    <t>Sierra Leone</t>
  </si>
  <si>
    <t>Solomon Islands</t>
  </si>
  <si>
    <t>Somalia</t>
  </si>
  <si>
    <t>South Africa</t>
  </si>
  <si>
    <t>South Sudan</t>
  </si>
  <si>
    <t>Sudan</t>
  </si>
  <si>
    <t>Swaziland</t>
  </si>
  <si>
    <t>Tajikistan</t>
  </si>
  <si>
    <t>United Republic of Tanzania</t>
  </si>
  <si>
    <t>Togo</t>
  </si>
  <si>
    <t>Turkmenistan</t>
  </si>
  <si>
    <t>Uganda</t>
  </si>
  <si>
    <t>Uzbekistan</t>
  </si>
  <si>
    <t>Viet Nam</t>
  </si>
  <si>
    <t>Yemen</t>
  </si>
  <si>
    <t>Zambia</t>
  </si>
  <si>
    <t>Zimbabwe</t>
  </si>
  <si>
    <t>1.2 Death registration: at least 60% of deaths registered</t>
  </si>
  <si>
    <t>1.3 Maternal death reviews: at least 90% of maternal deaths notified and reviewed</t>
  </si>
  <si>
    <t>1.4 Maternal death is a notifiable event</t>
  </si>
  <si>
    <t>1.7 CRVS improvement plan approved by country government in place</t>
  </si>
  <si>
    <t>&gt;90</t>
  </si>
  <si>
    <t>UNSD</t>
  </si>
  <si>
    <t>MICS 2003/Childinfo</t>
  </si>
  <si>
    <t>MICS 2001/Childinfo</t>
  </si>
  <si>
    <t>DHS 2006/Childinfo</t>
  </si>
  <si>
    <t>MICS 2006/Childinfo</t>
  </si>
  <si>
    <t>Census 2001/Childinfo</t>
  </si>
  <si>
    <t>BFHS 2007/Childinfo</t>
  </si>
  <si>
    <t>IBGE 2008/Childinfo</t>
  </si>
  <si>
    <t>MICS 2005/Childinfo</t>
  </si>
  <si>
    <t>DHS 2010/Childinfo</t>
  </si>
  <si>
    <t>DHS 2004/Childinfo</t>
  </si>
  <si>
    <t>MICS 2000/Childinfo</t>
  </si>
  <si>
    <t>DHS 2005/Childinfo</t>
  </si>
  <si>
    <t>MICS 2009/Childinfo</t>
  </si>
  <si>
    <t>MICS 2010/Childinfo</t>
  </si>
  <si>
    <t>DHS 2000/Childinfo</t>
  </si>
  <si>
    <t>MICS 2005-06/Childinfo</t>
  </si>
  <si>
    <t>DHS 2008/Childinfo</t>
  </si>
  <si>
    <t>ENSMI 2008/09/Childinfo</t>
  </si>
  <si>
    <t>DHS 2005-06/Childinfo</t>
  </si>
  <si>
    <t>NFHS 2005-06/Childinfo</t>
  </si>
  <si>
    <t>DHS 2007/Childinfo</t>
  </si>
  <si>
    <t>DHS 2008-09/Childinfo</t>
  </si>
  <si>
    <t>DHS 2009/Childinfo</t>
  </si>
  <si>
    <t>MICS 2007/Childinfo</t>
  </si>
  <si>
    <t>Direction de la Statistique 2000/Childinfo</t>
  </si>
  <si>
    <t>MICS 2008/Childinfo</t>
  </si>
  <si>
    <t>MICS 2009-10/Childinfo</t>
  </si>
  <si>
    <t>DHS/MICS 2006/Childinfo</t>
  </si>
  <si>
    <t>DHS 2006-07/Childinfo</t>
  </si>
  <si>
    <t>Census 2007/Childinfo</t>
  </si>
  <si>
    <t>Recorded live births 2008/Childinfo</t>
  </si>
  <si>
    <t>MIMS 2009/Childinfo</t>
  </si>
  <si>
    <t>SHHS 2006/Childinfo</t>
  </si>
  <si>
    <t>Yes</t>
  </si>
  <si>
    <t>No</t>
  </si>
  <si>
    <t>Source 1</t>
  </si>
  <si>
    <t>Value 2</t>
  </si>
  <si>
    <t>Source 2</t>
  </si>
  <si>
    <t>Value 1</t>
  </si>
  <si>
    <t>Year 1</t>
  </si>
  <si>
    <t>Year 2</t>
  </si>
  <si>
    <t>2005-06</t>
  </si>
  <si>
    <t>2008-09</t>
  </si>
  <si>
    <t>2009-10</t>
  </si>
  <si>
    <t>2006-07</t>
  </si>
  <si>
    <t>&lt;25</t>
  </si>
  <si>
    <t>50-74</t>
  </si>
  <si>
    <t>75-89</t>
  </si>
  <si>
    <t>25-49</t>
  </si>
  <si>
    <t>90-100</t>
  </si>
  <si>
    <t>3.1 National eHealth strategy and plan is in place</t>
  </si>
  <si>
    <t>4.1 Total health expenditure per capita was tracked during the two preceding years, by financing source</t>
  </si>
  <si>
    <t>4.3 RMNCH expenditure per capita is tracked during the two prededing years, by financing source</t>
  </si>
  <si>
    <t>8.1 A health sector performance report for the preceding year is available in the public domain</t>
  </si>
  <si>
    <t>Met need for contraception</t>
  </si>
  <si>
    <t>Antenatal care coverage (ANC 4)</t>
  </si>
  <si>
    <t>Antiretroviral prophylaxis for PMTCT</t>
  </si>
  <si>
    <t>Skilled attendant at birth</t>
  </si>
  <si>
    <t>Postnatal care for mothers and babies</t>
  </si>
  <si>
    <t>Exclusive breastfeeding for six months</t>
  </si>
  <si>
    <t>Antibiotic treatment for pneumonia</t>
  </si>
  <si>
    <t>children under five who are stunted</t>
  </si>
  <si>
    <t>DTP-3</t>
  </si>
  <si>
    <t>2008-2009</t>
  </si>
  <si>
    <t>2010-2011</t>
  </si>
  <si>
    <t>National eHealth policy</t>
  </si>
  <si>
    <t>Policy implemented</t>
  </si>
  <si>
    <t>Partly</t>
  </si>
  <si>
    <t>eHealth country profiles 2010</t>
  </si>
  <si>
    <t>Don't know</t>
  </si>
  <si>
    <t>No data</t>
  </si>
  <si>
    <t>Policy and mechanisms in place to review all maternal deaths</t>
  </si>
  <si>
    <t>National panel to review maternal deaths in place</t>
  </si>
  <si>
    <t>Policy requires that all maternal deaths be reviewed</t>
  </si>
  <si>
    <t>Maternal deaths are captured by the national health information system</t>
  </si>
  <si>
    <t>Yes (very recent)</t>
  </si>
  <si>
    <t>No (in development)</t>
  </si>
  <si>
    <t/>
  </si>
  <si>
    <t>MNCAH questionnaire</t>
  </si>
  <si>
    <t>CAF</t>
  </si>
  <si>
    <t>2011/2012</t>
  </si>
  <si>
    <t>MNCH questionnaire and CAF</t>
  </si>
  <si>
    <t>No( all deaths registered but no definition of "maternal death")</t>
  </si>
  <si>
    <t>At least 90% of maternal deaths notified and reviewed</t>
  </si>
  <si>
    <t>2011/2012 MNCH questionnaire and CAF questions</t>
  </si>
  <si>
    <t>2010 MNCH questionnaire questions</t>
  </si>
  <si>
    <t>CRVS improvement plan approved by country government in place</t>
  </si>
  <si>
    <t>2.3 Data for the 3 impact indicators are available based on data collected in the proceeding 3 years, disaggregated by equity stratifiers</t>
  </si>
  <si>
    <t>Source 1 and 2</t>
  </si>
  <si>
    <t>Source1/2</t>
  </si>
  <si>
    <t>WHO Global Health Expenditure Database</t>
  </si>
  <si>
    <t>Health expenditure per capita in current US$ per capita 2009 and 2010</t>
  </si>
  <si>
    <t>WHO Global Expenditure Database</t>
  </si>
  <si>
    <t>RH</t>
  </si>
  <si>
    <t>RH, CH</t>
  </si>
  <si>
    <t>5.1 A country-led reporting system is in place for externally funded expenditure and predictable commitments
These include "compacts" or other similar mechanisms</t>
  </si>
  <si>
    <t>March</t>
  </si>
  <si>
    <t>Country planning cycle database</t>
  </si>
  <si>
    <t>IHP+ Country</t>
  </si>
  <si>
    <t>No but efforts are ongoing to introduce a SWAp</t>
  </si>
  <si>
    <t>Not specific</t>
  </si>
  <si>
    <t>N/A</t>
  </si>
  <si>
    <t>SWAp June 2011, Pooled till 2016</t>
  </si>
  <si>
    <t>Draft statement of intent between development partners and MOH developed</t>
  </si>
  <si>
    <t>SWAp</t>
  </si>
  <si>
    <t>TBC</t>
  </si>
  <si>
    <t>Final report to the Joint Annual Performance Review (JAPR) 2005</t>
  </si>
  <si>
    <t>JOINT PARTNERSHIP ARRANGEMENT
BETWEEN THE ROYAL GOVERNMENT OF CAMBODIA AND
THE SECOND HEALTH SECTOR SUPPORT PROGRAM (HSSP2) PARTNERS CONCERNING
COMMON ARRANGEMENTS FOR JOINT SUPPORT TO THE HEALTH STRATEGIC PLAN 2008-2015</t>
  </si>
  <si>
    <t>October</t>
  </si>
  <si>
    <t>May</t>
  </si>
  <si>
    <t>Adjunct country</t>
  </si>
  <si>
    <t>April/May</t>
  </si>
  <si>
    <t>Joint Ministry of Health and Development Partners’
Health Summit, Accra
AIDE MEMOIRE
16th - 20th November, 2009</t>
  </si>
  <si>
    <t>NHSSP II
Midterm Review
Report</t>
  </si>
  <si>
    <t>April and Sept/October</t>
  </si>
  <si>
    <t>Government of the
Republic of Malawi
MID YEAR
REPORT FOR THE
THE WORK OF THE HEALTH SECTOR
July -December 2006</t>
  </si>
  <si>
    <t>February</t>
  </si>
  <si>
    <t>NEPAL: HEALTH SECTOR PROGRAM
Sixth Joint Annual Review (JAR) / Mid-Term Review (MTR)
(December 3 – 10, 2007)
Draft Aide-Memoire</t>
  </si>
  <si>
    <t>Ongoing work to establish SWAp</t>
  </si>
  <si>
    <t>April</t>
  </si>
  <si>
    <t>MEMORANDUM OF UNDERSTANDING BETWEEN THE MINISTRY OF HEALTH AND
HEALTH SECTOR DEVELOPMENT PARTNER</t>
  </si>
  <si>
    <t>December</t>
  </si>
  <si>
    <t>Tanzania Joint Annual
Health Sector Review March 2004; Joint External Evaluation
of the Health Sector
in Tanzania, 1999-2006 August 2007</t>
  </si>
  <si>
    <t>June</t>
  </si>
  <si>
    <t>AIDE-MEMOIRE
THE 7nd NATIONAL HEALTH ASSEMBLY AND 15TH HEALTH
SECTOR JOINT REVIEW MISSION Nov 2009</t>
  </si>
  <si>
    <t>Statement of intent between development partners and MOH endorsed in March 2009</t>
  </si>
  <si>
    <t>Pooled funding and/or SWAp</t>
  </si>
  <si>
    <t>Date of compact</t>
  </si>
  <si>
    <t xml:space="preserve">TABLE RONDE DES BAILLEURS DE FONDS DU
PLAN NATIONAL DE DEVELOPPEMENT SANITAIRE 2001-2010 </t>
  </si>
  <si>
    <t>SWAp- draft</t>
  </si>
  <si>
    <t>STATEMENT OF INTENT FROM
MINISTRY OF HEALTH AND
DEVELOPMENT PARTNERS</t>
  </si>
  <si>
    <t>MEMORANDUM OF UNDERSTANDING
BETWEEN THE GOVERNMENT OF UGANDA AND The following Development Partners</t>
  </si>
  <si>
    <t>MEMORANDUM OF UNDERSTANDING (MOU) BETWEEN THE GOVERNMENT OF THE
REPUBLIC OF ZAMBIA /
MINISTRY OF HEALTH
AND COOPERATING PARTNERS</t>
  </si>
  <si>
    <t>MEMORANDUM D’ENTENTE SUR LA REFORME DU FINANCEMENT DE LA SANTE EN REPUBLIQUE DEMOCRATIQUE DU CONGO</t>
  </si>
  <si>
    <t>KENYA HEALTH SECTOR WIDE APPROACH CODE OF CONDUCT</t>
  </si>
  <si>
    <t>Support to develop SWAp</t>
  </si>
  <si>
    <t>IHP National 'Compact' between Ministry of Health and Population. Federal Democratic Republic of Nepal and External Development Partners</t>
  </si>
  <si>
    <t>Government of Sierra Leone Health Compact</t>
  </si>
  <si>
    <t>Compacto de Moçambique
Compromisso de Intenções</t>
  </si>
  <si>
    <t>COMPACT
Accroître les efforts et les ressources
pour la Santé
en vue de l’atteinte des OMD</t>
  </si>
  <si>
    <t>Compact between the Government of the Federal Democratic Republic of Ethiopia and the Development Partners on Scaling Up For Reaching the Health MDGs through the Health Sector Development Programme in the framework of the International Health Partnership</t>
  </si>
  <si>
    <t>CADRE PARTENARIAT</t>
  </si>
  <si>
    <t>Support to the development of health policy units to improve harmonization and alignment through further development of SWAp.</t>
  </si>
  <si>
    <t>Source</t>
  </si>
  <si>
    <t>Country cycle planning database</t>
  </si>
  <si>
    <t>Year</t>
  </si>
  <si>
    <t>Annual Health Sector
Performance Report</t>
  </si>
  <si>
    <t>Annual Performance Report of HSDP‐III EFY2001 (2008/2009)
The Joint Review Mission Report</t>
  </si>
  <si>
    <t>Jul-Dec 2006</t>
  </si>
  <si>
    <t>Joint Annual Review for 2007
Main Report</t>
  </si>
  <si>
    <t>JOINT ANNUAL HEALTH REVIEW: Human Resources for Health</t>
  </si>
  <si>
    <t>INDEPENDENT REVIEW
HEALTH SECTOR PROGRAMME OF WORK 2008 (DRAFT)</t>
  </si>
  <si>
    <t>From the country planning cycle database</t>
  </si>
  <si>
    <t>Health sector progress and performance report on web</t>
  </si>
  <si>
    <t>Annual Health Sector review cycle</t>
  </si>
  <si>
    <t>Aide memoire of annual review on web</t>
  </si>
  <si>
    <t>Compact or similar mechanism located on web</t>
  </si>
  <si>
    <t>Value 3</t>
  </si>
  <si>
    <t>Year 3</t>
  </si>
  <si>
    <t>Source 3</t>
  </si>
  <si>
    <t>A national eHealth strategy or policy has been developed, including the use of ICT for MNCH</t>
  </si>
  <si>
    <t>From CAF tool</t>
  </si>
  <si>
    <t>There is a compact or similar mechanism and adherence is good (accountability)</t>
  </si>
  <si>
    <t>There is a formal agreement between government and partners to report external commitments, external disbursements, and externally funded expenditures on health (monitoring of resources)</t>
  </si>
  <si>
    <t>"Compact" or other similar mechanism present, but not all major partners are committed</t>
  </si>
  <si>
    <t>Yes, compact is signed and data are reported by donors</t>
  </si>
  <si>
    <t>Yes, "Compact" or other similar mechanism with good adherence and commitment to make it work of all partners</t>
  </si>
  <si>
    <t>"Compact" or similar mechanism present, but only a few partners are committed</t>
  </si>
  <si>
    <t>Development of compact in progress</t>
  </si>
  <si>
    <t>Compact is signed</t>
  </si>
  <si>
    <t>No compact</t>
  </si>
  <si>
    <t>TOTAL YES COUNTRIES</t>
  </si>
  <si>
    <t>TOTAL NO COUNTRIES</t>
  </si>
  <si>
    <t>TOTAL NO DATA COUNTRIES</t>
  </si>
  <si>
    <t>Value 4</t>
  </si>
  <si>
    <t>Year 4</t>
  </si>
  <si>
    <t>Source 4</t>
  </si>
  <si>
    <t>Value 5</t>
  </si>
  <si>
    <t>Year 5</t>
  </si>
  <si>
    <t>Source 5</t>
  </si>
  <si>
    <t>Value 6</t>
  </si>
  <si>
    <t>Year 6</t>
  </si>
  <si>
    <t>Source 6</t>
  </si>
  <si>
    <t>Yes/No 1</t>
  </si>
  <si>
    <t>Yes/No 2</t>
  </si>
  <si>
    <t>Yes/No 3</t>
  </si>
  <si>
    <t>Yes/No 4</t>
  </si>
  <si>
    <t>Yes/No 5</t>
  </si>
  <si>
    <t>Yes/No 6</t>
  </si>
  <si>
    <t>Yes/No 7</t>
  </si>
  <si>
    <t>Value 7</t>
  </si>
  <si>
    <t>Year 7</t>
  </si>
  <si>
    <t>Source 7</t>
  </si>
  <si>
    <t>Yes/No 8</t>
  </si>
  <si>
    <t>Value 8</t>
  </si>
  <si>
    <t>Year 8</t>
  </si>
  <si>
    <t>Source 8</t>
  </si>
  <si>
    <t>2.2 Statistics for 8 coverage indicators are available for at least one of the two proceeding years, disaggregated by equity stratifiers</t>
  </si>
  <si>
    <t>Yes/No1</t>
  </si>
  <si>
    <t>Target 2015_1</t>
  </si>
  <si>
    <t>Target 2015_2</t>
  </si>
  <si>
    <t>Disaggregations 2</t>
  </si>
  <si>
    <t>Disaggregations 1</t>
  </si>
  <si>
    <t>Disaggregations 3</t>
  </si>
  <si>
    <t>HMN HIS Assessment Completed</t>
  </si>
  <si>
    <t xml:space="preserve"> HIS Strategic Plan Completed</t>
  </si>
  <si>
    <t>CVRS Rapid Assessment Completed</t>
  </si>
  <si>
    <t>CRVS Comprehensive Assessment Completed</t>
  </si>
  <si>
    <t xml:space="preserve">  CRVS Assessment Requested</t>
  </si>
  <si>
    <t>CRVS Improvement Plan Completed</t>
  </si>
  <si>
    <t>Accountability Framework Assessment completed or planned for 2012</t>
  </si>
  <si>
    <t xml:space="preserve">HMN MoVE-IT Project Country </t>
  </si>
  <si>
    <t>Partially</t>
  </si>
  <si>
    <t>DATA FROM HMN</t>
  </si>
  <si>
    <t>TOTAL NO DATA</t>
  </si>
  <si>
    <t>TOTAL NOT ALL DATA POINTS</t>
  </si>
  <si>
    <t>Yes, compact with some partners</t>
  </si>
  <si>
    <t>Yes there is a compact and most development partners are committed to it</t>
  </si>
  <si>
    <t>No formal agreement, but mechanism through the IAC</t>
  </si>
  <si>
    <t>Yes, arrangement between donors and the govt within the SWAp</t>
  </si>
  <si>
    <t>Yes, through the SWAp process</t>
  </si>
  <si>
    <t>Formal agreeement exists but formal reporting is not submitted regularly to the MOH</t>
  </si>
  <si>
    <t>Share of donor funding to THE very small.  Formal agreements made with different govt departments, but not part of NHA.  Coordination with partners is good.</t>
  </si>
  <si>
    <t>Joint declaration on harmonization between govt and major donors</t>
  </si>
  <si>
    <t>From X drive</t>
  </si>
  <si>
    <t>X:\CHeSS\4-Country work M&amp;E\Benin\Annual Health Sector Reviews</t>
  </si>
  <si>
    <t>Aide memoire</t>
  </si>
  <si>
    <t>X:\CHeSS\3-Workshops\WORKSHOP_COIA TANZANIA\Key Documents\Country Reports and Plans\Ethiopia\Health Sector ReviewsDocuments</t>
  </si>
  <si>
    <t>X:\CHeSS\3-Workshops\WORKSHOP_COIA TANZANIA\Key Documents\Country Reports and Plans\Kenya\Health Sector Reviews</t>
  </si>
  <si>
    <t>X:\CHeSS\3-Workshops\WORKSHOP_COIA TANZANIA\Key Documents\Country Reports and Plans\Uganda\Health Sector Reviews</t>
  </si>
  <si>
    <t>X:\CHeSS\3-Workshops\WORKSHOP_COIA TANZANIA\Key Documents\Country Reports and Plans\Zambia\Health Sector Reviews</t>
  </si>
  <si>
    <t>X:\CHeSS\3-Workshops\WORKSHOP_COIA TANZANIA\Key Documents\Country Reports and Plans\Ghana\Health Sector Reviews</t>
  </si>
  <si>
    <t>X:\CHeSS\3-Workshops\WORKSHOP_COIA TANZANIA\Key Documents\Country Reports and Plans\Rwanda\Health Sector Reviews</t>
  </si>
  <si>
    <t>X:\CHeSS\3-Workshops\WORKSHOP_COIA TANZANIA\Key Documents\Country Reports and Plans\Tanzania\Health Sector Reviews</t>
  </si>
  <si>
    <t>Maternal death is a notifiable event within 24 hours</t>
  </si>
  <si>
    <t>Policy and mechanisms are in place to review all maternal deaths</t>
  </si>
  <si>
    <t>CRVS assessment  conducted</t>
  </si>
  <si>
    <t>Joint performance review</t>
  </si>
  <si>
    <t>X:\CHeSS\4-Country work M&amp;E\Cambodia</t>
  </si>
  <si>
    <t>JOINT ANNUAL HEALTH REVIEW
2009
Human Resources for Health in Vietnam</t>
  </si>
  <si>
    <t>X:\CHeSS\4-Country work M&amp;E\Vietnam</t>
  </si>
  <si>
    <t>Yes but no explicit info for spending on RMNCH</t>
  </si>
  <si>
    <t>Yes, but it is a statistical report for 2011 mainly on coverage and outcome indicators</t>
  </si>
  <si>
    <t>X:\CHeSS\4-Country work M&amp;E\Lao</t>
  </si>
  <si>
    <t>X:\CHeSS\4-Country work M&amp;E\Nepal\Annual Health Sector Reviews</t>
  </si>
  <si>
    <t>X:\CHeSS\4-Country work M&amp;E\Indonesia</t>
  </si>
  <si>
    <t xml:space="preserve">Yes </t>
  </si>
  <si>
    <t>2007-2008</t>
  </si>
  <si>
    <t>X:\CHeSS\4-Country work M&amp;E\Lesotho\Annual Health Sector Reviews and strategy documents</t>
  </si>
  <si>
    <t>X:\CHeSS\4-Country work M&amp;E\Sierra Leone\Annual Health Sector Reviews\2010</t>
  </si>
  <si>
    <t>No- 2009</t>
  </si>
  <si>
    <t>No-2005</t>
  </si>
  <si>
    <t>No 2009</t>
  </si>
  <si>
    <t>No 2007</t>
  </si>
  <si>
    <t>No 2006</t>
  </si>
  <si>
    <t>Yes/No Aide memoire for meeting in the last year (2010 or later)</t>
  </si>
  <si>
    <t>Yes/No aide memoire on x drive (2010 or later)</t>
  </si>
  <si>
    <t>Source2</t>
  </si>
  <si>
    <t>Yes/No Report available 2010 or later</t>
  </si>
  <si>
    <t>Progress and performance report</t>
  </si>
  <si>
    <t>Year2</t>
  </si>
  <si>
    <t>7.1 The country has conducted a  annual health sector review in the last year</t>
  </si>
  <si>
    <t>NHA produced for 2003, 2008, 2009. 2011 in progress (RMNCH sub-accounts exist with gaps</t>
  </si>
  <si>
    <t>NHA produced for 2004, 2005, 2006, 2008 and 2009. No RMNCH sub-accounts</t>
  </si>
  <si>
    <t>NHA 2008 under progress as well as RMNCH sub-accounts</t>
  </si>
  <si>
    <t>NHA 2004 and 2008. NHA and RMNCH sub-accounts for 2010 under progress</t>
  </si>
  <si>
    <t>Comments</t>
  </si>
  <si>
    <t>Country has a JAR</t>
  </si>
  <si>
    <t>From Phyllida Travis WHO/HDS</t>
  </si>
  <si>
    <t>CAF tool
An assessment of the status and practices of CRVS has been conducted in the last five years</t>
  </si>
  <si>
    <t>CAF tool
There is a comprehensive costed national plan to strengthen CRVS</t>
  </si>
  <si>
    <t>Disaggreations</t>
  </si>
  <si>
    <t>Source/Year</t>
  </si>
  <si>
    <t>Maternal mortality ratio per 100,000 live births</t>
  </si>
  <si>
    <t>Underfive child mortality (per 1000 live births)</t>
  </si>
  <si>
    <t>Year 22</t>
  </si>
  <si>
    <t>Source 22</t>
  </si>
  <si>
    <t>Year1</t>
  </si>
  <si>
    <t>Source1</t>
  </si>
  <si>
    <t>Table 1: Indicator 1 Vital events</t>
  </si>
  <si>
    <t>Table 2: Indicator 2 Health indicators</t>
  </si>
  <si>
    <t>Table 3: Indicator 3 Innovation and eHealth</t>
  </si>
  <si>
    <t>Table 4: Indicator 4 Resource tracking</t>
  </si>
  <si>
    <t>Table 5: Indicator 5 Financial reporting system</t>
  </si>
  <si>
    <t>Table 7: Indicator 7 National oversight</t>
  </si>
  <si>
    <t>Table 8: Indicator 8 Transparency</t>
  </si>
  <si>
    <r>
      <t xml:space="preserve">National policy requires all maternal deaths to be notified </t>
    </r>
    <r>
      <rPr>
        <u/>
        <sz val="8"/>
        <color theme="0"/>
        <rFont val="Calibri"/>
        <family val="2"/>
        <scheme val="minor"/>
      </rPr>
      <t>and</t>
    </r>
    <r>
      <rPr>
        <sz val="8"/>
        <color theme="0"/>
        <rFont val="Calibri"/>
        <family val="2"/>
        <scheme val="minor"/>
      </rPr>
      <t xml:space="preserve"> within 24h</t>
    </r>
  </si>
  <si>
    <r>
      <t xml:space="preserve">National panel to review maternal deaths in place </t>
    </r>
    <r>
      <rPr>
        <u/>
        <sz val="8"/>
        <color theme="0"/>
        <rFont val="Calibri"/>
        <family val="2"/>
        <scheme val="minor"/>
      </rPr>
      <t>and</t>
    </r>
    <r>
      <rPr>
        <sz val="8"/>
        <color theme="0"/>
        <rFont val="Calibri"/>
        <family val="2"/>
        <scheme val="minor"/>
      </rPr>
      <t xml:space="preserve"> meeting regularly</t>
    </r>
  </si>
  <si>
    <t>Total Population ('000)</t>
  </si>
  <si>
    <t>Total Under 5 Population ('000)</t>
  </si>
  <si>
    <t>Adolescent birth rate (per 1000 girls)</t>
  </si>
  <si>
    <t>neonatal mortality rate</t>
  </si>
  <si>
    <t>Value 1.1 (1990)</t>
  </si>
  <si>
    <t>Value 1.2 (2000)</t>
  </si>
  <si>
    <t>Value 2.1 (1990)</t>
  </si>
  <si>
    <t>Value 2.2 (2000)</t>
  </si>
  <si>
    <t>Value 3.1 (1990)</t>
  </si>
  <si>
    <t>Value 3.2 (2000)</t>
  </si>
  <si>
    <t>Value 3.3 (2012)</t>
  </si>
  <si>
    <t>Value 4.1 (1990)</t>
  </si>
  <si>
    <t>Value 4.2 (2000)</t>
  </si>
  <si>
    <t>Density of doctors, nurses and MW per 10,000 population</t>
  </si>
  <si>
    <t>Laws/regulations that allow adolescents access to contraceptives</t>
  </si>
  <si>
    <t>Demand for family planning satisfied</t>
  </si>
  <si>
    <t>Bottom Q</t>
  </si>
  <si>
    <t>Top Q</t>
  </si>
  <si>
    <t>Bottom Q2</t>
  </si>
  <si>
    <t>Top Q3</t>
  </si>
  <si>
    <t>Bottom Q3</t>
  </si>
  <si>
    <t>Top Q4</t>
  </si>
  <si>
    <t>Bottom Q4</t>
  </si>
  <si>
    <t>Top Q5</t>
  </si>
  <si>
    <t>Bottom Q5</t>
  </si>
  <si>
    <t>Top Q6</t>
  </si>
  <si>
    <t>Bottom Q6</t>
  </si>
  <si>
    <t>Top Q7</t>
  </si>
  <si>
    <t>Bottom Q7</t>
  </si>
  <si>
    <t>Top Q8</t>
  </si>
  <si>
    <t>Bottom Q8</t>
  </si>
  <si>
    <t>Column1</t>
  </si>
  <si>
    <t>MDSR policy in place including notification within 24 hrs</t>
  </si>
  <si>
    <t>Tracked by financing source (Yes/No)</t>
  </si>
  <si>
    <t>Total annual RMNCH expenditure (US$)</t>
  </si>
  <si>
    <t>% of national health expenditure used for RMNCH</t>
  </si>
  <si>
    <t>health sector MA mechanism in place</t>
  </si>
  <si>
    <t>MA process in place</t>
  </si>
  <si>
    <t>2.1 Q1</t>
  </si>
  <si>
    <t>2.2 Q1</t>
  </si>
  <si>
    <t>2.2 Q5</t>
  </si>
  <si>
    <t>2.1 Q5</t>
  </si>
  <si>
    <t>2.3 Q1</t>
  </si>
  <si>
    <t>2.3 Q5</t>
  </si>
  <si>
    <t>Legal status of abortion (x of 5 circumstances) (SUM)</t>
  </si>
  <si>
    <t>National Average</t>
  </si>
  <si>
    <t>National Average2</t>
  </si>
  <si>
    <t>National Average3</t>
  </si>
  <si>
    <t>National Average4</t>
  </si>
  <si>
    <t>National Average5</t>
  </si>
  <si>
    <t>National Average6</t>
  </si>
  <si>
    <t>National Average7</t>
  </si>
  <si>
    <t>National Average8</t>
  </si>
  <si>
    <t>Top Q2</t>
  </si>
  <si>
    <t>4.1 Total health expenditure per capita tracked by financing source</t>
  </si>
  <si>
    <t>Total public sector health expenditure per capita</t>
  </si>
  <si>
    <t>Total RMNCH expenditure tracked by financing source</t>
  </si>
  <si>
    <t>World Health Statistics</t>
  </si>
  <si>
    <t xml:space="preserve">WHS </t>
  </si>
  <si>
    <t>2015- data from 2014</t>
  </si>
  <si>
    <t>2015 data from 2013</t>
  </si>
  <si>
    <t xml:space="preserve">WHS 2014 and Global Health workforce statistics http://who.int/hrh/statistics/hwfstats/en/ </t>
  </si>
  <si>
    <t>CD - HPS database. 2013</t>
  </si>
  <si>
    <t>CD - UNFPA Global Database. 2014</t>
  </si>
  <si>
    <t>WHS (from UN estimates)</t>
  </si>
  <si>
    <t>WHS - from IGME</t>
  </si>
  <si>
    <t>CD - database for equity</t>
  </si>
  <si>
    <t>CD - equity database</t>
  </si>
  <si>
    <t>CD equity database</t>
  </si>
  <si>
    <t>CD equity=database</t>
  </si>
  <si>
    <t>WHO COIA monitoring</t>
  </si>
  <si>
    <t>COIA monitoring (Cathy database)</t>
  </si>
  <si>
    <t>NHA database - to be requested by Ramesh</t>
  </si>
  <si>
    <t>To be requested from WHO/NHA</t>
  </si>
  <si>
    <t>Nurses and midwives? http://apps.who.int/gho/data/node.main.HWFGROUPS?lang=en</t>
  </si>
  <si>
    <t>???</t>
  </si>
  <si>
    <t>SEE COVERAGE &amp; QUINTILES SHEET</t>
  </si>
  <si>
    <t>http://apps.who.int/gho/data/node.main.POP107?lang=en</t>
  </si>
  <si>
    <t>http://apps.who.int/gho/data/node.main.CBDR107?lang=en</t>
  </si>
  <si>
    <t xml:space="preserve">UN population division (also in WHS) www.un.org/en/development/desa/population/publications/dataset/fertility/data/2013_updateMDG(5.4)_ABR.XLS      OR   </t>
  </si>
  <si>
    <t>Tessa Edjier</t>
  </si>
  <si>
    <t>Tessa</t>
  </si>
  <si>
    <t>Kathy</t>
  </si>
  <si>
    <t>30552</t>
  </si>
  <si>
    <t>21472</t>
  </si>
  <si>
    <t>9413</t>
  </si>
  <si>
    <t>156595</t>
  </si>
  <si>
    <t>10323</t>
  </si>
  <si>
    <t>10671</t>
  </si>
  <si>
    <t>2021</t>
  </si>
  <si>
    <t>200362</t>
  </si>
  <si>
    <t>16935</t>
  </si>
  <si>
    <t>10163</t>
  </si>
  <si>
    <t>15135</t>
  </si>
  <si>
    <t>22254</t>
  </si>
  <si>
    <t>4616</t>
  </si>
  <si>
    <t>12825</t>
  </si>
  <si>
    <t>1393337</t>
  </si>
  <si>
    <t>735</t>
  </si>
  <si>
    <t>4448</t>
  </si>
  <si>
    <t>20316</t>
  </si>
  <si>
    <t>24895</t>
  </si>
  <si>
    <t>67514</t>
  </si>
  <si>
    <t>873</t>
  </si>
  <si>
    <t>82056</t>
  </si>
  <si>
    <t>757</t>
  </si>
  <si>
    <t>6333</t>
  </si>
  <si>
    <t>94101</t>
  </si>
  <si>
    <t>1672</t>
  </si>
  <si>
    <t>1849</t>
  </si>
  <si>
    <t>25905</t>
  </si>
  <si>
    <t>15468</t>
  </si>
  <si>
    <t>11745</t>
  </si>
  <si>
    <t>1704</t>
  </si>
  <si>
    <t>10317</t>
  </si>
  <si>
    <t>330</t>
  </si>
  <si>
    <t>1252140</t>
  </si>
  <si>
    <t>249866</t>
  </si>
  <si>
    <t>33765</t>
  </si>
  <si>
    <t>44354</t>
  </si>
  <si>
    <t>5548</t>
  </si>
  <si>
    <t>6770</t>
  </si>
  <si>
    <t>2074</t>
  </si>
  <si>
    <t>4294</t>
  </si>
  <si>
    <t>530</t>
  </si>
  <si>
    <t>22925</t>
  </si>
  <si>
    <t>16363</t>
  </si>
  <si>
    <t>15302</t>
  </si>
  <si>
    <t>3890</t>
  </si>
  <si>
    <t>122332</t>
  </si>
  <si>
    <t>38</t>
  </si>
  <si>
    <t>33008</t>
  </si>
  <si>
    <t>25834</t>
  </si>
  <si>
    <t>53259</t>
  </si>
  <si>
    <t>27797</t>
  </si>
  <si>
    <t>17831</t>
  </si>
  <si>
    <t>173615</t>
  </si>
  <si>
    <t>182143</t>
  </si>
  <si>
    <t>7321</t>
  </si>
  <si>
    <t>30376</t>
  </si>
  <si>
    <t>98394</t>
  </si>
  <si>
    <t>11777</t>
  </si>
  <si>
    <t>190</t>
  </si>
  <si>
    <t>193</t>
  </si>
  <si>
    <t>14133</t>
  </si>
  <si>
    <t>6092</t>
  </si>
  <si>
    <t>561</t>
  </si>
  <si>
    <t>10496</t>
  </si>
  <si>
    <t>52776</t>
  </si>
  <si>
    <t>11296</t>
  </si>
  <si>
    <t>37964</t>
  </si>
  <si>
    <t>1250</t>
  </si>
  <si>
    <t>8208</t>
  </si>
  <si>
    <t>6817</t>
  </si>
  <si>
    <t>5240</t>
  </si>
  <si>
    <t>37579</t>
  </si>
  <si>
    <t>49253</t>
  </si>
  <si>
    <t>28934</t>
  </si>
  <si>
    <t>91680</t>
  </si>
  <si>
    <t>24407</t>
  </si>
  <si>
    <t>14539</t>
  </si>
  <si>
    <t>14150</t>
  </si>
  <si>
    <t>35.3</t>
  </si>
  <si>
    <t>44.8</t>
  </si>
  <si>
    <t>18.1</t>
  </si>
  <si>
    <t>20.3</t>
  </si>
  <si>
    <t>36.9</t>
  </si>
  <si>
    <t>26 25.9</t>
  </si>
  <si>
    <t>23.8</t>
  </si>
  <si>
    <t>15.1</t>
  </si>
  <si>
    <t>41.4</t>
  </si>
  <si>
    <t>45</t>
  </si>
  <si>
    <t>25.9</t>
  </si>
  <si>
    <t>37.7</t>
  </si>
  <si>
    <t>34.5</t>
  </si>
  <si>
    <t>46.4</t>
  </si>
  <si>
    <t>13.4</t>
  </si>
  <si>
    <t>35.9</t>
  </si>
  <si>
    <t>36.7</t>
  </si>
  <si>
    <t>14.4</t>
  </si>
  <si>
    <t>43.2</t>
  </si>
  <si>
    <t>27.8</t>
  </si>
  <si>
    <t>23.5</t>
  </si>
  <si>
    <t>35.8</t>
  </si>
  <si>
    <t>37.4</t>
  </si>
  <si>
    <t>33.5 33.6</t>
  </si>
  <si>
    <t>32.2</t>
  </si>
  <si>
    <t>43</t>
  </si>
  <si>
    <t>31.3</t>
  </si>
  <si>
    <t>31.4</t>
  </si>
  <si>
    <t>37.3</t>
  </si>
  <si>
    <t>37.9</t>
  </si>
  <si>
    <t>26</t>
  </si>
  <si>
    <t>20.7</t>
  </si>
  <si>
    <t>19.2</t>
  </si>
  <si>
    <t>31.5</t>
  </si>
  <si>
    <t>35.5</t>
  </si>
  <si>
    <t>27</t>
  </si>
  <si>
    <t>27.3</t>
  </si>
  <si>
    <t>27.6</t>
  </si>
  <si>
    <t>36</t>
  </si>
  <si>
    <t>34.9</t>
  </si>
  <si>
    <t>40.1</t>
  </si>
  <si>
    <t>47.4</t>
  </si>
  <si>
    <t>18.8</t>
  </si>
  <si>
    <t>22.6</t>
  </si>
  <si>
    <t>39.4</t>
  </si>
  <si>
    <t>17.4</t>
  </si>
  <si>
    <t>21.6</t>
  </si>
  <si>
    <t>49.8</t>
  </si>
  <si>
    <t>41.5</t>
  </si>
  <si>
    <t>25.7</t>
  </si>
  <si>
    <t>29.3</t>
  </si>
  <si>
    <t>20</t>
  </si>
  <si>
    <t>24.6</t>
  </si>
  <si>
    <t>34.7</t>
  </si>
  <si>
    <t>38.1</t>
  </si>
  <si>
    <t>37.1</t>
  </si>
  <si>
    <t>44.2</t>
  </si>
  <si>
    <t>21.1</t>
  </si>
  <si>
    <t>36.5</t>
  </si>
  <si>
    <t>33.9</t>
  </si>
  <si>
    <t>30.2</t>
  </si>
  <si>
    <t>33.1</t>
  </si>
  <si>
    <t>36.8</t>
  </si>
  <si>
    <t>21.5</t>
  </si>
  <si>
    <t>43.7</t>
  </si>
  <si>
    <t>39.7</t>
  </si>
  <si>
    <t>21.8</t>
  </si>
  <si>
    <t>15.9</t>
  </si>
  <si>
    <t>31.6</t>
  </si>
  <si>
    <t>Value 2.3 (2013)</t>
  </si>
  <si>
    <t>66</t>
  </si>
  <si>
    <t>Value 4.3 (2013)</t>
  </si>
  <si>
    <t>1200</t>
  </si>
  <si>
    <t>1100</t>
  </si>
  <si>
    <t>400</t>
  </si>
  <si>
    <t>1400</t>
  </si>
  <si>
    <t>460</t>
  </si>
  <si>
    <t>60</t>
  </si>
  <si>
    <t>57</t>
  </si>
  <si>
    <t>550</t>
  </si>
  <si>
    <t>340</t>
  </si>
  <si>
    <t>170</t>
  </si>
  <si>
    <t>600</t>
  </si>
  <si>
    <t>490</t>
  </si>
  <si>
    <t>510</t>
  </si>
  <si>
    <t>200</t>
  </si>
  <si>
    <t>360</t>
  </si>
  <si>
    <t>390</t>
  </si>
  <si>
    <t>120</t>
  </si>
  <si>
    <t>85</t>
  </si>
  <si>
    <t>69</t>
  </si>
  <si>
    <t>770</t>
  </si>
  <si>
    <t>580</t>
  </si>
  <si>
    <t>1300</t>
  </si>
  <si>
    <t>1000</t>
  </si>
  <si>
    <t>740</t>
  </si>
  <si>
    <t>540</t>
  </si>
  <si>
    <t>720</t>
  </si>
  <si>
    <t>590</t>
  </si>
  <si>
    <t>880</t>
  </si>
  <si>
    <t>1700</t>
  </si>
  <si>
    <t>1500</t>
  </si>
  <si>
    <t>980</t>
  </si>
  <si>
    <t>97</t>
  </si>
  <si>
    <t>63</t>
  </si>
  <si>
    <t>32</t>
  </si>
  <si>
    <t>630</t>
  </si>
  <si>
    <t>480</t>
  </si>
  <si>
    <t>350</t>
  </si>
  <si>
    <t>670</t>
  </si>
  <si>
    <t>610</t>
  </si>
  <si>
    <t>410</t>
  </si>
  <si>
    <t>87</t>
  </si>
  <si>
    <t>730</t>
  </si>
  <si>
    <t>230</t>
  </si>
  <si>
    <t>75</t>
  </si>
  <si>
    <t>1600</t>
  </si>
  <si>
    <t>790</t>
  </si>
  <si>
    <t>290</t>
  </si>
  <si>
    <t>380</t>
  </si>
  <si>
    <t>990</t>
  </si>
  <si>
    <t>420</t>
  </si>
  <si>
    <t>240</t>
  </si>
  <si>
    <t>710</t>
  </si>
  <si>
    <t>430</t>
  </si>
  <si>
    <t>760</t>
  </si>
  <si>
    <t>570</t>
  </si>
  <si>
    <t>270</t>
  </si>
  <si>
    <t>160</t>
  </si>
  <si>
    <t>140</t>
  </si>
  <si>
    <t>950</t>
  </si>
  <si>
    <t>650</t>
  </si>
  <si>
    <t>930</t>
  </si>
  <si>
    <t>840</t>
  </si>
  <si>
    <t>560</t>
  </si>
  <si>
    <t>370</t>
  </si>
  <si>
    <t>310</t>
  </si>
  <si>
    <t>110</t>
  </si>
  <si>
    <t>71</t>
  </si>
  <si>
    <t>67</t>
  </si>
  <si>
    <t>100</t>
  </si>
  <si>
    <t>220</t>
  </si>
  <si>
    <t>680</t>
  </si>
  <si>
    <t>640</t>
  </si>
  <si>
    <t>440</t>
  </si>
  <si>
    <t>750</t>
  </si>
  <si>
    <t>860</t>
  </si>
  <si>
    <t>320</t>
  </si>
  <si>
    <t>88</t>
  </si>
  <si>
    <t>49</t>
  </si>
  <si>
    <t>870</t>
  </si>
  <si>
    <t>850</t>
  </si>
  <si>
    <t>280</t>
  </si>
  <si>
    <t>470</t>
  </si>
  <si>
    <t>250</t>
  </si>
  <si>
    <t>89</t>
  </si>
  <si>
    <t>300</t>
  </si>
  <si>
    <t>210</t>
  </si>
  <si>
    <t>2300</t>
  </si>
  <si>
    <t>2200</t>
  </si>
  <si>
    <t>130</t>
  </si>
  <si>
    <t>150</t>
  </si>
  <si>
    <t>1800</t>
  </si>
  <si>
    <t>520</t>
  </si>
  <si>
    <t>68</t>
  </si>
  <si>
    <t>44</t>
  </si>
  <si>
    <t>660</t>
  </si>
  <si>
    <t>450</t>
  </si>
  <si>
    <t>81</t>
  </si>
  <si>
    <t>61</t>
  </si>
  <si>
    <t>780</t>
  </si>
  <si>
    <t>910</t>
  </si>
  <si>
    <t>48</t>
  </si>
  <si>
    <t>82</t>
  </si>
  <si>
    <t>Value 1.3 (2013)</t>
  </si>
  <si>
    <t>24.2</t>
  </si>
  <si>
    <t>23.3</t>
  </si>
  <si>
    <t>19.1</t>
  </si>
  <si>
    <t>45.5</t>
  </si>
  <si>
    <t>42.8</t>
  </si>
  <si>
    <t>28.8</t>
  </si>
  <si>
    <t>2011</t>
  </si>
  <si>
    <t>2009</t>
  </si>
  <si>
    <t>2012</t>
  </si>
  <si>
    <t>2008</t>
  </si>
  <si>
    <t>2010</t>
  </si>
  <si>
    <t>2006</t>
  </si>
  <si>
    <t>2013</t>
  </si>
  <si>
    <t>2007</t>
  </si>
  <si>
    <t>2001</t>
  </si>
  <si>
    <t>2004</t>
  </si>
  <si>
    <t>2005</t>
  </si>
  <si>
    <t>2003</t>
  </si>
  <si>
    <t>9.9</t>
  </si>
  <si>
    <t>131.9</t>
  </si>
  <si>
    <t>130.2</t>
  </si>
  <si>
    <t>218.6</t>
  </si>
  <si>
    <t>491.3</t>
  </si>
  <si>
    <t>514.6</t>
  </si>
  <si>
    <t>49.0</t>
  </si>
  <si>
    <t>26.5</t>
  </si>
  <si>
    <t>33.4</t>
  </si>
  <si>
    <t>40.3</t>
  </si>
  <si>
    <t>16.0</t>
  </si>
  <si>
    <t>13.1</t>
  </si>
  <si>
    <t>268.6</t>
  </si>
  <si>
    <t>31.2</t>
  </si>
  <si>
    <t>103.5</t>
  </si>
  <si>
    <t>39.6</t>
  </si>
  <si>
    <t>12.1</t>
  </si>
  <si>
    <t>138.2</t>
  </si>
  <si>
    <t>126.1</t>
  </si>
  <si>
    <t>777.1</t>
  </si>
  <si>
    <t>7.8</t>
  </si>
  <si>
    <t>285.9</t>
  </si>
  <si>
    <t>64.5</t>
  </si>
  <si>
    <t>60.5</t>
  </si>
  <si>
    <t>123.2</t>
  </si>
  <si>
    <t>18.9</t>
  </si>
  <si>
    <t>14.9</t>
  </si>
  <si>
    <t>51.9</t>
  </si>
  <si>
    <t>59.5</t>
  </si>
  <si>
    <t>79.8</t>
  </si>
  <si>
    <t>31.8</t>
  </si>
  <si>
    <t>105.2</t>
  </si>
  <si>
    <t>178.3</t>
  </si>
  <si>
    <t>30.3</t>
  </si>
  <si>
    <t>63.2</t>
  </si>
  <si>
    <t>77.8</t>
  </si>
  <si>
    <t>550.2</t>
  </si>
  <si>
    <t>114.0</t>
  </si>
  <si>
    <t>29.1</t>
  </si>
  <si>
    <t>5.9</t>
  </si>
  <si>
    <t>17.6</t>
  </si>
  <si>
    <t>50.3</t>
  </si>
  <si>
    <t>28.5</t>
  </si>
  <si>
    <t>125.2</t>
  </si>
  <si>
    <t>326.7</t>
  </si>
  <si>
    <t>76.4</t>
  </si>
  <si>
    <t>82.7</t>
  </si>
  <si>
    <t>45.7</t>
  </si>
  <si>
    <t>53.9</t>
  </si>
  <si>
    <t>34.0</t>
  </si>
  <si>
    <t>242.0</t>
  </si>
  <si>
    <t>7.7</t>
  </si>
  <si>
    <t>470.5</t>
  </si>
  <si>
    <t>12.7</t>
  </si>
  <si>
    <t>331.7</t>
  </si>
  <si>
    <t>38.3</t>
  </si>
  <si>
    <t>38.4</t>
  </si>
  <si>
    <t>132.4</t>
  </si>
  <si>
    <t>117.3</t>
  </si>
  <si>
    <t>99.4</t>
  </si>
  <si>
    <t>32.3</t>
  </si>
  <si>
    <t>71.8</t>
  </si>
  <si>
    <t>Data linked to demographic RH &amp;HS data sheet</t>
  </si>
  <si>
    <t>15-19</t>
  </si>
  <si>
    <t>NO DATA</t>
  </si>
  <si>
    <t>0.266</t>
  </si>
  <si>
    <t>1998</t>
  </si>
  <si>
    <t>Birth Rate (per 1000 population)</t>
  </si>
  <si>
    <t>Overall- 8 indicators from 2013 -2015</t>
  </si>
  <si>
    <t>From WHO</t>
  </si>
  <si>
    <t>Year3</t>
  </si>
  <si>
    <t>n/a</t>
  </si>
  <si>
    <t>MMR</t>
  </si>
  <si>
    <t>U5MR</t>
  </si>
  <si>
    <t>year</t>
  </si>
  <si>
    <t>year2</t>
  </si>
  <si>
    <t>year3</t>
  </si>
  <si>
    <t>Source 2 - COIA Monitoring - need to get from Cathy O'Neil</t>
  </si>
  <si>
    <t>Source 1 - COIA Monitoring</t>
  </si>
  <si>
    <t>Source 2 WHO/Cathy o'Neil</t>
  </si>
  <si>
    <t>CRVS Improvement Plan Completed - ???</t>
  </si>
  <si>
    <t xml:space="preserve">No  </t>
  </si>
  <si>
    <t>IHP+Results</t>
  </si>
  <si>
    <t>Source1 http://www.nationalplanningcycles.org/planning-cycle/ETH</t>
  </si>
  <si>
    <t>NO</t>
  </si>
  <si>
    <t>X</t>
  </si>
  <si>
    <t>-</t>
  </si>
  <si>
    <t>..</t>
  </si>
  <si>
    <t>To save a woman's life          (1)</t>
  </si>
  <si>
    <t>To preserve a woman's physical health           (2)</t>
  </si>
  <si>
    <t>To preserve a woman's mental health       (3)</t>
  </si>
  <si>
    <t>For economic or social reasons    (6)</t>
  </si>
  <si>
    <t>On request  (7)</t>
  </si>
  <si>
    <t>YES</t>
  </si>
  <si>
    <t>PARTIAL</t>
  </si>
  <si>
    <t>CRVS (assessment completed, plan developed and in progress)[i]</t>
  </si>
  <si>
    <t xml:space="preserve">COIA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</si>
</sst>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mmm\ yyyy"/>
    <numFmt numFmtId="165" formatCode="0.0"/>
  </numFmts>
  <fonts count="31" x14ac:knownFonts="1">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9"/>
      <color theme="1"/>
      <name val="Calibri"/>
      <family val="2"/>
      <scheme val="minor"/>
    </font>
    <font>
      <b/>
      <sz val="9"/>
      <color indexed="8"/>
      <name val="Calibri"/>
      <family val="2"/>
    </font>
    <font>
      <sz val="9"/>
      <color theme="0"/>
      <name val="Calibri"/>
      <family val="2"/>
      <scheme val="minor"/>
    </font>
    <font>
      <sz val="8"/>
      <color theme="1"/>
      <name val="Calibri"/>
      <family val="2"/>
      <scheme val="minor"/>
    </font>
    <font>
      <b/>
      <sz val="8"/>
      <color theme="0"/>
      <name val="Calibri"/>
      <family val="2"/>
    </font>
    <font>
      <sz val="8"/>
      <color theme="0"/>
      <name val="Calibri"/>
      <family val="2"/>
      <scheme val="minor"/>
    </font>
    <font>
      <sz val="9"/>
      <color theme="0"/>
      <name val="Calibri"/>
      <family val="2"/>
    </font>
    <font>
      <sz val="8"/>
      <color theme="0"/>
      <name val="Calibri"/>
      <family val="2"/>
    </font>
    <font>
      <u/>
      <sz val="8"/>
      <color theme="0"/>
      <name val="Calibri"/>
      <family val="2"/>
      <scheme val="minor"/>
    </font>
    <font>
      <b/>
      <sz val="8"/>
      <color theme="1"/>
      <name val="Calibri"/>
      <family val="2"/>
      <scheme val="minor"/>
    </font>
    <font>
      <b/>
      <sz val="9"/>
      <color theme="0"/>
      <name val="Calibri"/>
      <family val="2"/>
      <scheme val="minor"/>
    </font>
    <font>
      <b/>
      <sz val="8"/>
      <color theme="0"/>
      <name val="Calibri"/>
      <family val="2"/>
      <scheme val="minor"/>
    </font>
    <font>
      <sz val="9"/>
      <color indexed="81"/>
      <name val="Tahoma"/>
      <family val="2"/>
    </font>
    <font>
      <b/>
      <sz val="9"/>
      <color indexed="81"/>
      <name val="Tahoma"/>
      <family val="2"/>
    </font>
    <font>
      <b/>
      <sz val="9"/>
      <color theme="0"/>
      <name val="Calibri"/>
      <family val="2"/>
    </font>
    <font>
      <u/>
      <sz val="11"/>
      <color theme="10"/>
      <name val="Calibri"/>
      <family val="2"/>
      <scheme val="minor"/>
    </font>
    <font>
      <b/>
      <sz val="11"/>
      <name val="Arial"/>
      <family val="2"/>
    </font>
    <font>
      <b/>
      <sz val="10"/>
      <name val="Arial"/>
      <family val="2"/>
    </font>
    <font>
      <sz val="11"/>
      <color theme="1"/>
      <name val="Calibri"/>
      <family val="2"/>
      <scheme val="minor"/>
    </font>
    <font>
      <sz val="11"/>
      <name val="Calibri"/>
      <family val="2"/>
    </font>
    <font>
      <sz val="6.5"/>
      <color theme="1"/>
      <name val="Times New Roman"/>
      <family val="1"/>
    </font>
    <font>
      <sz val="11"/>
      <name val="Calibri"/>
      <family val="2"/>
      <scheme val="minor"/>
    </font>
    <font>
      <sz val="11"/>
      <color rgb="FF9C0006"/>
      <name val="Calibri"/>
      <family val="2"/>
      <scheme val="minor"/>
    </font>
    <font>
      <sz val="9"/>
      <name val="Calibri"/>
      <family val="2"/>
      <scheme val="minor"/>
    </font>
    <font>
      <sz val="7"/>
      <color theme="1"/>
      <name val="Calibri"/>
      <family val="2"/>
      <scheme val="minor"/>
    </font>
    <font>
      <sz val="11"/>
      <color rgb="FF000000"/>
      <name val="Calibri"/>
      <family val="2"/>
    </font>
    <font>
      <sz val="8"/>
      <color theme="1"/>
      <name val="Arial Unicode MS"/>
      <family val="2"/>
    </font>
  </fonts>
  <fills count="20">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rgb="FF4F81BD"/>
        <bgColor indexed="64"/>
      </patternFill>
    </fill>
    <fill>
      <patternFill patternType="solid">
        <fgColor rgb="FFC6D9F1"/>
        <bgColor indexed="64"/>
      </patternFill>
    </fill>
    <fill>
      <patternFill patternType="solid">
        <fgColor rgb="FF1F497D"/>
        <bgColor indexed="64"/>
      </patternFill>
    </fill>
    <fill>
      <patternFill patternType="solid">
        <fgColor theme="4"/>
        <bgColor indexed="64"/>
      </patternFill>
    </fill>
    <fill>
      <patternFill patternType="solid">
        <fgColor theme="3"/>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7CE"/>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2E74B5"/>
        <bgColor indexed="64"/>
      </patternFill>
    </fill>
    <fill>
      <patternFill patternType="solid">
        <fgColor rgb="FF8496B0"/>
        <bgColor indexed="64"/>
      </patternFill>
    </fill>
    <fill>
      <patternFill patternType="solid">
        <fgColor rgb="FFD5DCE4"/>
        <bgColor indexed="64"/>
      </patternFill>
    </fill>
  </fills>
  <borders count="3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top style="thin">
        <color theme="0" tint="-0.24994659260841701"/>
      </top>
      <bottom style="thin">
        <color theme="0" tint="-0.24994659260841701"/>
      </bottom>
      <diagonal/>
    </border>
    <border>
      <left style="thin">
        <color indexed="64"/>
      </left>
      <right/>
      <top style="thin">
        <color theme="0"/>
      </top>
      <bottom style="thin">
        <color indexed="64"/>
      </bottom>
      <diagonal/>
    </border>
    <border>
      <left style="thin">
        <color indexed="64"/>
      </left>
      <right style="thin">
        <color theme="0"/>
      </right>
      <top style="thin">
        <color theme="0" tint="-4.9989318521683403E-2"/>
      </top>
      <bottom style="thin">
        <color indexed="64"/>
      </bottom>
      <diagonal/>
    </border>
    <border>
      <left style="thin">
        <color theme="0"/>
      </left>
      <right style="thin">
        <color theme="0"/>
      </right>
      <top style="thin">
        <color theme="0"/>
      </top>
      <bottom/>
      <diagonal/>
    </border>
    <border>
      <left/>
      <right/>
      <top style="thin">
        <color theme="0"/>
      </top>
      <bottom/>
      <diagonal/>
    </border>
    <border>
      <left style="thin">
        <color theme="0"/>
      </left>
      <right/>
      <top style="thin">
        <color theme="0"/>
      </top>
      <bottom/>
      <diagonal/>
    </border>
    <border>
      <left style="thin">
        <color indexed="64"/>
      </left>
      <right style="thin">
        <color indexed="64"/>
      </right>
      <top style="thin">
        <color theme="0" tint="-4.9989318521683403E-2"/>
      </top>
      <bottom style="thin">
        <color indexed="64"/>
      </bottom>
      <diagonal/>
    </border>
    <border>
      <left style="thin">
        <color theme="0" tint="-0.24994659260841701"/>
      </left>
      <right style="thin">
        <color theme="0" tint="-0.24994659260841701"/>
      </right>
      <top style="thin">
        <color theme="0" tint="-4.9989318521683403E-2"/>
      </top>
      <bottom style="thin">
        <color theme="0" tint="-0.24994659260841701"/>
      </bottom>
      <diagonal/>
    </border>
    <border>
      <left style="thin">
        <color theme="0"/>
      </left>
      <right style="thin">
        <color indexed="64"/>
      </right>
      <top style="thin">
        <color theme="0"/>
      </top>
      <bottom/>
      <diagonal/>
    </border>
    <border>
      <left/>
      <right style="thin">
        <color auto="1"/>
      </right>
      <top/>
      <bottom style="thin">
        <color auto="1"/>
      </bottom>
      <diagonal/>
    </border>
    <border>
      <left/>
      <right style="medium">
        <color auto="1"/>
      </right>
      <top/>
      <bottom style="medium">
        <color auto="1"/>
      </bottom>
      <diagonal/>
    </border>
    <border>
      <left style="thin">
        <color theme="0" tint="-0.24994659260841701"/>
      </left>
      <right style="thin">
        <color theme="0" tint="-0.24994659260841701"/>
      </right>
      <top/>
      <bottom/>
      <diagonal/>
    </border>
    <border>
      <left/>
      <right style="thin">
        <color auto="1"/>
      </right>
      <top/>
      <bottom style="thin">
        <color auto="1"/>
      </bottom>
      <diagonal/>
    </border>
  </borders>
  <cellStyleXfs count="14">
    <xf numFmtId="0" fontId="0" fillId="0" borderId="0"/>
    <xf numFmtId="0" fontId="1" fillId="0" borderId="0"/>
    <xf numFmtId="0" fontId="1" fillId="0" borderId="0"/>
    <xf numFmtId="0" fontId="19" fillId="0" borderId="0" applyNumberFormat="0" applyFill="0" applyBorder="0" applyAlignment="0" applyProtection="0"/>
    <xf numFmtId="0" fontId="1" fillId="0" borderId="29">
      <alignment vertical="top"/>
    </xf>
    <xf numFmtId="0" fontId="20" fillId="0" borderId="30">
      <alignment vertical="top" wrapText="1"/>
    </xf>
    <xf numFmtId="0" fontId="23" fillId="0" borderId="0"/>
    <xf numFmtId="0" fontId="23" fillId="0" borderId="0"/>
    <xf numFmtId="0" fontId="1" fillId="0" borderId="0"/>
    <xf numFmtId="0" fontId="22" fillId="0" borderId="0"/>
    <xf numFmtId="0" fontId="22" fillId="0" borderId="0"/>
    <xf numFmtId="0" fontId="23" fillId="0" borderId="0"/>
    <xf numFmtId="43" fontId="22" fillId="0" borderId="0" applyFont="0" applyFill="0" applyBorder="0" applyAlignment="0" applyProtection="0"/>
    <xf numFmtId="0" fontId="26" fillId="14" borderId="0" applyNumberFormat="0" applyBorder="0" applyAlignment="0" applyProtection="0"/>
  </cellStyleXfs>
  <cellXfs count="239">
    <xf numFmtId="0" fontId="0" fillId="0" borderId="0" xfId="0"/>
    <xf numFmtId="0" fontId="2" fillId="0" borderId="0" xfId="0" applyFont="1"/>
    <xf numFmtId="0" fontId="2" fillId="0" borderId="0" xfId="0" applyFont="1" applyAlignment="1">
      <alignment wrapText="1"/>
    </xf>
    <xf numFmtId="0" fontId="3" fillId="0" borderId="0" xfId="0" applyFont="1" applyAlignment="1">
      <alignment horizontal="center" vertical="center"/>
    </xf>
    <xf numFmtId="0" fontId="3" fillId="0" borderId="0" xfId="0" applyFont="1"/>
    <xf numFmtId="0" fontId="3" fillId="2" borderId="2" xfId="0" applyFont="1" applyFill="1" applyBorder="1" applyAlignment="1">
      <alignment horizontal="center" wrapText="1"/>
    </xf>
    <xf numFmtId="0" fontId="3" fillId="0" borderId="0" xfId="0" applyFont="1" applyAlignment="1">
      <alignment horizontal="left" vertical="center"/>
    </xf>
    <xf numFmtId="0" fontId="4" fillId="0" borderId="0" xfId="0" applyFont="1" applyAlignment="1">
      <alignment wrapText="1"/>
    </xf>
    <xf numFmtId="0" fontId="5" fillId="2" borderId="7" xfId="0" applyFont="1" applyFill="1" applyBorder="1" applyAlignment="1">
      <alignment vertical="top" wrapText="1"/>
    </xf>
    <xf numFmtId="0" fontId="3" fillId="0" borderId="0" xfId="0" applyFont="1" applyAlignment="1">
      <alignment horizontal="left" vertical="center"/>
    </xf>
    <xf numFmtId="0" fontId="7" fillId="0" borderId="1" xfId="0" applyFont="1" applyBorder="1"/>
    <xf numFmtId="0" fontId="8" fillId="4" borderId="7" xfId="0" applyFont="1" applyFill="1" applyBorder="1" applyAlignment="1">
      <alignment vertical="top" wrapText="1"/>
    </xf>
    <xf numFmtId="0" fontId="8" fillId="4" borderId="6" xfId="0" applyFont="1" applyFill="1" applyBorder="1" applyAlignment="1">
      <alignment vertical="top" wrapText="1"/>
    </xf>
    <xf numFmtId="0" fontId="8" fillId="4" borderId="8" xfId="0" applyFont="1" applyFill="1" applyBorder="1" applyAlignment="1">
      <alignment vertical="top" wrapText="1"/>
    </xf>
    <xf numFmtId="0" fontId="7" fillId="5" borderId="1" xfId="0" applyFont="1" applyFill="1" applyBorder="1" applyAlignment="1">
      <alignment horizontal="left"/>
    </xf>
    <xf numFmtId="0" fontId="7" fillId="0" borderId="1" xfId="0" applyFont="1" applyFill="1" applyBorder="1" applyAlignment="1">
      <alignment horizontal="left"/>
    </xf>
    <xf numFmtId="0" fontId="7" fillId="0" borderId="1" xfId="0" applyFont="1" applyFill="1" applyBorder="1" applyAlignment="1">
      <alignment horizontal="left" wrapText="1"/>
    </xf>
    <xf numFmtId="0" fontId="7" fillId="5" borderId="1" xfId="0" applyFont="1" applyFill="1" applyBorder="1" applyAlignment="1">
      <alignment horizontal="left" vertical="center"/>
    </xf>
    <xf numFmtId="0" fontId="9" fillId="6" borderId="0" xfId="0" applyFont="1" applyFill="1"/>
    <xf numFmtId="0" fontId="7" fillId="0" borderId="0" xfId="0" applyFont="1"/>
    <xf numFmtId="0" fontId="7" fillId="5" borderId="10" xfId="0" applyFont="1" applyFill="1" applyBorder="1" applyAlignment="1">
      <alignment horizontal="left"/>
    </xf>
    <xf numFmtId="0" fontId="7" fillId="0" borderId="4" xfId="0" applyFont="1" applyFill="1" applyBorder="1" applyAlignment="1">
      <alignment horizontal="left"/>
    </xf>
    <xf numFmtId="0" fontId="7" fillId="0" borderId="5" xfId="0" applyFont="1" applyBorder="1"/>
    <xf numFmtId="0" fontId="7" fillId="0" borderId="9" xfId="0" applyFont="1" applyBorder="1"/>
    <xf numFmtId="0" fontId="7" fillId="0" borderId="10" xfId="0" applyFont="1" applyFill="1" applyBorder="1" applyAlignment="1">
      <alignment horizontal="left"/>
    </xf>
    <xf numFmtId="0" fontId="7" fillId="0" borderId="11" xfId="0" applyFont="1" applyFill="1" applyBorder="1" applyAlignment="1">
      <alignment horizontal="left"/>
    </xf>
    <xf numFmtId="0" fontId="9" fillId="4" borderId="2" xfId="0" applyFont="1" applyFill="1" applyBorder="1" applyAlignment="1"/>
    <xf numFmtId="0" fontId="8" fillId="4" borderId="1" xfId="0" applyFont="1" applyFill="1" applyBorder="1" applyAlignment="1">
      <alignment vertical="top" wrapText="1"/>
    </xf>
    <xf numFmtId="0" fontId="7" fillId="5" borderId="0" xfId="0" applyFont="1" applyFill="1" applyAlignment="1">
      <alignment horizontal="left"/>
    </xf>
    <xf numFmtId="0" fontId="7" fillId="0" borderId="1" xfId="0" applyFont="1" applyBorder="1" applyAlignment="1">
      <alignment horizontal="left" wrapText="1"/>
    </xf>
    <xf numFmtId="0" fontId="13" fillId="0" borderId="0" xfId="0" applyFont="1" applyAlignment="1">
      <alignment horizontal="left" vertical="center"/>
    </xf>
    <xf numFmtId="0" fontId="13" fillId="0" borderId="0" xfId="0" applyFont="1" applyAlignment="1">
      <alignment horizontal="center" vertical="center"/>
    </xf>
    <xf numFmtId="0" fontId="7" fillId="0" borderId="1" xfId="0" applyFont="1" applyBorder="1" applyAlignment="1">
      <alignment horizontal="left"/>
    </xf>
    <xf numFmtId="0" fontId="7" fillId="0" borderId="10" xfId="0" applyFont="1" applyBorder="1" applyAlignment="1">
      <alignment horizontal="left"/>
    </xf>
    <xf numFmtId="0" fontId="6" fillId="7" borderId="2" xfId="0" applyFont="1" applyFill="1" applyBorder="1" applyAlignment="1"/>
    <xf numFmtId="0" fontId="14" fillId="7" borderId="1" xfId="0" applyFont="1" applyFill="1" applyBorder="1" applyAlignment="1">
      <alignment horizontal="center" wrapText="1"/>
    </xf>
    <xf numFmtId="0" fontId="10" fillId="7" borderId="7" xfId="0" applyFont="1" applyFill="1" applyBorder="1" applyAlignment="1">
      <alignment vertical="top" wrapText="1"/>
    </xf>
    <xf numFmtId="0" fontId="10" fillId="7" borderId="6" xfId="0" applyFont="1" applyFill="1" applyBorder="1" applyAlignment="1">
      <alignment vertical="top" wrapText="1"/>
    </xf>
    <xf numFmtId="0" fontId="7" fillId="3" borderId="1" xfId="0" applyFont="1" applyFill="1" applyBorder="1" applyAlignment="1">
      <alignment horizontal="left" wrapText="1"/>
    </xf>
    <xf numFmtId="0" fontId="7" fillId="0" borderId="4" xfId="0" applyFont="1" applyFill="1" applyBorder="1" applyAlignment="1">
      <alignment horizontal="left" wrapText="1"/>
    </xf>
    <xf numFmtId="0" fontId="7" fillId="5" borderId="1" xfId="0" applyFont="1" applyFill="1" applyBorder="1" applyAlignment="1">
      <alignment horizontal="left" wrapText="1"/>
    </xf>
    <xf numFmtId="0" fontId="7" fillId="0" borderId="10" xfId="0" applyFont="1" applyBorder="1" applyAlignment="1">
      <alignment horizontal="left" wrapText="1"/>
    </xf>
    <xf numFmtId="0" fontId="7" fillId="0" borderId="10" xfId="0" applyFont="1" applyFill="1" applyBorder="1" applyAlignment="1">
      <alignment horizontal="left" wrapText="1"/>
    </xf>
    <xf numFmtId="0" fontId="7" fillId="0" borderId="11" xfId="0" applyFont="1" applyFill="1" applyBorder="1" applyAlignment="1">
      <alignment horizontal="left" wrapText="1"/>
    </xf>
    <xf numFmtId="0" fontId="9" fillId="8" borderId="0" xfId="0" applyFont="1" applyFill="1"/>
    <xf numFmtId="0" fontId="9" fillId="7" borderId="2" xfId="0" applyFont="1" applyFill="1" applyBorder="1" applyAlignment="1"/>
    <xf numFmtId="0" fontId="9" fillId="7" borderId="1" xfId="0" applyFont="1" applyFill="1" applyBorder="1" applyAlignment="1">
      <alignment wrapText="1"/>
    </xf>
    <xf numFmtId="0" fontId="8" fillId="7" borderId="1" xfId="0" applyFont="1" applyFill="1" applyBorder="1" applyAlignment="1">
      <alignment vertical="top" wrapText="1"/>
    </xf>
    <xf numFmtId="0" fontId="9" fillId="7" borderId="1" xfId="0" applyFont="1" applyFill="1" applyBorder="1"/>
    <xf numFmtId="0" fontId="9" fillId="7" borderId="1" xfId="0" applyFont="1" applyFill="1" applyBorder="1" applyAlignment="1"/>
    <xf numFmtId="0" fontId="11" fillId="7" borderId="1" xfId="0" applyFont="1" applyFill="1" applyBorder="1" applyAlignment="1">
      <alignment vertical="top" wrapText="1"/>
    </xf>
    <xf numFmtId="0" fontId="7" fillId="0" borderId="0" xfId="0" applyFont="1" applyAlignment="1">
      <alignment wrapText="1"/>
    </xf>
    <xf numFmtId="0" fontId="8" fillId="7" borderId="7" xfId="0" applyFont="1" applyFill="1" applyBorder="1" applyAlignment="1">
      <alignment horizontal="left" vertical="top" wrapText="1"/>
    </xf>
    <xf numFmtId="0" fontId="8" fillId="7" borderId="6" xfId="0" applyFont="1" applyFill="1" applyBorder="1" applyAlignment="1">
      <alignment horizontal="left" vertical="top" wrapText="1"/>
    </xf>
    <xf numFmtId="0" fontId="7" fillId="0" borderId="5" xfId="0" applyFont="1" applyBorder="1" applyAlignment="1">
      <alignment horizontal="left"/>
    </xf>
    <xf numFmtId="0" fontId="7" fillId="0" borderId="4" xfId="0" applyFont="1" applyBorder="1" applyAlignment="1">
      <alignment horizontal="left" wrapText="1"/>
    </xf>
    <xf numFmtId="0" fontId="7" fillId="0" borderId="9" xfId="0" applyFont="1" applyBorder="1" applyAlignment="1">
      <alignment horizontal="left"/>
    </xf>
    <xf numFmtId="0" fontId="7" fillId="0" borderId="11" xfId="0" applyFont="1" applyBorder="1" applyAlignment="1">
      <alignment horizontal="left" wrapText="1"/>
    </xf>
    <xf numFmtId="164" fontId="7" fillId="0" borderId="1" xfId="0" applyNumberFormat="1" applyFont="1" applyBorder="1" applyAlignment="1">
      <alignment horizontal="left" wrapText="1"/>
    </xf>
    <xf numFmtId="0" fontId="7" fillId="0" borderId="1" xfId="0" applyFont="1" applyBorder="1" applyAlignment="1">
      <alignment horizontal="left" vertical="top" wrapText="1"/>
    </xf>
    <xf numFmtId="0" fontId="7" fillId="0" borderId="0" xfId="0" applyFont="1" applyFill="1" applyAlignment="1">
      <alignment wrapText="1"/>
    </xf>
    <xf numFmtId="0" fontId="7" fillId="0" borderId="0" xfId="0" applyFont="1" applyFill="1"/>
    <xf numFmtId="0" fontId="3" fillId="0" borderId="0" xfId="0" applyFont="1" applyAlignment="1">
      <alignment horizontal="left" vertical="center"/>
    </xf>
    <xf numFmtId="0" fontId="8" fillId="10" borderId="1" xfId="0" applyFont="1" applyFill="1" applyBorder="1" applyAlignment="1">
      <alignment vertical="top" wrapText="1"/>
    </xf>
    <xf numFmtId="0" fontId="11" fillId="9" borderId="3" xfId="0" applyFont="1" applyFill="1" applyBorder="1" applyAlignment="1">
      <alignment vertical="top" wrapText="1"/>
    </xf>
    <xf numFmtId="0" fontId="11" fillId="7" borderId="3" xfId="0" applyFont="1" applyFill="1" applyBorder="1" applyAlignment="1">
      <alignment vertical="top" wrapText="1"/>
    </xf>
    <xf numFmtId="0" fontId="10" fillId="10" borderId="6" xfId="0" applyFont="1" applyFill="1" applyBorder="1" applyAlignment="1">
      <alignment vertical="top" wrapText="1"/>
    </xf>
    <xf numFmtId="0" fontId="10" fillId="10" borderId="8" xfId="0" applyFont="1" applyFill="1" applyBorder="1" applyAlignment="1">
      <alignment vertical="top" wrapText="1"/>
    </xf>
    <xf numFmtId="0" fontId="3" fillId="0" borderId="0" xfId="0" applyFont="1" applyAlignment="1">
      <alignment horizontal="left" vertical="center"/>
    </xf>
    <xf numFmtId="0" fontId="2" fillId="0" borderId="2" xfId="0" applyFont="1" applyBorder="1" applyAlignment="1"/>
    <xf numFmtId="0" fontId="11" fillId="7" borderId="1" xfId="0" applyFont="1" applyFill="1" applyBorder="1" applyAlignment="1">
      <alignment vertical="top" wrapText="1"/>
    </xf>
    <xf numFmtId="0" fontId="11" fillId="10" borderId="1" xfId="0" applyFont="1" applyFill="1" applyBorder="1" applyAlignment="1">
      <alignment vertical="top" wrapText="1"/>
    </xf>
    <xf numFmtId="0" fontId="2" fillId="0" borderId="0" xfId="0" applyFont="1" applyBorder="1" applyAlignment="1"/>
    <xf numFmtId="0" fontId="14" fillId="10" borderId="1" xfId="0" applyFont="1" applyFill="1" applyBorder="1" applyAlignment="1">
      <alignment horizontal="center" vertical="center" wrapText="1"/>
    </xf>
    <xf numFmtId="0" fontId="8" fillId="7" borderId="1" xfId="0" applyFont="1" applyFill="1" applyBorder="1" applyAlignment="1">
      <alignment vertical="top" wrapText="1"/>
    </xf>
    <xf numFmtId="0" fontId="9" fillId="7" borderId="1" xfId="0" applyFont="1" applyFill="1" applyBorder="1" applyAlignment="1">
      <alignment wrapText="1"/>
    </xf>
    <xf numFmtId="0" fontId="9" fillId="7" borderId="1" xfId="0" applyFont="1" applyFill="1" applyBorder="1" applyAlignment="1"/>
    <xf numFmtId="0" fontId="2" fillId="0" borderId="0" xfId="0" applyFont="1" applyBorder="1" applyAlignment="1">
      <alignment wrapText="1"/>
    </xf>
    <xf numFmtId="0" fontId="15" fillId="7" borderId="1" xfId="0" applyFont="1" applyFill="1" applyBorder="1" applyAlignment="1">
      <alignment wrapText="1"/>
    </xf>
    <xf numFmtId="0" fontId="15" fillId="7" borderId="1" xfId="0" applyFont="1" applyFill="1" applyBorder="1" applyAlignment="1">
      <alignment horizontal="center" wrapText="1"/>
    </xf>
    <xf numFmtId="0" fontId="15" fillId="7" borderId="1" xfId="0" applyFont="1" applyFill="1" applyBorder="1" applyAlignment="1">
      <alignment horizontal="center"/>
    </xf>
    <xf numFmtId="0" fontId="8" fillId="11" borderId="1" xfId="0" applyFont="1" applyFill="1" applyBorder="1" applyAlignment="1">
      <alignment vertical="top" wrapText="1"/>
    </xf>
    <xf numFmtId="0" fontId="8" fillId="11" borderId="6" xfId="0" applyFont="1" applyFill="1" applyBorder="1" applyAlignment="1">
      <alignment horizontal="left" vertical="top" wrapText="1"/>
    </xf>
    <xf numFmtId="0" fontId="8" fillId="11" borderId="8" xfId="0" applyFont="1" applyFill="1" applyBorder="1" applyAlignment="1">
      <alignment horizontal="left" vertical="top" wrapText="1"/>
    </xf>
    <xf numFmtId="0" fontId="8" fillId="10" borderId="1" xfId="0" applyFont="1" applyFill="1" applyBorder="1" applyAlignment="1">
      <alignment horizontal="center" vertical="top" wrapText="1"/>
    </xf>
    <xf numFmtId="0" fontId="2" fillId="0" borderId="0" xfId="0" applyFont="1" applyFill="1" applyAlignment="1">
      <alignment vertical="center"/>
    </xf>
    <xf numFmtId="0" fontId="2" fillId="7" borderId="0" xfId="0" applyFont="1" applyFill="1"/>
    <xf numFmtId="0" fontId="8" fillId="11" borderId="6" xfId="0" applyFont="1" applyFill="1" applyBorder="1" applyAlignment="1">
      <alignment vertical="top" wrapText="1"/>
    </xf>
    <xf numFmtId="0" fontId="8" fillId="11" borderId="8" xfId="0" applyFont="1" applyFill="1" applyBorder="1" applyAlignment="1">
      <alignment vertical="top" wrapText="1"/>
    </xf>
    <xf numFmtId="0" fontId="10" fillId="11" borderId="6" xfId="0" applyFont="1" applyFill="1" applyBorder="1" applyAlignment="1">
      <alignment vertical="top" wrapText="1"/>
    </xf>
    <xf numFmtId="0" fontId="11" fillId="7" borderId="20" xfId="0" applyFont="1" applyFill="1" applyBorder="1" applyAlignment="1">
      <alignment vertical="top" wrapText="1"/>
    </xf>
    <xf numFmtId="0" fontId="14" fillId="7" borderId="23" xfId="0" applyFont="1" applyFill="1" applyBorder="1" applyAlignment="1">
      <alignment horizontal="left" vertical="center"/>
    </xf>
    <xf numFmtId="0" fontId="6" fillId="7" borderId="24" xfId="0" applyFont="1" applyFill="1" applyBorder="1"/>
    <xf numFmtId="0" fontId="6" fillId="7" borderId="25" xfId="0" applyFont="1" applyFill="1" applyBorder="1"/>
    <xf numFmtId="0" fontId="6" fillId="7" borderId="23" xfId="0" applyFont="1" applyFill="1" applyBorder="1"/>
    <xf numFmtId="0" fontId="8" fillId="4" borderId="27" xfId="0" applyFont="1" applyFill="1" applyBorder="1" applyAlignment="1">
      <alignment vertical="top" wrapText="1"/>
    </xf>
    <xf numFmtId="0" fontId="11" fillId="11" borderId="3" xfId="0" applyFont="1" applyFill="1" applyBorder="1" applyAlignment="1">
      <alignment vertical="top" wrapText="1"/>
    </xf>
    <xf numFmtId="0" fontId="14" fillId="11" borderId="1" xfId="0" applyFont="1" applyFill="1" applyBorder="1" applyAlignment="1">
      <alignment vertical="center" wrapText="1"/>
    </xf>
    <xf numFmtId="0" fontId="15" fillId="11" borderId="1" xfId="0" applyFont="1" applyFill="1" applyBorder="1" applyAlignment="1">
      <alignment wrapText="1"/>
    </xf>
    <xf numFmtId="0" fontId="9" fillId="11" borderId="1" xfId="0" applyFont="1" applyFill="1" applyBorder="1"/>
    <xf numFmtId="0" fontId="11" fillId="11" borderId="1" xfId="0" applyFont="1" applyFill="1" applyBorder="1" applyAlignment="1">
      <alignment vertical="top" wrapText="1"/>
    </xf>
    <xf numFmtId="0" fontId="15" fillId="11" borderId="1" xfId="0" applyFont="1" applyFill="1" applyBorder="1" applyAlignment="1">
      <alignment horizontal="center"/>
    </xf>
    <xf numFmtId="0" fontId="9" fillId="11" borderId="1" xfId="0" applyFont="1" applyFill="1" applyBorder="1" applyAlignment="1"/>
    <xf numFmtId="0" fontId="6" fillId="7" borderId="12" xfId="0" applyFont="1" applyFill="1" applyBorder="1" applyAlignment="1">
      <alignment wrapText="1"/>
    </xf>
    <xf numFmtId="0" fontId="6" fillId="11" borderId="12" xfId="0" applyFont="1" applyFill="1" applyBorder="1" applyAlignment="1">
      <alignment wrapText="1"/>
    </xf>
    <xf numFmtId="0" fontId="18" fillId="4" borderId="12" xfId="0" applyFont="1" applyFill="1" applyBorder="1" applyAlignment="1">
      <alignment vertical="top" wrapText="1"/>
    </xf>
    <xf numFmtId="0" fontId="2" fillId="0" borderId="12" xfId="0" applyFont="1" applyBorder="1"/>
    <xf numFmtId="0" fontId="6" fillId="6" borderId="12" xfId="0" applyFont="1" applyFill="1" applyBorder="1"/>
    <xf numFmtId="0" fontId="2" fillId="11" borderId="12" xfId="0" applyFont="1" applyFill="1" applyBorder="1" applyAlignment="1">
      <alignment wrapText="1"/>
    </xf>
    <xf numFmtId="0" fontId="2" fillId="0" borderId="14" xfId="0" applyFont="1" applyBorder="1" applyAlignment="1">
      <alignment wrapText="1"/>
    </xf>
    <xf numFmtId="0" fontId="2" fillId="0" borderId="14" xfId="0" applyFont="1" applyBorder="1" applyAlignment="1"/>
    <xf numFmtId="0" fontId="2" fillId="12" borderId="13" xfId="0" applyFont="1" applyFill="1" applyBorder="1" applyAlignment="1">
      <alignment wrapText="1"/>
    </xf>
    <xf numFmtId="0" fontId="7" fillId="12" borderId="1" xfId="0" applyFont="1" applyFill="1" applyBorder="1" applyAlignment="1">
      <alignment horizontal="left"/>
    </xf>
    <xf numFmtId="0" fontId="7" fillId="10" borderId="1" xfId="0" applyFont="1" applyFill="1" applyBorder="1" applyAlignment="1">
      <alignment horizontal="left" wrapText="1"/>
    </xf>
    <xf numFmtId="0" fontId="7" fillId="10" borderId="1" xfId="0" applyFont="1" applyFill="1" applyBorder="1" applyAlignment="1">
      <alignment horizontal="left"/>
    </xf>
    <xf numFmtId="0" fontId="7" fillId="11" borderId="1" xfId="0" applyFont="1" applyFill="1" applyBorder="1" applyAlignment="1">
      <alignment horizontal="left" wrapText="1"/>
    </xf>
    <xf numFmtId="0" fontId="3" fillId="12" borderId="0" xfId="0" applyFont="1" applyFill="1" applyAlignment="1">
      <alignment horizontal="left" vertical="center"/>
    </xf>
    <xf numFmtId="0" fontId="2" fillId="12" borderId="12" xfId="0" applyFont="1" applyFill="1" applyBorder="1"/>
    <xf numFmtId="0" fontId="3" fillId="12" borderId="0" xfId="0" applyFont="1" applyFill="1" applyAlignment="1">
      <alignment horizontal="center" vertical="center"/>
    </xf>
    <xf numFmtId="0" fontId="1" fillId="0" borderId="29" xfId="4" applyNumberFormat="1" applyFont="1" applyFill="1" applyBorder="1" applyAlignment="1" applyProtection="1">
      <alignment vertical="top"/>
    </xf>
    <xf numFmtId="0" fontId="2" fillId="0" borderId="12" xfId="0" applyFont="1" applyFill="1" applyBorder="1"/>
    <xf numFmtId="0" fontId="21" fillId="0" borderId="30" xfId="5" applyNumberFormat="1" applyFont="1" applyFill="1" applyBorder="1" applyAlignment="1" applyProtection="1">
      <alignment vertical="top" wrapText="1"/>
    </xf>
    <xf numFmtId="0" fontId="1" fillId="0" borderId="0" xfId="0" applyFont="1" applyAlignment="1">
      <alignment vertical="top"/>
    </xf>
    <xf numFmtId="1" fontId="0" fillId="0" borderId="12" xfId="0" applyNumberFormat="1" applyBorder="1" applyAlignment="1">
      <alignment horizontal="right" indent="1"/>
    </xf>
    <xf numFmtId="0" fontId="2" fillId="0" borderId="12" xfId="0" applyFont="1" applyBorder="1" applyAlignment="1">
      <alignment horizontal="right"/>
    </xf>
    <xf numFmtId="0" fontId="7" fillId="0" borderId="6" xfId="0" applyFont="1" applyBorder="1" applyAlignment="1">
      <alignment horizontal="left"/>
    </xf>
    <xf numFmtId="0" fontId="8" fillId="11" borderId="10" xfId="0" applyFont="1" applyFill="1" applyBorder="1" applyAlignment="1">
      <alignment vertical="top" wrapText="1"/>
    </xf>
    <xf numFmtId="0" fontId="7" fillId="0" borderId="12" xfId="0" applyFont="1" applyFill="1" applyBorder="1" applyAlignment="1">
      <alignment horizontal="left"/>
    </xf>
    <xf numFmtId="0" fontId="7" fillId="0" borderId="7" xfId="0" applyFont="1" applyBorder="1"/>
    <xf numFmtId="0" fontId="7" fillId="0" borderId="8" xfId="0" applyFont="1" applyBorder="1" applyAlignment="1">
      <alignment horizontal="left"/>
    </xf>
    <xf numFmtId="0" fontId="8" fillId="7" borderId="10" xfId="0" applyFont="1" applyFill="1" applyBorder="1" applyAlignment="1">
      <alignment vertical="top" wrapText="1"/>
    </xf>
    <xf numFmtId="0" fontId="7" fillId="0" borderId="12" xfId="0" applyFont="1" applyBorder="1" applyAlignment="1">
      <alignment horizontal="left"/>
    </xf>
    <xf numFmtId="0" fontId="7" fillId="0" borderId="12" xfId="0" applyFont="1" applyFill="1" applyBorder="1" applyAlignment="1">
      <alignment horizontal="left" wrapText="1"/>
    </xf>
    <xf numFmtId="0" fontId="7" fillId="0" borderId="12" xfId="0" applyFont="1" applyBorder="1"/>
    <xf numFmtId="0" fontId="23" fillId="0" borderId="12" xfId="6" applyBorder="1"/>
    <xf numFmtId="0" fontId="2" fillId="0" borderId="0" xfId="0" applyFont="1" applyBorder="1" applyAlignment="1">
      <alignment wrapText="1"/>
    </xf>
    <xf numFmtId="0" fontId="8" fillId="7" borderId="1" xfId="0" applyFont="1" applyFill="1" applyBorder="1" applyAlignment="1">
      <alignment vertical="top" wrapText="1"/>
    </xf>
    <xf numFmtId="0" fontId="24" fillId="0" borderId="0" xfId="0" applyFont="1" applyAlignment="1">
      <alignment horizontal="left" vertical="center"/>
    </xf>
    <xf numFmtId="0" fontId="8" fillId="11" borderId="1" xfId="0" applyFont="1" applyFill="1" applyBorder="1" applyAlignment="1">
      <alignment vertical="top" wrapText="1"/>
    </xf>
    <xf numFmtId="165" fontId="25" fillId="13" borderId="12" xfId="0" applyNumberFormat="1" applyFont="1" applyFill="1" applyBorder="1" applyAlignment="1" applyProtection="1">
      <alignment horizontal="center"/>
      <protection hidden="1"/>
    </xf>
    <xf numFmtId="165" fontId="27" fillId="14" borderId="12" xfId="13" applyNumberFormat="1" applyFont="1" applyBorder="1" applyAlignment="1">
      <alignment horizontal="center"/>
    </xf>
    <xf numFmtId="165" fontId="27" fillId="0" borderId="12" xfId="0" applyNumberFormat="1" applyFont="1" applyBorder="1" applyAlignment="1">
      <alignment horizontal="center"/>
    </xf>
    <xf numFmtId="165" fontId="27" fillId="15" borderId="12" xfId="0" applyNumberFormat="1" applyFont="1" applyFill="1" applyBorder="1" applyAlignment="1">
      <alignment horizontal="center"/>
    </xf>
    <xf numFmtId="165" fontId="27" fillId="16" borderId="12" xfId="0" applyNumberFormat="1" applyFont="1" applyFill="1" applyBorder="1" applyAlignment="1">
      <alignment horizontal="center"/>
    </xf>
    <xf numFmtId="165" fontId="27" fillId="0" borderId="12" xfId="0" applyNumberFormat="1" applyFont="1" applyFill="1" applyBorder="1" applyAlignment="1">
      <alignment horizontal="center"/>
    </xf>
    <xf numFmtId="0" fontId="2" fillId="0" borderId="12" xfId="0" applyFont="1" applyBorder="1" applyAlignment="1">
      <alignment horizontal="center"/>
    </xf>
    <xf numFmtId="0" fontId="2" fillId="0" borderId="12" xfId="0" applyFont="1" applyFill="1" applyBorder="1" applyAlignment="1">
      <alignment horizontal="center"/>
    </xf>
    <xf numFmtId="43" fontId="2" fillId="0" borderId="12" xfId="12" applyFont="1" applyBorder="1"/>
    <xf numFmtId="43" fontId="2" fillId="0" borderId="12" xfId="12" applyFont="1" applyFill="1" applyBorder="1"/>
    <xf numFmtId="43" fontId="2" fillId="0" borderId="12" xfId="12" applyFont="1" applyBorder="1" applyAlignment="1">
      <alignment horizontal="center"/>
    </xf>
    <xf numFmtId="0" fontId="7" fillId="0" borderId="5" xfId="0" applyFont="1" applyFill="1" applyBorder="1" applyAlignment="1">
      <alignment horizontal="left"/>
    </xf>
    <xf numFmtId="0" fontId="19" fillId="0" borderId="5" xfId="3" applyFill="1" applyBorder="1" applyAlignment="1">
      <alignment horizontal="left"/>
    </xf>
    <xf numFmtId="0" fontId="2" fillId="10" borderId="12" xfId="0" applyFont="1" applyFill="1" applyBorder="1"/>
    <xf numFmtId="0" fontId="24" fillId="0" borderId="0" xfId="0" applyFont="1" applyFill="1" applyAlignment="1">
      <alignment horizontal="left" vertical="center"/>
    </xf>
    <xf numFmtId="0" fontId="0" fillId="0" borderId="12" xfId="0" applyFill="1" applyBorder="1" applyAlignment="1">
      <alignment horizontal="center"/>
    </xf>
    <xf numFmtId="0" fontId="1" fillId="0" borderId="12" xfId="0" applyFont="1" applyBorder="1" applyAlignment="1">
      <alignment horizontal="center"/>
    </xf>
    <xf numFmtId="0" fontId="2" fillId="19" borderId="30" xfId="0" applyFont="1" applyFill="1" applyBorder="1" applyAlignment="1">
      <alignment horizontal="center" vertical="center"/>
    </xf>
    <xf numFmtId="0" fontId="2" fillId="17" borderId="0" xfId="0" applyFont="1" applyFill="1" applyBorder="1" applyAlignment="1">
      <alignment horizontal="center" vertical="center"/>
    </xf>
    <xf numFmtId="0" fontId="2" fillId="18" borderId="0" xfId="0" applyFont="1" applyFill="1" applyBorder="1" applyAlignment="1">
      <alignment horizontal="center" vertical="center"/>
    </xf>
    <xf numFmtId="0" fontId="2" fillId="19" borderId="0" xfId="0" applyFont="1" applyFill="1" applyBorder="1" applyAlignment="1">
      <alignment horizontal="center" vertical="center"/>
    </xf>
    <xf numFmtId="0" fontId="10" fillId="7" borderId="31" xfId="0" applyFont="1" applyFill="1" applyBorder="1" applyAlignment="1">
      <alignment horizontal="center" vertical="top" wrapText="1"/>
    </xf>
    <xf numFmtId="0" fontId="2" fillId="17" borderId="0" xfId="0" applyFont="1" applyFill="1" applyBorder="1" applyAlignment="1">
      <alignment horizontal="center" vertical="center" wrapText="1"/>
    </xf>
    <xf numFmtId="0" fontId="9" fillId="8" borderId="0" xfId="0" applyFont="1" applyFill="1" applyAlignment="1">
      <alignment horizontal="center"/>
    </xf>
    <xf numFmtId="0" fontId="2" fillId="0" borderId="0" xfId="0" applyFont="1" applyAlignment="1">
      <alignment horizontal="center"/>
    </xf>
    <xf numFmtId="0" fontId="7" fillId="0" borderId="5" xfId="0" applyFont="1" applyFill="1" applyBorder="1" applyAlignment="1">
      <alignment horizontal="left" wrapText="1"/>
    </xf>
    <xf numFmtId="0" fontId="7" fillId="0" borderId="9" xfId="0" applyFont="1" applyFill="1" applyBorder="1" applyAlignment="1">
      <alignment horizontal="left" wrapText="1"/>
    </xf>
    <xf numFmtId="0" fontId="8" fillId="4" borderId="31" xfId="0" applyFont="1" applyFill="1" applyBorder="1" applyAlignment="1">
      <alignment vertical="top" wrapText="1"/>
    </xf>
    <xf numFmtId="0" fontId="28" fillId="18" borderId="0" xfId="0" applyFont="1" applyFill="1" applyBorder="1" applyAlignment="1">
      <alignment horizontal="center" vertical="center"/>
    </xf>
    <xf numFmtId="0" fontId="7" fillId="0" borderId="4" xfId="0" applyFont="1" applyBorder="1"/>
    <xf numFmtId="0" fontId="7" fillId="10" borderId="5" xfId="0" applyFont="1" applyFill="1" applyBorder="1" applyAlignment="1">
      <alignment horizontal="left"/>
    </xf>
    <xf numFmtId="0" fontId="11" fillId="7" borderId="10" xfId="0" applyFont="1" applyFill="1" applyBorder="1" applyAlignment="1">
      <alignment vertical="top" wrapText="1"/>
    </xf>
    <xf numFmtId="0" fontId="2" fillId="17" borderId="30" xfId="0" applyFont="1" applyFill="1" applyBorder="1" applyAlignment="1">
      <alignment horizontal="center" vertical="center" wrapText="1"/>
    </xf>
    <xf numFmtId="0" fontId="7" fillId="0" borderId="4" xfId="0" applyFont="1" applyBorder="1" applyAlignment="1">
      <alignment horizontal="left"/>
    </xf>
    <xf numFmtId="0" fontId="2" fillId="19" borderId="30" xfId="0" applyFont="1" applyFill="1" applyBorder="1" applyAlignment="1">
      <alignment horizontal="center" vertical="center" wrapText="1"/>
    </xf>
    <xf numFmtId="0" fontId="2" fillId="18" borderId="30" xfId="0" applyFont="1" applyFill="1" applyBorder="1" applyAlignment="1">
      <alignment horizontal="center" vertical="center" wrapText="1"/>
    </xf>
    <xf numFmtId="0" fontId="29" fillId="0" borderId="30" xfId="0" applyFont="1" applyBorder="1" applyAlignment="1">
      <alignment vertical="center"/>
    </xf>
    <xf numFmtId="9" fontId="29" fillId="0" borderId="30" xfId="0" applyNumberFormat="1" applyFont="1" applyBorder="1" applyAlignment="1">
      <alignment horizontal="right" vertical="center" wrapText="1"/>
    </xf>
    <xf numFmtId="9" fontId="30" fillId="0" borderId="30" xfId="0" applyNumberFormat="1" applyFont="1" applyBorder="1" applyAlignment="1">
      <alignment horizontal="right" vertical="center" wrapText="1"/>
    </xf>
    <xf numFmtId="0" fontId="2" fillId="0" borderId="0" xfId="0" applyFont="1" applyFill="1"/>
    <xf numFmtId="0" fontId="2" fillId="10" borderId="13" xfId="0" applyFont="1" applyFill="1" applyBorder="1" applyAlignment="1">
      <alignment horizontal="center" wrapText="1"/>
    </xf>
    <xf numFmtId="0" fontId="2" fillId="10" borderId="14" xfId="0" applyFont="1" applyFill="1" applyBorder="1" applyAlignment="1">
      <alignment horizontal="center" wrapText="1"/>
    </xf>
    <xf numFmtId="0" fontId="2" fillId="10" borderId="15" xfId="0" applyFont="1" applyFill="1" applyBorder="1" applyAlignment="1">
      <alignment horizontal="center" wrapText="1"/>
    </xf>
    <xf numFmtId="0" fontId="2" fillId="12" borderId="13" xfId="0" applyFont="1" applyFill="1" applyBorder="1" applyAlignment="1">
      <alignment horizontal="center" wrapText="1"/>
    </xf>
    <xf numFmtId="0" fontId="2" fillId="12" borderId="14" xfId="0" applyFont="1" applyFill="1" applyBorder="1" applyAlignment="1">
      <alignment horizontal="center" wrapText="1"/>
    </xf>
    <xf numFmtId="0" fontId="9" fillId="7" borderId="4" xfId="0" applyFont="1" applyFill="1" applyBorder="1" applyAlignment="1">
      <alignment horizontal="center" wrapText="1"/>
    </xf>
    <xf numFmtId="0" fontId="9" fillId="7" borderId="3" xfId="0" applyFont="1" applyFill="1" applyBorder="1" applyAlignment="1">
      <alignment horizontal="center" wrapText="1"/>
    </xf>
    <xf numFmtId="0" fontId="9" fillId="7" borderId="5" xfId="0" applyFont="1" applyFill="1" applyBorder="1" applyAlignment="1">
      <alignment horizontal="center" wrapText="1"/>
    </xf>
    <xf numFmtId="0" fontId="8" fillId="7" borderId="4" xfId="0" applyFont="1" applyFill="1" applyBorder="1" applyAlignment="1">
      <alignment horizontal="center" vertical="top" wrapText="1"/>
    </xf>
    <xf numFmtId="0" fontId="8" fillId="7" borderId="3" xfId="0" applyFont="1" applyFill="1" applyBorder="1" applyAlignment="1">
      <alignment horizontal="center" vertical="top" wrapText="1"/>
    </xf>
    <xf numFmtId="0" fontId="8" fillId="7" borderId="5" xfId="0" applyFont="1" applyFill="1" applyBorder="1" applyAlignment="1">
      <alignment horizontal="center" vertical="top" wrapText="1"/>
    </xf>
    <xf numFmtId="0" fontId="2" fillId="0" borderId="2" xfId="0" applyFont="1" applyBorder="1" applyAlignment="1">
      <alignment wrapText="1"/>
    </xf>
    <xf numFmtId="0" fontId="0" fillId="0" borderId="2" xfId="0" applyBorder="1" applyAlignment="1">
      <alignment wrapText="1"/>
    </xf>
    <xf numFmtId="0" fontId="6" fillId="7" borderId="26" xfId="0" applyFont="1" applyFill="1" applyBorder="1" applyAlignment="1">
      <alignment horizontal="center"/>
    </xf>
    <xf numFmtId="0" fontId="6" fillId="7" borderId="22" xfId="0" applyFont="1" applyFill="1" applyBorder="1" applyAlignment="1">
      <alignment horizontal="center"/>
    </xf>
    <xf numFmtId="0" fontId="14" fillId="7" borderId="17" xfId="0" applyFont="1" applyFill="1" applyBorder="1" applyAlignment="1">
      <alignment horizontal="left" vertical="center"/>
    </xf>
    <xf numFmtId="0" fontId="14" fillId="7" borderId="18" xfId="0" applyFont="1" applyFill="1" applyBorder="1" applyAlignment="1">
      <alignment horizontal="left" vertical="center"/>
    </xf>
    <xf numFmtId="0" fontId="14" fillId="7" borderId="19" xfId="0" applyFont="1" applyFill="1" applyBorder="1" applyAlignment="1">
      <alignment horizontal="left" vertical="center"/>
    </xf>
    <xf numFmtId="0" fontId="6" fillId="7" borderId="28" xfId="0" applyFont="1" applyFill="1" applyBorder="1" applyAlignment="1">
      <alignment horizontal="center" wrapText="1"/>
    </xf>
    <xf numFmtId="0" fontId="6" fillId="7" borderId="16" xfId="0" applyFont="1" applyFill="1" applyBorder="1" applyAlignment="1">
      <alignment horizontal="center" wrapText="1"/>
    </xf>
    <xf numFmtId="0" fontId="6" fillId="7" borderId="21" xfId="0" applyFont="1" applyFill="1" applyBorder="1" applyAlignment="1">
      <alignment horizontal="center" wrapText="1"/>
    </xf>
    <xf numFmtId="0" fontId="14" fillId="11" borderId="1" xfId="0" applyFont="1" applyFill="1" applyBorder="1" applyAlignment="1">
      <alignment horizontal="center" vertical="center"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11" fillId="11" borderId="1" xfId="0" applyFont="1" applyFill="1" applyBorder="1" applyAlignment="1">
      <alignment vertical="top" wrapText="1"/>
    </xf>
    <xf numFmtId="0" fontId="9" fillId="11" borderId="1" xfId="0" applyFont="1" applyFill="1" applyBorder="1" applyAlignment="1">
      <alignment vertical="top" wrapText="1"/>
    </xf>
    <xf numFmtId="0" fontId="2" fillId="0" borderId="0" xfId="0" applyFont="1" applyBorder="1" applyAlignment="1">
      <alignment wrapText="1"/>
    </xf>
    <xf numFmtId="0" fontId="9" fillId="11" borderId="1" xfId="0" applyFont="1" applyFill="1" applyBorder="1" applyAlignment="1">
      <alignment wrapText="1"/>
    </xf>
    <xf numFmtId="0" fontId="9" fillId="11" borderId="1" xfId="0" applyFont="1" applyFill="1" applyBorder="1" applyAlignment="1"/>
    <xf numFmtId="0" fontId="8" fillId="11" borderId="1" xfId="0" applyFont="1" applyFill="1" applyBorder="1" applyAlignment="1">
      <alignment vertical="top" wrapText="1"/>
    </xf>
    <xf numFmtId="0" fontId="3" fillId="0" borderId="0" xfId="0" applyFont="1" applyAlignment="1">
      <alignment horizontal="left" vertical="center"/>
    </xf>
    <xf numFmtId="0" fontId="2" fillId="0" borderId="0" xfId="0" applyFont="1" applyBorder="1" applyAlignment="1"/>
    <xf numFmtId="0" fontId="9" fillId="7" borderId="4" xfId="0" applyFont="1" applyFill="1" applyBorder="1" applyAlignment="1">
      <alignment wrapText="1"/>
    </xf>
    <xf numFmtId="0" fontId="9" fillId="7" borderId="3" xfId="0" applyFont="1" applyFill="1" applyBorder="1" applyAlignment="1">
      <alignment wrapText="1"/>
    </xf>
    <xf numFmtId="0" fontId="9" fillId="7" borderId="5" xfId="0" applyFont="1" applyFill="1" applyBorder="1" applyAlignment="1">
      <alignment wrapText="1"/>
    </xf>
    <xf numFmtId="0" fontId="15" fillId="7" borderId="3" xfId="0" applyFont="1" applyFill="1" applyBorder="1" applyAlignment="1">
      <alignment wrapText="1"/>
    </xf>
    <xf numFmtId="0" fontId="15" fillId="7" borderId="1" xfId="0" applyFont="1" applyFill="1" applyBorder="1" applyAlignment="1">
      <alignment horizontal="center" wrapText="1"/>
    </xf>
    <xf numFmtId="0" fontId="9" fillId="7" borderId="1" xfId="0" applyFont="1" applyFill="1" applyBorder="1" applyAlignment="1">
      <alignment horizontal="center" wrapText="1"/>
    </xf>
    <xf numFmtId="0" fontId="15" fillId="7" borderId="3" xfId="0" applyFont="1" applyFill="1" applyBorder="1" applyAlignment="1">
      <alignment horizontal="center" wrapText="1"/>
    </xf>
    <xf numFmtId="0" fontId="15" fillId="7" borderId="5" xfId="0" applyFont="1" applyFill="1" applyBorder="1" applyAlignment="1">
      <alignment horizontal="center" wrapText="1"/>
    </xf>
    <xf numFmtId="0" fontId="2" fillId="0" borderId="2" xfId="0" applyFont="1" applyBorder="1" applyAlignment="1"/>
    <xf numFmtId="0" fontId="11" fillId="4" borderId="1" xfId="0" applyFont="1" applyFill="1" applyBorder="1" applyAlignment="1">
      <alignment vertical="top" wrapText="1"/>
    </xf>
    <xf numFmtId="0" fontId="9" fillId="4" borderId="1" xfId="0" applyFont="1" applyFill="1" applyBorder="1" applyAlignment="1">
      <alignment vertical="top" wrapText="1"/>
    </xf>
    <xf numFmtId="0" fontId="11" fillId="7" borderId="1" xfId="0" applyFont="1" applyFill="1" applyBorder="1" applyAlignment="1">
      <alignment vertical="top" wrapText="1"/>
    </xf>
    <xf numFmtId="0" fontId="9" fillId="7" borderId="1" xfId="0" applyFont="1" applyFill="1" applyBorder="1" applyAlignment="1">
      <alignment vertical="top" wrapText="1"/>
    </xf>
    <xf numFmtId="0" fontId="11" fillId="10" borderId="1" xfId="0" applyFont="1" applyFill="1" applyBorder="1" applyAlignment="1">
      <alignment vertical="top" wrapText="1"/>
    </xf>
    <xf numFmtId="0" fontId="9" fillId="10" borderId="1" xfId="0" applyFont="1" applyFill="1" applyBorder="1" applyAlignment="1">
      <alignment vertical="top" wrapText="1"/>
    </xf>
    <xf numFmtId="0" fontId="14" fillId="10"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8" fillId="7" borderId="1" xfId="0" applyFont="1" applyFill="1" applyBorder="1" applyAlignment="1">
      <alignment vertical="top" wrapText="1"/>
    </xf>
    <xf numFmtId="0" fontId="15" fillId="10" borderId="1" xfId="0" applyFont="1" applyFill="1" applyBorder="1" applyAlignment="1">
      <alignment wrapText="1"/>
    </xf>
    <xf numFmtId="0" fontId="15" fillId="7" borderId="1" xfId="0" applyFont="1" applyFill="1" applyBorder="1" applyAlignment="1">
      <alignment horizontal="center"/>
    </xf>
    <xf numFmtId="0" fontId="9" fillId="7" borderId="1" xfId="0" applyFont="1" applyFill="1" applyBorder="1" applyAlignment="1">
      <alignment wrapText="1"/>
    </xf>
    <xf numFmtId="0" fontId="15" fillId="11" borderId="3" xfId="0" applyFont="1" applyFill="1" applyBorder="1" applyAlignment="1">
      <alignment wrapText="1"/>
    </xf>
    <xf numFmtId="0" fontId="15" fillId="11" borderId="1" xfId="0" applyFont="1" applyFill="1" applyBorder="1" applyAlignment="1">
      <alignment horizontal="center" wrapText="1"/>
    </xf>
    <xf numFmtId="0" fontId="9" fillId="11" borderId="1" xfId="0" applyFont="1" applyFill="1" applyBorder="1" applyAlignment="1">
      <alignment horizontal="center" wrapText="1"/>
    </xf>
    <xf numFmtId="0" fontId="15" fillId="10" borderId="1" xfId="0" applyFont="1" applyFill="1" applyBorder="1" applyAlignment="1">
      <alignment horizontal="center"/>
    </xf>
    <xf numFmtId="0" fontId="9" fillId="10" borderId="1" xfId="0" applyFont="1" applyFill="1" applyBorder="1" applyAlignment="1">
      <alignment horizontal="center"/>
    </xf>
    <xf numFmtId="0" fontId="1" fillId="0" borderId="32" xfId="4" applyNumberFormat="1" applyFont="1" applyFill="1" applyBorder="1" applyAlignment="1" applyProtection="1">
      <alignment vertical="top"/>
    </xf>
    <xf numFmtId="0" fontId="0" fillId="0" borderId="32" xfId="4" applyNumberFormat="1" applyFont="1" applyFill="1" applyBorder="1" applyAlignment="1" applyProtection="1">
      <alignment vertical="top"/>
    </xf>
  </cellXfs>
  <cellStyles count="14">
    <cellStyle name="Bad" xfId="13" builtinId="27"/>
    <cellStyle name="Comma" xfId="12" builtinId="3"/>
    <cellStyle name="Data" xfId="4"/>
    <cellStyle name="Header" xfId="5"/>
    <cellStyle name="Hyperlink" xfId="3" builtinId="8"/>
    <cellStyle name="Normal" xfId="0" builtinId="0"/>
    <cellStyle name="Normal 2" xfId="7"/>
    <cellStyle name="Normal 2 2" xfId="1"/>
    <cellStyle name="Normal 3" xfId="2"/>
    <cellStyle name="Normal 3 2" xfId="9"/>
    <cellStyle name="Normal 3 2 2 2 2" xfId="8"/>
    <cellStyle name="Normal 4" xfId="6"/>
    <cellStyle name="Normal 4 2" xfId="11"/>
    <cellStyle name="Normal 5" xfId="10"/>
  </cellStyles>
  <dxfs count="369">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alignment horizontal="left" textRotation="0" indent="0" justifyLastLine="0" shrinkToFit="0" readingOrder="0"/>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9"/>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scheme val="minor"/>
      </font>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bottom style="thin">
          <color rgb="FFBFBFBF"/>
        </bottom>
      </border>
    </dxf>
    <dxf>
      <font>
        <b val="0"/>
        <i val="0"/>
        <strike val="0"/>
        <condense val="0"/>
        <extend val="0"/>
        <outline val="0"/>
        <shadow val="0"/>
        <u val="none"/>
        <vertAlign val="baseline"/>
        <sz val="9"/>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numFmt numFmtId="0" formatCode="General"/>
      <fill>
        <patternFill patternType="solid">
          <fgColor indexed="64"/>
          <bgColor rgb="FFC6D9F1"/>
        </patternFill>
      </fill>
      <alignment horizontal="left" vertical="bottom" textRotation="0" indent="0" justifyLastLine="0" shrinkToFit="0" readingOrder="0"/>
      <border outline="0">
        <right style="thin">
          <color theme="0" tint="-0.24994659260841701"/>
        </right>
      </border>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C6D9F1"/>
        </patternFill>
      </fill>
      <alignment horizontal="left" vertical="bottom" textRotation="0" wrapText="0" indent="0" justifyLastLine="0" shrinkToFit="0" readingOrder="0"/>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strike val="0"/>
        <outline val="0"/>
        <shadow val="0"/>
        <vertAlign val="baseline"/>
        <sz val="8"/>
        <name val="Calibri"/>
      </font>
    </dxf>
    <dxf>
      <border outline="0">
        <top style="thin">
          <color rgb="FFBFBFBF"/>
        </top>
      </border>
    </dxf>
    <dxf>
      <font>
        <strike val="0"/>
        <outline val="0"/>
        <shadow val="0"/>
        <vertAlign val="baseline"/>
        <sz val="8"/>
        <name val="Calibri"/>
      </font>
      <fill>
        <patternFill patternType="none">
          <fgColor rgb="FF000000"/>
          <bgColor rgb="FFFFFFFF"/>
        </patternFill>
      </fill>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medium">
          <color auto="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font>
      <fill>
        <patternFill patternType="solid">
          <fgColor indexed="64"/>
          <bgColor rgb="FF2E74B5"/>
        </patternFill>
      </fill>
      <alignment horizontal="center" vertical="center" textRotation="0" wrapText="1" indent="0" justifyLastLine="0" shrinkToFit="0" readingOrder="0"/>
      <border diagonalUp="0" diagonalDown="0" outline="0">
        <left/>
        <right style="medium">
          <color auto="1"/>
        </right>
        <top/>
        <bottom style="medium">
          <color auto="1"/>
        </bottom>
      </border>
    </dxf>
    <dxf>
      <font>
        <strike val="0"/>
        <outline val="0"/>
        <shadow val="0"/>
        <u val="none"/>
        <vertAlign val="baseline"/>
        <sz val="8"/>
        <name val="Calibri"/>
      </font>
      <border diagonalUp="0" diagonalDown="0" outline="0">
        <left/>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right style="medium">
          <color auto="1"/>
        </right>
        <top/>
        <bottom style="medium">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outline="0">
        <left style="medium">
          <color auto="1"/>
        </left>
        <right style="thin">
          <color auto="1"/>
        </right>
        <top/>
        <bottom style="thin">
          <color auto="1"/>
        </bottom>
      </border>
      <protection locked="1" hidden="0"/>
    </dxf>
    <dxf>
      <font>
        <strike val="0"/>
        <outline val="0"/>
        <shadow val="0"/>
        <u val="none"/>
        <vertAlign val="baseline"/>
        <sz val="9"/>
        <name val="Calibri"/>
      </font>
      <numFmt numFmtId="0" formatCode="General"/>
      <fill>
        <patternFill patternType="solid">
          <fgColor indexed="64"/>
          <bgColor rgb="FF8496B0"/>
        </patternFill>
      </fill>
      <alignment horizontal="center" vertical="center" textRotation="0" wrapText="0" indent="0" justifyLastLine="0" shrinkToFit="0" readingOrder="0"/>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border outline="0">
        <left style="thin">
          <color theme="0" tint="-0.24994659260841701"/>
        </left>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medium">
          <color auto="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font>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8"/>
        <name val="Calibri"/>
      </font>
      <border diagonalUp="0" diagonalDown="0" outline="0">
        <left style="thin">
          <color theme="0" tint="-0.24994659260841701"/>
        </left>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font>
        <strike val="0"/>
        <outline val="0"/>
        <shadow val="0"/>
        <u val="none"/>
        <vertAlign val="baseline"/>
        <sz val="8"/>
        <name val="Calibri"/>
      </font>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outline="0">
        <top style="thin">
          <color rgb="FFBFBFBF"/>
        </top>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theme="0" tint="-0.24994659260841701"/>
        </top>
      </border>
    </dxf>
    <dxf>
      <font>
        <strike val="0"/>
        <outline val="0"/>
        <shadow val="0"/>
        <u val="none"/>
        <vertAlign val="baseline"/>
        <sz val="8"/>
        <name val="Calibri"/>
      </font>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2" tint="-9.9948118533890809E-2"/>
        </patternFill>
      </fill>
    </dxf>
    <dxf>
      <fill>
        <patternFill>
          <bgColor theme="2" tint="-9.9948118533890809E-2"/>
        </patternFill>
      </fill>
    </dxf>
    <dxf>
      <fill>
        <patternFill>
          <bgColor rgb="FFFFFFCC"/>
        </patternFill>
      </fill>
    </dxf>
    <dxf>
      <fill>
        <patternFill>
          <bgColor theme="5" tint="0.79998168889431442"/>
        </patternFill>
      </fill>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dxf>
    <dxf>
      <border outline="0">
        <top style="thin">
          <color theme="0" tint="-0.24994659260841701"/>
        </top>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s>
  <tableStyles count="1" defaultTableStyle="TableStyleMedium2" defaultPivotStyle="PivotStyleLight16">
    <tableStyle name="Table Style 1" pivot="0" count="0"/>
  </tableStyles>
  <colors>
    <mruColors>
      <color rgb="FFC6D9F1"/>
      <color rgb="FF1F497D"/>
      <color rgb="FF4F81B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id="10" name="Table10" displayName="Table10" ref="A4:R79" totalsRowShown="0" headerRowDxfId="368" dataDxfId="366" headerRowBorderDxfId="367" tableBorderDxfId="365">
  <autoFilter ref="A4:R79"/>
  <sortState ref="A5:O79">
    <sortCondition ref="A5:A79"/>
  </sortState>
  <tableColumns count="18">
    <tableColumn id="1" name="Country" dataDxfId="364"/>
    <tableColumn id="17" name="Value 1.1 (1990)" dataDxfId="363" dataCellStyle="Data"/>
    <tableColumn id="20" name="Value 1.2 (2000)" dataDxfId="362" dataCellStyle="Data"/>
    <tableColumn id="21" name="Value 1.3 (2013)" dataDxfId="361" dataCellStyle="Data"/>
    <tableColumn id="4" name="Target 2015_1" dataDxfId="360"/>
    <tableColumn id="7" name="Source 1" dataDxfId="359"/>
    <tableColumn id="18" name="Value 2.1 (1990)" dataDxfId="2" dataCellStyle="Data"/>
    <tableColumn id="22" name="Value 2.2 (2000)" dataDxfId="1" dataCellStyle="Data"/>
    <tableColumn id="23" name="Value 2.3 (2013)" dataDxfId="0" dataCellStyle="Data"/>
    <tableColumn id="9" name="Target 2015_2" dataDxfId="358"/>
    <tableColumn id="12" name="Source 2" dataDxfId="357"/>
    <tableColumn id="19" name="Value 3.1 (1990)" dataDxfId="356" dataCellStyle="Data"/>
    <tableColumn id="2" name="Year" dataDxfId="355" dataCellStyle="Data"/>
    <tableColumn id="24" name="Value 3.2 (2000)" dataDxfId="354" dataCellStyle="Data"/>
    <tableColumn id="3" name="Year2" dataDxfId="353" dataCellStyle="Data"/>
    <tableColumn id="25" name="Value 3.3 (2012)" dataDxfId="352" dataCellStyle="Data"/>
    <tableColumn id="5" name="Year3" dataDxfId="351" dataCellStyle="Data"/>
    <tableColumn id="16" name="Source 3" dataDxfId="350"/>
  </tableColumns>
  <tableStyleInfo name="Table Style 1" showFirstColumn="0" showLastColumn="0" showRowStripes="1" showColumnStripes="0"/>
</table>
</file>

<file path=xl/tables/table10.xml><?xml version="1.0" encoding="utf-8"?>
<table xmlns="http://schemas.openxmlformats.org/spreadsheetml/2006/main" id="14" name="Table14" displayName="Table14" ref="A4:D79" totalsRowShown="0" headerRowDxfId="180" dataDxfId="178" headerRowBorderDxfId="179" tableBorderDxfId="177" totalsRowBorderDxfId="176">
  <autoFilter ref="A4:D79"/>
  <sortState ref="A5:I79">
    <sortCondition ref="A4:A79"/>
  </sortState>
  <tableColumns count="4">
    <tableColumn id="1" name="Country" dataDxfId="175"/>
    <tableColumn id="6" name="Value 2" dataDxfId="174"/>
    <tableColumn id="7" name="Year 2" dataDxfId="173"/>
    <tableColumn id="9" name="Source 2" dataDxfId="172"/>
  </tableColumns>
  <tableStyleInfo name="Table Style 1" showFirstColumn="0" showLastColumn="0" showRowStripes="1" showColumnStripes="0"/>
</table>
</file>

<file path=xl/tables/table11.xml><?xml version="1.0" encoding="utf-8"?>
<table xmlns="http://schemas.openxmlformats.org/spreadsheetml/2006/main" id="16" name="Table16" displayName="Table16" ref="A4:G79" totalsRowShown="0" headerRowDxfId="171" dataDxfId="170">
  <autoFilter ref="A4:G79"/>
  <sortState ref="A5:P79">
    <sortCondition ref="A4:A79"/>
  </sortState>
  <tableColumns count="7">
    <tableColumn id="1" name="Country" dataDxfId="169"/>
    <tableColumn id="2" name="Yes/No" dataDxfId="168"/>
    <tableColumn id="3" name="Year 1" dataDxfId="167"/>
    <tableColumn id="7" name="Source" dataDxfId="166"/>
    <tableColumn id="8" name="MA process in place" dataDxfId="165"/>
    <tableColumn id="10" name="Year 2" dataDxfId="164"/>
    <tableColumn id="11" name="Source 1" dataDxfId="163"/>
  </tableColumns>
  <tableStyleInfo name="Table Style 1" showFirstColumn="0" showLastColumn="0" showRowStripes="1" showColumnStripes="0"/>
</table>
</file>

<file path=xl/tables/table12.xml><?xml version="1.0" encoding="utf-8"?>
<table xmlns="http://schemas.openxmlformats.org/spreadsheetml/2006/main" id="18" name="Table18" displayName="Table18" ref="A4:D79" totalsRowShown="0" headerRowDxfId="162" dataDxfId="161">
  <autoFilter ref="A4:D79"/>
  <sortState ref="A5:I79">
    <sortCondition ref="A4:A79"/>
  </sortState>
  <tableColumns count="4">
    <tableColumn id="1" name="Country" dataDxfId="160"/>
    <tableColumn id="2" name="Yes/No Report available 2010 or later" dataDxfId="159"/>
    <tableColumn id="5" name="Year1" dataDxfId="158"/>
    <tableColumn id="6" name="Source1 http://www.nationalplanningcycles.org/planning-cycle/ETH" dataDxfId="157"/>
  </tableColumns>
  <tableStyleInfo name="Table Style 1" showFirstColumn="0" showLastColumn="0" showRowStripes="1" showColumnStripes="0"/>
</table>
</file>

<file path=xl/tables/table13.xml><?xml version="1.0" encoding="utf-8"?>
<table xmlns="http://schemas.openxmlformats.org/spreadsheetml/2006/main" id="21" name="Table222" displayName="Table222" ref="A3:H78" totalsRowShown="0" headerRowDxfId="156" dataDxfId="154" headerRowBorderDxfId="155" tableBorderDxfId="153" totalsRowBorderDxfId="152">
  <autoFilter ref="A3:H78"/>
  <sortState ref="A4:H78">
    <sortCondition ref="A3:A78"/>
  </sortState>
  <tableColumns count="8">
    <tableColumn id="1" name="Country" dataDxfId="151"/>
    <tableColumn id="2" name="Yes/No" dataDxfId="150">
      <calculatedColumnFormula>IF(OR(C4&gt;=75, F4&gt;=75),"Yes","No")</calculatedColumnFormula>
    </tableColumn>
    <tableColumn id="3" name="Value 1" dataDxfId="149"/>
    <tableColumn id="4" name="Year 1" dataDxfId="148"/>
    <tableColumn id="5" name="Source 1" dataDxfId="147"/>
    <tableColumn id="6" name="Value 2" dataDxfId="146"/>
    <tableColumn id="7" name="Year 2" dataDxfId="145"/>
    <tableColumn id="8" name="Source 2" dataDxfId="144"/>
  </tableColumns>
  <tableStyleInfo name="Table Style 1" showFirstColumn="0" showLastColumn="0" showRowStripes="1" showColumnStripes="0"/>
</table>
</file>

<file path=xl/tables/table14.xml><?xml version="1.0" encoding="utf-8"?>
<table xmlns="http://schemas.openxmlformats.org/spreadsheetml/2006/main" id="3" name="Table3" displayName="Table3" ref="A3:E78" totalsRowShown="0" headerRowDxfId="143" dataDxfId="141" headerRowBorderDxfId="142" tableBorderDxfId="140" totalsRowBorderDxfId="139">
  <autoFilter ref="A3:E78"/>
  <sortState ref="A4:E78">
    <sortCondition ref="A3:A78"/>
  </sortState>
  <tableColumns count="5">
    <tableColumn id="1" name="Country" dataDxfId="138"/>
    <tableColumn id="2" name="Yes/No" dataDxfId="137"/>
    <tableColumn id="3" name="Value 1" dataDxfId="136"/>
    <tableColumn id="4" name="Year 1" dataDxfId="135"/>
    <tableColumn id="5" name="Source 1" dataDxfId="134"/>
  </tableColumns>
  <tableStyleInfo name="Table Style 1" showFirstColumn="0" showLastColumn="0" showRowStripes="1" showColumnStripes="0"/>
</table>
</file>

<file path=xl/tables/table15.xml><?xml version="1.0" encoding="utf-8"?>
<table xmlns="http://schemas.openxmlformats.org/spreadsheetml/2006/main" id="23" name="Table424" displayName="Table424" ref="A6:W81" totalsRowShown="0" headerRowDxfId="133" dataDxfId="131" headerRowBorderDxfId="132" tableBorderDxfId="130">
  <autoFilter ref="A6:W81"/>
  <sortState ref="A7:V81">
    <sortCondition ref="A6:A81"/>
  </sortState>
  <tableColumns count="23">
    <tableColumn id="1" name="Country" dataDxfId="129"/>
    <tableColumn id="3" name="Yes/No" dataDxfId="128"/>
    <tableColumn id="2" name="Column1" dataDxfId="127">
      <calculatedColumnFormula>IF(AND(D7= "Yes", E7= "Yes"), "Yes", "No")</calculatedColumnFormula>
    </tableColumn>
    <tableColumn id="23" name="Yes/No1" dataDxfId="126">
      <calculatedColumnFormula>IF(F7="Yes", "Yes", "No")</calculatedColumnFormula>
    </tableColumn>
    <tableColumn id="4" name="Yes/No 2" dataDxfId="125">
      <calculatedColumnFormula>IF(OR(I7="Yes", O7="Yes"),"Yes", "No")</calculatedColumnFormula>
    </tableColumn>
    <tableColumn id="5" name="Value 1" dataDxfId="124"/>
    <tableColumn id="6" name="Year 1" dataDxfId="123"/>
    <tableColumn id="7" name="Source 1" dataDxfId="122"/>
    <tableColumn id="8" name="Value 2" dataDxfId="121"/>
    <tableColumn id="9" name="Year 2" dataDxfId="120"/>
    <tableColumn id="10" name="Source 2" dataDxfId="119"/>
    <tableColumn id="11" name="Value 3" dataDxfId="118"/>
    <tableColumn id="12" name="Year 3" dataDxfId="117"/>
    <tableColumn id="13" name="Source 3" dataDxfId="116"/>
    <tableColumn id="14" name="Value 4" dataDxfId="115"/>
    <tableColumn id="15" name="Year 4" dataDxfId="114"/>
    <tableColumn id="16" name="Source 4" dataDxfId="113"/>
    <tableColumn id="17" name="Value 5" dataDxfId="112"/>
    <tableColumn id="18" name="Year 5" dataDxfId="111"/>
    <tableColumn id="19" name="Source 5" dataDxfId="110"/>
    <tableColumn id="20" name="Value 6" dataDxfId="109"/>
    <tableColumn id="21" name="Year 6" dataDxfId="108"/>
    <tableColumn id="22" name="Source 6" dataDxfId="107"/>
  </tableColumns>
  <tableStyleInfo name="Table Style 1" showFirstColumn="0" showLastColumn="0" showRowStripes="1" showColumnStripes="0"/>
</table>
</file>

<file path=xl/tables/table16.xml><?xml version="1.0" encoding="utf-8"?>
<table xmlns="http://schemas.openxmlformats.org/spreadsheetml/2006/main" id="24" name="Table725" displayName="Table725" ref="A4:Q79" totalsRowShown="0" headerRowDxfId="106" dataDxfId="104" headerRowBorderDxfId="105" tableBorderDxfId="103" totalsRowBorderDxfId="102">
  <autoFilter ref="A4:Q79"/>
  <sortState ref="A5:Q79">
    <sortCondition ref="A4:A79"/>
  </sortState>
  <tableColumns count="17">
    <tableColumn id="1" name="Country" dataDxfId="101"/>
    <tableColumn id="2" name="Yes/No" dataDxfId="100">
      <calculatedColumnFormula>IF(OR(G5="Yes", O5="Yes"),"Yes", "No")</calculatedColumnFormula>
    </tableColumn>
    <tableColumn id="3" name="Yes/No 1" dataDxfId="99">
      <calculatedColumnFormula>IF(OR(D5="Yes", L5="Yes", M5="Yes"),"Yes", "No")</calculatedColumnFormula>
    </tableColumn>
    <tableColumn id="4" name="Value 1" dataDxfId="98"/>
    <tableColumn id="5" name="Year 1" dataDxfId="97"/>
    <tableColumn id="6" name="Source 1" dataDxfId="96"/>
    <tableColumn id="7" name="Value 2" dataDxfId="95"/>
    <tableColumn id="8" name="Year 2" dataDxfId="94"/>
    <tableColumn id="9" name="Source 2" dataDxfId="93"/>
    <tableColumn id="11" name="HMN HIS Assessment Completed" dataDxfId="92"/>
    <tableColumn id="12" name=" HIS Strategic Plan Completed" dataDxfId="91"/>
    <tableColumn id="13" name="CVRS Rapid Assessment Completed" dataDxfId="90"/>
    <tableColumn id="14" name="CRVS Comprehensive Assessment Completed" dataDxfId="89"/>
    <tableColumn id="15" name="  CRVS Assessment Requested" dataDxfId="88"/>
    <tableColumn id="16" name="CRVS Improvement Plan Completed" dataDxfId="87"/>
    <tableColumn id="17" name="Accountability Framework Assessment completed or planned for 2012" dataDxfId="86"/>
    <tableColumn id="18" name="HMN MoVE-IT Project Country " dataDxfId="85"/>
  </tableColumns>
  <tableStyleInfo name="Table Style 1" showFirstColumn="0" showLastColumn="0" showRowStripes="1" showColumnStripes="0"/>
</table>
</file>

<file path=xl/tables/table17.xml><?xml version="1.0" encoding="utf-8"?>
<table xmlns="http://schemas.openxmlformats.org/spreadsheetml/2006/main" id="25" name="Table126" displayName="Table126" ref="A4:I79" totalsRowShown="0" headerRowDxfId="84" dataDxfId="82" headerRowBorderDxfId="83" tableBorderDxfId="81">
  <autoFilter ref="A4:I79"/>
  <sortState ref="A5:I79">
    <sortCondition ref="A4:A79"/>
  </sortState>
  <tableColumns count="9">
    <tableColumn id="1" name="Country" dataDxfId="80"/>
    <tableColumn id="2" name="Yes/No" dataDxfId="79">
      <calculatedColumnFormula>IF(OR(C5="Yes", G5="Yes"), "Yes", "No")</calculatedColumnFormula>
    </tableColumn>
    <tableColumn id="3" name="Value 1" dataDxfId="78"/>
    <tableColumn id="4" name="Value 2" dataDxfId="77"/>
    <tableColumn id="5" name="Year 2" dataDxfId="76"/>
    <tableColumn id="6" name="Source 1 and 2" dataDxfId="75"/>
    <tableColumn id="7" name="Value 3" dataDxfId="74"/>
    <tableColumn id="8" name="Year 3" dataDxfId="73"/>
    <tableColumn id="9" name="Source 3" dataDxfId="72"/>
  </tableColumns>
  <tableStyleInfo name="Table Style 1" showFirstColumn="0" showLastColumn="0" showRowStripes="1" showColumnStripes="0"/>
</table>
</file>

<file path=xl/tables/table18.xml><?xml version="1.0" encoding="utf-8"?>
<table xmlns="http://schemas.openxmlformats.org/spreadsheetml/2006/main" id="26" name="Table1527" displayName="Table1527" ref="A4:M79" totalsRowShown="0" headerRowDxfId="71" dataDxfId="69" headerRowBorderDxfId="70" tableBorderDxfId="68">
  <autoFilter ref="A4:M79"/>
  <sortState ref="A5:M79">
    <sortCondition ref="A4:A79"/>
  </sortState>
  <tableColumns count="13">
    <tableColumn id="1" name="Country" dataDxfId="67"/>
    <tableColumn id="2" name="Yes/No" dataDxfId="66"/>
    <tableColumn id="3" name="IHP+ Country" dataDxfId="65"/>
    <tableColumn id="4" name="Pooled funding and/or SWAp" dataDxfId="64"/>
    <tableColumn id="5" name="Compact or similar mechanism located on web" dataDxfId="63"/>
    <tableColumn id="6" name="Date of compact" dataDxfId="62"/>
    <tableColumn id="7" name="Source 1" dataDxfId="61"/>
    <tableColumn id="8" name="There is a formal agreement between government and partners to report external commitments, external disbursements, and externally funded expenditures on health (monitoring of resources)" dataDxfId="60"/>
    <tableColumn id="9" name="There is a compact or similar mechanism and adherence is good (accountability)" dataDxfId="59"/>
    <tableColumn id="10" name="Year 2" dataDxfId="58"/>
    <tableColumn id="11" name="Source 2" dataDxfId="57"/>
    <tableColumn id="12" name="Year 22" dataDxfId="56"/>
    <tableColumn id="13" name="Source 22" dataDxfId="55"/>
  </tableColumns>
  <tableStyleInfo name="Table Style 1" showFirstColumn="0" showLastColumn="0" showRowStripes="1" showColumnStripes="0"/>
</table>
</file>

<file path=xl/tables/table19.xml><?xml version="1.0" encoding="utf-8"?>
<table xmlns="http://schemas.openxmlformats.org/spreadsheetml/2006/main" id="27" name="Table1128" displayName="Table1128" ref="A4:G79" totalsRowShown="0" headerRowDxfId="54" dataDxfId="53">
  <autoFilter ref="A4:G79"/>
  <sortState ref="A5:G79">
    <sortCondition ref="A4:A79"/>
  </sortState>
  <tableColumns count="7">
    <tableColumn id="1" name="Country" dataDxfId="52"/>
    <tableColumn id="2" name="Tracked by financing source (Yes/No)" dataDxfId="51"/>
    <tableColumn id="3" name="Value 1" dataDxfId="50"/>
    <tableColumn id="4" name="Year 1" dataDxfId="49"/>
    <tableColumn id="5" name="Value 2" dataDxfId="48"/>
    <tableColumn id="6" name="Year 2" dataDxfId="47"/>
    <tableColumn id="7" name="Source1/2" dataDxfId="46"/>
  </tableColumns>
  <tableStyleInfo name="Table Style 1" showFirstColumn="0" showLastColumn="0" showRowStripes="1" showColumnStripes="0"/>
</table>
</file>

<file path=xl/tables/table2.xml><?xml version="1.0" encoding="utf-8"?>
<table xmlns="http://schemas.openxmlformats.org/spreadsheetml/2006/main" id="9" name="Table9" displayName="Table9" ref="A4:AO80" totalsRowShown="0" headerRowDxfId="345" dataDxfId="343" headerRowBorderDxfId="344" tableBorderDxfId="342">
  <autoFilter ref="A4:AO80"/>
  <sortState ref="A5:AO80">
    <sortCondition ref="A5:A80"/>
  </sortState>
  <tableColumns count="41">
    <tableColumn id="1" name="Country" dataDxfId="341"/>
    <tableColumn id="29" name="National Average" dataDxfId="340"/>
    <tableColumn id="37" name="Bottom Q" dataDxfId="339"/>
    <tableColumn id="38" name="Top Q" dataDxfId="338"/>
    <tableColumn id="5" name="Year 1" dataDxfId="337"/>
    <tableColumn id="6" name="Source 1" dataDxfId="336"/>
    <tableColumn id="30" name="National Average2" dataDxfId="335"/>
    <tableColumn id="39" name="Bottom Q2" dataDxfId="334"/>
    <tableColumn id="40" name="Top Q2" dataDxfId="333"/>
    <tableColumn id="8" name="Year 2" dataDxfId="332"/>
    <tableColumn id="9" name="Source 2" dataDxfId="331"/>
    <tableColumn id="31" name="National Average3" dataDxfId="330"/>
    <tableColumn id="41" name="Bottom Q3" dataDxfId="329"/>
    <tableColumn id="42" name="Top Q3" dataDxfId="328"/>
    <tableColumn id="11" name="Year 3" dataDxfId="327"/>
    <tableColumn id="12" name="Source 3" dataDxfId="326"/>
    <tableColumn id="32" name="National Average4" dataDxfId="325"/>
    <tableColumn id="43" name="Bottom Q4" dataDxfId="324"/>
    <tableColumn id="44" name="Top Q4" dataDxfId="323"/>
    <tableColumn id="14" name="Year 4" dataDxfId="322"/>
    <tableColumn id="15" name="Source 4" dataDxfId="321"/>
    <tableColumn id="33" name="National Average5" dataDxfId="320"/>
    <tableColumn id="47" name="Bottom Q5" dataDxfId="319"/>
    <tableColumn id="48" name="Top Q5" dataDxfId="318"/>
    <tableColumn id="17" name="Year 5" dataDxfId="317"/>
    <tableColumn id="18" name="Source 5" dataDxfId="316"/>
    <tableColumn id="34" name="National Average6" dataDxfId="315"/>
    <tableColumn id="49" name="Bottom Q6" dataDxfId="314"/>
    <tableColumn id="50" name="Top Q6" dataDxfId="313"/>
    <tableColumn id="20" name="Year 6" dataDxfId="312"/>
    <tableColumn id="21" name="Source 6" dataDxfId="311"/>
    <tableColumn id="35" name="National Average7" dataDxfId="310"/>
    <tableColumn id="51" name="Bottom Q7" dataDxfId="309"/>
    <tableColumn id="52" name="Top Q7" dataDxfId="308"/>
    <tableColumn id="23" name="Year 7" dataDxfId="307"/>
    <tableColumn id="24" name="Source 7" dataDxfId="306"/>
    <tableColumn id="36" name="National Average8" dataDxfId="305"/>
    <tableColumn id="53" name="Bottom Q8" dataDxfId="304"/>
    <tableColumn id="54" name="Top Q8" dataDxfId="303"/>
    <tableColumn id="26" name="Year 8" dataDxfId="302"/>
    <tableColumn id="27" name="Source 8" dataDxfId="301"/>
  </tableColumns>
  <tableStyleInfo name="Table Style 1" showFirstColumn="0" showLastColumn="0" showRowStripes="1" showColumnStripes="0"/>
</table>
</file>

<file path=xl/tables/table20.xml><?xml version="1.0" encoding="utf-8"?>
<table xmlns="http://schemas.openxmlformats.org/spreadsheetml/2006/main" id="28" name="Table1429" displayName="Table1429" ref="A4:I79" totalsRowShown="0" headerRowDxfId="45" dataDxfId="43" headerRowBorderDxfId="44" tableBorderDxfId="42" totalsRowBorderDxfId="41">
  <autoFilter ref="A4:I79"/>
  <sortState ref="A5:I79">
    <sortCondition ref="A4:A79"/>
  </sortState>
  <tableColumns count="9">
    <tableColumn id="1" name="Country" dataDxfId="40"/>
    <tableColumn id="2" name="Tracked by financing source (Yes/No)" dataDxfId="39"/>
    <tableColumn id="3" name="Value 1" dataDxfId="38"/>
    <tableColumn id="4" name="Year 1" dataDxfId="37"/>
    <tableColumn id="5" name="Source 1" dataDxfId="36"/>
    <tableColumn id="6" name="Value 2" dataDxfId="35"/>
    <tableColumn id="7" name="Year 2" dataDxfId="34"/>
    <tableColumn id="9" name="Source 2" dataDxfId="33"/>
    <tableColumn id="8" name="Comments" dataDxfId="32"/>
  </tableColumns>
  <tableStyleInfo name="Table Style 1" showFirstColumn="0" showLastColumn="0" showRowStripes="1" showColumnStripes="0"/>
</table>
</file>

<file path=xl/tables/table21.xml><?xml version="1.0" encoding="utf-8"?>
<table xmlns="http://schemas.openxmlformats.org/spreadsheetml/2006/main" id="29" name="Table1630" displayName="Table1630" ref="A4:P79" totalsRowShown="0" headerRowDxfId="31" dataDxfId="30">
  <autoFilter ref="A4:P79"/>
  <sortState ref="A5:P79">
    <sortCondition ref="A4:A79"/>
  </sortState>
  <tableColumns count="16">
    <tableColumn id="1" name="Country" dataDxfId="29"/>
    <tableColumn id="2" name="Yes/No" dataDxfId="28"/>
    <tableColumn id="3" name="IHP+ Country" dataDxfId="27"/>
    <tableColumn id="4" name="Yes/No Aide memoire for meeting in the last year (2010 or later)" dataDxfId="26"/>
    <tableColumn id="5" name="Annual Health Sector review cycle" dataDxfId="25"/>
    <tableColumn id="6" name="Aide memoire of annual review on web" dataDxfId="24"/>
    <tableColumn id="7" name="Source" dataDxfId="23"/>
    <tableColumn id="8" name="MA process in place" dataDxfId="22"/>
    <tableColumn id="9" name="Column1" dataDxfId="21"/>
    <tableColumn id="10" name="Year 1" dataDxfId="20"/>
    <tableColumn id="11" name="Source 1" dataDxfId="19"/>
    <tableColumn id="12" name="Yes/No aide memoire on x drive (2010 or later)" dataDxfId="18"/>
    <tableColumn id="13" name="Aide memoire" dataDxfId="17"/>
    <tableColumn id="14" name="Year" dataDxfId="16"/>
    <tableColumn id="15" name="Source2" dataDxfId="15"/>
    <tableColumn id="16" name="Country has a JAR" dataDxfId="14"/>
  </tableColumns>
  <tableStyleInfo name="Table Style 1" showFirstColumn="0" showLastColumn="0" showRowStripes="1" showColumnStripes="0"/>
</table>
</file>

<file path=xl/tables/table22.xml><?xml version="1.0" encoding="utf-8"?>
<table xmlns="http://schemas.openxmlformats.org/spreadsheetml/2006/main" id="30" name="Table1831" displayName="Table1831" ref="A4:I79" totalsRowShown="0" headerRowDxfId="13" dataDxfId="12">
  <autoFilter ref="A4:I79"/>
  <sortState ref="A5:I79">
    <sortCondition ref="A4:A79"/>
  </sortState>
  <tableColumns count="9">
    <tableColumn id="1" name="Country" dataDxfId="11"/>
    <tableColumn id="2" name="Yes/No Report available 2010 or later" dataDxfId="10"/>
    <tableColumn id="3" name="IHP+ Country" dataDxfId="9"/>
    <tableColumn id="4" name="Health sector progress and performance report on web" dataDxfId="8"/>
    <tableColumn id="5" name="Year1" dataDxfId="7"/>
    <tableColumn id="6" name="Source1" dataDxfId="6"/>
    <tableColumn id="7" name="Progress and performance report" dataDxfId="5"/>
    <tableColumn id="8" name="Year2" dataDxfId="4"/>
    <tableColumn id="9" name="Source2" dataDxfId="3"/>
  </tableColumns>
  <tableStyleInfo name="Table Style 1" showFirstColumn="0" showLastColumn="0" showRowStripes="1" showColumnStripes="0"/>
</table>
</file>

<file path=xl/tables/table3.xml><?xml version="1.0" encoding="utf-8"?>
<table xmlns="http://schemas.openxmlformats.org/spreadsheetml/2006/main" id="2" name="Table2" displayName="Table2" ref="A3:D78" totalsRowShown="0" headerRowDxfId="300" dataDxfId="298" headerRowBorderDxfId="299" tableBorderDxfId="297" totalsRowBorderDxfId="296">
  <autoFilter ref="A3:D78"/>
  <sortState ref="A4:H78">
    <sortCondition ref="A3:A78"/>
  </sortState>
  <tableColumns count="4">
    <tableColumn id="1" name="Country" dataDxfId="295"/>
    <tableColumn id="6" name="Value 1" dataDxfId="294"/>
    <tableColumn id="7" name="Year 2" dataDxfId="293"/>
    <tableColumn id="8" name="Source 2 - COIA Monitoring - need to get from Cathy O'Neil" dataDxfId="292"/>
  </tableColumns>
  <tableStyleInfo name="Table Style 1" showFirstColumn="0" showLastColumn="0" showRowStripes="1" showColumnStripes="0"/>
</table>
</file>

<file path=xl/tables/table4.xml><?xml version="1.0" encoding="utf-8"?>
<table xmlns="http://schemas.openxmlformats.org/spreadsheetml/2006/main" id="22" name="Table323" displayName="Table323" ref="E3:G78" totalsRowShown="0" headerRowDxfId="291" dataDxfId="289" headerRowBorderDxfId="290" tableBorderDxfId="288" totalsRowBorderDxfId="287">
  <autoFilter ref="E3:G78"/>
  <tableColumns count="3">
    <tableColumn id="3" name="Value 1" dataDxfId="286"/>
    <tableColumn id="4" name="Year 1" dataDxfId="285"/>
    <tableColumn id="5" name="Source 1 - COIA Monitoring" dataDxfId="284"/>
  </tableColumns>
  <tableStyleInfo name="Table Style 1" showFirstColumn="0" showLastColumn="0" showRowStripes="1" showColumnStripes="0"/>
</table>
</file>

<file path=xl/tables/table5.xml><?xml version="1.0" encoding="utf-8"?>
<table xmlns="http://schemas.openxmlformats.org/spreadsheetml/2006/main" id="19" name="Table1020" displayName="Table1020" ref="A4:AG79" totalsRowShown="0" headerRowDxfId="283" dataDxfId="281" headerRowBorderDxfId="282" tableBorderDxfId="280">
  <autoFilter ref="A4:AG79"/>
  <sortState ref="A5:AE79">
    <sortCondition ref="A5:A79"/>
  </sortState>
  <tableColumns count="33">
    <tableColumn id="1" name="Country" dataDxfId="279"/>
    <tableColumn id="2" name="Yes/No" dataDxfId="278">
      <calculatedColumnFormula>IF(AND(C5="Yes", K5= "Yes", Y5="Yes"), "Yes", "No")</calculatedColumnFormula>
    </tableColumn>
    <tableColumn id="3" name="Yes/No 1" dataDxfId="277">
      <calculatedColumnFormula>IF(AND(D5&lt;&gt;"", I5&gt;2011), "Yes", "No")</calculatedColumnFormula>
    </tableColumn>
    <tableColumn id="17" name="Value 1.1 (1990)" dataDxfId="276" dataCellStyle="Data">
      <calculatedColumnFormula>Table10[[#This Row],[Value 1.1 (1990)]]</calculatedColumnFormula>
    </tableColumn>
    <tableColumn id="20" name="Value 1.2 (2000)" dataDxfId="275" dataCellStyle="Data">
      <calculatedColumnFormula>Table10[[#This Row],[Value 1.2 (2000)]]</calculatedColumnFormula>
    </tableColumn>
    <tableColumn id="21" name="Value 1.3 (2013)" dataDxfId="274" dataCellStyle="Data">
      <calculatedColumnFormula>Table10[[#This Row],[Value 1.3 (2013)]]</calculatedColumnFormula>
    </tableColumn>
    <tableColumn id="4" name="Target 2015_1" dataDxfId="273">
      <calculatedColumnFormula>Table10[[#This Row],[Target 2015_1]]</calculatedColumnFormula>
    </tableColumn>
    <tableColumn id="5" name="Disaggregations 1" dataDxfId="272"/>
    <tableColumn id="6" name="Year 1" dataDxfId="271"/>
    <tableColumn id="7" name="Source 1" dataDxfId="270"/>
    <tableColumn id="8" name="Yes/No 2" dataDxfId="269">
      <calculatedColumnFormula>IF(AND(L5&lt;&gt;"", W5&gt;2011), "Yes", "No")</calculatedColumnFormula>
    </tableColumn>
    <tableColumn id="18" name="Value 2.1 (1990)" dataDxfId="268">
      <calculatedColumnFormula>Table10[[#This Row],[Value 2.1 (1990)]]</calculatedColumnFormula>
    </tableColumn>
    <tableColumn id="26" name="2.1 Q1" dataDxfId="267"/>
    <tableColumn id="27" name="2.1 Q5" dataDxfId="266"/>
    <tableColumn id="22" name="Value 2.2 (2000)" dataDxfId="265">
      <calculatedColumnFormula>Table10[[#This Row],[Value 2.2 (2000)]]</calculatedColumnFormula>
    </tableColumn>
    <tableColumn id="28" name="2.2 Q1" dataDxfId="264"/>
    <tableColumn id="29" name="2.2 Q5" dataDxfId="263"/>
    <tableColumn id="23" name="Value 2.3 (2013)" dataDxfId="262">
      <calculatedColumnFormula>Table10[[#This Row],[Value 2.3 (2013)]]</calculatedColumnFormula>
    </tableColumn>
    <tableColumn id="30" name="2.3 Q1" dataDxfId="261"/>
    <tableColumn id="31" name="2.3 Q5" dataDxfId="260"/>
    <tableColumn id="9" name="Target 2015_2" dataDxfId="259">
      <calculatedColumnFormula>Table10[[#This Row],[Target 2015_2]]</calculatedColumnFormula>
    </tableColumn>
    <tableColumn id="10" name="Disaggregations 2" dataDxfId="258"/>
    <tableColumn id="11" name="Year 2" dataDxfId="257"/>
    <tableColumn id="12" name="Source 2" dataDxfId="256"/>
    <tableColumn id="13" name="Yes/No 3" dataDxfId="255">
      <calculatedColumnFormula>IF(AND(Z5&lt;&gt;"",Table1020[[#This Row],[year3]]&gt; 2011), "Yes", "No")</calculatedColumnFormula>
    </tableColumn>
    <tableColumn id="19" name="Value 3.1 (1990)" dataDxfId="254">
      <calculatedColumnFormula>Table10[[#This Row],[Value 3.1 (1990)]]</calculatedColumnFormula>
    </tableColumn>
    <tableColumn id="32" name="year" dataDxfId="253">
      <calculatedColumnFormula>Table10[[#This Row],[Year]]</calculatedColumnFormula>
    </tableColumn>
    <tableColumn id="24" name="Value 3.2 (2000)" dataDxfId="252">
      <calculatedColumnFormula>Table10[[#This Row],[Value 3.2 (2000)]]</calculatedColumnFormula>
    </tableColumn>
    <tableColumn id="33" name="year2" dataDxfId="251">
      <calculatedColumnFormula>Table10[[#This Row],[Year2]]</calculatedColumnFormula>
    </tableColumn>
    <tableColumn id="25" name="Value 3.3 (2012)" dataDxfId="250">
      <calculatedColumnFormula>Table10[[#This Row],[Value 3.3 (2012)]]</calculatedColumnFormula>
    </tableColumn>
    <tableColumn id="34" name="year3" dataDxfId="249">
      <calculatedColumnFormula>Table10[[#This Row],[Year3]]</calculatedColumnFormula>
    </tableColumn>
    <tableColumn id="14" name="Disaggregations 3" dataDxfId="248"/>
    <tableColumn id="16" name="Source 3" dataDxfId="247"/>
  </tableColumns>
  <tableStyleInfo name="Table Style 1" showFirstColumn="0" showLastColumn="0" showRowStripes="1" showColumnStripes="0"/>
</table>
</file>

<file path=xl/tables/table6.xml><?xml version="1.0" encoding="utf-8"?>
<table xmlns="http://schemas.openxmlformats.org/spreadsheetml/2006/main" id="20" name="Table921" displayName="Table921" ref="A4:AI79" totalsRowShown="0" headerRowDxfId="246" dataDxfId="244" headerRowBorderDxfId="245" tableBorderDxfId="243">
  <autoFilter ref="A4:AI79"/>
  <sortState ref="A5:AJ79">
    <sortCondition ref="A4:A79"/>
  </sortState>
  <tableColumns count="35">
    <tableColumn id="1" name="Country" dataDxfId="242"/>
    <tableColumn id="2" name="Yes/No" dataDxfId="241">
      <calculatedColumnFormula>IF(AND(D5= "Yes", H5= "Yes", L5= "Yes", P5= "Yes", T5= "Yes", X5= "Yes", AB5= "Yes", AF5= "Yes"), "Yes", "No")</calculatedColumnFormula>
    </tableColumn>
    <tableColumn id="3" name="Source/Year" dataDxfId="240"/>
    <tableColumn id="4" name="Yes/No 1" dataDxfId="239">
      <calculatedColumnFormula>IF(AND(E5&lt;&gt; "", F5&gt;2009), "Yes", "No")</calculatedColumnFormula>
    </tableColumn>
    <tableColumn id="29" name="Value 1" dataDxfId="238">
      <calculatedColumnFormula>Table9[[#This Row],[National Average]]</calculatedColumnFormula>
    </tableColumn>
    <tableColumn id="5" name="Year 1" dataDxfId="237">
      <calculatedColumnFormula>Table9[[#This Row],[Year 1]]</calculatedColumnFormula>
    </tableColumn>
    <tableColumn id="6" name="Source 1" dataDxfId="236"/>
    <tableColumn id="7" name="Yes/No 2" dataDxfId="235">
      <calculatedColumnFormula>IF(AND(I5&lt;&gt; "", J5&gt;2012), "Yes", "No")</calculatedColumnFormula>
    </tableColumn>
    <tableColumn id="30" name="Value 2" dataDxfId="234">
      <calculatedColumnFormula>Table9[[#This Row],[National Average2]]</calculatedColumnFormula>
    </tableColumn>
    <tableColumn id="8" name="Year 2" dataDxfId="233">
      <calculatedColumnFormula>Table9[[#This Row],[Year 2]]</calculatedColumnFormula>
    </tableColumn>
    <tableColumn id="9" name="Source 2" dataDxfId="232"/>
    <tableColumn id="10" name="Yes/No 3" dataDxfId="231">
      <calculatedColumnFormula>IF(AND(M5&lt;&gt; "", N5&gt;2012), "Yes", "No")</calculatedColumnFormula>
    </tableColumn>
    <tableColumn id="31" name="Value 3" dataDxfId="230">
      <calculatedColumnFormula>Table9[[#This Row],[National Average3]]</calculatedColumnFormula>
    </tableColumn>
    <tableColumn id="11" name="Year 3" dataDxfId="229">
      <calculatedColumnFormula>Table9[[#This Row],[Year 3]]</calculatedColumnFormula>
    </tableColumn>
    <tableColumn id="12" name="Source 3" dataDxfId="228"/>
    <tableColumn id="13" name="Yes/No 4" dataDxfId="227">
      <calculatedColumnFormula>IF(AND(Q5&lt;&gt; "", R5&gt;2009), "Yes", "No")</calculatedColumnFormula>
    </tableColumn>
    <tableColumn id="32" name="Value 4" dataDxfId="226">
      <calculatedColumnFormula>Table9[[#This Row],[National Average4]]</calculatedColumnFormula>
    </tableColumn>
    <tableColumn id="14" name="Year 4" dataDxfId="225">
      <calculatedColumnFormula>Table9[[#This Row],[Year 4]]</calculatedColumnFormula>
    </tableColumn>
    <tableColumn id="15" name="Source 4" dataDxfId="224"/>
    <tableColumn id="16" name="Yes/No 5" dataDxfId="223">
      <calculatedColumnFormula>IF(AND(U5&lt;&gt; "", V5&gt;2012), "Yes", "No")</calculatedColumnFormula>
    </tableColumn>
    <tableColumn id="33" name="Value 5" dataDxfId="222">
      <calculatedColumnFormula>Table9[[#This Row],[National Average5]]</calculatedColumnFormula>
    </tableColumn>
    <tableColumn id="17" name="Year 5" dataDxfId="221">
      <calculatedColumnFormula>Table9[[#This Row],[Year 5]]</calculatedColumnFormula>
    </tableColumn>
    <tableColumn id="18" name="Source 5" dataDxfId="220"/>
    <tableColumn id="19" name="Yes/No 6" dataDxfId="219">
      <calculatedColumnFormula>IF(AND(Y5&lt;&gt; "", Z5&gt;2012), "Yes", "No")</calculatedColumnFormula>
    </tableColumn>
    <tableColumn id="34" name="Value 6" dataDxfId="218">
      <calculatedColumnFormula>Table9[[#This Row],[National Average6]]</calculatedColumnFormula>
    </tableColumn>
    <tableColumn id="20" name="Year 6" dataDxfId="217">
      <calculatedColumnFormula>Table9[[#This Row],[Year 6]]</calculatedColumnFormula>
    </tableColumn>
    <tableColumn id="21" name="Source 6" dataDxfId="216"/>
    <tableColumn id="22" name="Yes/No 7" dataDxfId="215">
      <calculatedColumnFormula>IF(AND(AC5&lt;&gt; "", AD5&gt;2009), "Yes", "No")</calculatedColumnFormula>
    </tableColumn>
    <tableColumn id="35" name="Value 7" dataDxfId="214">
      <calculatedColumnFormula>Table9[[#This Row],[National Average7]]</calculatedColumnFormula>
    </tableColumn>
    <tableColumn id="23" name="Year 7" dataDxfId="213">
      <calculatedColumnFormula>Table9[[#This Row],[Year 7]]</calculatedColumnFormula>
    </tableColumn>
    <tableColumn id="24" name="Source 7" dataDxfId="212"/>
    <tableColumn id="25" name="Yes/No 8" dataDxfId="211">
      <calculatedColumnFormula>IF(AND(AG5&lt;&gt; "", AH5&gt;2012), "Yes", "No")</calculatedColumnFormula>
    </tableColumn>
    <tableColumn id="36" name="Value 8" dataDxfId="210">
      <calculatedColumnFormula>Table9[[#This Row],[National Average8]]</calculatedColumnFormula>
    </tableColumn>
    <tableColumn id="26" name="Year 8" dataDxfId="209">
      <calculatedColumnFormula>Table9[[#This Row],[Year 8]]</calculatedColumnFormula>
    </tableColumn>
    <tableColumn id="27" name="Source 8" dataDxfId="208"/>
  </tableColumns>
  <tableStyleInfo name="Table Style 1" showFirstColumn="0" showLastColumn="0" showRowStripes="1" showColumnStripes="0"/>
</table>
</file>

<file path=xl/tables/table7.xml><?xml version="1.0" encoding="utf-8"?>
<table xmlns="http://schemas.openxmlformats.org/spreadsheetml/2006/main" id="1" name="Table1" displayName="Table1" ref="A4:F79" totalsRowShown="0" headerRowDxfId="207" dataDxfId="205" headerRowBorderDxfId="206" tableBorderDxfId="204">
  <autoFilter ref="A4:F79"/>
  <sortState ref="A5:I79">
    <sortCondition ref="A4:A79"/>
  </sortState>
  <tableColumns count="6">
    <tableColumn id="1" name="Country" dataDxfId="203"/>
    <tableColumn id="2" name="Yes/No" dataDxfId="202"/>
    <tableColumn id="3" name="Value 1" dataDxfId="201"/>
    <tableColumn id="4" name="Value 2" dataDxfId="200"/>
    <tableColumn id="5" name="Year 2" dataDxfId="199"/>
    <tableColumn id="6" name="Source 1 and 2" dataDxfId="198"/>
  </tableColumns>
  <tableStyleInfo name="Table Style 1" showFirstColumn="0" showLastColumn="0" showRowStripes="1" showColumnStripes="0"/>
</table>
</file>

<file path=xl/tables/table8.xml><?xml version="1.0" encoding="utf-8"?>
<table xmlns="http://schemas.openxmlformats.org/spreadsheetml/2006/main" id="15" name="Table15" displayName="Table15" ref="A4:F79" totalsRowShown="0" headerRowDxfId="197" dataDxfId="195" headerRowBorderDxfId="196" tableBorderDxfId="194">
  <autoFilter ref="A4:F79"/>
  <sortState ref="A5:M79">
    <sortCondition ref="A4:A79"/>
  </sortState>
  <tableColumns count="6">
    <tableColumn id="1" name="Country" dataDxfId="193"/>
    <tableColumn id="2" name="Yes/No" dataDxfId="192"/>
    <tableColumn id="3" name="Year" dataDxfId="191"/>
    <tableColumn id="7" name="Source 1" dataDxfId="190"/>
    <tableColumn id="12" name="Year 22" dataDxfId="189"/>
    <tableColumn id="13" name="Source 22" dataDxfId="188"/>
  </tableColumns>
  <tableStyleInfo name="Table Style 1" showFirstColumn="0" showLastColumn="0" showRowStripes="1" showColumnStripes="0"/>
</table>
</file>

<file path=xl/tables/table9.xml><?xml version="1.0" encoding="utf-8"?>
<table xmlns="http://schemas.openxmlformats.org/spreadsheetml/2006/main" id="11" name="Table11" displayName="Table11" ref="A4:E79" totalsRowShown="0" headerRowDxfId="187" dataDxfId="186">
  <autoFilter ref="A4:E79"/>
  <sortState ref="A5:E79">
    <sortCondition ref="A5:A79"/>
  </sortState>
  <tableColumns count="5">
    <tableColumn id="1" name="Country" dataDxfId="185"/>
    <tableColumn id="2" name="Tracked by financing source (Yes/No)" dataDxfId="184"/>
    <tableColumn id="3" name="Value 1" dataDxfId="183" dataCellStyle="Data"/>
    <tableColumn id="4" name="Year 1" dataDxfId="182" dataCellStyle="Header"/>
    <tableColumn id="7" name="Source1/2" dataDxfId="181"/>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0.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9.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0.xml"/><Relationship Id="rId1" Type="http://schemas.openxmlformats.org/officeDocument/2006/relationships/vmlDrawing" Target="../drawings/vmlDrawing4.v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9.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2"/>
  <sheetViews>
    <sheetView workbookViewId="0">
      <pane xSplit="1" ySplit="2" topLeftCell="H63" activePane="bottomRight" state="frozen"/>
      <selection pane="topRight" activeCell="B1" sqref="B1"/>
      <selection pane="bottomLeft" activeCell="A3" sqref="A3"/>
      <selection pane="bottomRight" activeCell="H63" sqref="H63"/>
    </sheetView>
  </sheetViews>
  <sheetFormatPr defaultColWidth="14.140625" defaultRowHeight="12" x14ac:dyDescent="0.2"/>
  <cols>
    <col min="1" max="1" width="32" style="1" customWidth="1"/>
    <col min="2" max="16384" width="14.140625" style="1"/>
  </cols>
  <sheetData>
    <row r="2" spans="1:22" s="2" customFormat="1" ht="60" x14ac:dyDescent="0.2">
      <c r="A2" s="103"/>
      <c r="B2" s="103" t="s">
        <v>372</v>
      </c>
      <c r="C2" s="104" t="s">
        <v>229</v>
      </c>
      <c r="D2" s="103" t="s">
        <v>373</v>
      </c>
      <c r="E2" s="104" t="s">
        <v>229</v>
      </c>
      <c r="F2" s="103" t="s">
        <v>794</v>
      </c>
      <c r="G2" s="104" t="s">
        <v>229</v>
      </c>
      <c r="H2" s="103" t="s">
        <v>374</v>
      </c>
      <c r="I2" s="104" t="s">
        <v>229</v>
      </c>
      <c r="J2" s="103" t="s">
        <v>385</v>
      </c>
      <c r="K2" s="104" t="s">
        <v>229</v>
      </c>
      <c r="L2" s="103" t="s">
        <v>386</v>
      </c>
      <c r="M2" s="104" t="s">
        <v>229</v>
      </c>
      <c r="N2" s="103" t="s">
        <v>387</v>
      </c>
      <c r="O2" s="104" t="s">
        <v>229</v>
      </c>
      <c r="P2" s="103" t="s">
        <v>416</v>
      </c>
      <c r="Q2" s="104" t="s">
        <v>815</v>
      </c>
      <c r="R2" s="104" t="s">
        <v>816</v>
      </c>
      <c r="S2" s="104" t="s">
        <v>817</v>
      </c>
      <c r="T2" s="104" t="s">
        <v>818</v>
      </c>
      <c r="U2" s="104" t="s">
        <v>819</v>
      </c>
      <c r="V2" s="104" t="s">
        <v>229</v>
      </c>
    </row>
    <row r="3" spans="1:22" s="2" customFormat="1" ht="12" customHeight="1" x14ac:dyDescent="0.2">
      <c r="A3" s="108" t="s">
        <v>227</v>
      </c>
      <c r="B3" s="111" t="s">
        <v>429</v>
      </c>
      <c r="C3" s="110" t="s">
        <v>431</v>
      </c>
      <c r="D3" s="111" t="s">
        <v>796</v>
      </c>
      <c r="E3" s="109"/>
      <c r="F3" s="111" t="s">
        <v>430</v>
      </c>
      <c r="G3" s="109" t="s">
        <v>432</v>
      </c>
      <c r="H3" s="182" t="s">
        <v>451</v>
      </c>
      <c r="I3" s="183"/>
      <c r="J3" s="182" t="s">
        <v>433</v>
      </c>
      <c r="K3" s="183"/>
      <c r="L3" s="179" t="s">
        <v>434</v>
      </c>
      <c r="M3" s="180"/>
      <c r="N3" s="179" t="s">
        <v>435</v>
      </c>
      <c r="O3" s="180"/>
      <c r="P3" s="179" t="str">
        <f t="shared" ref="P3" si="0">L9</f>
        <v>YES</v>
      </c>
      <c r="Q3" s="181"/>
      <c r="R3" s="181"/>
      <c r="S3" s="181"/>
      <c r="T3" s="181"/>
      <c r="U3" s="181"/>
      <c r="V3" s="180"/>
    </row>
    <row r="4" spans="1:22" ht="12.75" x14ac:dyDescent="0.2">
      <c r="A4" s="105" t="s">
        <v>0</v>
      </c>
      <c r="B4" s="117" t="s">
        <v>449</v>
      </c>
      <c r="C4" s="106">
        <v>2013</v>
      </c>
      <c r="D4" s="117"/>
      <c r="E4" s="106"/>
      <c r="F4" s="117" t="s">
        <v>450</v>
      </c>
      <c r="G4" s="106">
        <v>2013</v>
      </c>
      <c r="H4" s="117" t="s">
        <v>790</v>
      </c>
      <c r="I4" s="106"/>
      <c r="J4" s="117" t="s">
        <v>446</v>
      </c>
      <c r="L4" s="106"/>
      <c r="M4" s="106"/>
      <c r="N4" s="106"/>
      <c r="O4" s="106"/>
      <c r="P4" s="106"/>
      <c r="Q4" s="155"/>
      <c r="R4" s="155"/>
      <c r="S4" s="155"/>
      <c r="T4" s="155"/>
      <c r="U4" s="155"/>
      <c r="V4" s="152"/>
    </row>
    <row r="5" spans="1:22" ht="15" x14ac:dyDescent="0.25">
      <c r="A5" s="106" t="s">
        <v>3</v>
      </c>
      <c r="B5" s="119" t="s">
        <v>455</v>
      </c>
      <c r="C5" s="106"/>
      <c r="D5" s="106">
        <v>4847</v>
      </c>
      <c r="E5" s="106">
        <v>2014</v>
      </c>
      <c r="F5" s="119" t="s">
        <v>534</v>
      </c>
      <c r="G5" s="106"/>
      <c r="H5" s="123">
        <v>117.473</v>
      </c>
      <c r="I5" s="106"/>
      <c r="J5" s="124" t="s">
        <v>792</v>
      </c>
      <c r="K5" s="124" t="s">
        <v>721</v>
      </c>
      <c r="L5" s="154" t="s">
        <v>185</v>
      </c>
      <c r="M5" s="106"/>
      <c r="N5" s="147" t="str">
        <f>Table9[[#This Row],[National Average]]</f>
        <v>n/a</v>
      </c>
      <c r="O5" s="106">
        <f>Table9[[#This Row],[Year 1]]</f>
        <v>2010</v>
      </c>
      <c r="P5" s="106">
        <f t="shared" ref="P5:P68" si="1">COUNTIF(Q5:U5,"x")</f>
        <v>1</v>
      </c>
      <c r="Q5" s="155" t="s">
        <v>812</v>
      </c>
      <c r="R5" s="155" t="s">
        <v>813</v>
      </c>
      <c r="S5" s="155" t="s">
        <v>813</v>
      </c>
      <c r="T5" s="155" t="s">
        <v>813</v>
      </c>
      <c r="U5" s="155" t="s">
        <v>813</v>
      </c>
      <c r="V5" s="120">
        <v>2011</v>
      </c>
    </row>
    <row r="6" spans="1:22" ht="15" x14ac:dyDescent="0.25">
      <c r="A6" s="106" t="s">
        <v>4</v>
      </c>
      <c r="B6" s="119" t="s">
        <v>456</v>
      </c>
      <c r="C6" s="106"/>
      <c r="D6" s="106">
        <v>4072</v>
      </c>
      <c r="E6" s="106">
        <v>2014</v>
      </c>
      <c r="F6" s="119" t="s">
        <v>535</v>
      </c>
      <c r="G6" s="106"/>
      <c r="H6" s="123">
        <v>192.251</v>
      </c>
      <c r="I6" s="106"/>
      <c r="J6" s="120">
        <v>1.8259999999999998</v>
      </c>
      <c r="K6" s="124" t="s">
        <v>716</v>
      </c>
      <c r="L6" s="154" t="s">
        <v>811</v>
      </c>
      <c r="M6" s="106"/>
      <c r="N6" s="147" t="str">
        <f>Table9[[#This Row],[National Average]]</f>
        <v>No data</v>
      </c>
      <c r="O6" s="106"/>
      <c r="P6" s="106">
        <f t="shared" si="1"/>
        <v>1</v>
      </c>
      <c r="Q6" s="155" t="s">
        <v>812</v>
      </c>
      <c r="R6" s="155" t="s">
        <v>813</v>
      </c>
      <c r="S6" s="155" t="s">
        <v>813</v>
      </c>
      <c r="T6" s="155" t="s">
        <v>813</v>
      </c>
      <c r="U6" s="155" t="s">
        <v>813</v>
      </c>
      <c r="V6" s="120">
        <v>2011</v>
      </c>
    </row>
    <row r="7" spans="1:22" ht="15" x14ac:dyDescent="0.25">
      <c r="A7" s="106" t="s">
        <v>5</v>
      </c>
      <c r="B7" s="119" t="s">
        <v>457</v>
      </c>
      <c r="C7" s="106"/>
      <c r="D7" s="106">
        <v>796</v>
      </c>
      <c r="E7" s="106">
        <v>2014</v>
      </c>
      <c r="F7" s="119" t="s">
        <v>536</v>
      </c>
      <c r="G7" s="106"/>
      <c r="H7" s="123">
        <v>40.503999999999998</v>
      </c>
      <c r="I7" s="106"/>
      <c r="J7" s="106">
        <v>9.9409999999999989</v>
      </c>
      <c r="K7" s="124" t="s">
        <v>721</v>
      </c>
      <c r="L7" s="154" t="s">
        <v>811</v>
      </c>
      <c r="M7" s="106"/>
      <c r="N7" s="147">
        <f>Table9[[#This Row],[National Average]]</f>
        <v>69.357120990799999</v>
      </c>
      <c r="O7" s="106">
        <f>Table9[[#This Row],[Year 1]]</f>
        <v>2006</v>
      </c>
      <c r="P7" s="106">
        <f t="shared" si="1"/>
        <v>5</v>
      </c>
      <c r="Q7" s="155" t="s">
        <v>812</v>
      </c>
      <c r="R7" s="155" t="s">
        <v>812</v>
      </c>
      <c r="S7" s="155" t="s">
        <v>812</v>
      </c>
      <c r="T7" s="155" t="s">
        <v>812</v>
      </c>
      <c r="U7" s="155" t="s">
        <v>812</v>
      </c>
      <c r="V7" s="120">
        <v>2011</v>
      </c>
    </row>
    <row r="8" spans="1:22" ht="15" x14ac:dyDescent="0.25">
      <c r="A8" s="106" t="s">
        <v>6</v>
      </c>
      <c r="B8" s="119" t="s">
        <v>458</v>
      </c>
      <c r="C8" s="106"/>
      <c r="D8" s="106">
        <v>15216</v>
      </c>
      <c r="E8" s="106">
        <v>2014</v>
      </c>
      <c r="F8" s="119" t="s">
        <v>537</v>
      </c>
      <c r="G8" s="106"/>
      <c r="H8" s="123">
        <v>88.686999999999998</v>
      </c>
      <c r="I8" s="106"/>
      <c r="J8" s="106">
        <v>0.57399999999999995</v>
      </c>
      <c r="K8" s="124" t="s">
        <v>715</v>
      </c>
      <c r="L8" s="154" t="s">
        <v>185</v>
      </c>
      <c r="M8" s="106"/>
      <c r="N8" s="147">
        <f>Table9[[#This Row],[National Average]]</f>
        <v>84.322559833499994</v>
      </c>
      <c r="O8" s="106">
        <f>Table9[[#This Row],[Year 1]]</f>
        <v>2011</v>
      </c>
      <c r="P8" s="106">
        <f t="shared" si="1"/>
        <v>1</v>
      </c>
      <c r="Q8" s="155" t="s">
        <v>812</v>
      </c>
      <c r="R8" s="155" t="s">
        <v>813</v>
      </c>
      <c r="S8" s="155" t="s">
        <v>813</v>
      </c>
      <c r="T8" s="155" t="s">
        <v>813</v>
      </c>
      <c r="U8" s="155" t="s">
        <v>813</v>
      </c>
      <c r="V8" s="120">
        <v>2011</v>
      </c>
    </row>
    <row r="9" spans="1:22" ht="15" x14ac:dyDescent="0.25">
      <c r="A9" s="106" t="s">
        <v>7</v>
      </c>
      <c r="B9" s="119" t="s">
        <v>459</v>
      </c>
      <c r="C9" s="106"/>
      <c r="D9" s="106">
        <v>1681</v>
      </c>
      <c r="E9" s="106">
        <v>2014</v>
      </c>
      <c r="F9" s="119" t="s">
        <v>538</v>
      </c>
      <c r="G9" s="106"/>
      <c r="H9" s="123">
        <v>105.101</v>
      </c>
      <c r="I9" s="106"/>
      <c r="J9" s="106">
        <v>0.83000000000000007</v>
      </c>
      <c r="K9" s="124" t="s">
        <v>718</v>
      </c>
      <c r="L9" s="154" t="str">
        <f>IF(K9&gt;1,"YES","PARTIAL")</f>
        <v>YES</v>
      </c>
      <c r="M9" s="106"/>
      <c r="N9" s="147">
        <f>Table9[[#This Row],[National Average]]</f>
        <v>28.430620000000001</v>
      </c>
      <c r="O9" s="106">
        <f>Table9[[#This Row],[Year 1]]</f>
        <v>2011</v>
      </c>
      <c r="P9" s="106">
        <f t="shared" si="1"/>
        <v>3</v>
      </c>
      <c r="Q9" s="155" t="s">
        <v>812</v>
      </c>
      <c r="R9" s="155" t="s">
        <v>812</v>
      </c>
      <c r="S9" s="155" t="s">
        <v>812</v>
      </c>
      <c r="T9" s="155" t="s">
        <v>813</v>
      </c>
      <c r="U9" s="155" t="s">
        <v>813</v>
      </c>
      <c r="V9" s="120">
        <v>2011</v>
      </c>
    </row>
    <row r="10" spans="1:22" ht="15" x14ac:dyDescent="0.25">
      <c r="A10" s="106" t="s">
        <v>8</v>
      </c>
      <c r="B10" s="119" t="s">
        <v>460</v>
      </c>
      <c r="C10" s="106"/>
      <c r="D10" s="106">
        <v>1296</v>
      </c>
      <c r="E10" s="106">
        <v>2014</v>
      </c>
      <c r="F10" s="119" t="s">
        <v>539</v>
      </c>
      <c r="G10" s="106"/>
      <c r="H10" s="123">
        <v>78.197999999999993</v>
      </c>
      <c r="I10" s="106"/>
      <c r="J10" s="106">
        <v>1.4779999999999998</v>
      </c>
      <c r="K10" s="124" t="s">
        <v>715</v>
      </c>
      <c r="L10" s="154" t="str">
        <f>IF(K10&gt;1,"YES","PARTIAL")</f>
        <v>YES</v>
      </c>
      <c r="M10" s="106"/>
      <c r="N10" s="147">
        <f>Table9[[#This Row],[National Average]]</f>
        <v>74.994605779599993</v>
      </c>
      <c r="O10" s="106">
        <f>Table9[[#This Row],[Year 1]]</f>
        <v>2008</v>
      </c>
      <c r="P10" s="106">
        <f t="shared" si="1"/>
        <v>3</v>
      </c>
      <c r="Q10" s="155" t="s">
        <v>812</v>
      </c>
      <c r="R10" s="155" t="s">
        <v>812</v>
      </c>
      <c r="S10" s="155" t="s">
        <v>812</v>
      </c>
      <c r="T10" s="155" t="s">
        <v>813</v>
      </c>
      <c r="U10" s="155" t="s">
        <v>813</v>
      </c>
      <c r="V10" s="120">
        <v>2011</v>
      </c>
    </row>
    <row r="11" spans="1:22" ht="15" x14ac:dyDescent="0.25">
      <c r="A11" s="106" t="s">
        <v>9</v>
      </c>
      <c r="B11" s="119" t="s">
        <v>461</v>
      </c>
      <c r="C11" s="106"/>
      <c r="D11" s="106">
        <v>230</v>
      </c>
      <c r="E11" s="106">
        <v>2014</v>
      </c>
      <c r="F11" s="119" t="s">
        <v>540</v>
      </c>
      <c r="G11" s="106"/>
      <c r="H11" s="123">
        <v>52.128</v>
      </c>
      <c r="I11" s="106"/>
      <c r="J11" s="106">
        <v>3.7450000000000001</v>
      </c>
      <c r="K11" s="124" t="s">
        <v>716</v>
      </c>
      <c r="L11" s="154" t="str">
        <f>IF(K11&gt;1,"YES","PARTIAL")</f>
        <v>YES</v>
      </c>
      <c r="M11" s="106"/>
      <c r="N11" s="147" t="str">
        <f>Table9[[#This Row],[National Average]]</f>
        <v>No data</v>
      </c>
      <c r="O11" s="106"/>
      <c r="P11" s="106">
        <f t="shared" si="1"/>
        <v>3</v>
      </c>
      <c r="Q11" s="155" t="s">
        <v>812</v>
      </c>
      <c r="R11" s="155" t="s">
        <v>812</v>
      </c>
      <c r="S11" s="155" t="s">
        <v>812</v>
      </c>
      <c r="T11" s="155" t="s">
        <v>813</v>
      </c>
      <c r="U11" s="155" t="s">
        <v>813</v>
      </c>
      <c r="V11" s="120">
        <v>2011</v>
      </c>
    </row>
    <row r="12" spans="1:22" ht="15" x14ac:dyDescent="0.25">
      <c r="A12" s="106" t="s">
        <v>10</v>
      </c>
      <c r="B12" s="119" t="s">
        <v>462</v>
      </c>
      <c r="C12" s="106"/>
      <c r="D12" s="106">
        <v>14796</v>
      </c>
      <c r="E12" s="106">
        <v>2014</v>
      </c>
      <c r="F12" s="119" t="s">
        <v>541</v>
      </c>
      <c r="G12" s="106"/>
      <c r="H12" s="123">
        <v>75.578000000000003</v>
      </c>
      <c r="I12" s="106"/>
      <c r="J12" s="106">
        <v>9.4920000000000009</v>
      </c>
      <c r="K12" s="124" t="s">
        <v>721</v>
      </c>
      <c r="L12" s="154" t="str">
        <f>IF(K12&gt;1,"YES","PARTIAL")</f>
        <v>YES</v>
      </c>
      <c r="M12" s="106"/>
      <c r="N12" s="147" t="str">
        <f>Table9[[#This Row],[National Average]]</f>
        <v>n/a</v>
      </c>
      <c r="O12" s="106">
        <f>Table9[[#This Row],[Year 1]]</f>
        <v>2006</v>
      </c>
      <c r="P12" s="106">
        <f t="shared" si="1"/>
        <v>1</v>
      </c>
      <c r="Q12" s="155" t="s">
        <v>812</v>
      </c>
      <c r="R12" s="155" t="s">
        <v>813</v>
      </c>
      <c r="S12" s="155" t="s">
        <v>813</v>
      </c>
      <c r="T12" s="155" t="s">
        <v>813</v>
      </c>
      <c r="U12" s="155" t="s">
        <v>813</v>
      </c>
      <c r="V12" s="120">
        <v>2011</v>
      </c>
    </row>
    <row r="13" spans="1:22" ht="15" x14ac:dyDescent="0.25">
      <c r="A13" s="106" t="s">
        <v>11</v>
      </c>
      <c r="B13" s="119" t="s">
        <v>463</v>
      </c>
      <c r="C13" s="106"/>
      <c r="D13" s="106">
        <v>3031</v>
      </c>
      <c r="E13" s="106">
        <v>2014</v>
      </c>
      <c r="F13" s="119" t="s">
        <v>542</v>
      </c>
      <c r="G13" s="106"/>
      <c r="H13" s="123">
        <v>129.65100000000001</v>
      </c>
      <c r="I13" s="106"/>
      <c r="J13" s="106">
        <v>0.61199999999999999</v>
      </c>
      <c r="K13" s="124" t="s">
        <v>719</v>
      </c>
      <c r="L13" s="154" t="str">
        <f>IF(K13&gt;1,"YES","PARTIAL")</f>
        <v>YES</v>
      </c>
      <c r="M13" s="106"/>
      <c r="N13" s="147">
        <f>Table9[[#This Row],[National Average]]</f>
        <v>39.765071868900002</v>
      </c>
      <c r="O13" s="106">
        <f>Table9[[#This Row],[Year 1]]</f>
        <v>2010</v>
      </c>
      <c r="P13" s="106">
        <f t="shared" si="1"/>
        <v>3</v>
      </c>
      <c r="Q13" s="155" t="s">
        <v>812</v>
      </c>
      <c r="R13" s="155" t="s">
        <v>812</v>
      </c>
      <c r="S13" s="155" t="s">
        <v>812</v>
      </c>
      <c r="T13" s="155" t="s">
        <v>813</v>
      </c>
      <c r="U13" s="155" t="s">
        <v>813</v>
      </c>
      <c r="V13" s="120">
        <v>2011</v>
      </c>
    </row>
    <row r="14" spans="1:22" ht="15" x14ac:dyDescent="0.25">
      <c r="A14" s="106" t="s">
        <v>12</v>
      </c>
      <c r="B14" s="119" t="s">
        <v>464</v>
      </c>
      <c r="C14" s="106"/>
      <c r="D14" s="106">
        <v>1947</v>
      </c>
      <c r="E14" s="106">
        <v>2014</v>
      </c>
      <c r="F14" s="119" t="s">
        <v>543</v>
      </c>
      <c r="G14" s="106"/>
      <c r="H14" s="123">
        <v>33.527999999999999</v>
      </c>
      <c r="I14" s="106"/>
      <c r="J14" s="106" t="s">
        <v>791</v>
      </c>
      <c r="K14" s="124" t="s">
        <v>715</v>
      </c>
      <c r="L14" s="154" t="s">
        <v>811</v>
      </c>
      <c r="M14" s="106"/>
      <c r="N14" s="147">
        <f>Table9[[#This Row],[National Average]]</f>
        <v>40.291142463700005</v>
      </c>
      <c r="O14" s="106">
        <f>Table9[[#This Row],[Year 1]]</f>
        <v>2010</v>
      </c>
      <c r="P14" s="106">
        <f t="shared" si="1"/>
        <v>3</v>
      </c>
      <c r="Q14" s="155" t="s">
        <v>812</v>
      </c>
      <c r="R14" s="155" t="s">
        <v>812</v>
      </c>
      <c r="S14" s="155" t="s">
        <v>812</v>
      </c>
      <c r="T14" s="155" t="s">
        <v>813</v>
      </c>
      <c r="U14" s="155" t="s">
        <v>813</v>
      </c>
      <c r="V14" s="120">
        <v>2011</v>
      </c>
    </row>
    <row r="15" spans="1:22" ht="15" x14ac:dyDescent="0.25">
      <c r="A15" s="106" t="s">
        <v>13</v>
      </c>
      <c r="B15" s="119" t="s">
        <v>465</v>
      </c>
      <c r="C15" s="106"/>
      <c r="D15" s="106">
        <v>1751</v>
      </c>
      <c r="E15" s="106">
        <v>2014</v>
      </c>
      <c r="F15" s="119" t="s">
        <v>544</v>
      </c>
      <c r="G15" s="106"/>
      <c r="H15" s="123">
        <v>46.978000000000002</v>
      </c>
      <c r="I15" s="106"/>
      <c r="J15" s="106">
        <v>0.96000000000000008</v>
      </c>
      <c r="K15" s="124" t="s">
        <v>717</v>
      </c>
      <c r="L15" s="154" t="str">
        <f>IF(K15&gt;1,"YES","PARTIAL")</f>
        <v>YES</v>
      </c>
      <c r="M15" s="106"/>
      <c r="N15" s="147">
        <f>Table9[[#This Row],[National Average]]</f>
        <v>75.5851626396</v>
      </c>
      <c r="O15" s="106">
        <f>Table9[[#This Row],[Year 1]]</f>
        <v>2010</v>
      </c>
      <c r="P15" s="106">
        <f t="shared" si="1"/>
        <v>5</v>
      </c>
      <c r="Q15" s="155" t="s">
        <v>812</v>
      </c>
      <c r="R15" s="155" t="s">
        <v>812</v>
      </c>
      <c r="S15" s="155" t="s">
        <v>812</v>
      </c>
      <c r="T15" s="155" t="s">
        <v>812</v>
      </c>
      <c r="U15" s="155" t="s">
        <v>812</v>
      </c>
      <c r="V15" s="120">
        <v>2011</v>
      </c>
    </row>
    <row r="16" spans="1:22" ht="15" x14ac:dyDescent="0.25">
      <c r="A16" s="106" t="s">
        <v>14</v>
      </c>
      <c r="B16" s="119" t="s">
        <v>466</v>
      </c>
      <c r="C16" s="106"/>
      <c r="D16" s="106">
        <v>3686</v>
      </c>
      <c r="E16" s="106">
        <v>2014</v>
      </c>
      <c r="F16" s="119" t="s">
        <v>545</v>
      </c>
      <c r="G16" s="106"/>
      <c r="H16" s="123">
        <v>130.721</v>
      </c>
      <c r="I16" s="106"/>
      <c r="J16" s="106">
        <v>0.51500000000000001</v>
      </c>
      <c r="K16" s="124" t="s">
        <v>716</v>
      </c>
      <c r="L16" s="154" t="s">
        <v>185</v>
      </c>
      <c r="M16" s="106"/>
      <c r="N16" s="147">
        <f>Table9[[#This Row],[National Average]]</f>
        <v>49.866169691099998</v>
      </c>
      <c r="O16" s="106">
        <f>Table9[[#This Row],[Year 1]]</f>
        <v>2011</v>
      </c>
      <c r="P16" s="106">
        <f t="shared" si="1"/>
        <v>3</v>
      </c>
      <c r="Q16" s="155" t="s">
        <v>812</v>
      </c>
      <c r="R16" s="155" t="s">
        <v>812</v>
      </c>
      <c r="S16" s="155" t="s">
        <v>812</v>
      </c>
      <c r="T16" s="155" t="s">
        <v>813</v>
      </c>
      <c r="U16" s="155" t="s">
        <v>813</v>
      </c>
      <c r="V16" s="120">
        <v>2011</v>
      </c>
    </row>
    <row r="17" spans="1:22" ht="15" x14ac:dyDescent="0.25">
      <c r="A17" s="106" t="s">
        <v>15</v>
      </c>
      <c r="B17" s="119" t="s">
        <v>467</v>
      </c>
      <c r="C17" s="106"/>
      <c r="D17" s="106">
        <v>685</v>
      </c>
      <c r="E17" s="106">
        <v>2014</v>
      </c>
      <c r="F17" s="119" t="s">
        <v>546</v>
      </c>
      <c r="G17" s="106"/>
      <c r="H17" s="123">
        <v>106.623</v>
      </c>
      <c r="I17" s="106"/>
      <c r="J17" s="106">
        <v>0.30499999999999999</v>
      </c>
      <c r="K17" s="124" t="s">
        <v>716</v>
      </c>
      <c r="L17" s="154" t="s">
        <v>185</v>
      </c>
      <c r="M17" s="106"/>
      <c r="N17" s="147">
        <f>Table9[[#This Row],[National Average]]</f>
        <v>36.290815472600002</v>
      </c>
      <c r="O17" s="106">
        <f>Table9[[#This Row],[Year 1]]</f>
        <v>2010</v>
      </c>
      <c r="P17" s="106">
        <f t="shared" si="1"/>
        <v>1</v>
      </c>
      <c r="Q17" s="155" t="s">
        <v>812</v>
      </c>
      <c r="R17" s="155" t="s">
        <v>813</v>
      </c>
      <c r="S17" s="155" t="s">
        <v>813</v>
      </c>
      <c r="T17" s="155" t="s">
        <v>813</v>
      </c>
      <c r="U17" s="155" t="s">
        <v>813</v>
      </c>
      <c r="V17" s="120">
        <v>2011</v>
      </c>
    </row>
    <row r="18" spans="1:22" ht="15" x14ac:dyDescent="0.25">
      <c r="A18" s="106" t="s">
        <v>16</v>
      </c>
      <c r="B18" s="119" t="s">
        <v>468</v>
      </c>
      <c r="C18" s="106"/>
      <c r="D18" s="106">
        <v>2506</v>
      </c>
      <c r="E18" s="106">
        <v>2014</v>
      </c>
      <c r="F18" s="119" t="s">
        <v>547</v>
      </c>
      <c r="G18" s="106"/>
      <c r="H18" s="123">
        <v>181.87899999999999</v>
      </c>
      <c r="I18" s="106"/>
      <c r="J18" s="106">
        <v>0.22500000000000001</v>
      </c>
      <c r="K18" s="124" t="s">
        <v>720</v>
      </c>
      <c r="L18" s="154" t="s">
        <v>811</v>
      </c>
      <c r="M18" s="106"/>
      <c r="N18" s="147">
        <f>Table9[[#This Row],[National Average]]</f>
        <v>11.8149623275</v>
      </c>
      <c r="O18" s="106">
        <f>Table9[[#This Row],[Year 1]]</f>
        <v>2010</v>
      </c>
      <c r="P18" s="106">
        <f t="shared" si="1"/>
        <v>2</v>
      </c>
      <c r="Q18" s="155" t="s">
        <v>812</v>
      </c>
      <c r="R18" s="155" t="s">
        <v>812</v>
      </c>
      <c r="S18" s="155" t="s">
        <v>813</v>
      </c>
      <c r="T18" s="155" t="s">
        <v>813</v>
      </c>
      <c r="U18" s="155" t="s">
        <v>813</v>
      </c>
      <c r="V18" s="120">
        <v>2011</v>
      </c>
    </row>
    <row r="19" spans="1:22" ht="15" x14ac:dyDescent="0.25">
      <c r="A19" s="106" t="s">
        <v>17</v>
      </c>
      <c r="B19" s="119" t="s">
        <v>469</v>
      </c>
      <c r="C19" s="106"/>
      <c r="D19" s="106">
        <v>91306</v>
      </c>
      <c r="E19" s="106">
        <v>2014</v>
      </c>
      <c r="F19" s="119" t="s">
        <v>548</v>
      </c>
      <c r="G19" s="106"/>
      <c r="H19" s="123">
        <v>8.3780000000000001</v>
      </c>
      <c r="I19" s="106"/>
      <c r="J19" s="106">
        <v>3.1470000000000002</v>
      </c>
      <c r="K19" s="124" t="s">
        <v>715</v>
      </c>
      <c r="L19" s="154" t="s">
        <v>185</v>
      </c>
      <c r="M19" s="106"/>
      <c r="N19" s="147" t="str">
        <f>Table9[[#This Row],[National Average]]</f>
        <v>No data</v>
      </c>
      <c r="O19" s="106"/>
      <c r="P19" s="106">
        <f t="shared" si="1"/>
        <v>5</v>
      </c>
      <c r="Q19" s="155" t="s">
        <v>812</v>
      </c>
      <c r="R19" s="155" t="s">
        <v>812</v>
      </c>
      <c r="S19" s="155" t="s">
        <v>812</v>
      </c>
      <c r="T19" s="155" t="s">
        <v>812</v>
      </c>
      <c r="U19" s="155" t="s">
        <v>812</v>
      </c>
      <c r="V19" s="120">
        <v>2011</v>
      </c>
    </row>
    <row r="20" spans="1:22" ht="15" x14ac:dyDescent="0.25">
      <c r="A20" s="106" t="s">
        <v>18</v>
      </c>
      <c r="B20" s="119" t="s">
        <v>470</v>
      </c>
      <c r="C20" s="106"/>
      <c r="D20" s="106">
        <v>117</v>
      </c>
      <c r="E20" s="106">
        <v>2014</v>
      </c>
      <c r="F20" s="119" t="s">
        <v>549</v>
      </c>
      <c r="G20" s="106"/>
      <c r="H20" s="123">
        <v>58.014000000000003</v>
      </c>
      <c r="I20" s="106"/>
      <c r="J20" s="106">
        <v>0.89</v>
      </c>
      <c r="K20" s="124" t="s">
        <v>724</v>
      </c>
      <c r="L20" s="154" t="s">
        <v>811</v>
      </c>
      <c r="M20" s="106"/>
      <c r="N20" s="147">
        <f>Table9[[#This Row],[National Average]]</f>
        <v>37.448219999999999</v>
      </c>
      <c r="O20" s="106">
        <f>Table9[[#This Row],[Year 1]]</f>
        <v>2012</v>
      </c>
      <c r="P20" s="106">
        <f t="shared" si="1"/>
        <v>3</v>
      </c>
      <c r="Q20" s="155" t="s">
        <v>812</v>
      </c>
      <c r="R20" s="155" t="s">
        <v>812</v>
      </c>
      <c r="S20" s="155" t="s">
        <v>812</v>
      </c>
      <c r="T20" s="155" t="s">
        <v>813</v>
      </c>
      <c r="U20" s="155" t="s">
        <v>813</v>
      </c>
      <c r="V20" s="120">
        <v>2011</v>
      </c>
    </row>
    <row r="21" spans="1:22" ht="15" x14ac:dyDescent="0.25">
      <c r="A21" s="106" t="s">
        <v>19</v>
      </c>
      <c r="B21" s="119" t="s">
        <v>471</v>
      </c>
      <c r="C21" s="106"/>
      <c r="D21" s="106">
        <v>752</v>
      </c>
      <c r="E21" s="106">
        <v>2014</v>
      </c>
      <c r="F21" s="119" t="s">
        <v>502</v>
      </c>
      <c r="G21" s="106"/>
      <c r="H21" s="123">
        <v>130.458</v>
      </c>
      <c r="I21" s="106"/>
      <c r="J21" s="106">
        <v>0.91899999999999993</v>
      </c>
      <c r="K21" s="124" t="s">
        <v>722</v>
      </c>
      <c r="L21" s="154" t="s">
        <v>811</v>
      </c>
      <c r="M21" s="106"/>
      <c r="N21" s="147">
        <f>Table9[[#This Row],[National Average]]</f>
        <v>70.897555351299999</v>
      </c>
      <c r="O21" s="106">
        <f>Table9[[#This Row],[Year 1]]</f>
        <v>2011</v>
      </c>
      <c r="P21" s="106">
        <f t="shared" si="1"/>
        <v>1</v>
      </c>
      <c r="Q21" s="155" t="s">
        <v>812</v>
      </c>
      <c r="R21" s="155" t="s">
        <v>813</v>
      </c>
      <c r="S21" s="155" t="s">
        <v>813</v>
      </c>
      <c r="T21" s="155" t="s">
        <v>813</v>
      </c>
      <c r="U21" s="155" t="s">
        <v>813</v>
      </c>
      <c r="V21" s="120">
        <v>2011</v>
      </c>
    </row>
    <row r="22" spans="1:22" ht="15" x14ac:dyDescent="0.25">
      <c r="A22" s="106" t="s">
        <v>20</v>
      </c>
      <c r="B22" s="119" t="s">
        <v>472</v>
      </c>
      <c r="C22" s="106"/>
      <c r="D22" s="106">
        <v>3305</v>
      </c>
      <c r="E22" s="106">
        <v>2014</v>
      </c>
      <c r="F22" s="119" t="s">
        <v>550</v>
      </c>
      <c r="G22" s="106"/>
      <c r="H22" s="123">
        <v>125.554</v>
      </c>
      <c r="I22" s="106"/>
      <c r="J22" s="106">
        <v>0.627</v>
      </c>
      <c r="K22" s="124" t="s">
        <v>718</v>
      </c>
      <c r="L22" s="154" t="str">
        <f>IF(K22&gt;1,"YES","PARTIAL")</f>
        <v>YES</v>
      </c>
      <c r="M22" s="106"/>
      <c r="N22" s="147">
        <f>Table9[[#This Row],[National Average]]</f>
        <v>40.136405825600001</v>
      </c>
      <c r="O22" s="106">
        <f>Table9[[#This Row],[Year 1]]</f>
        <v>2011</v>
      </c>
      <c r="P22" s="106">
        <f t="shared" si="1"/>
        <v>1</v>
      </c>
      <c r="Q22" s="155" t="s">
        <v>812</v>
      </c>
      <c r="R22" s="155" t="s">
        <v>813</v>
      </c>
      <c r="S22" s="155" t="s">
        <v>813</v>
      </c>
      <c r="T22" s="155" t="s">
        <v>813</v>
      </c>
      <c r="U22" s="155" t="s">
        <v>813</v>
      </c>
      <c r="V22" s="120">
        <v>2011</v>
      </c>
    </row>
    <row r="23" spans="1:22" ht="15" x14ac:dyDescent="0.25">
      <c r="A23" s="106" t="s">
        <v>21</v>
      </c>
      <c r="B23" s="119" t="s">
        <v>473</v>
      </c>
      <c r="C23" s="106"/>
      <c r="D23" s="106">
        <v>1735</v>
      </c>
      <c r="E23" s="106">
        <v>2014</v>
      </c>
      <c r="F23" s="119" t="s">
        <v>551</v>
      </c>
      <c r="G23" s="106"/>
      <c r="H23" s="123">
        <v>0.64100000000000001</v>
      </c>
      <c r="I23" s="106"/>
      <c r="J23" s="106">
        <v>7.4130000000000003</v>
      </c>
      <c r="K23" s="124" t="s">
        <v>726</v>
      </c>
      <c r="L23" s="154" t="s">
        <v>791</v>
      </c>
      <c r="M23" s="106"/>
      <c r="N23" s="147" t="str">
        <f>Table9[[#This Row],[National Average]]</f>
        <v>No data</v>
      </c>
      <c r="O23" s="106"/>
      <c r="P23" s="106">
        <f t="shared" si="1"/>
        <v>5</v>
      </c>
      <c r="Q23" s="155" t="s">
        <v>812</v>
      </c>
      <c r="R23" s="155" t="s">
        <v>812</v>
      </c>
      <c r="S23" s="155" t="s">
        <v>812</v>
      </c>
      <c r="T23" s="155" t="s">
        <v>812</v>
      </c>
      <c r="U23" s="155" t="s">
        <v>812</v>
      </c>
      <c r="V23" s="120">
        <v>2011</v>
      </c>
    </row>
    <row r="24" spans="1:22" ht="15" x14ac:dyDescent="0.25">
      <c r="A24" s="106" t="s">
        <v>22</v>
      </c>
      <c r="B24" s="119" t="s">
        <v>474</v>
      </c>
      <c r="C24" s="106"/>
      <c r="D24" s="106">
        <v>12118</v>
      </c>
      <c r="E24" s="106">
        <v>2014</v>
      </c>
      <c r="F24" s="119" t="s">
        <v>552</v>
      </c>
      <c r="G24" s="106"/>
      <c r="H24" s="123">
        <v>132.00200000000001</v>
      </c>
      <c r="I24" s="106"/>
      <c r="J24" s="106" t="s">
        <v>791</v>
      </c>
      <c r="K24" s="124" t="s">
        <v>717</v>
      </c>
      <c r="L24" s="154" t="s">
        <v>811</v>
      </c>
      <c r="M24" s="106"/>
      <c r="N24" s="147">
        <f>Table9[[#This Row],[National Average]]</f>
        <v>42.476380000000006</v>
      </c>
      <c r="O24" s="106">
        <f>Table9[[#This Row],[Year 1]]</f>
        <v>2013</v>
      </c>
      <c r="P24" s="106">
        <f t="shared" si="1"/>
        <v>1</v>
      </c>
      <c r="Q24" s="155" t="s">
        <v>812</v>
      </c>
      <c r="R24" s="155" t="s">
        <v>813</v>
      </c>
      <c r="S24" s="155" t="s">
        <v>813</v>
      </c>
      <c r="T24" s="155" t="s">
        <v>813</v>
      </c>
      <c r="U24" s="155" t="s">
        <v>813</v>
      </c>
      <c r="V24" s="120">
        <v>2011</v>
      </c>
    </row>
    <row r="25" spans="1:22" ht="15" x14ac:dyDescent="0.25">
      <c r="A25" s="106" t="s">
        <v>23</v>
      </c>
      <c r="B25" s="119" t="s">
        <v>475</v>
      </c>
      <c r="C25" s="106"/>
      <c r="D25" s="106">
        <v>109</v>
      </c>
      <c r="E25" s="106">
        <v>2014</v>
      </c>
      <c r="F25" s="119" t="s">
        <v>553</v>
      </c>
      <c r="G25" s="106"/>
      <c r="H25" s="123">
        <v>22.053000000000001</v>
      </c>
      <c r="I25" s="106"/>
      <c r="J25" s="106">
        <v>0.8</v>
      </c>
      <c r="K25" s="124" t="s">
        <v>718</v>
      </c>
      <c r="L25" s="154" t="str">
        <f>IF(K25&gt;1,"YES","PARTIAL")</f>
        <v>YES</v>
      </c>
      <c r="M25" s="106"/>
      <c r="N25" s="147">
        <f>Table9[[#This Row],[National Average]]</f>
        <v>44.629496336000003</v>
      </c>
      <c r="O25" s="106">
        <f>Table9[[#This Row],[Year 1]]</f>
        <v>2006</v>
      </c>
      <c r="P25" s="106">
        <f t="shared" si="1"/>
        <v>1</v>
      </c>
      <c r="Q25" s="155" t="s">
        <v>812</v>
      </c>
      <c r="R25" s="155" t="s">
        <v>813</v>
      </c>
      <c r="S25" s="155" t="s">
        <v>813</v>
      </c>
      <c r="T25" s="155" t="s">
        <v>813</v>
      </c>
      <c r="U25" s="155" t="s">
        <v>813</v>
      </c>
      <c r="V25" s="120">
        <v>2011</v>
      </c>
    </row>
    <row r="26" spans="1:22" ht="15" x14ac:dyDescent="0.25">
      <c r="A26" s="106" t="s">
        <v>24</v>
      </c>
      <c r="B26" s="119" t="s">
        <v>476</v>
      </c>
      <c r="C26" s="106"/>
      <c r="D26" s="106">
        <v>9252</v>
      </c>
      <c r="E26" s="106">
        <v>2014</v>
      </c>
      <c r="F26" s="119" t="s">
        <v>554</v>
      </c>
      <c r="G26" s="106"/>
      <c r="H26" s="123">
        <v>48.713999999999999</v>
      </c>
      <c r="I26" s="106"/>
      <c r="J26" s="106">
        <v>6.35</v>
      </c>
      <c r="K26" s="124" t="s">
        <v>716</v>
      </c>
      <c r="L26" s="154" t="str">
        <f>IF(K26&gt;1,"YES","PARTIAL")</f>
        <v>YES</v>
      </c>
      <c r="M26" s="106"/>
      <c r="N26" s="147">
        <f>Table9[[#This Row],[National Average]]</f>
        <v>86.9599997997</v>
      </c>
      <c r="O26" s="106">
        <f>Table9[[#This Row],[Year 1]]</f>
        <v>2008</v>
      </c>
      <c r="P26" s="106">
        <f t="shared" si="1"/>
        <v>1</v>
      </c>
      <c r="Q26" s="155" t="s">
        <v>812</v>
      </c>
      <c r="R26" s="155" t="s">
        <v>813</v>
      </c>
      <c r="S26" s="155" t="s">
        <v>813</v>
      </c>
      <c r="T26" s="155" t="s">
        <v>813</v>
      </c>
      <c r="U26" s="155" t="s">
        <v>813</v>
      </c>
      <c r="V26" s="120">
        <v>2011</v>
      </c>
    </row>
    <row r="27" spans="1:22" ht="15" x14ac:dyDescent="0.25">
      <c r="A27" s="106" t="s">
        <v>25</v>
      </c>
      <c r="B27" s="119" t="s">
        <v>477</v>
      </c>
      <c r="C27" s="106"/>
      <c r="D27" s="106">
        <v>116</v>
      </c>
      <c r="E27" s="106">
        <v>2014</v>
      </c>
      <c r="F27" s="119" t="s">
        <v>555</v>
      </c>
      <c r="G27" s="106"/>
      <c r="H27" s="123">
        <v>122.851</v>
      </c>
      <c r="I27" s="106"/>
      <c r="J27" s="106">
        <v>0.83699999999999997</v>
      </c>
      <c r="K27" s="124" t="s">
        <v>724</v>
      </c>
      <c r="L27" s="154" t="str">
        <f>IF(K27&gt;1,"YES","PARTIAL")</f>
        <v>YES</v>
      </c>
      <c r="M27" s="106"/>
      <c r="N27" s="147" t="str">
        <f>Table9[[#This Row],[National Average]]</f>
        <v>No data</v>
      </c>
      <c r="O27" s="106"/>
      <c r="P27" s="106">
        <f t="shared" si="1"/>
        <v>3</v>
      </c>
      <c r="Q27" s="155" t="s">
        <v>812</v>
      </c>
      <c r="R27" s="155" t="s">
        <v>812</v>
      </c>
      <c r="S27" s="155" t="s">
        <v>812</v>
      </c>
      <c r="T27" s="155" t="s">
        <v>813</v>
      </c>
      <c r="U27" s="155" t="s">
        <v>813</v>
      </c>
      <c r="V27" s="120">
        <v>2011</v>
      </c>
    </row>
    <row r="28" spans="1:22" ht="15" x14ac:dyDescent="0.25">
      <c r="A28" s="106" t="s">
        <v>26</v>
      </c>
      <c r="B28" s="119" t="s">
        <v>478</v>
      </c>
      <c r="C28" s="106"/>
      <c r="D28" s="106">
        <v>1084</v>
      </c>
      <c r="E28" s="106">
        <v>2014</v>
      </c>
      <c r="F28" s="119" t="s">
        <v>556</v>
      </c>
      <c r="G28" s="106"/>
      <c r="H28" s="123">
        <v>76.915000000000006</v>
      </c>
      <c r="I28" s="106"/>
      <c r="J28" s="106">
        <v>0.63300000000000001</v>
      </c>
      <c r="K28" s="124" t="s">
        <v>724</v>
      </c>
      <c r="L28" s="154" t="str">
        <f>IF(K28&gt;1,"YES","PARTIAL")</f>
        <v>YES</v>
      </c>
      <c r="M28" s="106"/>
      <c r="N28" s="147" t="str">
        <f>Table9[[#This Row],[National Average]]</f>
        <v>No data</v>
      </c>
      <c r="O28" s="106"/>
      <c r="P28" s="106">
        <f t="shared" si="1"/>
        <v>3</v>
      </c>
      <c r="Q28" s="155" t="s">
        <v>812</v>
      </c>
      <c r="R28" s="155" t="s">
        <v>812</v>
      </c>
      <c r="S28" s="155" t="s">
        <v>812</v>
      </c>
      <c r="T28" s="155" t="s">
        <v>813</v>
      </c>
      <c r="U28" s="155" t="s">
        <v>813</v>
      </c>
      <c r="V28" s="120">
        <v>2011</v>
      </c>
    </row>
    <row r="29" spans="1:22" ht="15" x14ac:dyDescent="0.25">
      <c r="A29" s="106" t="s">
        <v>27</v>
      </c>
      <c r="B29" s="119" t="s">
        <v>479</v>
      </c>
      <c r="C29" s="106"/>
      <c r="D29" s="106">
        <v>14415</v>
      </c>
      <c r="E29" s="106">
        <v>2014</v>
      </c>
      <c r="F29" s="119" t="s">
        <v>557</v>
      </c>
      <c r="G29" s="106"/>
      <c r="H29" s="123">
        <v>90.016999999999996</v>
      </c>
      <c r="I29" s="106"/>
      <c r="J29" s="106">
        <v>0.27800000000000002</v>
      </c>
      <c r="K29" s="124" t="s">
        <v>716</v>
      </c>
      <c r="L29" s="154" t="str">
        <f>IF(K29&gt;1,"YES","PARTIAL")</f>
        <v>YES</v>
      </c>
      <c r="M29" s="106"/>
      <c r="N29" s="147">
        <f>Table9[[#This Row],[National Average]]</f>
        <v>52.113622426999996</v>
      </c>
      <c r="O29" s="106">
        <f>Table9[[#This Row],[Year 1]]</f>
        <v>2011</v>
      </c>
      <c r="P29" s="106">
        <f t="shared" si="1"/>
        <v>3</v>
      </c>
      <c r="Q29" s="155" t="s">
        <v>812</v>
      </c>
      <c r="R29" s="155" t="s">
        <v>812</v>
      </c>
      <c r="S29" s="155" t="s">
        <v>812</v>
      </c>
      <c r="T29" s="155" t="s">
        <v>813</v>
      </c>
      <c r="U29" s="155" t="s">
        <v>813</v>
      </c>
      <c r="V29" s="120">
        <v>2011</v>
      </c>
    </row>
    <row r="30" spans="1:22" ht="15" x14ac:dyDescent="0.25">
      <c r="A30" s="106" t="s">
        <v>28</v>
      </c>
      <c r="B30" s="119" t="s">
        <v>480</v>
      </c>
      <c r="C30" s="106"/>
      <c r="D30" s="106">
        <v>247</v>
      </c>
      <c r="E30" s="106">
        <v>2014</v>
      </c>
      <c r="F30" s="119" t="s">
        <v>558</v>
      </c>
      <c r="G30" s="106"/>
      <c r="H30" s="123">
        <v>115.009</v>
      </c>
      <c r="I30" s="106"/>
      <c r="J30" s="106">
        <v>5.3090000000000002</v>
      </c>
      <c r="K30" s="124" t="s">
        <v>724</v>
      </c>
      <c r="L30" s="154" t="s">
        <v>811</v>
      </c>
      <c r="M30" s="106"/>
      <c r="N30" s="147">
        <f>Table9[[#This Row],[National Average]]</f>
        <v>54.069399833700004</v>
      </c>
      <c r="O30" s="106">
        <f>Table9[[#This Row],[Year 1]]</f>
        <v>2012</v>
      </c>
      <c r="P30" s="106">
        <f t="shared" si="1"/>
        <v>1</v>
      </c>
      <c r="Q30" s="155" t="s">
        <v>812</v>
      </c>
      <c r="R30" s="155" t="s">
        <v>813</v>
      </c>
      <c r="S30" s="155" t="s">
        <v>813</v>
      </c>
      <c r="T30" s="155" t="s">
        <v>813</v>
      </c>
      <c r="U30" s="155" t="s">
        <v>813</v>
      </c>
      <c r="V30" s="120">
        <v>2011</v>
      </c>
    </row>
    <row r="31" spans="1:22" ht="15" x14ac:dyDescent="0.25">
      <c r="A31" s="106" t="s">
        <v>29</v>
      </c>
      <c r="B31" s="119" t="s">
        <v>481</v>
      </c>
      <c r="C31" s="106"/>
      <c r="D31" s="106">
        <v>349</v>
      </c>
      <c r="E31" s="106">
        <v>2014</v>
      </c>
      <c r="F31" s="119" t="s">
        <v>559</v>
      </c>
      <c r="G31" s="106"/>
      <c r="H31" s="123">
        <v>110.928</v>
      </c>
      <c r="I31" s="106"/>
      <c r="J31" s="106">
        <v>0.97199999999999998</v>
      </c>
      <c r="K31" s="124" t="s">
        <v>718</v>
      </c>
      <c r="L31" s="154" t="str">
        <f>IF(K31&gt;1,"YES","PARTIAL")</f>
        <v>YES</v>
      </c>
      <c r="M31" s="106"/>
      <c r="N31" s="147" t="str">
        <f>Table9[[#This Row],[National Average]]</f>
        <v>n/a</v>
      </c>
      <c r="O31" s="106">
        <f>Table9[[#This Row],[Year 1]]</f>
        <v>2005</v>
      </c>
      <c r="P31" s="106">
        <f t="shared" si="1"/>
        <v>3</v>
      </c>
      <c r="Q31" s="155" t="s">
        <v>812</v>
      </c>
      <c r="R31" s="155" t="s">
        <v>812</v>
      </c>
      <c r="S31" s="155" t="s">
        <v>812</v>
      </c>
      <c r="T31" s="155" t="s">
        <v>813</v>
      </c>
      <c r="U31" s="155" t="s">
        <v>813</v>
      </c>
      <c r="V31" s="120">
        <v>2011</v>
      </c>
    </row>
    <row r="32" spans="1:22" ht="15" x14ac:dyDescent="0.25">
      <c r="A32" s="106" t="s">
        <v>30</v>
      </c>
      <c r="B32" s="119" t="s">
        <v>482</v>
      </c>
      <c r="C32" s="106"/>
      <c r="D32" s="106">
        <v>3704</v>
      </c>
      <c r="E32" s="106">
        <v>2014</v>
      </c>
      <c r="F32" s="119" t="s">
        <v>560</v>
      </c>
      <c r="G32" s="106"/>
      <c r="H32" s="123">
        <v>67.591999999999999</v>
      </c>
      <c r="I32" s="106"/>
      <c r="J32" s="106">
        <v>1.022</v>
      </c>
      <c r="K32" s="124" t="s">
        <v>719</v>
      </c>
      <c r="L32" s="154" t="str">
        <f>IF(K32&gt;1,"YES","PARTIAL")</f>
        <v>YES</v>
      </c>
      <c r="M32" s="106"/>
      <c r="N32" s="147">
        <f>Table9[[#This Row],[National Average]]</f>
        <v>57.311159372300004</v>
      </c>
      <c r="O32" s="106">
        <f>Table9[[#This Row],[Year 1]]</f>
        <v>2011</v>
      </c>
      <c r="P32" s="106">
        <f t="shared" si="1"/>
        <v>3</v>
      </c>
      <c r="Q32" s="155" t="s">
        <v>812</v>
      </c>
      <c r="R32" s="155" t="s">
        <v>812</v>
      </c>
      <c r="S32" s="155" t="s">
        <v>812</v>
      </c>
      <c r="T32" s="155" t="s">
        <v>813</v>
      </c>
      <c r="U32" s="155" t="s">
        <v>813</v>
      </c>
      <c r="V32" s="120">
        <v>2011</v>
      </c>
    </row>
    <row r="33" spans="1:22" ht="15" x14ac:dyDescent="0.25">
      <c r="A33" s="106" t="s">
        <v>31</v>
      </c>
      <c r="B33" s="119" t="s">
        <v>483</v>
      </c>
      <c r="C33" s="106"/>
      <c r="D33" s="106">
        <v>2288</v>
      </c>
      <c r="E33" s="106">
        <v>2014</v>
      </c>
      <c r="F33" s="119" t="s">
        <v>561</v>
      </c>
      <c r="G33" s="106"/>
      <c r="H33" s="123">
        <v>107.196</v>
      </c>
      <c r="I33" s="106"/>
      <c r="J33" s="106">
        <v>1.8290000000000002</v>
      </c>
      <c r="K33" s="124" t="s">
        <v>716</v>
      </c>
      <c r="L33" s="154" t="str">
        <f>IF(K33&gt;1,"YES","PARTIAL")</f>
        <v>YES</v>
      </c>
      <c r="M33" s="106"/>
      <c r="N33" s="147">
        <f>Table9[[#This Row],[National Average]]</f>
        <v>77.999996999999993</v>
      </c>
      <c r="O33" s="106">
        <f>Table9[[#This Row],[Year 1]]</f>
        <v>2008</v>
      </c>
      <c r="P33" s="106">
        <f t="shared" si="1"/>
        <v>1</v>
      </c>
      <c r="Q33" s="155" t="s">
        <v>812</v>
      </c>
      <c r="R33" s="155" t="s">
        <v>813</v>
      </c>
      <c r="S33" s="155" t="s">
        <v>813</v>
      </c>
      <c r="T33" s="155" t="s">
        <v>813</v>
      </c>
      <c r="U33" s="155" t="s">
        <v>813</v>
      </c>
      <c r="V33" s="120">
        <v>2011</v>
      </c>
    </row>
    <row r="34" spans="1:22" ht="15" x14ac:dyDescent="0.25">
      <c r="A34" s="106" t="s">
        <v>32</v>
      </c>
      <c r="B34" s="119" t="s">
        <v>484</v>
      </c>
      <c r="C34" s="106"/>
      <c r="D34" s="106">
        <v>1914</v>
      </c>
      <c r="E34" s="106">
        <v>2014</v>
      </c>
      <c r="F34" s="119" t="s">
        <v>562</v>
      </c>
      <c r="G34" s="106"/>
      <c r="H34" s="123">
        <v>153.98599999999999</v>
      </c>
      <c r="I34" s="106"/>
      <c r="J34" s="106">
        <v>0.14300000000000002</v>
      </c>
      <c r="K34" s="124" t="s">
        <v>725</v>
      </c>
      <c r="L34" s="154" t="str">
        <f>IF(K34&gt;1,"YES","PARTIAL")</f>
        <v>YES</v>
      </c>
      <c r="M34" s="106"/>
      <c r="N34" s="147">
        <f>Table9[[#This Row],[National Average]]</f>
        <v>19.0837</v>
      </c>
      <c r="O34" s="106">
        <f>Table9[[#This Row],[Year 1]]</f>
        <v>2012</v>
      </c>
      <c r="P34" s="106">
        <f t="shared" si="1"/>
        <v>3</v>
      </c>
      <c r="Q34" s="155" t="s">
        <v>812</v>
      </c>
      <c r="R34" s="155" t="s">
        <v>812</v>
      </c>
      <c r="S34" s="155" t="s">
        <v>812</v>
      </c>
      <c r="T34" s="155" t="s">
        <v>813</v>
      </c>
      <c r="U34" s="155" t="s">
        <v>813</v>
      </c>
      <c r="V34" s="120">
        <v>2011</v>
      </c>
    </row>
    <row r="35" spans="1:22" ht="15" x14ac:dyDescent="0.25">
      <c r="A35" s="106" t="s">
        <v>33</v>
      </c>
      <c r="B35" s="119" t="s">
        <v>485</v>
      </c>
      <c r="C35" s="106"/>
      <c r="D35" s="106">
        <v>274</v>
      </c>
      <c r="E35" s="106">
        <v>2014</v>
      </c>
      <c r="F35" s="119" t="s">
        <v>563</v>
      </c>
      <c r="G35" s="106"/>
      <c r="H35" s="123">
        <v>123.499</v>
      </c>
      <c r="I35" s="106"/>
      <c r="J35" s="106">
        <v>0.65500000000000003</v>
      </c>
      <c r="K35" s="124" t="s">
        <v>716</v>
      </c>
      <c r="L35" s="154" t="s">
        <v>185</v>
      </c>
      <c r="M35" s="106"/>
      <c r="N35" s="147">
        <f>Table9[[#This Row],[National Average]]</f>
        <v>29.320767521899999</v>
      </c>
      <c r="O35" s="106">
        <f>Table9[[#This Row],[Year 1]]</f>
        <v>2006</v>
      </c>
      <c r="P35" s="106">
        <f t="shared" si="1"/>
        <v>1</v>
      </c>
      <c r="Q35" s="155" t="s">
        <v>812</v>
      </c>
      <c r="R35" s="155" t="s">
        <v>813</v>
      </c>
      <c r="S35" s="155" t="s">
        <v>813</v>
      </c>
      <c r="T35" s="155" t="s">
        <v>813</v>
      </c>
      <c r="U35" s="155" t="s">
        <v>813</v>
      </c>
      <c r="V35" s="120">
        <v>2011</v>
      </c>
    </row>
    <row r="36" spans="1:22" ht="15" x14ac:dyDescent="0.25">
      <c r="A36" s="106" t="s">
        <v>34</v>
      </c>
      <c r="B36" s="119" t="s">
        <v>486</v>
      </c>
      <c r="C36" s="106"/>
      <c r="D36" s="106">
        <v>1249</v>
      </c>
      <c r="E36" s="106">
        <v>2014</v>
      </c>
      <c r="F36" s="119" t="s">
        <v>564</v>
      </c>
      <c r="G36" s="106"/>
      <c r="H36" s="123">
        <v>46.405000000000001</v>
      </c>
      <c r="I36" s="106"/>
      <c r="J36" s="106">
        <v>0.35699999999999998</v>
      </c>
      <c r="K36" s="124" t="s">
        <v>793</v>
      </c>
      <c r="L36" s="154" t="s">
        <v>811</v>
      </c>
      <c r="M36" s="106"/>
      <c r="N36" s="147">
        <f>Table9[[#This Row],[National Average]]</f>
        <v>49.402871727899999</v>
      </c>
      <c r="O36" s="106">
        <f>Table9[[#This Row],[Year 1]]</f>
        <v>2012</v>
      </c>
      <c r="P36" s="106">
        <f t="shared" si="1"/>
        <v>1</v>
      </c>
      <c r="Q36" s="155" t="s">
        <v>812</v>
      </c>
      <c r="R36" s="155" t="s">
        <v>813</v>
      </c>
      <c r="S36" s="155" t="s">
        <v>813</v>
      </c>
      <c r="T36" s="155" t="s">
        <v>813</v>
      </c>
      <c r="U36" s="155" t="s">
        <v>813</v>
      </c>
      <c r="V36" s="120">
        <v>2011</v>
      </c>
    </row>
    <row r="37" spans="1:22" ht="15" x14ac:dyDescent="0.25">
      <c r="A37" s="106" t="s">
        <v>35</v>
      </c>
      <c r="B37" s="119" t="s">
        <v>488</v>
      </c>
      <c r="C37" s="106"/>
      <c r="D37" s="106">
        <v>122128</v>
      </c>
      <c r="E37" s="106">
        <v>2014</v>
      </c>
      <c r="F37" s="119" t="s">
        <v>565</v>
      </c>
      <c r="G37" s="106"/>
      <c r="H37" s="123">
        <v>50.567</v>
      </c>
      <c r="I37" s="106"/>
      <c r="J37" s="106">
        <v>0.70199999999999996</v>
      </c>
      <c r="K37" s="124" t="s">
        <v>717</v>
      </c>
      <c r="L37" s="154" t="s">
        <v>811</v>
      </c>
      <c r="M37" s="106"/>
      <c r="N37" s="147">
        <f>Table9[[#This Row],[National Average]]</f>
        <v>81.588727235799993</v>
      </c>
      <c r="O37" s="106">
        <f>Table9[[#This Row],[Year 1]]</f>
        <v>2005</v>
      </c>
      <c r="P37" s="106">
        <f t="shared" si="1"/>
        <v>4</v>
      </c>
      <c r="Q37" s="155" t="s">
        <v>812</v>
      </c>
      <c r="R37" s="155" t="s">
        <v>812</v>
      </c>
      <c r="S37" s="155" t="s">
        <v>812</v>
      </c>
      <c r="T37" s="155" t="s">
        <v>812</v>
      </c>
      <c r="U37" s="155" t="s">
        <v>813</v>
      </c>
      <c r="V37" s="120">
        <v>2011</v>
      </c>
    </row>
    <row r="38" spans="1:22" ht="15" x14ac:dyDescent="0.25">
      <c r="A38" s="106" t="s">
        <v>36</v>
      </c>
      <c r="B38" s="119" t="s">
        <v>489</v>
      </c>
      <c r="C38" s="106"/>
      <c r="D38" s="106">
        <v>23275</v>
      </c>
      <c r="E38" s="106">
        <v>2014</v>
      </c>
      <c r="F38" s="119" t="s">
        <v>566</v>
      </c>
      <c r="G38" s="106"/>
      <c r="H38" s="123">
        <v>51.505000000000003</v>
      </c>
      <c r="I38" s="106"/>
      <c r="J38" s="106">
        <v>1.587</v>
      </c>
      <c r="K38" s="124" t="s">
        <v>717</v>
      </c>
      <c r="L38" s="154" t="s">
        <v>811</v>
      </c>
      <c r="M38" s="106"/>
      <c r="N38" s="147">
        <f>Table9[[#This Row],[National Average]]</f>
        <v>84.471815824499998</v>
      </c>
      <c r="O38" s="106">
        <f>Table9[[#This Row],[Year 1]]</f>
        <v>2012</v>
      </c>
      <c r="P38" s="106">
        <f t="shared" si="1"/>
        <v>1</v>
      </c>
      <c r="Q38" s="155" t="s">
        <v>812</v>
      </c>
      <c r="R38" s="155" t="s">
        <v>813</v>
      </c>
      <c r="S38" s="155" t="s">
        <v>813</v>
      </c>
      <c r="T38" s="155" t="s">
        <v>813</v>
      </c>
      <c r="U38" s="155" t="s">
        <v>813</v>
      </c>
      <c r="V38" s="120">
        <v>2011</v>
      </c>
    </row>
    <row r="39" spans="1:22" ht="15" x14ac:dyDescent="0.25">
      <c r="A39" s="106" t="s">
        <v>37</v>
      </c>
      <c r="B39" s="119" t="s">
        <v>490</v>
      </c>
      <c r="C39" s="106"/>
      <c r="D39" s="106">
        <v>4996</v>
      </c>
      <c r="E39" s="106">
        <v>2014</v>
      </c>
      <c r="F39" s="119" t="s">
        <v>567</v>
      </c>
      <c r="G39" s="106"/>
      <c r="H39" s="123">
        <v>74.102000000000004</v>
      </c>
      <c r="I39" s="106"/>
      <c r="J39" s="106">
        <v>0.60699999999999998</v>
      </c>
      <c r="K39" s="124" t="s">
        <v>719</v>
      </c>
      <c r="L39" s="154" t="str">
        <f t="shared" ref="L39:L44" si="2">IF(K39&gt;1,"YES","PARTIAL")</f>
        <v>YES</v>
      </c>
      <c r="M39" s="106"/>
      <c r="N39" s="147">
        <f>Table9[[#This Row],[National Average]]</f>
        <v>87.041509151499994</v>
      </c>
      <c r="O39" s="106">
        <f>Table9[[#This Row],[Year 1]]</f>
        <v>2011</v>
      </c>
      <c r="P39" s="106">
        <f t="shared" si="1"/>
        <v>1</v>
      </c>
      <c r="Q39" s="155" t="s">
        <v>812</v>
      </c>
      <c r="R39" s="155" t="s">
        <v>813</v>
      </c>
      <c r="S39" s="155" t="s">
        <v>813</v>
      </c>
      <c r="T39" s="155" t="s">
        <v>813</v>
      </c>
      <c r="U39" s="155" t="s">
        <v>813</v>
      </c>
      <c r="V39" s="120">
        <v>2011</v>
      </c>
    </row>
    <row r="40" spans="1:22" ht="15" x14ac:dyDescent="0.25">
      <c r="A40" s="106" t="s">
        <v>38</v>
      </c>
      <c r="B40" s="119" t="s">
        <v>491</v>
      </c>
      <c r="C40" s="106"/>
      <c r="D40" s="106">
        <v>7137</v>
      </c>
      <c r="E40" s="106">
        <v>2014</v>
      </c>
      <c r="F40" s="119" t="s">
        <v>568</v>
      </c>
      <c r="G40" s="106"/>
      <c r="H40" s="123">
        <v>100.224</v>
      </c>
      <c r="I40" s="106"/>
      <c r="J40" s="106">
        <v>1.0609999999999999</v>
      </c>
      <c r="K40" s="124" t="s">
        <v>721</v>
      </c>
      <c r="L40" s="154" t="str">
        <f t="shared" si="2"/>
        <v>YES</v>
      </c>
      <c r="M40" s="106"/>
      <c r="N40" s="147">
        <f>Table9[[#This Row],[National Average]]</f>
        <v>63.966172933599999</v>
      </c>
      <c r="O40" s="106">
        <f>Table9[[#This Row],[Year 1]]</f>
        <v>2008</v>
      </c>
      <c r="P40" s="106">
        <f t="shared" si="1"/>
        <v>3</v>
      </c>
      <c r="Q40" s="155" t="s">
        <v>812</v>
      </c>
      <c r="R40" s="155" t="s">
        <v>812</v>
      </c>
      <c r="S40" s="155" t="s">
        <v>812</v>
      </c>
      <c r="T40" s="155" t="s">
        <v>813</v>
      </c>
      <c r="U40" s="155" t="s">
        <v>813</v>
      </c>
      <c r="V40" s="120">
        <v>2011</v>
      </c>
    </row>
    <row r="41" spans="1:22" ht="15" x14ac:dyDescent="0.25">
      <c r="A41" s="106" t="s">
        <v>39</v>
      </c>
      <c r="B41" s="119" t="s">
        <v>492</v>
      </c>
      <c r="C41" s="106"/>
      <c r="D41" s="106">
        <v>696</v>
      </c>
      <c r="E41" s="106">
        <v>2014</v>
      </c>
      <c r="F41" s="119" t="s">
        <v>569</v>
      </c>
      <c r="G41" s="106"/>
      <c r="H41" s="123">
        <v>29.757000000000001</v>
      </c>
      <c r="I41" s="106"/>
      <c r="J41" s="106">
        <v>8.19</v>
      </c>
      <c r="K41" s="124" t="s">
        <v>721</v>
      </c>
      <c r="L41" s="154" t="str">
        <f t="shared" si="2"/>
        <v>YES</v>
      </c>
      <c r="M41" s="106"/>
      <c r="N41" s="147">
        <f>Table9[[#This Row],[National Average]]</f>
        <v>66.819890000000001</v>
      </c>
      <c r="O41" s="106">
        <f>Table9[[#This Row],[Year 1]]</f>
        <v>2012</v>
      </c>
      <c r="P41" s="106">
        <f t="shared" si="1"/>
        <v>5</v>
      </c>
      <c r="Q41" s="155" t="s">
        <v>812</v>
      </c>
      <c r="R41" s="155" t="s">
        <v>812</v>
      </c>
      <c r="S41" s="155" t="s">
        <v>812</v>
      </c>
      <c r="T41" s="155" t="s">
        <v>812</v>
      </c>
      <c r="U41" s="155" t="s">
        <v>812</v>
      </c>
      <c r="V41" s="120">
        <v>2011</v>
      </c>
    </row>
    <row r="42" spans="1:22" ht="15" x14ac:dyDescent="0.25">
      <c r="A42" s="106" t="s">
        <v>40</v>
      </c>
      <c r="B42" s="119" t="s">
        <v>493</v>
      </c>
      <c r="C42" s="106"/>
      <c r="D42" s="106">
        <v>862</v>
      </c>
      <c r="E42" s="106">
        <v>2014</v>
      </c>
      <c r="F42" s="119" t="s">
        <v>570</v>
      </c>
      <c r="G42" s="106"/>
      <c r="H42" s="123">
        <v>75.061000000000007</v>
      </c>
      <c r="I42" s="106"/>
      <c r="J42" s="106">
        <v>1.0580000000000001</v>
      </c>
      <c r="K42" s="124" t="s">
        <v>717</v>
      </c>
      <c r="L42" s="154" t="str">
        <f t="shared" si="2"/>
        <v>YES</v>
      </c>
      <c r="M42" s="106"/>
      <c r="N42" s="147" t="str">
        <f>Table9[[#This Row],[National Average]]</f>
        <v>n/a</v>
      </c>
      <c r="O42" s="106">
        <f>Table9[[#This Row],[Year 1]]</f>
        <v>2011</v>
      </c>
      <c r="P42" s="106">
        <f t="shared" si="1"/>
        <v>2</v>
      </c>
      <c r="Q42" s="155" t="s">
        <v>812</v>
      </c>
      <c r="R42" s="155" t="s">
        <v>812</v>
      </c>
      <c r="S42" s="155" t="s">
        <v>813</v>
      </c>
      <c r="T42" s="155" t="s">
        <v>813</v>
      </c>
      <c r="U42" s="155" t="s">
        <v>813</v>
      </c>
      <c r="V42" s="120">
        <v>2011</v>
      </c>
    </row>
    <row r="43" spans="1:22" ht="15" x14ac:dyDescent="0.25">
      <c r="A43" s="106" t="s">
        <v>41</v>
      </c>
      <c r="B43" s="119" t="s">
        <v>494</v>
      </c>
      <c r="C43" s="106"/>
      <c r="D43" s="106">
        <v>262</v>
      </c>
      <c r="E43" s="106">
        <v>2014</v>
      </c>
      <c r="F43" s="119" t="s">
        <v>571</v>
      </c>
      <c r="G43" s="106"/>
      <c r="H43" s="123">
        <v>89.998000000000005</v>
      </c>
      <c r="I43" s="106"/>
      <c r="J43" s="106">
        <v>0.67200000000000004</v>
      </c>
      <c r="K43" s="124" t="s">
        <v>726</v>
      </c>
      <c r="L43" s="154" t="str">
        <f t="shared" si="2"/>
        <v>YES</v>
      </c>
      <c r="M43" s="106"/>
      <c r="N43" s="147">
        <f>Table9[[#This Row],[National Average]]</f>
        <v>67.185330390900006</v>
      </c>
      <c r="O43" s="106">
        <f>Table9[[#This Row],[Year 1]]</f>
        <v>2009</v>
      </c>
      <c r="P43" s="106">
        <f t="shared" si="1"/>
        <v>1</v>
      </c>
      <c r="Q43" s="155" t="s">
        <v>812</v>
      </c>
      <c r="R43" s="155" t="s">
        <v>813</v>
      </c>
      <c r="S43" s="155" t="s">
        <v>813</v>
      </c>
      <c r="T43" s="155" t="s">
        <v>813</v>
      </c>
      <c r="U43" s="155" t="s">
        <v>813</v>
      </c>
      <c r="V43" s="120">
        <v>2011</v>
      </c>
    </row>
    <row r="44" spans="1:22" ht="15" x14ac:dyDescent="0.25">
      <c r="A44" s="106" t="s">
        <v>42</v>
      </c>
      <c r="B44" s="119" t="s">
        <v>495</v>
      </c>
      <c r="C44" s="106"/>
      <c r="D44" s="106">
        <v>693</v>
      </c>
      <c r="E44" s="106">
        <v>2014</v>
      </c>
      <c r="F44" s="119" t="s">
        <v>572</v>
      </c>
      <c r="G44" s="106"/>
      <c r="H44" s="123">
        <v>141.959</v>
      </c>
      <c r="I44" s="106"/>
      <c r="J44" s="106">
        <v>0.28800000000000003</v>
      </c>
      <c r="K44" s="124" t="s">
        <v>718</v>
      </c>
      <c r="L44" s="154" t="str">
        <f t="shared" si="2"/>
        <v>YES</v>
      </c>
      <c r="M44" s="106"/>
      <c r="N44" s="147">
        <f>Table9[[#This Row],[National Average]]</f>
        <v>39.416200000000003</v>
      </c>
      <c r="O44" s="106">
        <f>Table9[[#This Row],[Year 1]]</f>
        <v>2013</v>
      </c>
      <c r="P44" s="106">
        <f t="shared" si="1"/>
        <v>3</v>
      </c>
      <c r="Q44" s="155" t="s">
        <v>812</v>
      </c>
      <c r="R44" s="155" t="s">
        <v>812</v>
      </c>
      <c r="S44" s="155" t="s">
        <v>812</v>
      </c>
      <c r="T44" s="155" t="s">
        <v>813</v>
      </c>
      <c r="U44" s="155" t="s">
        <v>813</v>
      </c>
      <c r="V44" s="120">
        <v>2011</v>
      </c>
    </row>
    <row r="45" spans="1:22" ht="15" x14ac:dyDescent="0.25">
      <c r="A45" s="106" t="s">
        <v>43</v>
      </c>
      <c r="B45" s="119" t="s">
        <v>497</v>
      </c>
      <c r="C45" s="106"/>
      <c r="D45" s="106">
        <v>3686</v>
      </c>
      <c r="E45" s="106">
        <v>2014</v>
      </c>
      <c r="F45" s="119" t="s">
        <v>573</v>
      </c>
      <c r="G45" s="106"/>
      <c r="H45" s="123">
        <v>134.274</v>
      </c>
      <c r="I45" s="106"/>
      <c r="J45" s="106">
        <v>0.161</v>
      </c>
      <c r="K45" s="124" t="s">
        <v>722</v>
      </c>
      <c r="L45" s="154" t="s">
        <v>185</v>
      </c>
      <c r="M45" s="106"/>
      <c r="N45" s="147">
        <f>Table9[[#This Row],[National Average]]</f>
        <v>67.916643619499993</v>
      </c>
      <c r="O45" s="106">
        <f>Table9[[#This Row],[Year 1]]</f>
        <v>2008</v>
      </c>
      <c r="P45" s="106">
        <f t="shared" si="1"/>
        <v>1</v>
      </c>
      <c r="Q45" s="155" t="s">
        <v>812</v>
      </c>
      <c r="R45" s="155" t="s">
        <v>813</v>
      </c>
      <c r="S45" s="155" t="s">
        <v>813</v>
      </c>
      <c r="T45" s="155" t="s">
        <v>813</v>
      </c>
      <c r="U45" s="155" t="s">
        <v>813</v>
      </c>
      <c r="V45" s="120">
        <v>2011</v>
      </c>
    </row>
    <row r="46" spans="1:22" ht="15" x14ac:dyDescent="0.25">
      <c r="A46" s="106" t="s">
        <v>44</v>
      </c>
      <c r="B46" s="119" t="s">
        <v>498</v>
      </c>
      <c r="C46" s="106"/>
      <c r="D46" s="106">
        <v>2871</v>
      </c>
      <c r="E46" s="106">
        <v>2014</v>
      </c>
      <c r="F46" s="119" t="s">
        <v>574</v>
      </c>
      <c r="G46" s="106"/>
      <c r="H46" s="123">
        <v>157.19800000000001</v>
      </c>
      <c r="I46" s="106"/>
      <c r="J46" s="106">
        <v>0.36200000000000004</v>
      </c>
      <c r="K46" s="124" t="s">
        <v>716</v>
      </c>
      <c r="L46" s="154" t="str">
        <f>IF(K46&gt;1,"YES","PARTIAL")</f>
        <v>YES</v>
      </c>
      <c r="M46" s="106"/>
      <c r="N46" s="147">
        <f>Table9[[#This Row],[National Average]]</f>
        <v>63.813394308100001</v>
      </c>
      <c r="O46" s="106">
        <f>Table9[[#This Row],[Year 1]]</f>
        <v>2010</v>
      </c>
      <c r="P46" s="106">
        <f t="shared" si="1"/>
        <v>1</v>
      </c>
      <c r="Q46" s="155" t="s">
        <v>812</v>
      </c>
      <c r="R46" s="155" t="s">
        <v>813</v>
      </c>
      <c r="S46" s="155" t="s">
        <v>813</v>
      </c>
      <c r="T46" s="155" t="s">
        <v>813</v>
      </c>
      <c r="U46" s="155" t="s">
        <v>813</v>
      </c>
      <c r="V46" s="120">
        <v>2011</v>
      </c>
    </row>
    <row r="47" spans="1:22" ht="15" x14ac:dyDescent="0.25">
      <c r="A47" s="106" t="s">
        <v>45</v>
      </c>
      <c r="B47" s="119" t="s">
        <v>499</v>
      </c>
      <c r="C47" s="106"/>
      <c r="D47" s="106">
        <v>3037</v>
      </c>
      <c r="E47" s="106">
        <v>2014</v>
      </c>
      <c r="F47" s="119" t="s">
        <v>575</v>
      </c>
      <c r="G47" s="106"/>
      <c r="H47" s="123">
        <v>180.869</v>
      </c>
      <c r="I47" s="106"/>
      <c r="J47" s="106">
        <v>0.51300000000000001</v>
      </c>
      <c r="K47" s="124" t="s">
        <v>719</v>
      </c>
      <c r="L47" s="154" t="str">
        <f>IF(K47&gt;1,"YES","PARTIAL")</f>
        <v>YES</v>
      </c>
      <c r="M47" s="106"/>
      <c r="N47" s="147">
        <f>Table9[[#This Row],[National Average]]</f>
        <v>28.460519999999999</v>
      </c>
      <c r="O47" s="106">
        <f>Table9[[#This Row],[Year 1]]</f>
        <v>2012</v>
      </c>
      <c r="P47" s="106">
        <f t="shared" si="1"/>
        <v>1</v>
      </c>
      <c r="Q47" s="155" t="s">
        <v>812</v>
      </c>
      <c r="R47" s="155" t="s">
        <v>813</v>
      </c>
      <c r="S47" s="155" t="s">
        <v>813</v>
      </c>
      <c r="T47" s="155" t="s">
        <v>813</v>
      </c>
      <c r="U47" s="155" t="s">
        <v>813</v>
      </c>
      <c r="V47" s="120">
        <v>2011</v>
      </c>
    </row>
    <row r="48" spans="1:22" ht="15" x14ac:dyDescent="0.25">
      <c r="A48" s="106" t="s">
        <v>46</v>
      </c>
      <c r="B48" s="119" t="s">
        <v>500</v>
      </c>
      <c r="C48" s="106"/>
      <c r="D48" s="106">
        <v>592</v>
      </c>
      <c r="E48" s="106">
        <v>2014</v>
      </c>
      <c r="F48" s="119" t="s">
        <v>546</v>
      </c>
      <c r="G48" s="106"/>
      <c r="H48" s="123">
        <v>82.503</v>
      </c>
      <c r="I48" s="106"/>
      <c r="J48" s="106">
        <v>0.80200000000000005</v>
      </c>
      <c r="K48" s="124" t="s">
        <v>716</v>
      </c>
      <c r="L48" s="154" t="s">
        <v>185</v>
      </c>
      <c r="M48" s="106"/>
      <c r="N48" s="147">
        <f>Table9[[#This Row],[National Average]]</f>
        <v>27.745658159300003</v>
      </c>
      <c r="O48" s="106">
        <f>Table9[[#This Row],[Year 1]]</f>
        <v>2007</v>
      </c>
      <c r="P48" s="106">
        <f t="shared" si="1"/>
        <v>1</v>
      </c>
      <c r="Q48" s="155" t="s">
        <v>812</v>
      </c>
      <c r="R48" s="155" t="s">
        <v>813</v>
      </c>
      <c r="S48" s="155" t="s">
        <v>813</v>
      </c>
      <c r="T48" s="155" t="s">
        <v>813</v>
      </c>
      <c r="U48" s="155" t="s">
        <v>813</v>
      </c>
      <c r="V48" s="120">
        <v>2011</v>
      </c>
    </row>
    <row r="49" spans="1:22" ht="15" x14ac:dyDescent="0.25">
      <c r="A49" s="106" t="s">
        <v>47</v>
      </c>
      <c r="B49" s="119" t="s">
        <v>501</v>
      </c>
      <c r="C49" s="106"/>
      <c r="D49" s="106">
        <v>11172</v>
      </c>
      <c r="E49" s="106">
        <v>2014</v>
      </c>
      <c r="F49" s="119" t="s">
        <v>576</v>
      </c>
      <c r="G49" s="106"/>
      <c r="H49" s="123">
        <v>69.349000000000004</v>
      </c>
      <c r="I49" s="106"/>
      <c r="J49" s="106">
        <v>4.6240000000000006</v>
      </c>
      <c r="K49" s="124" t="s">
        <v>715</v>
      </c>
      <c r="L49" s="154" t="str">
        <f>IF(K49&gt;1,"YES","PARTIAL")</f>
        <v>YES</v>
      </c>
      <c r="M49" s="106"/>
      <c r="N49" s="147" t="str">
        <f>Table9[[#This Row],[National Average]]</f>
        <v>No data</v>
      </c>
      <c r="O49" s="106"/>
      <c r="P49" s="106">
        <f t="shared" si="1"/>
        <v>5</v>
      </c>
      <c r="Q49" s="155" t="s">
        <v>812</v>
      </c>
      <c r="R49" s="155" t="s">
        <v>812</v>
      </c>
      <c r="S49" s="155" t="s">
        <v>812</v>
      </c>
      <c r="T49" s="155" t="s">
        <v>812</v>
      </c>
      <c r="U49" s="155" t="s">
        <v>812</v>
      </c>
      <c r="V49" s="120">
        <v>2011</v>
      </c>
    </row>
    <row r="50" spans="1:22" ht="15" x14ac:dyDescent="0.25">
      <c r="A50" s="106" t="s">
        <v>48</v>
      </c>
      <c r="B50" s="119" t="s">
        <v>503</v>
      </c>
      <c r="C50" s="106"/>
      <c r="D50" s="106">
        <v>3590</v>
      </c>
      <c r="E50" s="106">
        <v>2014</v>
      </c>
      <c r="F50" s="119" t="s">
        <v>577</v>
      </c>
      <c r="G50" s="106"/>
      <c r="H50" s="123">
        <v>32.651000000000003</v>
      </c>
      <c r="I50" s="106"/>
      <c r="J50" s="106">
        <v>1.51</v>
      </c>
      <c r="K50" s="124" t="s">
        <v>716</v>
      </c>
      <c r="L50" s="154" t="s">
        <v>811</v>
      </c>
      <c r="M50" s="106"/>
      <c r="N50" s="147">
        <f>Table9[[#This Row],[National Average]]</f>
        <v>86.6425096989</v>
      </c>
      <c r="O50" s="106">
        <f>Table9[[#This Row],[Year 1]]</f>
        <v>2003</v>
      </c>
      <c r="P50" s="106">
        <f t="shared" si="1"/>
        <v>3</v>
      </c>
      <c r="Q50" s="155" t="s">
        <v>812</v>
      </c>
      <c r="R50" s="155" t="s">
        <v>812</v>
      </c>
      <c r="S50" s="155" t="s">
        <v>812</v>
      </c>
      <c r="T50" s="155" t="s">
        <v>813</v>
      </c>
      <c r="U50" s="155" t="s">
        <v>813</v>
      </c>
      <c r="V50" s="120">
        <v>2011</v>
      </c>
    </row>
    <row r="51" spans="1:22" ht="15" x14ac:dyDescent="0.25">
      <c r="A51" s="106" t="s">
        <v>49</v>
      </c>
      <c r="B51" s="119" t="s">
        <v>504</v>
      </c>
      <c r="C51" s="106"/>
      <c r="D51" s="106">
        <v>4475</v>
      </c>
      <c r="E51" s="106">
        <v>2014</v>
      </c>
      <c r="F51" s="119" t="s">
        <v>578</v>
      </c>
      <c r="G51" s="106"/>
      <c r="H51" s="123">
        <v>162.53299999999999</v>
      </c>
      <c r="I51" s="106"/>
      <c r="J51" s="106">
        <v>0.45199999999999996</v>
      </c>
      <c r="K51" s="124" t="s">
        <v>717</v>
      </c>
      <c r="L51" s="154" t="s">
        <v>811</v>
      </c>
      <c r="M51" s="106"/>
      <c r="N51" s="147">
        <f>Table9[[#This Row],[National Average]]</f>
        <v>32.745578885100002</v>
      </c>
      <c r="O51" s="106">
        <f>Table9[[#This Row],[Year 1]]</f>
        <v>2011</v>
      </c>
      <c r="P51" s="106">
        <f t="shared" si="1"/>
        <v>3</v>
      </c>
      <c r="Q51" s="155" t="s">
        <v>812</v>
      </c>
      <c r="R51" s="155" t="s">
        <v>812</v>
      </c>
      <c r="S51" s="155" t="s">
        <v>812</v>
      </c>
      <c r="T51" s="155" t="s">
        <v>813</v>
      </c>
      <c r="U51" s="155" t="s">
        <v>813</v>
      </c>
      <c r="V51" s="120">
        <v>2011</v>
      </c>
    </row>
    <row r="52" spans="1:22" ht="15" x14ac:dyDescent="0.25">
      <c r="A52" s="106" t="s">
        <v>50</v>
      </c>
      <c r="B52" s="119" t="s">
        <v>505</v>
      </c>
      <c r="C52" s="106"/>
      <c r="D52" s="106">
        <v>4364</v>
      </c>
      <c r="E52" s="106">
        <v>2014</v>
      </c>
      <c r="F52" s="119" t="s">
        <v>579</v>
      </c>
      <c r="G52" s="106"/>
      <c r="H52" s="123">
        <v>16.221</v>
      </c>
      <c r="I52" s="106"/>
      <c r="J52" s="106">
        <v>1.6149999999999998</v>
      </c>
      <c r="K52" s="124" t="s">
        <v>717</v>
      </c>
      <c r="L52" s="154" t="str">
        <f>IF(K52&gt;1,"YES","PARTIAL")</f>
        <v>YES</v>
      </c>
      <c r="M52" s="106"/>
      <c r="N52" s="147" t="str">
        <f>Table9[[#This Row],[National Average]]</f>
        <v>No data</v>
      </c>
      <c r="O52" s="106"/>
      <c r="P52" s="106">
        <f t="shared" si="1"/>
        <v>1</v>
      </c>
      <c r="Q52" s="155" t="s">
        <v>812</v>
      </c>
      <c r="R52" s="155" t="s">
        <v>813</v>
      </c>
      <c r="S52" s="155" t="s">
        <v>813</v>
      </c>
      <c r="T52" s="155" t="s">
        <v>813</v>
      </c>
      <c r="U52" s="155" t="s">
        <v>813</v>
      </c>
      <c r="V52" s="120">
        <v>2011</v>
      </c>
    </row>
    <row r="53" spans="1:22" ht="15" x14ac:dyDescent="0.25">
      <c r="A53" s="106" t="s">
        <v>51</v>
      </c>
      <c r="B53" s="119" t="s">
        <v>506</v>
      </c>
      <c r="C53" s="106"/>
      <c r="D53" s="106">
        <v>2857</v>
      </c>
      <c r="E53" s="106">
        <v>2014</v>
      </c>
      <c r="F53" s="119" t="s">
        <v>580</v>
      </c>
      <c r="G53" s="106"/>
      <c r="H53" s="123">
        <v>94.766999999999996</v>
      </c>
      <c r="I53" s="106"/>
      <c r="J53" s="106" t="s">
        <v>791</v>
      </c>
      <c r="K53" s="124" t="s">
        <v>717</v>
      </c>
      <c r="L53" s="154" t="str">
        <f>IF(K53&gt;1,"YES","PARTIAL")</f>
        <v>YES</v>
      </c>
      <c r="M53" s="106"/>
      <c r="N53" s="147">
        <f>Table9[[#This Row],[National Average]]</f>
        <v>64.338427782099998</v>
      </c>
      <c r="O53" s="106">
        <f>Table9[[#This Row],[Year 1]]</f>
        <v>2011</v>
      </c>
      <c r="P53" s="106">
        <f t="shared" si="1"/>
        <v>5</v>
      </c>
      <c r="Q53" s="155" t="s">
        <v>812</v>
      </c>
      <c r="R53" s="155" t="s">
        <v>812</v>
      </c>
      <c r="S53" s="155" t="s">
        <v>812</v>
      </c>
      <c r="T53" s="155" t="s">
        <v>812</v>
      </c>
      <c r="U53" s="155" t="s">
        <v>812</v>
      </c>
      <c r="V53" s="120">
        <v>2011</v>
      </c>
    </row>
    <row r="54" spans="1:22" ht="15" x14ac:dyDescent="0.25">
      <c r="A54" s="106" t="s">
        <v>52</v>
      </c>
      <c r="B54" s="119" t="s">
        <v>507</v>
      </c>
      <c r="C54" s="106"/>
      <c r="D54" s="106">
        <v>679</v>
      </c>
      <c r="E54" s="106">
        <v>2014</v>
      </c>
      <c r="F54" s="119" t="s">
        <v>581</v>
      </c>
      <c r="G54" s="106"/>
      <c r="H54" s="123">
        <v>209.58199999999999</v>
      </c>
      <c r="I54" s="106"/>
      <c r="J54" s="106">
        <v>0.156</v>
      </c>
      <c r="K54" s="124" t="s">
        <v>718</v>
      </c>
      <c r="L54" s="154" t="str">
        <f>IF(K54&gt;1,"YES","PARTIAL")</f>
        <v>YES</v>
      </c>
      <c r="M54" s="106"/>
      <c r="N54" s="147">
        <f>Table9[[#This Row],[National Average]]</f>
        <v>46.474456787099996</v>
      </c>
      <c r="O54" s="106">
        <f>Table9[[#This Row],[Year 1]]</f>
        <v>2012</v>
      </c>
      <c r="P54" s="106">
        <f t="shared" si="1"/>
        <v>3</v>
      </c>
      <c r="Q54" s="155" t="s">
        <v>812</v>
      </c>
      <c r="R54" s="155" t="s">
        <v>812</v>
      </c>
      <c r="S54" s="155" t="s">
        <v>812</v>
      </c>
      <c r="T54" s="155" t="s">
        <v>813</v>
      </c>
      <c r="U54" s="155" t="s">
        <v>813</v>
      </c>
      <c r="V54" s="120">
        <v>2011</v>
      </c>
    </row>
    <row r="55" spans="1:22" ht="15" x14ac:dyDescent="0.25">
      <c r="A55" s="106" t="s">
        <v>53</v>
      </c>
      <c r="B55" s="119" t="s">
        <v>508</v>
      </c>
      <c r="C55" s="106"/>
      <c r="D55" s="106">
        <v>3838</v>
      </c>
      <c r="E55" s="106">
        <v>2014</v>
      </c>
      <c r="F55" s="119" t="s">
        <v>582</v>
      </c>
      <c r="G55" s="106"/>
      <c r="H55" s="123">
        <v>123.941</v>
      </c>
      <c r="I55" s="106"/>
      <c r="J55" s="106" t="s">
        <v>791</v>
      </c>
      <c r="K55" s="124" t="s">
        <v>715</v>
      </c>
      <c r="L55" s="154" t="str">
        <f>IF(K55&gt;1,"YES","PARTIAL")</f>
        <v>YES</v>
      </c>
      <c r="M55" s="106"/>
      <c r="N55" s="147">
        <f>Table9[[#This Row],[National Average]]</f>
        <v>48.481679999999997</v>
      </c>
      <c r="O55" s="106">
        <f>Table9[[#This Row],[Year 1]]</f>
        <v>2013</v>
      </c>
      <c r="P55" s="106">
        <f t="shared" si="1"/>
        <v>3</v>
      </c>
      <c r="Q55" s="155" t="s">
        <v>812</v>
      </c>
      <c r="R55" s="155" t="s">
        <v>812</v>
      </c>
      <c r="S55" s="155" t="s">
        <v>812</v>
      </c>
      <c r="T55" s="155" t="s">
        <v>813</v>
      </c>
      <c r="U55" s="155" t="s">
        <v>813</v>
      </c>
      <c r="V55" s="120">
        <v>2011</v>
      </c>
    </row>
    <row r="56" spans="1:22" ht="15" x14ac:dyDescent="0.25">
      <c r="A56" s="106" t="s">
        <v>54</v>
      </c>
      <c r="B56" s="119" t="s">
        <v>509</v>
      </c>
      <c r="C56" s="106"/>
      <c r="D56" s="106">
        <v>31376</v>
      </c>
      <c r="E56" s="106">
        <v>2014</v>
      </c>
      <c r="F56" s="119" t="s">
        <v>583</v>
      </c>
      <c r="G56" s="106"/>
      <c r="H56" s="123">
        <v>30.920999999999999</v>
      </c>
      <c r="I56" s="106"/>
      <c r="J56" s="106">
        <v>1.4</v>
      </c>
      <c r="K56" s="124" t="s">
        <v>719</v>
      </c>
      <c r="L56" s="154" t="s">
        <v>811</v>
      </c>
      <c r="M56" s="106"/>
      <c r="N56" s="147">
        <f>Table9[[#This Row],[National Average]]</f>
        <v>63.807362318000003</v>
      </c>
      <c r="O56" s="106">
        <f>Table9[[#This Row],[Year 1]]</f>
        <v>2012</v>
      </c>
      <c r="P56" s="106">
        <f t="shared" si="1"/>
        <v>3</v>
      </c>
      <c r="Q56" s="155" t="s">
        <v>812</v>
      </c>
      <c r="R56" s="155" t="s">
        <v>812</v>
      </c>
      <c r="S56" s="155" t="s">
        <v>812</v>
      </c>
      <c r="T56" s="155" t="s">
        <v>813</v>
      </c>
      <c r="U56" s="155" t="s">
        <v>813</v>
      </c>
      <c r="V56" s="120">
        <v>2011</v>
      </c>
    </row>
    <row r="57" spans="1:22" ht="15" x14ac:dyDescent="0.25">
      <c r="A57" s="106" t="s">
        <v>55</v>
      </c>
      <c r="B57" s="119" t="s">
        <v>510</v>
      </c>
      <c r="C57" s="106"/>
      <c r="D57" s="106">
        <v>21377</v>
      </c>
      <c r="E57" s="106">
        <v>2014</v>
      </c>
      <c r="F57" s="119" t="s">
        <v>584</v>
      </c>
      <c r="G57" s="106"/>
      <c r="H57" s="123">
        <v>66.887</v>
      </c>
      <c r="I57" s="106"/>
      <c r="J57" s="106" t="s">
        <v>791</v>
      </c>
      <c r="K57" s="124" t="s">
        <v>717</v>
      </c>
      <c r="L57" s="154" t="str">
        <f>IF(K57&gt;1,"YES","PARTIAL")</f>
        <v>YES</v>
      </c>
      <c r="M57" s="106"/>
      <c r="N57" s="147" t="str">
        <f>Table9[[#This Row],[National Average]]</f>
        <v>No data</v>
      </c>
      <c r="O57" s="106"/>
      <c r="P57" s="106">
        <f t="shared" si="1"/>
        <v>1</v>
      </c>
      <c r="Q57" s="155" t="s">
        <v>812</v>
      </c>
      <c r="R57" s="155" t="s">
        <v>813</v>
      </c>
      <c r="S57" s="155" t="s">
        <v>813</v>
      </c>
      <c r="T57" s="155" t="s">
        <v>813</v>
      </c>
      <c r="U57" s="155" t="s">
        <v>813</v>
      </c>
      <c r="V57" s="120">
        <v>2011</v>
      </c>
    </row>
    <row r="58" spans="1:22" ht="15" x14ac:dyDescent="0.25">
      <c r="A58" s="106" t="s">
        <v>56</v>
      </c>
      <c r="B58" s="119" t="s">
        <v>511</v>
      </c>
      <c r="C58" s="106"/>
      <c r="D58" s="106">
        <v>2925</v>
      </c>
      <c r="E58" s="106">
        <v>2014</v>
      </c>
      <c r="F58" s="119" t="s">
        <v>585</v>
      </c>
      <c r="G58" s="106"/>
      <c r="H58" s="123">
        <v>54.698</v>
      </c>
      <c r="I58" s="106"/>
      <c r="J58" s="106">
        <v>2.6459999999999999</v>
      </c>
      <c r="K58" s="124" t="s">
        <v>717</v>
      </c>
      <c r="L58" s="154" t="str">
        <f>IF(K58&gt;1,"YES","PARTIAL")</f>
        <v>YES</v>
      </c>
      <c r="M58" s="106"/>
      <c r="N58" s="147">
        <f>Table9[[#This Row],[National Average]]</f>
        <v>90.27288556100001</v>
      </c>
      <c r="O58" s="106">
        <f>Table9[[#This Row],[Year 1]]</f>
        <v>2012</v>
      </c>
      <c r="P58" s="106">
        <f t="shared" si="1"/>
        <v>3</v>
      </c>
      <c r="Q58" s="155" t="s">
        <v>812</v>
      </c>
      <c r="R58" s="155" t="s">
        <v>812</v>
      </c>
      <c r="S58" s="155" t="s">
        <v>812</v>
      </c>
      <c r="T58" s="155" t="s">
        <v>813</v>
      </c>
      <c r="U58" s="155" t="s">
        <v>813</v>
      </c>
      <c r="V58" s="120">
        <v>2011</v>
      </c>
    </row>
    <row r="59" spans="1:22" ht="15" x14ac:dyDescent="0.25">
      <c r="A59" s="106" t="s">
        <v>57</v>
      </c>
      <c r="B59" s="119" t="s">
        <v>512</v>
      </c>
      <c r="C59" s="106"/>
      <c r="D59" s="106">
        <v>11548</v>
      </c>
      <c r="E59" s="106">
        <v>2014</v>
      </c>
      <c r="F59" s="119" t="s">
        <v>586</v>
      </c>
      <c r="G59" s="106"/>
      <c r="H59" s="123">
        <v>54.085999999999999</v>
      </c>
      <c r="I59" s="106"/>
      <c r="J59" s="106" t="s">
        <v>791</v>
      </c>
      <c r="K59" s="124" t="s">
        <v>715</v>
      </c>
      <c r="L59" s="154" t="str">
        <f>IF(K59&gt;1,"YES","PARTIAL")</f>
        <v>YES</v>
      </c>
      <c r="M59" s="106"/>
      <c r="N59" s="147">
        <f>Table9[[#This Row],[National Average]]</f>
        <v>75.899510000000006</v>
      </c>
      <c r="O59" s="106">
        <f>Table9[[#This Row],[Year 1]]</f>
        <v>2013</v>
      </c>
      <c r="P59" s="106">
        <f t="shared" si="1"/>
        <v>1</v>
      </c>
      <c r="Q59" s="155" t="s">
        <v>812</v>
      </c>
      <c r="R59" s="155" t="s">
        <v>813</v>
      </c>
      <c r="S59" s="155" t="s">
        <v>813</v>
      </c>
      <c r="T59" s="155" t="s">
        <v>813</v>
      </c>
      <c r="U59" s="155" t="s">
        <v>813</v>
      </c>
      <c r="V59" s="120">
        <v>2011</v>
      </c>
    </row>
    <row r="60" spans="1:22" ht="15" x14ac:dyDescent="0.25">
      <c r="A60" s="106" t="s">
        <v>58</v>
      </c>
      <c r="B60" s="119" t="s">
        <v>513</v>
      </c>
      <c r="C60" s="106"/>
      <c r="D60" s="106">
        <v>1911</v>
      </c>
      <c r="E60" s="106">
        <v>2014</v>
      </c>
      <c r="F60" s="119" t="s">
        <v>555</v>
      </c>
      <c r="G60" s="106"/>
      <c r="H60" s="123">
        <v>42.753</v>
      </c>
      <c r="I60" s="106"/>
      <c r="J60" s="106">
        <v>0.745</v>
      </c>
      <c r="K60" s="124" t="s">
        <v>719</v>
      </c>
      <c r="L60" s="154" t="s">
        <v>811</v>
      </c>
      <c r="M60" s="106"/>
      <c r="N60" s="147">
        <f>Table9[[#This Row],[National Average]]</f>
        <v>71.263927221300008</v>
      </c>
      <c r="O60" s="106">
        <f>Table9[[#This Row],[Year 1]]</f>
        <v>2010</v>
      </c>
      <c r="P60" s="106">
        <f t="shared" si="1"/>
        <v>3</v>
      </c>
      <c r="Q60" s="155" t="s">
        <v>812</v>
      </c>
      <c r="R60" s="155" t="s">
        <v>812</v>
      </c>
      <c r="S60" s="155" t="s">
        <v>812</v>
      </c>
      <c r="T60" s="155" t="s">
        <v>813</v>
      </c>
      <c r="U60" s="155" t="s">
        <v>813</v>
      </c>
      <c r="V60" s="120">
        <v>2011</v>
      </c>
    </row>
    <row r="61" spans="1:22" ht="15" x14ac:dyDescent="0.25">
      <c r="A61" s="106" t="s">
        <v>59</v>
      </c>
      <c r="B61" s="119" t="s">
        <v>515</v>
      </c>
      <c r="C61" s="106"/>
      <c r="D61" s="106">
        <v>30</v>
      </c>
      <c r="E61" s="106">
        <v>2014</v>
      </c>
      <c r="F61" s="119" t="s">
        <v>587</v>
      </c>
      <c r="G61" s="106"/>
      <c r="H61" s="123">
        <v>76.361999999999995</v>
      </c>
      <c r="I61" s="106"/>
      <c r="J61" s="106">
        <v>2.3580000000000001</v>
      </c>
      <c r="K61" s="124" t="s">
        <v>724</v>
      </c>
      <c r="L61" s="154" t="s">
        <v>811</v>
      </c>
      <c r="M61" s="106"/>
      <c r="N61" s="147">
        <f>Table9[[#This Row],[National Average]]</f>
        <v>50.809866189999994</v>
      </c>
      <c r="O61" s="106">
        <f>Table9[[#This Row],[Year 1]]</f>
        <v>2008</v>
      </c>
      <c r="P61" s="106">
        <f t="shared" si="1"/>
        <v>1</v>
      </c>
      <c r="Q61" s="155" t="s">
        <v>812</v>
      </c>
      <c r="R61" s="155" t="s">
        <v>813</v>
      </c>
      <c r="S61" s="155" t="s">
        <v>813</v>
      </c>
      <c r="T61" s="155" t="s">
        <v>813</v>
      </c>
      <c r="U61" s="155" t="s">
        <v>813</v>
      </c>
      <c r="V61" s="120">
        <v>2011</v>
      </c>
    </row>
    <row r="62" spans="1:22" ht="15" x14ac:dyDescent="0.25">
      <c r="A62" s="106" t="s">
        <v>60</v>
      </c>
      <c r="B62" s="119" t="s">
        <v>516</v>
      </c>
      <c r="C62" s="106"/>
      <c r="D62" s="106">
        <v>2441</v>
      </c>
      <c r="E62" s="106">
        <v>2014</v>
      </c>
      <c r="F62" s="119" t="s">
        <v>588</v>
      </c>
      <c r="G62" s="106"/>
      <c r="H62" s="123">
        <v>98.102000000000004</v>
      </c>
      <c r="I62" s="106"/>
      <c r="J62" s="106">
        <v>0.47899999999999998</v>
      </c>
      <c r="K62" s="124" t="s">
        <v>718</v>
      </c>
      <c r="L62" s="154" t="str">
        <f>IF(K62&gt;1,"YES","PARTIAL")</f>
        <v>YES</v>
      </c>
      <c r="M62" s="106"/>
      <c r="N62" s="147">
        <f>Table9[[#This Row],[National Average]]</f>
        <v>37.914580000000001</v>
      </c>
      <c r="O62" s="106">
        <f>Table9[[#This Row],[Year 1]]</f>
        <v>2012</v>
      </c>
      <c r="P62" s="106">
        <f t="shared" si="1"/>
        <v>1</v>
      </c>
      <c r="Q62" s="155" t="s">
        <v>812</v>
      </c>
      <c r="R62" s="155" t="s">
        <v>813</v>
      </c>
      <c r="S62" s="155" t="s">
        <v>813</v>
      </c>
      <c r="T62" s="155" t="s">
        <v>813</v>
      </c>
      <c r="U62" s="155" t="s">
        <v>813</v>
      </c>
      <c r="V62" s="120">
        <v>2011</v>
      </c>
    </row>
    <row r="63" spans="1:22" ht="15" x14ac:dyDescent="0.25">
      <c r="A63" s="106" t="s">
        <v>61</v>
      </c>
      <c r="B63" s="119" t="s">
        <v>517</v>
      </c>
      <c r="C63" s="106"/>
      <c r="D63" s="106">
        <v>942</v>
      </c>
      <c r="E63" s="106">
        <v>2014</v>
      </c>
      <c r="F63" s="119" t="s">
        <v>589</v>
      </c>
      <c r="G63" s="106"/>
      <c r="H63" s="123">
        <v>118.96599999999999</v>
      </c>
      <c r="I63" s="106"/>
      <c r="J63" s="106">
        <v>0.188</v>
      </c>
      <c r="K63" s="124" t="s">
        <v>719</v>
      </c>
      <c r="L63" s="154" t="s">
        <v>811</v>
      </c>
      <c r="M63" s="106"/>
      <c r="N63" s="147">
        <f>Table9[[#This Row],[National Average]]</f>
        <v>39.953949999999999</v>
      </c>
      <c r="O63" s="106">
        <f>Table9[[#This Row],[Year 1]]</f>
        <v>2013</v>
      </c>
      <c r="P63" s="106">
        <f t="shared" si="1"/>
        <v>3</v>
      </c>
      <c r="Q63" s="155" t="s">
        <v>812</v>
      </c>
      <c r="R63" s="155" t="s">
        <v>812</v>
      </c>
      <c r="S63" s="155" t="s">
        <v>812</v>
      </c>
      <c r="T63" s="155" t="s">
        <v>813</v>
      </c>
      <c r="U63" s="155" t="s">
        <v>813</v>
      </c>
      <c r="V63" s="120">
        <v>2011</v>
      </c>
    </row>
    <row r="64" spans="1:22" ht="15" x14ac:dyDescent="0.25">
      <c r="A64" s="106" t="s">
        <v>62</v>
      </c>
      <c r="B64" s="119" t="s">
        <v>518</v>
      </c>
      <c r="C64" s="106"/>
      <c r="D64" s="106">
        <v>82</v>
      </c>
      <c r="E64" s="106">
        <v>2014</v>
      </c>
      <c r="F64" s="119" t="s">
        <v>567</v>
      </c>
      <c r="G64" s="106"/>
      <c r="H64" s="123">
        <v>70.33</v>
      </c>
      <c r="I64" s="106"/>
      <c r="J64" s="106">
        <v>2.2770000000000001</v>
      </c>
      <c r="K64" s="124" t="s">
        <v>716</v>
      </c>
      <c r="L64" s="154" t="s">
        <v>811</v>
      </c>
      <c r="M64" s="106"/>
      <c r="N64" s="147" t="str">
        <f>Table9[[#This Row],[National Average]]</f>
        <v>No data</v>
      </c>
      <c r="O64" s="106"/>
      <c r="P64" s="106">
        <f t="shared" si="1"/>
        <v>1</v>
      </c>
      <c r="Q64" s="155" t="s">
        <v>812</v>
      </c>
      <c r="R64" s="155" t="s">
        <v>813</v>
      </c>
      <c r="S64" s="155" t="s">
        <v>813</v>
      </c>
      <c r="T64" s="155" t="s">
        <v>813</v>
      </c>
      <c r="U64" s="155" t="s">
        <v>813</v>
      </c>
      <c r="V64" s="120">
        <v>2011</v>
      </c>
    </row>
    <row r="65" spans="1:22" ht="15" x14ac:dyDescent="0.25">
      <c r="A65" s="106" t="s">
        <v>63</v>
      </c>
      <c r="B65" s="119" t="s">
        <v>519</v>
      </c>
      <c r="C65" s="106"/>
      <c r="D65" s="106">
        <v>1989</v>
      </c>
      <c r="E65" s="106">
        <v>2014</v>
      </c>
      <c r="F65" s="119" t="s">
        <v>590</v>
      </c>
      <c r="G65" s="106"/>
      <c r="H65" s="123">
        <v>127.154</v>
      </c>
      <c r="I65" s="106"/>
      <c r="J65" s="106">
        <v>0.14900000000000002</v>
      </c>
      <c r="K65" s="124" t="s">
        <v>720</v>
      </c>
      <c r="L65" s="154" t="s">
        <v>811</v>
      </c>
      <c r="M65" s="106"/>
      <c r="N65" s="147" t="str">
        <f>Table9[[#This Row],[National Average]]</f>
        <v>n/a</v>
      </c>
      <c r="O65" s="106">
        <f>Table9[[#This Row],[Year 1]]</f>
        <v>2006</v>
      </c>
      <c r="P65" s="106">
        <f t="shared" si="1"/>
        <v>1</v>
      </c>
      <c r="Q65" s="155" t="s">
        <v>812</v>
      </c>
      <c r="R65" s="155" t="s">
        <v>813</v>
      </c>
      <c r="S65" s="155" t="s">
        <v>813</v>
      </c>
      <c r="T65" s="155" t="s">
        <v>813</v>
      </c>
      <c r="U65" s="155" t="s">
        <v>813</v>
      </c>
      <c r="V65" s="120">
        <v>2011</v>
      </c>
    </row>
    <row r="66" spans="1:22" ht="15" x14ac:dyDescent="0.25">
      <c r="A66" s="106" t="s">
        <v>64</v>
      </c>
      <c r="B66" s="119" t="s">
        <v>520</v>
      </c>
      <c r="C66" s="106"/>
      <c r="D66" s="106">
        <v>5330</v>
      </c>
      <c r="E66" s="106">
        <v>2014</v>
      </c>
      <c r="F66" s="119" t="s">
        <v>591</v>
      </c>
      <c r="G66" s="106"/>
      <c r="H66" s="123">
        <v>59.16</v>
      </c>
      <c r="I66" s="106"/>
      <c r="J66" s="106">
        <v>5.89</v>
      </c>
      <c r="K66" s="124" t="s">
        <v>721</v>
      </c>
      <c r="L66" s="154" t="str">
        <f>IF(K66&gt;1,"YES","PARTIAL")</f>
        <v>YES</v>
      </c>
      <c r="M66" s="106"/>
      <c r="N66" s="147">
        <f>Table9[[#This Row],[National Average]]</f>
        <v>78.994143009200002</v>
      </c>
      <c r="O66" s="106">
        <f>Table9[[#This Row],[Year 1]]</f>
        <v>1998</v>
      </c>
      <c r="P66" s="106">
        <f t="shared" si="1"/>
        <v>5</v>
      </c>
      <c r="Q66" s="155" t="s">
        <v>812</v>
      </c>
      <c r="R66" s="155" t="s">
        <v>812</v>
      </c>
      <c r="S66" s="155" t="s">
        <v>812</v>
      </c>
      <c r="T66" s="155" t="s">
        <v>812</v>
      </c>
      <c r="U66" s="155" t="s">
        <v>812</v>
      </c>
      <c r="V66" s="120">
        <v>2011</v>
      </c>
    </row>
    <row r="67" spans="1:22" ht="15" x14ac:dyDescent="0.25">
      <c r="A67" s="106" t="s">
        <v>65</v>
      </c>
      <c r="B67" s="119" t="s">
        <v>521</v>
      </c>
      <c r="C67" s="106"/>
      <c r="D67" s="106">
        <v>1831</v>
      </c>
      <c r="E67" s="106">
        <v>2014</v>
      </c>
      <c r="F67" s="119" t="s">
        <v>592</v>
      </c>
      <c r="G67" s="106"/>
      <c r="H67" s="123">
        <v>95.350999999999999</v>
      </c>
      <c r="I67" s="106"/>
      <c r="J67" s="106" t="s">
        <v>791</v>
      </c>
      <c r="K67" s="124"/>
      <c r="L67" s="154" t="s">
        <v>811</v>
      </c>
      <c r="M67" s="106"/>
      <c r="N67" s="147" t="str">
        <f>Table9[[#This Row],[National Average]]</f>
        <v>No data</v>
      </c>
      <c r="O67" s="106"/>
      <c r="P67" s="106">
        <f t="shared" si="1"/>
        <v>0</v>
      </c>
      <c r="Q67" s="155" t="s">
        <v>814</v>
      </c>
      <c r="R67" s="155" t="s">
        <v>814</v>
      </c>
      <c r="S67" s="155" t="s">
        <v>814</v>
      </c>
      <c r="T67" s="155" t="s">
        <v>814</v>
      </c>
      <c r="U67" s="155" t="s">
        <v>814</v>
      </c>
      <c r="V67" s="120">
        <v>2011</v>
      </c>
    </row>
    <row r="68" spans="1:22" ht="15" x14ac:dyDescent="0.25">
      <c r="A68" s="106" t="s">
        <v>66</v>
      </c>
      <c r="B68" s="119" t="s">
        <v>522</v>
      </c>
      <c r="C68" s="106"/>
      <c r="D68" s="106">
        <v>5789</v>
      </c>
      <c r="E68" s="106">
        <v>2014</v>
      </c>
      <c r="F68" s="119" t="s">
        <v>593</v>
      </c>
      <c r="G68" s="106"/>
      <c r="H68" s="123">
        <v>106.617</v>
      </c>
      <c r="I68" s="106"/>
      <c r="J68" s="106">
        <v>1.1200000000000001</v>
      </c>
      <c r="K68" s="124" t="s">
        <v>718</v>
      </c>
      <c r="L68" s="154" t="str">
        <f>IF(K68&gt;1,"YES","PARTIAL")</f>
        <v>YES</v>
      </c>
      <c r="M68" s="106"/>
      <c r="N68" s="147" t="str">
        <f>Table9[[#This Row],[National Average]]</f>
        <v>No data</v>
      </c>
      <c r="O68" s="106"/>
      <c r="P68" s="106">
        <f t="shared" si="1"/>
        <v>1</v>
      </c>
      <c r="Q68" s="155" t="s">
        <v>812</v>
      </c>
      <c r="R68" s="155" t="s">
        <v>813</v>
      </c>
      <c r="S68" s="155" t="s">
        <v>813</v>
      </c>
      <c r="T68" s="155" t="s">
        <v>813</v>
      </c>
      <c r="U68" s="155" t="s">
        <v>813</v>
      </c>
      <c r="V68" s="120">
        <v>2011</v>
      </c>
    </row>
    <row r="69" spans="1:22" ht="15" x14ac:dyDescent="0.25">
      <c r="A69" s="106" t="s">
        <v>67</v>
      </c>
      <c r="B69" s="119" t="s">
        <v>523</v>
      </c>
      <c r="C69" s="106"/>
      <c r="D69" s="106">
        <v>170</v>
      </c>
      <c r="E69" s="106">
        <v>2014</v>
      </c>
      <c r="F69" s="119" t="s">
        <v>594</v>
      </c>
      <c r="G69" s="106"/>
      <c r="H69" s="123">
        <v>87.983999999999995</v>
      </c>
      <c r="I69" s="106"/>
      <c r="J69" s="106">
        <v>1.772</v>
      </c>
      <c r="K69" s="124" t="s">
        <v>716</v>
      </c>
      <c r="L69" s="154" t="str">
        <f>IF(K69&gt;1,"YES","PARTIAL")</f>
        <v>YES</v>
      </c>
      <c r="M69" s="106"/>
      <c r="N69" s="147">
        <f>Table9[[#This Row],[National Average]]</f>
        <v>83.819818496700009</v>
      </c>
      <c r="O69" s="106">
        <f>Table9[[#This Row],[Year 1]]</f>
        <v>2010</v>
      </c>
      <c r="P69" s="106">
        <f t="shared" ref="P69:P78" si="3">COUNTIF(Q69:U69,"x")</f>
        <v>3</v>
      </c>
      <c r="Q69" s="155" t="s">
        <v>812</v>
      </c>
      <c r="R69" s="155" t="s">
        <v>812</v>
      </c>
      <c r="S69" s="155" t="s">
        <v>812</v>
      </c>
      <c r="T69" s="155" t="s">
        <v>813</v>
      </c>
      <c r="U69" s="155" t="s">
        <v>813</v>
      </c>
      <c r="V69" s="120">
        <v>2011</v>
      </c>
    </row>
    <row r="70" spans="1:22" ht="15" x14ac:dyDescent="0.25">
      <c r="A70" s="106" t="s">
        <v>68</v>
      </c>
      <c r="B70" s="119" t="s">
        <v>524</v>
      </c>
      <c r="C70" s="106"/>
      <c r="D70" s="106">
        <v>1227</v>
      </c>
      <c r="E70" s="106">
        <v>2014</v>
      </c>
      <c r="F70" s="119" t="s">
        <v>595</v>
      </c>
      <c r="G70" s="106"/>
      <c r="H70" s="123">
        <v>44.8</v>
      </c>
      <c r="I70" s="106"/>
      <c r="J70" s="106">
        <v>6.9359999999999999</v>
      </c>
      <c r="K70" s="124" t="s">
        <v>721</v>
      </c>
      <c r="L70" s="154" t="str">
        <f>IF(K70&gt;1,"YES","PARTIAL")</f>
        <v>YES</v>
      </c>
      <c r="M70" s="106"/>
      <c r="N70" s="147">
        <f>Table9[[#This Row],[National Average]]</f>
        <v>54.982298612599998</v>
      </c>
      <c r="O70" s="106">
        <f>Table9[[#This Row],[Year 1]]</f>
        <v>2012</v>
      </c>
      <c r="P70" s="106">
        <f t="shared" si="3"/>
        <v>5</v>
      </c>
      <c r="Q70" s="155" t="s">
        <v>812</v>
      </c>
      <c r="R70" s="155" t="s">
        <v>812</v>
      </c>
      <c r="S70" s="155" t="s">
        <v>812</v>
      </c>
      <c r="T70" s="155" t="s">
        <v>812</v>
      </c>
      <c r="U70" s="155" t="s">
        <v>812</v>
      </c>
      <c r="V70" s="120">
        <v>2011</v>
      </c>
    </row>
    <row r="71" spans="1:22" ht="15" x14ac:dyDescent="0.25">
      <c r="A71" s="106" t="s">
        <v>70</v>
      </c>
      <c r="B71" s="119" t="s">
        <v>525</v>
      </c>
      <c r="C71" s="106"/>
      <c r="D71" s="106">
        <v>1115</v>
      </c>
      <c r="E71" s="106">
        <v>2014</v>
      </c>
      <c r="F71" s="119" t="s">
        <v>596</v>
      </c>
      <c r="G71" s="106"/>
      <c r="H71" s="123">
        <v>90.096000000000004</v>
      </c>
      <c r="I71" s="106"/>
      <c r="J71" s="106">
        <v>0.32700000000000001</v>
      </c>
      <c r="K71" s="124" t="s">
        <v>718</v>
      </c>
      <c r="L71" s="154" t="str">
        <f>IF(K71&gt;1,"YES","PARTIAL")</f>
        <v>YES</v>
      </c>
      <c r="M71" s="106"/>
      <c r="N71" s="147">
        <f>Table9[[#This Row],[National Average]]</f>
        <v>29.378536343599997</v>
      </c>
      <c r="O71" s="106">
        <f>Table9[[#This Row],[Year 1]]</f>
        <v>2010</v>
      </c>
      <c r="P71" s="106">
        <f t="shared" si="3"/>
        <v>2</v>
      </c>
      <c r="Q71" s="155" t="s">
        <v>812</v>
      </c>
      <c r="R71" s="155" t="s">
        <v>812</v>
      </c>
      <c r="S71" s="155" t="s">
        <v>813</v>
      </c>
      <c r="T71" s="155" t="s">
        <v>813</v>
      </c>
      <c r="U71" s="155" t="s">
        <v>813</v>
      </c>
      <c r="V71" s="120">
        <v>2011</v>
      </c>
    </row>
    <row r="72" spans="1:22" ht="15" x14ac:dyDescent="0.25">
      <c r="A72" s="106" t="s">
        <v>71</v>
      </c>
      <c r="B72" s="119" t="s">
        <v>526</v>
      </c>
      <c r="C72" s="106"/>
      <c r="D72" s="106">
        <v>524</v>
      </c>
      <c r="E72" s="106">
        <v>2014</v>
      </c>
      <c r="F72" s="119" t="s">
        <v>597</v>
      </c>
      <c r="G72" s="106"/>
      <c r="H72" s="123">
        <v>20.885999999999999</v>
      </c>
      <c r="I72" s="106"/>
      <c r="J72" s="106" t="s">
        <v>791</v>
      </c>
      <c r="K72" s="124" t="s">
        <v>721</v>
      </c>
      <c r="L72" s="154" t="s">
        <v>811</v>
      </c>
      <c r="M72" s="106"/>
      <c r="N72" s="147" t="str">
        <f>Table9[[#This Row],[National Average]]</f>
        <v>No data</v>
      </c>
      <c r="O72" s="106"/>
      <c r="P72" s="106">
        <f t="shared" si="3"/>
        <v>5</v>
      </c>
      <c r="Q72" s="155" t="s">
        <v>812</v>
      </c>
      <c r="R72" s="155" t="s">
        <v>812</v>
      </c>
      <c r="S72" s="155" t="s">
        <v>812</v>
      </c>
      <c r="T72" s="155" t="s">
        <v>812</v>
      </c>
      <c r="U72" s="155" t="s">
        <v>812</v>
      </c>
      <c r="V72" s="120">
        <v>2011</v>
      </c>
    </row>
    <row r="73" spans="1:22" ht="15" x14ac:dyDescent="0.25">
      <c r="A73" s="106" t="s">
        <v>72</v>
      </c>
      <c r="B73" s="119" t="s">
        <v>527</v>
      </c>
      <c r="C73" s="106"/>
      <c r="D73" s="106">
        <v>7291</v>
      </c>
      <c r="E73" s="106">
        <v>2014</v>
      </c>
      <c r="F73" s="119" t="s">
        <v>598</v>
      </c>
      <c r="G73" s="106"/>
      <c r="H73" s="123">
        <v>149.93</v>
      </c>
      <c r="I73" s="106"/>
      <c r="J73" s="106" t="s">
        <v>791</v>
      </c>
      <c r="K73" s="124" t="s">
        <v>717</v>
      </c>
      <c r="L73" s="154" t="str">
        <f t="shared" ref="L73:L78" si="4">IF(K73&gt;1,"YES","PARTIAL")</f>
        <v>YES</v>
      </c>
      <c r="M73" s="106"/>
      <c r="N73" s="147">
        <f>Table9[[#This Row],[National Average]]</f>
        <v>46.696656942399997</v>
      </c>
      <c r="O73" s="106">
        <f>Table9[[#This Row],[Year 1]]</f>
        <v>2011</v>
      </c>
      <c r="P73" s="106">
        <f t="shared" si="3"/>
        <v>3</v>
      </c>
      <c r="Q73" s="155" t="s">
        <v>812</v>
      </c>
      <c r="R73" s="155" t="s">
        <v>812</v>
      </c>
      <c r="S73" s="155" t="s">
        <v>812</v>
      </c>
      <c r="T73" s="155" t="s">
        <v>813</v>
      </c>
      <c r="U73" s="155" t="s">
        <v>813</v>
      </c>
      <c r="V73" s="120">
        <v>2011</v>
      </c>
    </row>
    <row r="74" spans="1:22" ht="15" x14ac:dyDescent="0.25">
      <c r="A74" s="106" t="s">
        <v>69</v>
      </c>
      <c r="B74" s="119" t="s">
        <v>528</v>
      </c>
      <c r="C74" s="106"/>
      <c r="D74" s="106">
        <v>8814</v>
      </c>
      <c r="E74" s="106">
        <v>2014</v>
      </c>
      <c r="F74" s="119" t="s">
        <v>599</v>
      </c>
      <c r="G74" s="106"/>
      <c r="H74" s="123">
        <v>130.43700000000001</v>
      </c>
      <c r="I74" s="106"/>
      <c r="J74" s="106">
        <v>0.46699999999999997</v>
      </c>
      <c r="K74" s="124" t="s">
        <v>717</v>
      </c>
      <c r="L74" s="154" t="str">
        <f t="shared" si="4"/>
        <v>YES</v>
      </c>
      <c r="M74" s="106"/>
      <c r="N74" s="147">
        <f>Table9[[#This Row],[National Average]]</f>
        <v>57.546520233200006</v>
      </c>
      <c r="O74" s="106">
        <f>Table9[[#This Row],[Year 1]]</f>
        <v>2010</v>
      </c>
      <c r="P74" s="106">
        <f t="shared" si="3"/>
        <v>3</v>
      </c>
      <c r="Q74" s="155" t="s">
        <v>812</v>
      </c>
      <c r="R74" s="155" t="s">
        <v>812</v>
      </c>
      <c r="S74" s="155" t="s">
        <v>812</v>
      </c>
      <c r="T74" s="155" t="s">
        <v>813</v>
      </c>
      <c r="U74" s="155" t="s">
        <v>813</v>
      </c>
      <c r="V74" s="120">
        <v>2011</v>
      </c>
    </row>
    <row r="75" spans="1:22" ht="15" x14ac:dyDescent="0.25">
      <c r="A75" s="106" t="s">
        <v>73</v>
      </c>
      <c r="B75" s="119" t="s">
        <v>529</v>
      </c>
      <c r="C75" s="106"/>
      <c r="D75" s="106">
        <v>2941</v>
      </c>
      <c r="E75" s="106">
        <v>2014</v>
      </c>
      <c r="F75" s="119" t="s">
        <v>600</v>
      </c>
      <c r="G75" s="106"/>
      <c r="H75" s="123">
        <v>48.823999999999998</v>
      </c>
      <c r="I75" s="106"/>
      <c r="J75" s="106">
        <v>14.472000000000001</v>
      </c>
      <c r="K75" s="124" t="s">
        <v>721</v>
      </c>
      <c r="L75" s="154" t="str">
        <f t="shared" si="4"/>
        <v>YES</v>
      </c>
      <c r="M75" s="106"/>
      <c r="N75" s="147">
        <f>Table9[[#This Row],[National Average]]</f>
        <v>89.284110069299999</v>
      </c>
      <c r="O75" s="106">
        <f>Table9[[#This Row],[Year 1]]</f>
        <v>2006</v>
      </c>
      <c r="P75" s="106">
        <f t="shared" si="3"/>
        <v>5</v>
      </c>
      <c r="Q75" s="155" t="s">
        <v>812</v>
      </c>
      <c r="R75" s="155" t="s">
        <v>812</v>
      </c>
      <c r="S75" s="155" t="s">
        <v>812</v>
      </c>
      <c r="T75" s="155" t="s">
        <v>812</v>
      </c>
      <c r="U75" s="155" t="s">
        <v>812</v>
      </c>
      <c r="V75" s="120">
        <v>2011</v>
      </c>
    </row>
    <row r="76" spans="1:22" ht="15" x14ac:dyDescent="0.25">
      <c r="A76" s="106" t="s">
        <v>74</v>
      </c>
      <c r="B76" s="119" t="s">
        <v>530</v>
      </c>
      <c r="C76" s="106"/>
      <c r="D76" s="106">
        <v>7083</v>
      </c>
      <c r="E76" s="106">
        <v>2014</v>
      </c>
      <c r="F76" s="119" t="s">
        <v>601</v>
      </c>
      <c r="G76" s="106"/>
      <c r="H76" s="123">
        <v>31.719000000000001</v>
      </c>
      <c r="I76" s="106"/>
      <c r="J76" s="106">
        <v>2.4260000000000002</v>
      </c>
      <c r="K76" s="124" t="s">
        <v>721</v>
      </c>
      <c r="L76" s="154" t="str">
        <f t="shared" si="4"/>
        <v>YES</v>
      </c>
      <c r="M76" s="106"/>
      <c r="N76" s="147">
        <f>Table9[[#This Row],[National Average]]</f>
        <v>95.498818159099997</v>
      </c>
      <c r="O76" s="106">
        <f>Table9[[#This Row],[Year 1]]</f>
        <v>2010</v>
      </c>
      <c r="P76" s="106">
        <f t="shared" si="3"/>
        <v>5</v>
      </c>
      <c r="Q76" s="155" t="s">
        <v>812</v>
      </c>
      <c r="R76" s="155" t="s">
        <v>812</v>
      </c>
      <c r="S76" s="155" t="s">
        <v>812</v>
      </c>
      <c r="T76" s="155" t="s">
        <v>812</v>
      </c>
      <c r="U76" s="155" t="s">
        <v>812</v>
      </c>
      <c r="V76" s="120">
        <v>2011</v>
      </c>
    </row>
    <row r="77" spans="1:22" ht="15" x14ac:dyDescent="0.25">
      <c r="A77" s="106" t="s">
        <v>75</v>
      </c>
      <c r="B77" s="119" t="s">
        <v>531</v>
      </c>
      <c r="C77" s="106"/>
      <c r="D77" s="106">
        <v>3499</v>
      </c>
      <c r="E77" s="106">
        <v>2014</v>
      </c>
      <c r="F77" s="119" t="s">
        <v>567</v>
      </c>
      <c r="G77" s="106"/>
      <c r="H77" s="123">
        <v>56.405999999999999</v>
      </c>
      <c r="I77" s="106"/>
      <c r="J77" s="106">
        <v>0.87400000000000011</v>
      </c>
      <c r="K77" s="124" t="s">
        <v>719</v>
      </c>
      <c r="L77" s="154" t="str">
        <f t="shared" si="4"/>
        <v>YES</v>
      </c>
      <c r="M77" s="106"/>
      <c r="N77" s="147">
        <f>Table9[[#This Row],[National Average]]</f>
        <v>54.012596607200003</v>
      </c>
      <c r="O77" s="106">
        <f>Table9[[#This Row],[Year 1]]</f>
        <v>2006</v>
      </c>
      <c r="P77" s="106">
        <f t="shared" si="3"/>
        <v>1</v>
      </c>
      <c r="Q77" s="155" t="s">
        <v>812</v>
      </c>
      <c r="R77" s="155" t="s">
        <v>813</v>
      </c>
      <c r="S77" s="155" t="s">
        <v>813</v>
      </c>
      <c r="T77" s="155" t="s">
        <v>813</v>
      </c>
      <c r="U77" s="155" t="s">
        <v>813</v>
      </c>
      <c r="V77" s="120">
        <v>2011</v>
      </c>
    </row>
    <row r="78" spans="1:22" ht="15" x14ac:dyDescent="0.25">
      <c r="A78" s="106" t="s">
        <v>76</v>
      </c>
      <c r="B78" s="119" t="s">
        <v>532</v>
      </c>
      <c r="C78" s="106"/>
      <c r="D78" s="106">
        <v>2753</v>
      </c>
      <c r="E78" s="106">
        <v>2014</v>
      </c>
      <c r="F78" s="119" t="s">
        <v>559</v>
      </c>
      <c r="G78" s="106"/>
      <c r="H78" s="123">
        <v>139.72399999999999</v>
      </c>
      <c r="I78" s="106"/>
      <c r="J78" s="106">
        <v>0.17299999999999999</v>
      </c>
      <c r="K78" s="124" t="s">
        <v>717</v>
      </c>
      <c r="L78" s="154" t="str">
        <f t="shared" si="4"/>
        <v>YES</v>
      </c>
      <c r="M78" s="106"/>
      <c r="N78" s="147">
        <f>Table9[[#This Row],[National Average]]</f>
        <v>60.644137859299995</v>
      </c>
      <c r="O78" s="106">
        <f>Table9[[#This Row],[Year 1]]</f>
        <v>2007</v>
      </c>
      <c r="P78" s="106">
        <f t="shared" si="3"/>
        <v>4</v>
      </c>
      <c r="Q78" s="155" t="s">
        <v>812</v>
      </c>
      <c r="R78" s="155" t="s">
        <v>812</v>
      </c>
      <c r="S78" s="155" t="s">
        <v>812</v>
      </c>
      <c r="T78" s="155" t="s">
        <v>812</v>
      </c>
      <c r="U78" s="155" t="s">
        <v>813</v>
      </c>
      <c r="V78" s="120">
        <v>2011</v>
      </c>
    </row>
    <row r="79" spans="1:22" ht="15" x14ac:dyDescent="0.25">
      <c r="A79" s="106" t="s">
        <v>77</v>
      </c>
      <c r="B79" s="119" t="s">
        <v>533</v>
      </c>
      <c r="C79" s="106"/>
      <c r="D79" s="106">
        <v>2080</v>
      </c>
      <c r="E79" s="106">
        <v>2014</v>
      </c>
      <c r="F79" s="119" t="s">
        <v>602</v>
      </c>
      <c r="G79" s="106"/>
      <c r="H79" s="123">
        <v>72.617999999999995</v>
      </c>
      <c r="I79" s="106"/>
      <c r="J79" s="106">
        <v>1.4179999999999999</v>
      </c>
      <c r="K79" s="124" t="s">
        <v>715</v>
      </c>
      <c r="L79" s="154" t="s">
        <v>811</v>
      </c>
      <c r="M79" s="106"/>
      <c r="N79" s="147">
        <f>Table9[[#This Row],[National Average]]</f>
        <v>80.069905519499997</v>
      </c>
      <c r="O79" s="106">
        <f>Table9[[#This Row],[Year 1]]</f>
        <v>2010</v>
      </c>
      <c r="P79" s="106">
        <f>COUNTIF(Q79:U79,"x")</f>
        <v>2</v>
      </c>
      <c r="Q79" s="155" t="s">
        <v>812</v>
      </c>
      <c r="R79" s="155" t="s">
        <v>812</v>
      </c>
      <c r="S79" s="155" t="s">
        <v>813</v>
      </c>
      <c r="T79" s="155" t="s">
        <v>813</v>
      </c>
      <c r="U79" s="155" t="s">
        <v>813</v>
      </c>
      <c r="V79" s="120">
        <v>2011</v>
      </c>
    </row>
    <row r="80" spans="1:22" x14ac:dyDescent="0.2">
      <c r="A80" s="107" t="s">
        <v>255</v>
      </c>
      <c r="B80" s="106"/>
      <c r="C80" s="106"/>
      <c r="D80" s="106"/>
      <c r="E80" s="106"/>
      <c r="F80" s="106"/>
      <c r="G80" s="106"/>
      <c r="H80" s="106"/>
      <c r="I80" s="106"/>
      <c r="J80" s="106"/>
      <c r="K80" s="106"/>
      <c r="L80" s="106"/>
      <c r="M80" s="106"/>
      <c r="N80" s="106"/>
      <c r="O80" s="106"/>
      <c r="P80" s="106"/>
      <c r="Q80" s="106"/>
      <c r="R80" s="106"/>
      <c r="S80" s="106"/>
      <c r="T80" s="106"/>
      <c r="U80" s="106"/>
      <c r="V80" s="106"/>
    </row>
    <row r="81" spans="1:22" x14ac:dyDescent="0.2">
      <c r="A81" s="107" t="s">
        <v>256</v>
      </c>
      <c r="B81" s="106"/>
      <c r="C81" s="106"/>
      <c r="D81" s="106"/>
      <c r="E81" s="106"/>
      <c r="F81" s="106"/>
      <c r="G81" s="106"/>
      <c r="H81" s="106"/>
      <c r="I81" s="106"/>
      <c r="J81" s="106"/>
      <c r="K81" s="106"/>
      <c r="L81" s="106"/>
      <c r="M81" s="106"/>
      <c r="N81" s="106"/>
      <c r="O81" s="106"/>
      <c r="P81" s="106"/>
      <c r="Q81" s="106"/>
      <c r="R81" s="106"/>
      <c r="S81" s="106"/>
      <c r="T81" s="106"/>
      <c r="U81" s="106"/>
      <c r="V81" s="106"/>
    </row>
    <row r="82" spans="1:22" x14ac:dyDescent="0.2">
      <c r="A82" s="107" t="s">
        <v>257</v>
      </c>
      <c r="B82" s="106"/>
      <c r="C82" s="106"/>
      <c r="D82" s="106"/>
      <c r="E82" s="106"/>
      <c r="F82" s="106"/>
      <c r="G82" s="106"/>
      <c r="H82" s="106"/>
      <c r="I82" s="106"/>
      <c r="J82" s="106"/>
      <c r="K82" s="106"/>
      <c r="L82" s="106"/>
      <c r="M82" s="106"/>
      <c r="N82" s="106"/>
      <c r="O82" s="106"/>
      <c r="P82" s="106"/>
      <c r="Q82" s="106"/>
      <c r="R82" s="106"/>
      <c r="S82" s="106"/>
      <c r="T82" s="106"/>
      <c r="U82" s="106"/>
      <c r="V82" s="106"/>
    </row>
  </sheetData>
  <sortState ref="A5:A79">
    <sortCondition ref="A5:A79"/>
  </sortState>
  <mergeCells count="5">
    <mergeCell ref="L3:M3"/>
    <mergeCell ref="N3:O3"/>
    <mergeCell ref="P3:V3"/>
    <mergeCell ref="H3:I3"/>
    <mergeCell ref="J3:K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D82"/>
  <sheetViews>
    <sheetView topLeftCell="A41" workbookViewId="0">
      <selection activeCell="F76" sqref="F76"/>
    </sheetView>
  </sheetViews>
  <sheetFormatPr defaultColWidth="8.85546875" defaultRowHeight="12" x14ac:dyDescent="0.2"/>
  <cols>
    <col min="1" max="1" width="31.7109375" style="1" bestFit="1" customWidth="1"/>
    <col min="2" max="2" width="8.42578125" style="1" bestFit="1" customWidth="1"/>
    <col min="3" max="3" width="7.7109375" style="1" bestFit="1" customWidth="1"/>
    <col min="4" max="4" width="9.28515625" style="1" bestFit="1" customWidth="1"/>
    <col min="5" max="16384" width="8.85546875" style="1"/>
  </cols>
  <sheetData>
    <row r="1" spans="1:4" x14ac:dyDescent="0.2">
      <c r="A1" s="68" t="s">
        <v>366</v>
      </c>
    </row>
    <row r="2" spans="1:4" x14ac:dyDescent="0.2">
      <c r="A2" s="69" t="s">
        <v>136</v>
      </c>
    </row>
    <row r="3" spans="1:4" ht="41.25" customHeight="1" x14ac:dyDescent="0.2">
      <c r="A3" s="45"/>
      <c r="B3" s="214" t="s">
        <v>407</v>
      </c>
      <c r="C3" s="214"/>
      <c r="D3" s="214"/>
    </row>
    <row r="4" spans="1:4" x14ac:dyDescent="0.2">
      <c r="A4" s="52" t="s">
        <v>0</v>
      </c>
      <c r="B4" s="53" t="s">
        <v>120</v>
      </c>
      <c r="C4" s="82" t="s">
        <v>124</v>
      </c>
      <c r="D4" s="82" t="s">
        <v>121</v>
      </c>
    </row>
    <row r="5" spans="1:4" ht="56.25" x14ac:dyDescent="0.2">
      <c r="A5" s="54" t="s">
        <v>3</v>
      </c>
      <c r="B5" s="114"/>
      <c r="C5" s="113" t="s">
        <v>445</v>
      </c>
      <c r="D5" s="32"/>
    </row>
    <row r="6" spans="1:4" x14ac:dyDescent="0.2">
      <c r="A6" s="54" t="s">
        <v>4</v>
      </c>
      <c r="B6" s="114" t="s">
        <v>791</v>
      </c>
      <c r="C6" s="32"/>
      <c r="D6" s="32"/>
    </row>
    <row r="7" spans="1:4" x14ac:dyDescent="0.2">
      <c r="A7" s="54" t="s">
        <v>5</v>
      </c>
      <c r="B7" s="114" t="s">
        <v>791</v>
      </c>
      <c r="C7" s="32" t="s">
        <v>453</v>
      </c>
      <c r="D7" s="32"/>
    </row>
    <row r="8" spans="1:4" x14ac:dyDescent="0.2">
      <c r="A8" s="54" t="s">
        <v>6</v>
      </c>
      <c r="B8" s="114" t="s">
        <v>791</v>
      </c>
      <c r="C8" s="32"/>
      <c r="D8" s="32"/>
    </row>
    <row r="9" spans="1:4" ht="15.75" thickBot="1" x14ac:dyDescent="0.25">
      <c r="A9" s="54" t="s">
        <v>7</v>
      </c>
      <c r="B9" s="176">
        <v>0.47</v>
      </c>
      <c r="C9" s="175">
        <v>2012</v>
      </c>
      <c r="D9" s="32"/>
    </row>
    <row r="10" spans="1:4" x14ac:dyDescent="0.2">
      <c r="A10" s="54" t="s">
        <v>8</v>
      </c>
      <c r="B10" s="114" t="s">
        <v>791</v>
      </c>
      <c r="C10" s="32"/>
      <c r="D10" s="32"/>
    </row>
    <row r="11" spans="1:4" x14ac:dyDescent="0.2">
      <c r="A11" s="54" t="s">
        <v>9</v>
      </c>
      <c r="B11" s="114" t="s">
        <v>791</v>
      </c>
      <c r="C11" s="32"/>
      <c r="D11" s="32"/>
    </row>
    <row r="12" spans="1:4" x14ac:dyDescent="0.2">
      <c r="A12" s="54" t="s">
        <v>10</v>
      </c>
      <c r="B12" s="114" t="s">
        <v>791</v>
      </c>
      <c r="C12" s="32"/>
      <c r="D12" s="32"/>
    </row>
    <row r="13" spans="1:4" ht="15.75" thickBot="1" x14ac:dyDescent="0.25">
      <c r="A13" s="54" t="s">
        <v>11</v>
      </c>
      <c r="B13" s="177">
        <v>0.33</v>
      </c>
      <c r="C13" s="175">
        <v>2013</v>
      </c>
      <c r="D13" s="32"/>
    </row>
    <row r="14" spans="1:4" x14ac:dyDescent="0.2">
      <c r="A14" s="54" t="s">
        <v>12</v>
      </c>
      <c r="B14" s="114" t="s">
        <v>791</v>
      </c>
      <c r="C14" s="32"/>
      <c r="D14" s="32"/>
    </row>
    <row r="15" spans="1:4" x14ac:dyDescent="0.2">
      <c r="A15" s="54" t="s">
        <v>13</v>
      </c>
      <c r="B15" s="114" t="s">
        <v>791</v>
      </c>
      <c r="C15" s="32"/>
      <c r="D15" s="32"/>
    </row>
    <row r="16" spans="1:4" x14ac:dyDescent="0.2">
      <c r="A16" s="54" t="s">
        <v>14</v>
      </c>
      <c r="B16" s="114" t="s">
        <v>791</v>
      </c>
      <c r="C16" s="32"/>
      <c r="D16" s="32"/>
    </row>
    <row r="17" spans="1:4" x14ac:dyDescent="0.2">
      <c r="A17" s="54" t="s">
        <v>15</v>
      </c>
      <c r="B17" s="114" t="s">
        <v>791</v>
      </c>
      <c r="C17" s="32"/>
      <c r="D17" s="32"/>
    </row>
    <row r="18" spans="1:4" x14ac:dyDescent="0.2">
      <c r="A18" s="54" t="s">
        <v>16</v>
      </c>
      <c r="B18" s="114" t="s">
        <v>791</v>
      </c>
      <c r="C18" s="32"/>
      <c r="D18" s="32"/>
    </row>
    <row r="19" spans="1:4" x14ac:dyDescent="0.2">
      <c r="A19" s="54" t="s">
        <v>17</v>
      </c>
      <c r="B19" s="114" t="s">
        <v>791</v>
      </c>
      <c r="C19" s="32"/>
      <c r="D19" s="32"/>
    </row>
    <row r="20" spans="1:4" x14ac:dyDescent="0.2">
      <c r="A20" s="54" t="s">
        <v>18</v>
      </c>
      <c r="B20" s="114" t="s">
        <v>791</v>
      </c>
      <c r="C20" s="32"/>
      <c r="D20" s="32"/>
    </row>
    <row r="21" spans="1:4" x14ac:dyDescent="0.2">
      <c r="A21" s="54" t="s">
        <v>19</v>
      </c>
      <c r="B21" s="114" t="s">
        <v>791</v>
      </c>
      <c r="C21" s="32"/>
      <c r="D21" s="32"/>
    </row>
    <row r="22" spans="1:4" x14ac:dyDescent="0.2">
      <c r="A22" s="54" t="s">
        <v>20</v>
      </c>
      <c r="B22" s="114" t="s">
        <v>791</v>
      </c>
      <c r="C22" s="32"/>
      <c r="D22" s="32"/>
    </row>
    <row r="23" spans="1:4" x14ac:dyDescent="0.2">
      <c r="A23" s="54" t="s">
        <v>21</v>
      </c>
      <c r="B23" s="114" t="s">
        <v>791</v>
      </c>
      <c r="C23" s="32"/>
      <c r="D23" s="32"/>
    </row>
    <row r="24" spans="1:4" ht="15.75" thickBot="1" x14ac:dyDescent="0.25">
      <c r="A24" s="54" t="s">
        <v>22</v>
      </c>
      <c r="B24" s="176">
        <v>0.27</v>
      </c>
      <c r="C24" s="175">
        <v>2013</v>
      </c>
      <c r="D24" s="32"/>
    </row>
    <row r="25" spans="1:4" x14ac:dyDescent="0.2">
      <c r="A25" s="54" t="s">
        <v>23</v>
      </c>
      <c r="B25" s="114" t="s">
        <v>791</v>
      </c>
      <c r="C25" s="32"/>
      <c r="D25" s="32"/>
    </row>
    <row r="26" spans="1:4" x14ac:dyDescent="0.2">
      <c r="A26" s="54" t="s">
        <v>24</v>
      </c>
      <c r="B26" s="114" t="s">
        <v>791</v>
      </c>
      <c r="C26" s="32"/>
      <c r="D26" s="32"/>
    </row>
    <row r="27" spans="1:4" x14ac:dyDescent="0.2">
      <c r="A27" s="54" t="s">
        <v>25</v>
      </c>
      <c r="B27" s="114" t="s">
        <v>791</v>
      </c>
      <c r="C27" s="32"/>
      <c r="D27" s="32"/>
    </row>
    <row r="28" spans="1:4" x14ac:dyDescent="0.2">
      <c r="A28" s="54" t="s">
        <v>26</v>
      </c>
      <c r="B28" s="114" t="s">
        <v>791</v>
      </c>
      <c r="C28" s="32"/>
      <c r="D28" s="32"/>
    </row>
    <row r="29" spans="1:4" x14ac:dyDescent="0.2">
      <c r="A29" s="54" t="s">
        <v>27</v>
      </c>
      <c r="B29" s="114" t="s">
        <v>791</v>
      </c>
      <c r="C29" s="32"/>
      <c r="D29" s="32"/>
    </row>
    <row r="30" spans="1:4" x14ac:dyDescent="0.2">
      <c r="A30" s="54" t="s">
        <v>28</v>
      </c>
      <c r="B30" s="114" t="s">
        <v>791</v>
      </c>
      <c r="C30" s="32"/>
      <c r="D30" s="32"/>
    </row>
    <row r="31" spans="1:4" ht="15.75" thickBot="1" x14ac:dyDescent="0.25">
      <c r="A31" s="54" t="s">
        <v>29</v>
      </c>
      <c r="B31" s="176">
        <v>0.27</v>
      </c>
      <c r="C31" s="175">
        <v>2013</v>
      </c>
      <c r="D31" s="32"/>
    </row>
    <row r="32" spans="1:4" x14ac:dyDescent="0.2">
      <c r="A32" s="54" t="s">
        <v>30</v>
      </c>
      <c r="B32" s="114" t="s">
        <v>791</v>
      </c>
      <c r="C32" s="32"/>
      <c r="D32" s="32"/>
    </row>
    <row r="33" spans="1:4" x14ac:dyDescent="0.2">
      <c r="A33" s="54" t="s">
        <v>31</v>
      </c>
      <c r="B33" s="114" t="s">
        <v>791</v>
      </c>
      <c r="C33" s="32"/>
      <c r="D33" s="32"/>
    </row>
    <row r="34" spans="1:4" x14ac:dyDescent="0.2">
      <c r="A34" s="54" t="s">
        <v>32</v>
      </c>
      <c r="B34" s="114" t="s">
        <v>791</v>
      </c>
      <c r="C34" s="32"/>
      <c r="D34" s="32"/>
    </row>
    <row r="35" spans="1:4" x14ac:dyDescent="0.2">
      <c r="A35" s="54" t="s">
        <v>33</v>
      </c>
      <c r="B35" s="114" t="s">
        <v>791</v>
      </c>
      <c r="C35" s="32"/>
      <c r="D35" s="32"/>
    </row>
    <row r="36" spans="1:4" x14ac:dyDescent="0.2">
      <c r="A36" s="54" t="s">
        <v>34</v>
      </c>
      <c r="B36" s="114" t="s">
        <v>791</v>
      </c>
      <c r="C36" s="32"/>
      <c r="D36" s="32"/>
    </row>
    <row r="37" spans="1:4" x14ac:dyDescent="0.2">
      <c r="A37" s="54" t="s">
        <v>35</v>
      </c>
      <c r="B37" s="114" t="s">
        <v>791</v>
      </c>
      <c r="C37" s="32"/>
      <c r="D37" s="32"/>
    </row>
    <row r="38" spans="1:4" x14ac:dyDescent="0.2">
      <c r="A38" s="54" t="s">
        <v>36</v>
      </c>
      <c r="B38" s="114" t="s">
        <v>791</v>
      </c>
      <c r="C38" s="32"/>
      <c r="D38" s="32"/>
    </row>
    <row r="39" spans="1:4" x14ac:dyDescent="0.2">
      <c r="A39" s="54" t="s">
        <v>37</v>
      </c>
      <c r="B39" s="114" t="s">
        <v>791</v>
      </c>
      <c r="C39" s="32"/>
      <c r="D39" s="32"/>
    </row>
    <row r="40" spans="1:4" x14ac:dyDescent="0.2">
      <c r="A40" s="54" t="s">
        <v>38</v>
      </c>
      <c r="B40" s="114" t="s">
        <v>791</v>
      </c>
      <c r="C40" s="32"/>
      <c r="D40" s="32"/>
    </row>
    <row r="41" spans="1:4" x14ac:dyDescent="0.2">
      <c r="A41" s="54" t="s">
        <v>39</v>
      </c>
      <c r="B41" s="114" t="s">
        <v>791</v>
      </c>
      <c r="C41" s="32"/>
      <c r="D41" s="32"/>
    </row>
    <row r="42" spans="1:4" x14ac:dyDescent="0.2">
      <c r="A42" s="54" t="s">
        <v>40</v>
      </c>
      <c r="B42" s="114" t="s">
        <v>791</v>
      </c>
      <c r="C42" s="32"/>
      <c r="D42" s="32"/>
    </row>
    <row r="43" spans="1:4" x14ac:dyDescent="0.2">
      <c r="A43" s="54" t="s">
        <v>41</v>
      </c>
      <c r="B43" s="114" t="s">
        <v>791</v>
      </c>
      <c r="C43" s="32"/>
      <c r="D43" s="32"/>
    </row>
    <row r="44" spans="1:4" x14ac:dyDescent="0.2">
      <c r="A44" s="54" t="s">
        <v>42</v>
      </c>
      <c r="B44" s="114" t="s">
        <v>791</v>
      </c>
      <c r="C44" s="32"/>
      <c r="D44" s="32"/>
    </row>
    <row r="45" spans="1:4" x14ac:dyDescent="0.2">
      <c r="A45" s="54" t="s">
        <v>43</v>
      </c>
      <c r="B45" s="114" t="s">
        <v>791</v>
      </c>
      <c r="C45" s="32"/>
      <c r="D45" s="32"/>
    </row>
    <row r="46" spans="1:4" x14ac:dyDescent="0.2">
      <c r="A46" s="54" t="s">
        <v>44</v>
      </c>
      <c r="B46" s="114" t="s">
        <v>791</v>
      </c>
      <c r="C46" s="32"/>
      <c r="D46" s="32"/>
    </row>
    <row r="47" spans="1:4" x14ac:dyDescent="0.2">
      <c r="A47" s="54" t="s">
        <v>45</v>
      </c>
      <c r="B47" s="114" t="s">
        <v>791</v>
      </c>
      <c r="C47" s="32"/>
      <c r="D47" s="32"/>
    </row>
    <row r="48" spans="1:4" x14ac:dyDescent="0.2">
      <c r="A48" s="54" t="s">
        <v>46</v>
      </c>
      <c r="B48" s="114" t="s">
        <v>791</v>
      </c>
      <c r="C48" s="32"/>
      <c r="D48" s="32"/>
    </row>
    <row r="49" spans="1:4" x14ac:dyDescent="0.2">
      <c r="A49" s="54" t="s">
        <v>47</v>
      </c>
      <c r="B49" s="114" t="s">
        <v>791</v>
      </c>
      <c r="C49" s="32"/>
      <c r="D49" s="32"/>
    </row>
    <row r="50" spans="1:4" x14ac:dyDescent="0.2">
      <c r="A50" s="54" t="s">
        <v>48</v>
      </c>
      <c r="B50" s="114" t="s">
        <v>791</v>
      </c>
      <c r="C50" s="32"/>
      <c r="D50" s="32"/>
    </row>
    <row r="51" spans="1:4" x14ac:dyDescent="0.2">
      <c r="A51" s="54" t="s">
        <v>49</v>
      </c>
      <c r="B51" s="114" t="s">
        <v>791</v>
      </c>
      <c r="C51" s="32"/>
      <c r="D51" s="32"/>
    </row>
    <row r="52" spans="1:4" x14ac:dyDescent="0.2">
      <c r="A52" s="54" t="s">
        <v>50</v>
      </c>
      <c r="B52" s="114" t="s">
        <v>791</v>
      </c>
      <c r="C52" s="32"/>
      <c r="D52" s="32"/>
    </row>
    <row r="53" spans="1:4" x14ac:dyDescent="0.2">
      <c r="A53" s="54" t="s">
        <v>51</v>
      </c>
      <c r="B53" s="114" t="s">
        <v>791</v>
      </c>
      <c r="C53" s="32"/>
      <c r="D53" s="32"/>
    </row>
    <row r="54" spans="1:4" ht="15.75" thickBot="1" x14ac:dyDescent="0.25">
      <c r="A54" s="54" t="s">
        <v>52</v>
      </c>
      <c r="B54" s="176">
        <v>0.43</v>
      </c>
      <c r="C54" s="175">
        <v>2013</v>
      </c>
      <c r="D54" s="32"/>
    </row>
    <row r="55" spans="1:4" x14ac:dyDescent="0.2">
      <c r="A55" s="54" t="s">
        <v>53</v>
      </c>
      <c r="B55" s="114" t="s">
        <v>791</v>
      </c>
      <c r="C55" s="32"/>
      <c r="D55" s="32"/>
    </row>
    <row r="56" spans="1:4" x14ac:dyDescent="0.2">
      <c r="A56" s="54" t="s">
        <v>54</v>
      </c>
      <c r="B56" s="114" t="s">
        <v>791</v>
      </c>
      <c r="C56" s="32"/>
      <c r="D56" s="32"/>
    </row>
    <row r="57" spans="1:4" x14ac:dyDescent="0.2">
      <c r="A57" s="54" t="s">
        <v>55</v>
      </c>
      <c r="B57" s="114" t="s">
        <v>791</v>
      </c>
      <c r="C57" s="32"/>
      <c r="D57" s="32"/>
    </row>
    <row r="58" spans="1:4" x14ac:dyDescent="0.2">
      <c r="A58" s="54" t="s">
        <v>56</v>
      </c>
      <c r="B58" s="114" t="s">
        <v>791</v>
      </c>
      <c r="C58" s="32"/>
      <c r="D58" s="32"/>
    </row>
    <row r="59" spans="1:4" x14ac:dyDescent="0.2">
      <c r="A59" s="54" t="s">
        <v>57</v>
      </c>
      <c r="B59" s="114" t="s">
        <v>791</v>
      </c>
      <c r="C59" s="32"/>
      <c r="D59" s="32"/>
    </row>
    <row r="60" spans="1:4" x14ac:dyDescent="0.2">
      <c r="A60" s="54" t="s">
        <v>58</v>
      </c>
      <c r="B60" s="114" t="s">
        <v>791</v>
      </c>
      <c r="C60" s="32"/>
      <c r="D60" s="32"/>
    </row>
    <row r="61" spans="1:4" x14ac:dyDescent="0.2">
      <c r="A61" s="54" t="s">
        <v>59</v>
      </c>
      <c r="B61" s="114" t="s">
        <v>791</v>
      </c>
      <c r="C61" s="32"/>
      <c r="D61" s="32"/>
    </row>
    <row r="62" spans="1:4" x14ac:dyDescent="0.2">
      <c r="A62" s="54" t="s">
        <v>60</v>
      </c>
      <c r="B62" s="114" t="s">
        <v>791</v>
      </c>
      <c r="C62" s="32"/>
      <c r="D62" s="32"/>
    </row>
    <row r="63" spans="1:4" x14ac:dyDescent="0.2">
      <c r="A63" s="54" t="s">
        <v>61</v>
      </c>
      <c r="B63" s="114" t="s">
        <v>791</v>
      </c>
      <c r="C63" s="32"/>
      <c r="D63" s="32"/>
    </row>
    <row r="64" spans="1:4" x14ac:dyDescent="0.2">
      <c r="A64" s="54" t="s">
        <v>62</v>
      </c>
      <c r="B64" s="114" t="s">
        <v>791</v>
      </c>
      <c r="C64" s="32"/>
      <c r="D64" s="32"/>
    </row>
    <row r="65" spans="1:4" x14ac:dyDescent="0.2">
      <c r="A65" s="54" t="s">
        <v>63</v>
      </c>
      <c r="B65" s="114" t="s">
        <v>791</v>
      </c>
      <c r="C65" s="32"/>
      <c r="D65" s="32"/>
    </row>
    <row r="66" spans="1:4" x14ac:dyDescent="0.2">
      <c r="A66" s="54" t="s">
        <v>64</v>
      </c>
      <c r="B66" s="114" t="s">
        <v>791</v>
      </c>
      <c r="C66" s="32"/>
      <c r="D66" s="32"/>
    </row>
    <row r="67" spans="1:4" x14ac:dyDescent="0.2">
      <c r="A67" s="54" t="s">
        <v>65</v>
      </c>
      <c r="B67" s="114" t="s">
        <v>791</v>
      </c>
      <c r="C67" s="32"/>
      <c r="D67" s="32"/>
    </row>
    <row r="68" spans="1:4" x14ac:dyDescent="0.2">
      <c r="A68" s="54" t="s">
        <v>66</v>
      </c>
      <c r="B68" s="114" t="s">
        <v>791</v>
      </c>
      <c r="C68" s="32"/>
      <c r="D68" s="32"/>
    </row>
    <row r="69" spans="1:4" x14ac:dyDescent="0.2">
      <c r="A69" s="54" t="s">
        <v>67</v>
      </c>
      <c r="B69" s="114" t="s">
        <v>791</v>
      </c>
      <c r="C69" s="32"/>
      <c r="D69" s="32"/>
    </row>
    <row r="70" spans="1:4" x14ac:dyDescent="0.2">
      <c r="A70" s="54" t="s">
        <v>68</v>
      </c>
      <c r="B70" s="114" t="s">
        <v>791</v>
      </c>
      <c r="C70" s="32"/>
      <c r="D70" s="32"/>
    </row>
    <row r="71" spans="1:4" ht="15.75" thickBot="1" x14ac:dyDescent="0.25">
      <c r="A71" s="54" t="s">
        <v>70</v>
      </c>
      <c r="B71" s="177">
        <v>0.26</v>
      </c>
      <c r="C71" s="175">
        <v>2010</v>
      </c>
      <c r="D71" s="32"/>
    </row>
    <row r="72" spans="1:4" x14ac:dyDescent="0.2">
      <c r="A72" s="54" t="s">
        <v>71</v>
      </c>
      <c r="B72" s="114" t="s">
        <v>791</v>
      </c>
      <c r="C72" s="32"/>
      <c r="D72" s="32"/>
    </row>
    <row r="73" spans="1:4" ht="15.75" thickBot="1" x14ac:dyDescent="0.25">
      <c r="A73" s="54" t="s">
        <v>72</v>
      </c>
      <c r="B73" s="177">
        <v>0.45</v>
      </c>
      <c r="C73" s="175">
        <v>2012</v>
      </c>
      <c r="D73" s="32"/>
    </row>
    <row r="74" spans="1:4" ht="15.75" thickBot="1" x14ac:dyDescent="0.25">
      <c r="A74" s="54" t="s">
        <v>69</v>
      </c>
      <c r="B74" s="176">
        <v>0.26</v>
      </c>
      <c r="C74" s="175">
        <v>2012</v>
      </c>
      <c r="D74" s="32"/>
    </row>
    <row r="75" spans="1:4" x14ac:dyDescent="0.2">
      <c r="A75" s="54" t="s">
        <v>73</v>
      </c>
      <c r="B75" s="114" t="s">
        <v>791</v>
      </c>
      <c r="C75" s="32"/>
      <c r="D75" s="32"/>
    </row>
    <row r="76" spans="1:4" x14ac:dyDescent="0.2">
      <c r="A76" s="54" t="s">
        <v>74</v>
      </c>
      <c r="B76" s="114" t="s">
        <v>791</v>
      </c>
      <c r="C76" s="32"/>
      <c r="D76" s="32"/>
    </row>
    <row r="77" spans="1:4" x14ac:dyDescent="0.2">
      <c r="A77" s="54" t="s">
        <v>75</v>
      </c>
      <c r="B77" s="114" t="s">
        <v>791</v>
      </c>
      <c r="C77" s="32"/>
      <c r="D77" s="32"/>
    </row>
    <row r="78" spans="1:4" x14ac:dyDescent="0.2">
      <c r="A78" s="54" t="s">
        <v>76</v>
      </c>
      <c r="B78" s="114" t="s">
        <v>791</v>
      </c>
      <c r="C78" s="32"/>
      <c r="D78" s="32"/>
    </row>
    <row r="79" spans="1:4" x14ac:dyDescent="0.2">
      <c r="A79" s="56" t="s">
        <v>77</v>
      </c>
      <c r="B79" s="114" t="s">
        <v>791</v>
      </c>
      <c r="C79" s="33"/>
      <c r="D79" s="33"/>
    </row>
    <row r="80" spans="1:4" x14ac:dyDescent="0.2">
      <c r="A80" s="44" t="s">
        <v>255</v>
      </c>
      <c r="B80" s="19"/>
      <c r="C80" s="19"/>
      <c r="D80" s="19"/>
    </row>
    <row r="81" spans="1:4" x14ac:dyDescent="0.2">
      <c r="A81" s="44" t="s">
        <v>256</v>
      </c>
      <c r="B81" s="19"/>
      <c r="C81" s="19"/>
      <c r="D81" s="19"/>
    </row>
    <row r="82" spans="1:4" x14ac:dyDescent="0.2">
      <c r="A82" s="44" t="s">
        <v>257</v>
      </c>
      <c r="B82" s="19"/>
      <c r="C82" s="19"/>
      <c r="D82" s="19"/>
    </row>
  </sheetData>
  <sortState ref="A5:H79">
    <sortCondition ref="B5:B79"/>
  </sortState>
  <mergeCells count="1">
    <mergeCell ref="B3:D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83"/>
  <sheetViews>
    <sheetView tabSelected="1" zoomScale="70" zoomScaleNormal="70" zoomScalePageLayoutView="70" workbookViewId="0">
      <selection activeCell="G5" sqref="G5:G79"/>
    </sheetView>
  </sheetViews>
  <sheetFormatPr defaultColWidth="8.85546875" defaultRowHeight="12" x14ac:dyDescent="0.2"/>
  <cols>
    <col min="1" max="1" width="31.7109375" style="1" bestFit="1" customWidth="1"/>
    <col min="2" max="3" width="8.85546875" style="1" customWidth="1"/>
    <col min="4" max="4" width="10.85546875" style="1" customWidth="1"/>
    <col min="5" max="5" width="18.140625" style="1" bestFit="1" customWidth="1"/>
    <col min="6" max="6" width="8" style="1" bestFit="1" customWidth="1"/>
    <col min="7" max="7" width="9.7109375" style="1" bestFit="1" customWidth="1"/>
    <col min="8" max="16384" width="8.85546875" style="1"/>
  </cols>
  <sheetData>
    <row r="1" spans="1:7" x14ac:dyDescent="0.2">
      <c r="A1" s="209" t="s">
        <v>368</v>
      </c>
      <c r="B1" s="209"/>
      <c r="C1" s="68"/>
    </row>
    <row r="2" spans="1:7" x14ac:dyDescent="0.2">
      <c r="A2" s="210" t="s">
        <v>345</v>
      </c>
      <c r="B2" s="210"/>
      <c r="C2" s="72"/>
    </row>
    <row r="3" spans="1:7" ht="12" customHeight="1" x14ac:dyDescent="0.2">
      <c r="A3" s="49"/>
      <c r="B3" s="49"/>
      <c r="C3" s="76"/>
      <c r="D3" s="79"/>
      <c r="E3" s="215" t="s">
        <v>408</v>
      </c>
      <c r="F3" s="216"/>
      <c r="G3" s="216"/>
    </row>
    <row r="4" spans="1:7" x14ac:dyDescent="0.2">
      <c r="A4" s="50" t="s">
        <v>0</v>
      </c>
      <c r="B4" s="50" t="s">
        <v>2</v>
      </c>
      <c r="C4" s="100" t="s">
        <v>123</v>
      </c>
      <c r="D4" s="100" t="s">
        <v>227</v>
      </c>
      <c r="E4" s="50" t="s">
        <v>409</v>
      </c>
      <c r="F4" s="100" t="s">
        <v>124</v>
      </c>
      <c r="G4" s="100" t="s">
        <v>119</v>
      </c>
    </row>
    <row r="5" spans="1:7" ht="12.75" thickBot="1" x14ac:dyDescent="0.25">
      <c r="A5" s="10" t="s">
        <v>3</v>
      </c>
      <c r="B5" s="171" t="s">
        <v>820</v>
      </c>
      <c r="C5" s="15"/>
      <c r="D5" s="115" t="s">
        <v>447</v>
      </c>
      <c r="E5" s="40" t="s">
        <v>154</v>
      </c>
      <c r="F5" s="32">
        <v>2014</v>
      </c>
      <c r="G5" s="16" t="s">
        <v>809</v>
      </c>
    </row>
    <row r="6" spans="1:7" ht="12.75" thickBot="1" x14ac:dyDescent="0.25">
      <c r="A6" s="10" t="s">
        <v>4</v>
      </c>
      <c r="B6" s="171" t="s">
        <v>820</v>
      </c>
      <c r="C6" s="15"/>
      <c r="D6" s="115" t="s">
        <v>823</v>
      </c>
      <c r="E6" s="40" t="s">
        <v>154</v>
      </c>
      <c r="F6" s="32">
        <v>2014</v>
      </c>
      <c r="G6" s="16" t="s">
        <v>809</v>
      </c>
    </row>
    <row r="7" spans="1:7" ht="12.75" thickBot="1" x14ac:dyDescent="0.25">
      <c r="A7" s="10" t="s">
        <v>5</v>
      </c>
      <c r="B7" s="173" t="s">
        <v>811</v>
      </c>
      <c r="C7" s="15"/>
      <c r="D7" s="29"/>
      <c r="E7" s="40" t="s">
        <v>154</v>
      </c>
      <c r="F7" s="32">
        <v>2014</v>
      </c>
      <c r="G7" s="16" t="s">
        <v>809</v>
      </c>
    </row>
    <row r="8" spans="1:7" ht="12.75" thickBot="1" x14ac:dyDescent="0.25">
      <c r="A8" s="10" t="s">
        <v>6</v>
      </c>
      <c r="B8" s="171" t="s">
        <v>820</v>
      </c>
      <c r="C8" s="15"/>
      <c r="D8" s="40" t="s">
        <v>454</v>
      </c>
      <c r="E8" s="40" t="s">
        <v>154</v>
      </c>
      <c r="F8" s="32">
        <v>2014</v>
      </c>
      <c r="G8" s="16" t="s">
        <v>809</v>
      </c>
    </row>
    <row r="9" spans="1:7" ht="12.75" thickBot="1" x14ac:dyDescent="0.25">
      <c r="A9" s="10" t="s">
        <v>7</v>
      </c>
      <c r="B9" s="171" t="s">
        <v>820</v>
      </c>
      <c r="C9" s="15"/>
      <c r="D9" s="29"/>
      <c r="E9" s="40" t="s">
        <v>117</v>
      </c>
      <c r="F9" s="32">
        <v>2014</v>
      </c>
      <c r="G9" s="16" t="s">
        <v>809</v>
      </c>
    </row>
    <row r="10" spans="1:7" ht="12.75" thickBot="1" x14ac:dyDescent="0.25">
      <c r="A10" s="10" t="s">
        <v>8</v>
      </c>
      <c r="B10" s="171" t="s">
        <v>820</v>
      </c>
      <c r="C10" s="15"/>
      <c r="D10" s="29"/>
      <c r="E10" s="40" t="s">
        <v>154</v>
      </c>
      <c r="F10" s="32">
        <v>2014</v>
      </c>
      <c r="G10" s="16" t="s">
        <v>809</v>
      </c>
    </row>
    <row r="11" spans="1:7" ht="12.75" thickBot="1" x14ac:dyDescent="0.25">
      <c r="A11" s="10" t="s">
        <v>9</v>
      </c>
      <c r="B11" s="156" t="s">
        <v>811</v>
      </c>
      <c r="C11" s="15"/>
      <c r="D11" s="29"/>
      <c r="E11" s="40" t="s">
        <v>154</v>
      </c>
      <c r="F11" s="32">
        <v>2014</v>
      </c>
      <c r="G11" s="16" t="s">
        <v>809</v>
      </c>
    </row>
    <row r="12" spans="1:7" ht="12.75" thickBot="1" x14ac:dyDescent="0.25">
      <c r="A12" s="10" t="s">
        <v>10</v>
      </c>
      <c r="B12" s="171" t="s">
        <v>820</v>
      </c>
      <c r="C12" s="15"/>
      <c r="D12" s="29"/>
      <c r="E12" s="40" t="s">
        <v>154</v>
      </c>
      <c r="F12" s="32">
        <v>2014</v>
      </c>
      <c r="G12" s="16" t="s">
        <v>809</v>
      </c>
    </row>
    <row r="13" spans="1:7" ht="12.75" thickBot="1" x14ac:dyDescent="0.25">
      <c r="A13" s="10" t="s">
        <v>11</v>
      </c>
      <c r="B13" s="171" t="s">
        <v>820</v>
      </c>
      <c r="C13" s="15"/>
      <c r="D13" s="29"/>
      <c r="E13" s="40" t="s">
        <v>117</v>
      </c>
      <c r="F13" s="32">
        <v>2014</v>
      </c>
      <c r="G13" s="16" t="s">
        <v>809</v>
      </c>
    </row>
    <row r="14" spans="1:7" ht="12.75" thickBot="1" x14ac:dyDescent="0.25">
      <c r="A14" s="10" t="s">
        <v>12</v>
      </c>
      <c r="B14" s="171" t="s">
        <v>820</v>
      </c>
      <c r="C14" s="15"/>
      <c r="D14" s="29"/>
      <c r="E14" s="40" t="s">
        <v>117</v>
      </c>
      <c r="F14" s="32">
        <v>2014</v>
      </c>
      <c r="G14" s="16" t="s">
        <v>809</v>
      </c>
    </row>
    <row r="15" spans="1:7" ht="12.75" thickBot="1" x14ac:dyDescent="0.25">
      <c r="A15" s="10" t="s">
        <v>13</v>
      </c>
      <c r="B15" s="171" t="s">
        <v>820</v>
      </c>
      <c r="C15" s="15"/>
      <c r="D15" s="29"/>
      <c r="E15" s="40" t="s">
        <v>117</v>
      </c>
      <c r="F15" s="32">
        <v>2014</v>
      </c>
      <c r="G15" s="16" t="s">
        <v>809</v>
      </c>
    </row>
    <row r="16" spans="1:7" ht="12.75" thickBot="1" x14ac:dyDescent="0.25">
      <c r="A16" s="10" t="s">
        <v>14</v>
      </c>
      <c r="B16" s="171" t="s">
        <v>820</v>
      </c>
      <c r="C16" s="15"/>
      <c r="D16" s="29"/>
      <c r="E16" s="40" t="s">
        <v>117</v>
      </c>
      <c r="F16" s="32">
        <v>2014</v>
      </c>
      <c r="G16" s="16" t="s">
        <v>809</v>
      </c>
    </row>
    <row r="17" spans="1:7" ht="12.75" thickBot="1" x14ac:dyDescent="0.25">
      <c r="A17" s="10" t="s">
        <v>15</v>
      </c>
      <c r="B17" s="156" t="s">
        <v>811</v>
      </c>
      <c r="C17" s="15"/>
      <c r="D17" s="29"/>
      <c r="E17" s="40" t="s">
        <v>154</v>
      </c>
      <c r="F17" s="32">
        <v>2014</v>
      </c>
      <c r="G17" s="16" t="s">
        <v>809</v>
      </c>
    </row>
    <row r="18" spans="1:7" ht="12.75" thickBot="1" x14ac:dyDescent="0.25">
      <c r="A18" s="10" t="s">
        <v>16</v>
      </c>
      <c r="B18" s="171" t="s">
        <v>820</v>
      </c>
      <c r="C18" s="15"/>
      <c r="D18" s="29"/>
      <c r="E18" s="40" t="s">
        <v>154</v>
      </c>
      <c r="F18" s="32">
        <v>2014</v>
      </c>
      <c r="G18" s="16" t="s">
        <v>809</v>
      </c>
    </row>
    <row r="19" spans="1:7" ht="12.75" thickBot="1" x14ac:dyDescent="0.25">
      <c r="A19" s="10" t="s">
        <v>17</v>
      </c>
      <c r="B19" s="171" t="s">
        <v>820</v>
      </c>
      <c r="C19" s="15"/>
      <c r="D19" s="29"/>
      <c r="E19" s="40" t="s">
        <v>154</v>
      </c>
      <c r="F19" s="32">
        <v>2014</v>
      </c>
      <c r="G19" s="16" t="s">
        <v>809</v>
      </c>
    </row>
    <row r="20" spans="1:7" ht="12.75" thickBot="1" x14ac:dyDescent="0.25">
      <c r="A20" s="10" t="s">
        <v>18</v>
      </c>
      <c r="B20" s="171" t="s">
        <v>820</v>
      </c>
      <c r="C20" s="15"/>
      <c r="D20" s="29"/>
      <c r="E20" s="40" t="s">
        <v>154</v>
      </c>
      <c r="F20" s="32">
        <v>2014</v>
      </c>
      <c r="G20" s="16" t="s">
        <v>809</v>
      </c>
    </row>
    <row r="21" spans="1:7" ht="12.75" thickBot="1" x14ac:dyDescent="0.25">
      <c r="A21" s="10" t="s">
        <v>19</v>
      </c>
      <c r="B21" s="156" t="s">
        <v>811</v>
      </c>
      <c r="C21" s="15"/>
      <c r="D21" s="29"/>
      <c r="E21" s="40" t="s">
        <v>154</v>
      </c>
      <c r="F21" s="32">
        <v>2014</v>
      </c>
      <c r="G21" s="16" t="s">
        <v>809</v>
      </c>
    </row>
    <row r="22" spans="1:7" ht="12.75" thickBot="1" x14ac:dyDescent="0.25">
      <c r="A22" s="10" t="s">
        <v>20</v>
      </c>
      <c r="B22" s="174" t="s">
        <v>821</v>
      </c>
      <c r="C22" s="15"/>
      <c r="D22" s="29"/>
      <c r="E22" s="40" t="s">
        <v>808</v>
      </c>
      <c r="F22" s="32">
        <v>2014</v>
      </c>
      <c r="G22" s="16" t="s">
        <v>809</v>
      </c>
    </row>
    <row r="23" spans="1:7" ht="12.75" thickBot="1" x14ac:dyDescent="0.25">
      <c r="A23" s="10" t="s">
        <v>21</v>
      </c>
      <c r="B23" s="171" t="s">
        <v>820</v>
      </c>
      <c r="C23" s="15"/>
      <c r="D23" s="29"/>
      <c r="E23" s="40" t="s">
        <v>154</v>
      </c>
      <c r="F23" s="32">
        <v>2014</v>
      </c>
      <c r="G23" s="16" t="s">
        <v>809</v>
      </c>
    </row>
    <row r="24" spans="1:7" ht="12.75" thickBot="1" x14ac:dyDescent="0.25">
      <c r="A24" s="10" t="s">
        <v>22</v>
      </c>
      <c r="B24" s="171" t="s">
        <v>820</v>
      </c>
      <c r="C24" s="15"/>
      <c r="D24" s="29"/>
      <c r="E24" s="40" t="s">
        <v>117</v>
      </c>
      <c r="F24" s="32">
        <v>2014</v>
      </c>
      <c r="G24" s="16" t="s">
        <v>809</v>
      </c>
    </row>
    <row r="25" spans="1:7" ht="12.75" thickBot="1" x14ac:dyDescent="0.25">
      <c r="A25" s="10" t="s">
        <v>23</v>
      </c>
      <c r="B25" s="156" t="s">
        <v>811</v>
      </c>
      <c r="C25" s="15"/>
      <c r="D25" s="29"/>
      <c r="E25" s="40" t="s">
        <v>118</v>
      </c>
      <c r="F25" s="32">
        <v>2011</v>
      </c>
      <c r="G25" s="16" t="s">
        <v>809</v>
      </c>
    </row>
    <row r="26" spans="1:7" ht="12.75" thickBot="1" x14ac:dyDescent="0.25">
      <c r="A26" s="10" t="s">
        <v>24</v>
      </c>
      <c r="B26" s="156" t="s">
        <v>811</v>
      </c>
      <c r="C26" s="15"/>
      <c r="D26" s="29"/>
      <c r="E26" s="40" t="s">
        <v>154</v>
      </c>
      <c r="F26" s="32">
        <v>2014</v>
      </c>
      <c r="G26" s="16" t="s">
        <v>809</v>
      </c>
    </row>
    <row r="27" spans="1:7" ht="12.75" thickBot="1" x14ac:dyDescent="0.25">
      <c r="A27" s="10" t="s">
        <v>25</v>
      </c>
      <c r="B27" s="171" t="s">
        <v>820</v>
      </c>
      <c r="C27" s="15"/>
      <c r="D27" s="29"/>
      <c r="E27" s="40" t="s">
        <v>154</v>
      </c>
      <c r="F27" s="32">
        <v>2014</v>
      </c>
      <c r="G27" s="16" t="s">
        <v>809</v>
      </c>
    </row>
    <row r="28" spans="1:7" ht="12.75" thickBot="1" x14ac:dyDescent="0.25">
      <c r="A28" s="10" t="s">
        <v>26</v>
      </c>
      <c r="B28" s="171" t="s">
        <v>820</v>
      </c>
      <c r="C28" s="15"/>
      <c r="D28" s="29"/>
      <c r="E28" s="40" t="s">
        <v>154</v>
      </c>
      <c r="F28" s="32">
        <v>2014</v>
      </c>
      <c r="G28" s="16" t="s">
        <v>809</v>
      </c>
    </row>
    <row r="29" spans="1:7" ht="12.75" thickBot="1" x14ac:dyDescent="0.25">
      <c r="A29" s="10" t="s">
        <v>27</v>
      </c>
      <c r="B29" s="171" t="s">
        <v>820</v>
      </c>
      <c r="C29" s="15"/>
      <c r="D29" s="29"/>
      <c r="E29" s="40" t="s">
        <v>117</v>
      </c>
      <c r="F29" s="32">
        <v>2014</v>
      </c>
      <c r="G29" s="16" t="s">
        <v>809</v>
      </c>
    </row>
    <row r="30" spans="1:7" ht="12.75" thickBot="1" x14ac:dyDescent="0.25">
      <c r="A30" s="10" t="s">
        <v>28</v>
      </c>
      <c r="B30" s="174" t="s">
        <v>821</v>
      </c>
      <c r="C30" s="15"/>
      <c r="D30" s="29"/>
      <c r="E30" s="40" t="s">
        <v>154</v>
      </c>
      <c r="F30" s="32">
        <v>2014</v>
      </c>
      <c r="G30" s="16" t="s">
        <v>809</v>
      </c>
    </row>
    <row r="31" spans="1:7" ht="12.75" thickBot="1" x14ac:dyDescent="0.25">
      <c r="A31" s="10" t="s">
        <v>29</v>
      </c>
      <c r="B31" s="171" t="s">
        <v>820</v>
      </c>
      <c r="C31" s="15"/>
      <c r="D31" s="29"/>
      <c r="E31" s="40" t="s">
        <v>154</v>
      </c>
      <c r="F31" s="32">
        <v>2014</v>
      </c>
      <c r="G31" s="16" t="s">
        <v>809</v>
      </c>
    </row>
    <row r="32" spans="1:7" ht="12.75" thickBot="1" x14ac:dyDescent="0.25">
      <c r="A32" s="10" t="s">
        <v>30</v>
      </c>
      <c r="B32" s="171" t="s">
        <v>820</v>
      </c>
      <c r="C32" s="15"/>
      <c r="D32" s="29"/>
      <c r="E32" s="40" t="s">
        <v>154</v>
      </c>
      <c r="F32" s="32">
        <v>2014</v>
      </c>
      <c r="G32" s="16" t="s">
        <v>809</v>
      </c>
    </row>
    <row r="33" spans="1:7" ht="12.75" thickBot="1" x14ac:dyDescent="0.25">
      <c r="A33" s="10" t="s">
        <v>31</v>
      </c>
      <c r="B33" s="156" t="s">
        <v>811</v>
      </c>
      <c r="C33" s="15"/>
      <c r="D33" s="29"/>
      <c r="E33" s="40" t="s">
        <v>154</v>
      </c>
      <c r="F33" s="32">
        <v>2014</v>
      </c>
      <c r="G33" s="16" t="s">
        <v>809</v>
      </c>
    </row>
    <row r="34" spans="1:7" ht="12.75" thickBot="1" x14ac:dyDescent="0.25">
      <c r="A34" s="10" t="s">
        <v>32</v>
      </c>
      <c r="B34" s="171" t="s">
        <v>820</v>
      </c>
      <c r="C34" s="15"/>
      <c r="D34" s="29"/>
      <c r="E34" s="40" t="s">
        <v>808</v>
      </c>
      <c r="F34" s="32">
        <v>2014</v>
      </c>
      <c r="G34" s="16" t="s">
        <v>809</v>
      </c>
    </row>
    <row r="35" spans="1:7" ht="12.75" thickBot="1" x14ac:dyDescent="0.25">
      <c r="A35" s="10" t="s">
        <v>33</v>
      </c>
      <c r="B35" s="174" t="s">
        <v>821</v>
      </c>
      <c r="C35" s="15"/>
      <c r="D35" s="29"/>
      <c r="E35" s="40" t="s">
        <v>808</v>
      </c>
      <c r="F35" s="32">
        <v>2014</v>
      </c>
      <c r="G35" s="16" t="s">
        <v>809</v>
      </c>
    </row>
    <row r="36" spans="1:7" ht="12.75" thickBot="1" x14ac:dyDescent="0.25">
      <c r="A36" s="10" t="s">
        <v>34</v>
      </c>
      <c r="B36" s="156" t="s">
        <v>811</v>
      </c>
      <c r="C36" s="15"/>
      <c r="D36" s="29"/>
      <c r="E36" s="40" t="s">
        <v>154</v>
      </c>
      <c r="F36" s="32">
        <v>2014</v>
      </c>
      <c r="G36" s="16" t="s">
        <v>809</v>
      </c>
    </row>
    <row r="37" spans="1:7" ht="12.75" thickBot="1" x14ac:dyDescent="0.25">
      <c r="A37" s="10" t="s">
        <v>35</v>
      </c>
      <c r="B37" s="171" t="s">
        <v>820</v>
      </c>
      <c r="C37" s="15"/>
      <c r="D37" s="29"/>
      <c r="E37" s="40" t="s">
        <v>154</v>
      </c>
      <c r="F37" s="32">
        <v>2014</v>
      </c>
      <c r="G37" s="16" t="s">
        <v>809</v>
      </c>
    </row>
    <row r="38" spans="1:7" ht="12.75" thickBot="1" x14ac:dyDescent="0.25">
      <c r="A38" s="10" t="s">
        <v>36</v>
      </c>
      <c r="B38" s="171" t="s">
        <v>820</v>
      </c>
      <c r="C38" s="15"/>
      <c r="D38" s="29"/>
      <c r="E38" s="40" t="s">
        <v>154</v>
      </c>
      <c r="F38" s="32">
        <v>2014</v>
      </c>
      <c r="G38" s="16" t="s">
        <v>809</v>
      </c>
    </row>
    <row r="39" spans="1:7" ht="12.75" thickBot="1" x14ac:dyDescent="0.25">
      <c r="A39" s="10" t="s">
        <v>37</v>
      </c>
      <c r="B39" s="171" t="s">
        <v>820</v>
      </c>
      <c r="C39" s="15"/>
      <c r="D39" s="29"/>
      <c r="E39" s="40" t="s">
        <v>154</v>
      </c>
      <c r="F39" s="32">
        <v>2014</v>
      </c>
      <c r="G39" s="16" t="s">
        <v>809</v>
      </c>
    </row>
    <row r="40" spans="1:7" ht="12.75" thickBot="1" x14ac:dyDescent="0.25">
      <c r="A40" s="10" t="s">
        <v>38</v>
      </c>
      <c r="B40" s="171" t="s">
        <v>820</v>
      </c>
      <c r="C40" s="15"/>
      <c r="D40" s="29"/>
      <c r="E40" s="40" t="s">
        <v>154</v>
      </c>
      <c r="F40" s="32">
        <v>2014</v>
      </c>
      <c r="G40" s="16" t="s">
        <v>809</v>
      </c>
    </row>
    <row r="41" spans="1:7" ht="12.75" thickBot="1" x14ac:dyDescent="0.25">
      <c r="A41" s="10" t="s">
        <v>39</v>
      </c>
      <c r="B41" s="171" t="s">
        <v>820</v>
      </c>
      <c r="C41" s="15"/>
      <c r="D41" s="29"/>
      <c r="E41" s="40" t="s">
        <v>154</v>
      </c>
      <c r="F41" s="32">
        <v>2014</v>
      </c>
      <c r="G41" s="16" t="s">
        <v>809</v>
      </c>
    </row>
    <row r="42" spans="1:7" ht="12.75" thickBot="1" x14ac:dyDescent="0.25">
      <c r="A42" s="10" t="s">
        <v>40</v>
      </c>
      <c r="B42" s="171" t="s">
        <v>820</v>
      </c>
      <c r="C42" s="15"/>
      <c r="D42" s="29"/>
      <c r="E42" s="40" t="s">
        <v>154</v>
      </c>
      <c r="F42" s="32">
        <v>2014</v>
      </c>
      <c r="G42" s="16" t="s">
        <v>809</v>
      </c>
    </row>
    <row r="43" spans="1:7" ht="12.75" thickBot="1" x14ac:dyDescent="0.25">
      <c r="A43" s="10" t="s">
        <v>41</v>
      </c>
      <c r="B43" s="171" t="s">
        <v>820</v>
      </c>
      <c r="C43" s="15"/>
      <c r="D43" s="29"/>
      <c r="E43" s="40" t="s">
        <v>154</v>
      </c>
      <c r="F43" s="32">
        <v>2014</v>
      </c>
      <c r="G43" s="16" t="s">
        <v>809</v>
      </c>
    </row>
    <row r="44" spans="1:7" ht="12.75" thickBot="1" x14ac:dyDescent="0.25">
      <c r="A44" s="10" t="s">
        <v>42</v>
      </c>
      <c r="B44" s="171" t="s">
        <v>820</v>
      </c>
      <c r="C44" s="15"/>
      <c r="D44" s="29"/>
      <c r="E44" s="40" t="s">
        <v>154</v>
      </c>
      <c r="F44" s="32">
        <v>2014</v>
      </c>
      <c r="G44" s="16" t="s">
        <v>809</v>
      </c>
    </row>
    <row r="45" spans="1:7" ht="12.75" thickBot="1" x14ac:dyDescent="0.25">
      <c r="A45" s="10" t="s">
        <v>43</v>
      </c>
      <c r="B45" s="171" t="s">
        <v>820</v>
      </c>
      <c r="C45" s="15"/>
      <c r="D45" s="29"/>
      <c r="E45" s="40" t="s">
        <v>154</v>
      </c>
      <c r="F45" s="32">
        <v>2014</v>
      </c>
      <c r="G45" s="16" t="s">
        <v>809</v>
      </c>
    </row>
    <row r="46" spans="1:7" ht="12.75" thickBot="1" x14ac:dyDescent="0.25">
      <c r="A46" s="10" t="s">
        <v>44</v>
      </c>
      <c r="B46" s="171" t="s">
        <v>820</v>
      </c>
      <c r="C46" s="15"/>
      <c r="D46" s="29"/>
      <c r="E46" s="40" t="s">
        <v>154</v>
      </c>
      <c r="F46" s="32">
        <v>2014</v>
      </c>
      <c r="G46" s="16" t="s">
        <v>809</v>
      </c>
    </row>
    <row r="47" spans="1:7" ht="12.75" thickBot="1" x14ac:dyDescent="0.25">
      <c r="A47" s="10" t="s">
        <v>45</v>
      </c>
      <c r="B47" s="171" t="s">
        <v>820</v>
      </c>
      <c r="C47" s="16"/>
      <c r="D47" s="29"/>
      <c r="E47" s="40" t="s">
        <v>808</v>
      </c>
      <c r="F47" s="32">
        <v>2014</v>
      </c>
      <c r="G47" s="16" t="s">
        <v>809</v>
      </c>
    </row>
    <row r="48" spans="1:7" ht="12.75" thickBot="1" x14ac:dyDescent="0.25">
      <c r="A48" s="10" t="s">
        <v>46</v>
      </c>
      <c r="B48" s="171" t="s">
        <v>820</v>
      </c>
      <c r="C48" s="15"/>
      <c r="D48" s="29"/>
      <c r="E48" s="40" t="s">
        <v>808</v>
      </c>
      <c r="F48" s="32">
        <v>2014</v>
      </c>
      <c r="G48" s="16" t="s">
        <v>809</v>
      </c>
    </row>
    <row r="49" spans="1:7" ht="12.75" thickBot="1" x14ac:dyDescent="0.25">
      <c r="A49" s="10" t="s">
        <v>47</v>
      </c>
      <c r="B49" s="156" t="s">
        <v>811</v>
      </c>
      <c r="C49" s="15"/>
      <c r="D49" s="29"/>
      <c r="E49" s="40" t="s">
        <v>154</v>
      </c>
      <c r="F49" s="32">
        <v>2014</v>
      </c>
      <c r="G49" s="16" t="s">
        <v>809</v>
      </c>
    </row>
    <row r="50" spans="1:7" ht="12.75" thickBot="1" x14ac:dyDescent="0.25">
      <c r="A50" s="10" t="s">
        <v>48</v>
      </c>
      <c r="B50" s="171" t="s">
        <v>820</v>
      </c>
      <c r="C50" s="15"/>
      <c r="D50" s="29"/>
      <c r="E50" s="40" t="s">
        <v>154</v>
      </c>
      <c r="F50" s="32">
        <v>2014</v>
      </c>
      <c r="G50" s="16" t="s">
        <v>809</v>
      </c>
    </row>
    <row r="51" spans="1:7" ht="12.75" thickBot="1" x14ac:dyDescent="0.25">
      <c r="A51" s="10" t="s">
        <v>49</v>
      </c>
      <c r="B51" s="171" t="s">
        <v>820</v>
      </c>
      <c r="C51" s="15"/>
      <c r="D51" s="29"/>
      <c r="E51" s="40" t="s">
        <v>117</v>
      </c>
      <c r="F51" s="32">
        <v>2014</v>
      </c>
      <c r="G51" s="16" t="s">
        <v>809</v>
      </c>
    </row>
    <row r="52" spans="1:7" ht="12.75" thickBot="1" x14ac:dyDescent="0.25">
      <c r="A52" s="10" t="s">
        <v>50</v>
      </c>
      <c r="B52" s="156" t="s">
        <v>811</v>
      </c>
      <c r="C52" s="15"/>
      <c r="D52" s="29"/>
      <c r="E52" s="40" t="s">
        <v>154</v>
      </c>
      <c r="F52" s="32">
        <v>2014</v>
      </c>
      <c r="G52" s="16" t="s">
        <v>809</v>
      </c>
    </row>
    <row r="53" spans="1:7" ht="12.75" thickBot="1" x14ac:dyDescent="0.25">
      <c r="A53" s="10" t="s">
        <v>51</v>
      </c>
      <c r="B53" s="171" t="s">
        <v>820</v>
      </c>
      <c r="C53" s="15"/>
      <c r="D53" s="29"/>
      <c r="E53" s="40" t="s">
        <v>117</v>
      </c>
      <c r="F53" s="32">
        <v>2014</v>
      </c>
      <c r="G53" s="16" t="s">
        <v>809</v>
      </c>
    </row>
    <row r="54" spans="1:7" ht="12.75" thickBot="1" x14ac:dyDescent="0.25">
      <c r="A54" s="10" t="s">
        <v>52</v>
      </c>
      <c r="B54" s="171" t="s">
        <v>820</v>
      </c>
      <c r="C54" s="16"/>
      <c r="D54" s="29"/>
      <c r="E54" s="40" t="s">
        <v>117</v>
      </c>
      <c r="F54" s="32">
        <v>2014</v>
      </c>
      <c r="G54" s="16" t="s">
        <v>809</v>
      </c>
    </row>
    <row r="55" spans="1:7" ht="12.75" thickBot="1" x14ac:dyDescent="0.25">
      <c r="A55" s="10" t="s">
        <v>53</v>
      </c>
      <c r="B55" s="171" t="s">
        <v>820</v>
      </c>
      <c r="C55" s="15"/>
      <c r="D55" s="29"/>
      <c r="E55" s="40" t="s">
        <v>808</v>
      </c>
      <c r="F55" s="32">
        <v>2014</v>
      </c>
      <c r="G55" s="16" t="s">
        <v>809</v>
      </c>
    </row>
    <row r="56" spans="1:7" ht="12.75" thickBot="1" x14ac:dyDescent="0.25">
      <c r="A56" s="10" t="s">
        <v>54</v>
      </c>
      <c r="B56" s="156" t="s">
        <v>811</v>
      </c>
      <c r="C56" s="15"/>
      <c r="D56" s="29"/>
      <c r="E56" s="40" t="s">
        <v>154</v>
      </c>
      <c r="F56" s="32">
        <v>2014</v>
      </c>
      <c r="G56" s="16" t="s">
        <v>809</v>
      </c>
    </row>
    <row r="57" spans="1:7" ht="12.75" thickBot="1" x14ac:dyDescent="0.25">
      <c r="A57" s="10" t="s">
        <v>55</v>
      </c>
      <c r="B57" s="171" t="s">
        <v>820</v>
      </c>
      <c r="C57" s="15"/>
      <c r="D57" s="29"/>
      <c r="E57" s="40" t="s">
        <v>154</v>
      </c>
      <c r="F57" s="32">
        <v>2014</v>
      </c>
      <c r="G57" s="16" t="s">
        <v>809</v>
      </c>
    </row>
    <row r="58" spans="1:7" ht="12.75" thickBot="1" x14ac:dyDescent="0.25">
      <c r="A58" s="10" t="s">
        <v>56</v>
      </c>
      <c r="B58" s="171" t="s">
        <v>820</v>
      </c>
      <c r="C58" s="15"/>
      <c r="D58" s="29"/>
      <c r="E58" s="40" t="s">
        <v>154</v>
      </c>
      <c r="F58" s="32">
        <v>2014</v>
      </c>
      <c r="G58" s="16" t="s">
        <v>809</v>
      </c>
    </row>
    <row r="59" spans="1:7" ht="12.75" thickBot="1" x14ac:dyDescent="0.25">
      <c r="A59" s="10" t="s">
        <v>57</v>
      </c>
      <c r="B59" s="171" t="s">
        <v>820</v>
      </c>
      <c r="C59" s="15"/>
      <c r="D59" s="29"/>
      <c r="E59" s="40" t="s">
        <v>154</v>
      </c>
      <c r="F59" s="32">
        <v>2014</v>
      </c>
      <c r="G59" s="16" t="s">
        <v>809</v>
      </c>
    </row>
    <row r="60" spans="1:7" ht="12.75" thickBot="1" x14ac:dyDescent="0.25">
      <c r="A60" s="10" t="s">
        <v>58</v>
      </c>
      <c r="B60" s="171" t="s">
        <v>820</v>
      </c>
      <c r="C60" s="15"/>
      <c r="D60" s="29"/>
      <c r="E60" s="40" t="s">
        <v>118</v>
      </c>
      <c r="F60" s="32">
        <v>2011</v>
      </c>
      <c r="G60" s="16" t="s">
        <v>809</v>
      </c>
    </row>
    <row r="61" spans="1:7" ht="12.75" thickBot="1" x14ac:dyDescent="0.25">
      <c r="A61" s="10" t="s">
        <v>59</v>
      </c>
      <c r="B61" s="156" t="s">
        <v>811</v>
      </c>
      <c r="C61" s="15"/>
      <c r="D61" s="29"/>
      <c r="E61" s="40" t="s">
        <v>154</v>
      </c>
      <c r="F61" s="32">
        <v>2014</v>
      </c>
      <c r="G61" s="16" t="s">
        <v>809</v>
      </c>
    </row>
    <row r="62" spans="1:7" ht="12.75" thickBot="1" x14ac:dyDescent="0.25">
      <c r="A62" s="10" t="s">
        <v>60</v>
      </c>
      <c r="B62" s="171" t="s">
        <v>820</v>
      </c>
      <c r="C62" s="16"/>
      <c r="D62" s="29"/>
      <c r="E62" s="40" t="s">
        <v>117</v>
      </c>
      <c r="F62" s="32">
        <v>2014</v>
      </c>
      <c r="G62" s="16" t="s">
        <v>809</v>
      </c>
    </row>
    <row r="63" spans="1:7" ht="12.75" thickBot="1" x14ac:dyDescent="0.25">
      <c r="A63" s="10" t="s">
        <v>61</v>
      </c>
      <c r="B63" s="171" t="s">
        <v>820</v>
      </c>
      <c r="C63" s="15"/>
      <c r="D63" s="29"/>
      <c r="E63" s="40" t="s">
        <v>808</v>
      </c>
      <c r="F63" s="32">
        <v>2014</v>
      </c>
      <c r="G63" s="16" t="s">
        <v>809</v>
      </c>
    </row>
    <row r="64" spans="1:7" ht="12.75" thickBot="1" x14ac:dyDescent="0.25">
      <c r="A64" s="10" t="s">
        <v>62</v>
      </c>
      <c r="B64" s="171" t="s">
        <v>820</v>
      </c>
      <c r="C64" s="15"/>
      <c r="D64" s="29"/>
      <c r="E64" s="40" t="s">
        <v>154</v>
      </c>
      <c r="F64" s="32">
        <v>2014</v>
      </c>
      <c r="G64" s="16" t="s">
        <v>809</v>
      </c>
    </row>
    <row r="65" spans="1:7" ht="12.75" thickBot="1" x14ac:dyDescent="0.25">
      <c r="A65" s="10" t="s">
        <v>63</v>
      </c>
      <c r="B65" s="156" t="s">
        <v>811</v>
      </c>
      <c r="C65" s="15"/>
      <c r="D65" s="29"/>
      <c r="E65" s="40" t="s">
        <v>154</v>
      </c>
      <c r="F65" s="32">
        <v>2014</v>
      </c>
      <c r="G65" s="16" t="s">
        <v>809</v>
      </c>
    </row>
    <row r="66" spans="1:7" ht="12.75" thickBot="1" x14ac:dyDescent="0.25">
      <c r="A66" s="10" t="s">
        <v>64</v>
      </c>
      <c r="B66" s="171" t="s">
        <v>820</v>
      </c>
      <c r="C66" s="15"/>
      <c r="D66" s="29"/>
      <c r="E66" s="40" t="s">
        <v>154</v>
      </c>
      <c r="F66" s="32">
        <v>2014</v>
      </c>
      <c r="G66" s="16" t="s">
        <v>809</v>
      </c>
    </row>
    <row r="67" spans="1:7" ht="12.75" thickBot="1" x14ac:dyDescent="0.25">
      <c r="A67" s="10" t="s">
        <v>65</v>
      </c>
      <c r="B67" s="156" t="s">
        <v>811</v>
      </c>
      <c r="C67" s="15"/>
      <c r="D67" s="29"/>
      <c r="E67" s="40" t="s">
        <v>154</v>
      </c>
      <c r="F67" s="32">
        <v>2014</v>
      </c>
      <c r="G67" s="16" t="s">
        <v>809</v>
      </c>
    </row>
    <row r="68" spans="1:7" ht="12.75" thickBot="1" x14ac:dyDescent="0.25">
      <c r="A68" s="10" t="s">
        <v>66</v>
      </c>
      <c r="B68" s="171" t="s">
        <v>820</v>
      </c>
      <c r="C68" s="15"/>
      <c r="D68" s="29"/>
      <c r="E68" s="40" t="s">
        <v>808</v>
      </c>
      <c r="F68" s="32">
        <v>2014</v>
      </c>
      <c r="G68" s="16" t="s">
        <v>809</v>
      </c>
    </row>
    <row r="69" spans="1:7" ht="12.75" thickBot="1" x14ac:dyDescent="0.25">
      <c r="A69" s="10" t="s">
        <v>67</v>
      </c>
      <c r="B69" s="156" t="s">
        <v>811</v>
      </c>
      <c r="C69" s="15"/>
      <c r="D69" s="29"/>
      <c r="E69" s="40" t="s">
        <v>154</v>
      </c>
      <c r="F69" s="32">
        <v>2014</v>
      </c>
      <c r="G69" s="16" t="s">
        <v>809</v>
      </c>
    </row>
    <row r="70" spans="1:7" ht="12.75" thickBot="1" x14ac:dyDescent="0.25">
      <c r="A70" s="10" t="s">
        <v>68</v>
      </c>
      <c r="B70" s="171" t="s">
        <v>820</v>
      </c>
      <c r="C70" s="15"/>
      <c r="D70" s="29"/>
      <c r="E70" s="40" t="s">
        <v>154</v>
      </c>
      <c r="F70" s="32">
        <v>2014</v>
      </c>
      <c r="G70" s="16" t="s">
        <v>809</v>
      </c>
    </row>
    <row r="71" spans="1:7" ht="12.75" thickBot="1" x14ac:dyDescent="0.25">
      <c r="A71" s="10" t="s">
        <v>70</v>
      </c>
      <c r="B71" s="171" t="s">
        <v>820</v>
      </c>
      <c r="C71" s="15"/>
      <c r="D71" s="29"/>
      <c r="E71" s="40" t="s">
        <v>117</v>
      </c>
      <c r="F71" s="32">
        <v>2014</v>
      </c>
      <c r="G71" s="16" t="s">
        <v>809</v>
      </c>
    </row>
    <row r="72" spans="1:7" ht="12.75" thickBot="1" x14ac:dyDescent="0.25">
      <c r="A72" s="10" t="s">
        <v>71</v>
      </c>
      <c r="B72" s="156" t="s">
        <v>811</v>
      </c>
      <c r="C72" s="15"/>
      <c r="D72" s="29"/>
      <c r="E72" s="40" t="s">
        <v>154</v>
      </c>
      <c r="F72" s="32">
        <v>2014</v>
      </c>
      <c r="G72" s="16" t="s">
        <v>809</v>
      </c>
    </row>
    <row r="73" spans="1:7" ht="12.75" thickBot="1" x14ac:dyDescent="0.25">
      <c r="A73" s="10" t="s">
        <v>72</v>
      </c>
      <c r="B73" s="171" t="s">
        <v>820</v>
      </c>
      <c r="C73" s="15"/>
      <c r="D73" s="29"/>
      <c r="E73" s="40" t="s">
        <v>117</v>
      </c>
      <c r="F73" s="32">
        <v>2014</v>
      </c>
      <c r="G73" s="16" t="s">
        <v>809</v>
      </c>
    </row>
    <row r="74" spans="1:7" ht="12.75" thickBot="1" x14ac:dyDescent="0.25">
      <c r="A74" s="10" t="s">
        <v>69</v>
      </c>
      <c r="B74" s="171" t="s">
        <v>820</v>
      </c>
      <c r="C74" s="15"/>
      <c r="D74" s="29"/>
      <c r="E74" s="40" t="s">
        <v>154</v>
      </c>
      <c r="F74" s="32">
        <v>2014</v>
      </c>
      <c r="G74" s="16" t="s">
        <v>809</v>
      </c>
    </row>
    <row r="75" spans="1:7" ht="12.75" thickBot="1" x14ac:dyDescent="0.25">
      <c r="A75" s="10" t="s">
        <v>73</v>
      </c>
      <c r="B75" s="156" t="s">
        <v>811</v>
      </c>
      <c r="C75" s="15"/>
      <c r="D75" s="29"/>
      <c r="E75" s="40" t="s">
        <v>154</v>
      </c>
      <c r="F75" s="32">
        <v>2014</v>
      </c>
      <c r="G75" s="16" t="s">
        <v>809</v>
      </c>
    </row>
    <row r="76" spans="1:7" ht="12.75" thickBot="1" x14ac:dyDescent="0.25">
      <c r="A76" s="10" t="s">
        <v>74</v>
      </c>
      <c r="B76" s="171" t="s">
        <v>820</v>
      </c>
      <c r="C76" s="15"/>
      <c r="D76" s="29"/>
      <c r="E76" s="40" t="s">
        <v>117</v>
      </c>
      <c r="F76" s="32">
        <v>2014</v>
      </c>
      <c r="G76" s="16" t="s">
        <v>809</v>
      </c>
    </row>
    <row r="77" spans="1:7" ht="12.75" thickBot="1" x14ac:dyDescent="0.25">
      <c r="A77" s="10" t="s">
        <v>75</v>
      </c>
      <c r="B77" s="156" t="s">
        <v>811</v>
      </c>
      <c r="C77" s="15"/>
      <c r="D77" s="29"/>
      <c r="E77" s="40" t="s">
        <v>154</v>
      </c>
      <c r="F77" s="32">
        <v>2014</v>
      </c>
      <c r="G77" s="16" t="s">
        <v>809</v>
      </c>
    </row>
    <row r="78" spans="1:7" ht="12.75" thickBot="1" x14ac:dyDescent="0.25">
      <c r="A78" s="10" t="s">
        <v>76</v>
      </c>
      <c r="B78" s="171" t="s">
        <v>820</v>
      </c>
      <c r="C78" s="15"/>
      <c r="D78" s="29"/>
      <c r="E78" s="40" t="s">
        <v>154</v>
      </c>
      <c r="F78" s="32">
        <v>2014</v>
      </c>
      <c r="G78" s="16" t="s">
        <v>809</v>
      </c>
    </row>
    <row r="79" spans="1:7" ht="12.75" thickBot="1" x14ac:dyDescent="0.25">
      <c r="A79" s="10" t="s">
        <v>77</v>
      </c>
      <c r="B79" s="171" t="s">
        <v>820</v>
      </c>
      <c r="C79" s="15"/>
      <c r="D79" s="29"/>
      <c r="E79" s="40" t="s">
        <v>154</v>
      </c>
      <c r="F79" s="32">
        <v>2014</v>
      </c>
      <c r="G79" s="16" t="s">
        <v>809</v>
      </c>
    </row>
    <row r="80" spans="1:7" x14ac:dyDescent="0.2">
      <c r="A80" s="44" t="s">
        <v>255</v>
      </c>
      <c r="B80" s="44">
        <f>COUNTIF(Table16[Yes/No], "Yes")</f>
        <v>54</v>
      </c>
      <c r="C80" s="44"/>
      <c r="D80" s="60"/>
      <c r="E80" s="60"/>
      <c r="F80" s="61"/>
      <c r="G80" s="61"/>
    </row>
    <row r="81" spans="1:7" x14ac:dyDescent="0.2">
      <c r="A81" s="44" t="s">
        <v>256</v>
      </c>
      <c r="B81" s="44">
        <f>COUNTIF(Table16[Yes/No], "No")</f>
        <v>18</v>
      </c>
      <c r="C81" s="44"/>
      <c r="D81" s="60"/>
      <c r="E81" s="60"/>
      <c r="F81" s="61"/>
      <c r="G81" s="61"/>
    </row>
    <row r="82" spans="1:7" x14ac:dyDescent="0.2">
      <c r="A82" s="44" t="s">
        <v>257</v>
      </c>
      <c r="B82" s="44">
        <f>COUNTIF(Table16[Yes/No], "No data")</f>
        <v>0</v>
      </c>
      <c r="C82" s="44"/>
      <c r="D82" s="60"/>
      <c r="E82" s="60"/>
      <c r="F82" s="61"/>
      <c r="G82" s="61"/>
    </row>
    <row r="83" spans="1:7" x14ac:dyDescent="0.2">
      <c r="A83" s="19"/>
      <c r="B83" s="19"/>
      <c r="C83" s="19"/>
      <c r="D83" s="19"/>
      <c r="E83" s="19"/>
      <c r="F83" s="19"/>
      <c r="G83" s="19"/>
    </row>
  </sheetData>
  <mergeCells count="3">
    <mergeCell ref="A1:B1"/>
    <mergeCell ref="A2:B2"/>
    <mergeCell ref="E3:G3"/>
  </mergeCells>
  <pageMargins left="0.23622047244094491" right="0.23622047244094491" top="0.74803149606299213" bottom="0.74803149606299213" header="0.31496062992125984" footer="0.31496062992125984"/>
  <pageSetup paperSize="9" scale="65" orientation="portrait"/>
  <colBreaks count="1" manualBreakCount="1">
    <brk id="4" max="1048575" man="1"/>
  </colBreaks>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82"/>
  <sheetViews>
    <sheetView workbookViewId="0">
      <selection activeCell="B5" sqref="B5:B79"/>
    </sheetView>
  </sheetViews>
  <sheetFormatPr defaultColWidth="8.85546875" defaultRowHeight="12" x14ac:dyDescent="0.2"/>
  <cols>
    <col min="1" max="1" width="31.7109375" style="1" bestFit="1" customWidth="1"/>
    <col min="2" max="4" width="15.7109375" style="1" customWidth="1"/>
    <col min="5" max="16384" width="8.85546875" style="1"/>
  </cols>
  <sheetData>
    <row r="1" spans="1:4" x14ac:dyDescent="0.2">
      <c r="A1" s="209" t="s">
        <v>369</v>
      </c>
      <c r="B1" s="209"/>
      <c r="C1" s="209"/>
      <c r="D1" s="209"/>
    </row>
    <row r="2" spans="1:4" x14ac:dyDescent="0.2">
      <c r="A2" s="210" t="s">
        <v>137</v>
      </c>
      <c r="B2" s="210"/>
      <c r="C2" s="210"/>
      <c r="D2" s="210"/>
    </row>
    <row r="3" spans="1:4" ht="12" customHeight="1" x14ac:dyDescent="0.2">
      <c r="A3" s="49"/>
      <c r="B3" s="49"/>
      <c r="C3" s="217"/>
      <c r="D3" s="218"/>
    </row>
    <row r="4" spans="1:4" ht="45" x14ac:dyDescent="0.2">
      <c r="A4" s="47" t="s">
        <v>0</v>
      </c>
      <c r="B4" s="47" t="s">
        <v>342</v>
      </c>
      <c r="C4" s="81" t="s">
        <v>361</v>
      </c>
      <c r="D4" s="81" t="s">
        <v>810</v>
      </c>
    </row>
    <row r="5" spans="1:4" x14ac:dyDescent="0.2">
      <c r="A5" s="10" t="s">
        <v>3</v>
      </c>
      <c r="B5" s="114"/>
      <c r="C5" s="58"/>
      <c r="D5" s="16"/>
    </row>
    <row r="6" spans="1:4" x14ac:dyDescent="0.2">
      <c r="A6" s="10" t="s">
        <v>4</v>
      </c>
      <c r="B6" s="114"/>
      <c r="C6" s="58"/>
      <c r="D6" s="15"/>
    </row>
    <row r="7" spans="1:4" x14ac:dyDescent="0.2">
      <c r="A7" s="10" t="s">
        <v>5</v>
      </c>
      <c r="B7" s="114"/>
      <c r="C7" s="58"/>
      <c r="D7" s="32"/>
    </row>
    <row r="8" spans="1:4" x14ac:dyDescent="0.2">
      <c r="A8" s="10" t="s">
        <v>6</v>
      </c>
      <c r="B8" s="114"/>
      <c r="C8" s="58"/>
      <c r="D8" s="32"/>
    </row>
    <row r="9" spans="1:4" x14ac:dyDescent="0.2">
      <c r="A9" s="10" t="s">
        <v>7</v>
      </c>
      <c r="B9" s="114"/>
      <c r="C9" s="58"/>
      <c r="D9" s="32"/>
    </row>
    <row r="10" spans="1:4" x14ac:dyDescent="0.2">
      <c r="A10" s="10" t="s">
        <v>8</v>
      </c>
      <c r="B10" s="114"/>
      <c r="C10" s="58"/>
      <c r="D10" s="32"/>
    </row>
    <row r="11" spans="1:4" x14ac:dyDescent="0.2">
      <c r="A11" s="10" t="s">
        <v>9</v>
      </c>
      <c r="B11" s="114"/>
      <c r="C11" s="58"/>
      <c r="D11" s="32"/>
    </row>
    <row r="12" spans="1:4" x14ac:dyDescent="0.2">
      <c r="A12" s="10" t="s">
        <v>10</v>
      </c>
      <c r="B12" s="114"/>
      <c r="C12" s="58"/>
      <c r="D12" s="32"/>
    </row>
    <row r="13" spans="1:4" x14ac:dyDescent="0.2">
      <c r="A13" s="10" t="s">
        <v>11</v>
      </c>
      <c r="B13" s="114"/>
      <c r="C13" s="58"/>
      <c r="D13" s="32"/>
    </row>
    <row r="14" spans="1:4" x14ac:dyDescent="0.2">
      <c r="A14" s="10" t="s">
        <v>12</v>
      </c>
      <c r="B14" s="114"/>
      <c r="C14" s="58"/>
      <c r="D14" s="32"/>
    </row>
    <row r="15" spans="1:4" x14ac:dyDescent="0.2">
      <c r="A15" s="10" t="s">
        <v>13</v>
      </c>
      <c r="B15" s="114"/>
      <c r="C15" s="58"/>
      <c r="D15" s="32"/>
    </row>
    <row r="16" spans="1:4" x14ac:dyDescent="0.2">
      <c r="A16" s="10" t="s">
        <v>14</v>
      </c>
      <c r="B16" s="114"/>
      <c r="C16" s="58"/>
      <c r="D16" s="32"/>
    </row>
    <row r="17" spans="1:4" x14ac:dyDescent="0.2">
      <c r="A17" s="10" t="s">
        <v>15</v>
      </c>
      <c r="B17" s="114"/>
      <c r="C17" s="58"/>
      <c r="D17" s="32"/>
    </row>
    <row r="18" spans="1:4" x14ac:dyDescent="0.2">
      <c r="A18" s="10" t="s">
        <v>16</v>
      </c>
      <c r="B18" s="114"/>
      <c r="C18" s="58"/>
      <c r="D18" s="32"/>
    </row>
    <row r="19" spans="1:4" x14ac:dyDescent="0.2">
      <c r="A19" s="10" t="s">
        <v>17</v>
      </c>
      <c r="B19" s="114"/>
      <c r="C19" s="58"/>
      <c r="D19" s="32"/>
    </row>
    <row r="20" spans="1:4" x14ac:dyDescent="0.2">
      <c r="A20" s="10" t="s">
        <v>18</v>
      </c>
      <c r="B20" s="114"/>
      <c r="C20" s="58"/>
      <c r="D20" s="32"/>
    </row>
    <row r="21" spans="1:4" x14ac:dyDescent="0.2">
      <c r="A21" s="10" t="s">
        <v>19</v>
      </c>
      <c r="B21" s="114"/>
      <c r="C21" s="58"/>
      <c r="D21" s="32"/>
    </row>
    <row r="22" spans="1:4" x14ac:dyDescent="0.2">
      <c r="A22" s="10" t="s">
        <v>20</v>
      </c>
      <c r="B22" s="114"/>
      <c r="C22" s="58"/>
      <c r="D22" s="32"/>
    </row>
    <row r="23" spans="1:4" x14ac:dyDescent="0.2">
      <c r="A23" s="10" t="s">
        <v>21</v>
      </c>
      <c r="B23" s="114"/>
      <c r="C23" s="58"/>
      <c r="D23" s="32"/>
    </row>
    <row r="24" spans="1:4" x14ac:dyDescent="0.2">
      <c r="A24" s="10" t="s">
        <v>22</v>
      </c>
      <c r="B24" s="114"/>
      <c r="C24" s="58"/>
      <c r="D24" s="32"/>
    </row>
    <row r="25" spans="1:4" x14ac:dyDescent="0.2">
      <c r="A25" s="10" t="s">
        <v>23</v>
      </c>
      <c r="B25" s="114"/>
      <c r="C25" s="58"/>
      <c r="D25" s="32"/>
    </row>
    <row r="26" spans="1:4" x14ac:dyDescent="0.2">
      <c r="A26" s="10" t="s">
        <v>24</v>
      </c>
      <c r="B26" s="114"/>
      <c r="C26" s="58"/>
      <c r="D26" s="32"/>
    </row>
    <row r="27" spans="1:4" x14ac:dyDescent="0.2">
      <c r="A27" s="10" t="s">
        <v>25</v>
      </c>
      <c r="B27" s="114"/>
      <c r="C27" s="58"/>
      <c r="D27" s="32"/>
    </row>
    <row r="28" spans="1:4" x14ac:dyDescent="0.2">
      <c r="A28" s="10" t="s">
        <v>26</v>
      </c>
      <c r="B28" s="114"/>
      <c r="C28" s="58"/>
      <c r="D28" s="32"/>
    </row>
    <row r="29" spans="1:4" x14ac:dyDescent="0.2">
      <c r="A29" s="10" t="s">
        <v>27</v>
      </c>
      <c r="B29" s="114"/>
      <c r="C29" s="58"/>
      <c r="D29" s="29"/>
    </row>
    <row r="30" spans="1:4" x14ac:dyDescent="0.2">
      <c r="A30" s="10" t="s">
        <v>28</v>
      </c>
      <c r="B30" s="114"/>
      <c r="C30" s="58"/>
      <c r="D30" s="32"/>
    </row>
    <row r="31" spans="1:4" x14ac:dyDescent="0.2">
      <c r="A31" s="10" t="s">
        <v>29</v>
      </c>
      <c r="B31" s="114"/>
      <c r="C31" s="58"/>
      <c r="D31" s="32"/>
    </row>
    <row r="32" spans="1:4" x14ac:dyDescent="0.2">
      <c r="A32" s="10" t="s">
        <v>30</v>
      </c>
      <c r="B32" s="114"/>
      <c r="C32" s="58"/>
      <c r="D32" s="29"/>
    </row>
    <row r="33" spans="1:4" x14ac:dyDescent="0.2">
      <c r="A33" s="10" t="s">
        <v>31</v>
      </c>
      <c r="B33" s="114"/>
      <c r="C33" s="58"/>
      <c r="D33" s="32"/>
    </row>
    <row r="34" spans="1:4" x14ac:dyDescent="0.2">
      <c r="A34" s="10" t="s">
        <v>32</v>
      </c>
      <c r="B34" s="114"/>
      <c r="C34" s="58"/>
      <c r="D34" s="32"/>
    </row>
    <row r="35" spans="1:4" x14ac:dyDescent="0.2">
      <c r="A35" s="10" t="s">
        <v>33</v>
      </c>
      <c r="B35" s="114"/>
      <c r="C35" s="58"/>
      <c r="D35" s="32"/>
    </row>
    <row r="36" spans="1:4" x14ac:dyDescent="0.2">
      <c r="A36" s="10" t="s">
        <v>34</v>
      </c>
      <c r="B36" s="114"/>
      <c r="C36" s="58"/>
      <c r="D36" s="32"/>
    </row>
    <row r="37" spans="1:4" x14ac:dyDescent="0.2">
      <c r="A37" s="10" t="s">
        <v>35</v>
      </c>
      <c r="B37" s="114"/>
      <c r="C37" s="58"/>
      <c r="D37" s="32"/>
    </row>
    <row r="38" spans="1:4" x14ac:dyDescent="0.2">
      <c r="A38" s="10" t="s">
        <v>36</v>
      </c>
      <c r="B38" s="114"/>
      <c r="C38" s="58"/>
      <c r="D38" s="32"/>
    </row>
    <row r="39" spans="1:4" x14ac:dyDescent="0.2">
      <c r="A39" s="10" t="s">
        <v>37</v>
      </c>
      <c r="B39" s="114"/>
      <c r="C39" s="58"/>
      <c r="D39" s="32"/>
    </row>
    <row r="40" spans="1:4" x14ac:dyDescent="0.2">
      <c r="A40" s="10" t="s">
        <v>38</v>
      </c>
      <c r="B40" s="114"/>
      <c r="C40" s="58"/>
      <c r="D40" s="29"/>
    </row>
    <row r="41" spans="1:4" x14ac:dyDescent="0.2">
      <c r="A41" s="10" t="s">
        <v>39</v>
      </c>
      <c r="B41" s="114"/>
      <c r="C41" s="58"/>
      <c r="D41" s="32"/>
    </row>
    <row r="42" spans="1:4" x14ac:dyDescent="0.2">
      <c r="A42" s="10" t="s">
        <v>40</v>
      </c>
      <c r="B42" s="114"/>
      <c r="C42" s="58"/>
      <c r="D42" s="32"/>
    </row>
    <row r="43" spans="1:4" x14ac:dyDescent="0.2">
      <c r="A43" s="10" t="s">
        <v>41</v>
      </c>
      <c r="B43" s="114"/>
      <c r="C43" s="58"/>
      <c r="D43" s="32"/>
    </row>
    <row r="44" spans="1:4" x14ac:dyDescent="0.2">
      <c r="A44" s="10" t="s">
        <v>42</v>
      </c>
      <c r="B44" s="114"/>
      <c r="C44" s="58"/>
      <c r="D44" s="32"/>
    </row>
    <row r="45" spans="1:4" x14ac:dyDescent="0.2">
      <c r="A45" s="10" t="s">
        <v>43</v>
      </c>
      <c r="B45" s="114"/>
      <c r="C45" s="58"/>
      <c r="D45" s="32"/>
    </row>
    <row r="46" spans="1:4" x14ac:dyDescent="0.2">
      <c r="A46" s="10" t="s">
        <v>44</v>
      </c>
      <c r="B46" s="114"/>
      <c r="C46" s="58"/>
      <c r="D46" s="29"/>
    </row>
    <row r="47" spans="1:4" x14ac:dyDescent="0.2">
      <c r="A47" s="10" t="s">
        <v>45</v>
      </c>
      <c r="B47" s="114"/>
      <c r="C47" s="58"/>
      <c r="D47" s="32"/>
    </row>
    <row r="48" spans="1:4" x14ac:dyDescent="0.2">
      <c r="A48" s="10" t="s">
        <v>46</v>
      </c>
      <c r="B48" s="114"/>
      <c r="C48" s="58"/>
      <c r="D48" s="32"/>
    </row>
    <row r="49" spans="1:4" x14ac:dyDescent="0.2">
      <c r="A49" s="10" t="s">
        <v>47</v>
      </c>
      <c r="B49" s="114"/>
      <c r="C49" s="58"/>
      <c r="D49" s="32"/>
    </row>
    <row r="50" spans="1:4" x14ac:dyDescent="0.2">
      <c r="A50" s="10" t="s">
        <v>48</v>
      </c>
      <c r="B50" s="114"/>
      <c r="C50" s="58"/>
      <c r="D50" s="32"/>
    </row>
    <row r="51" spans="1:4" x14ac:dyDescent="0.2">
      <c r="A51" s="10" t="s">
        <v>49</v>
      </c>
      <c r="B51" s="114"/>
      <c r="C51" s="58"/>
      <c r="D51" s="32"/>
    </row>
    <row r="52" spans="1:4" x14ac:dyDescent="0.2">
      <c r="A52" s="10" t="s">
        <v>50</v>
      </c>
      <c r="B52" s="114"/>
      <c r="C52" s="58"/>
      <c r="D52" s="32"/>
    </row>
    <row r="53" spans="1:4" x14ac:dyDescent="0.2">
      <c r="A53" s="10" t="s">
        <v>51</v>
      </c>
      <c r="B53" s="114"/>
      <c r="C53" s="58"/>
      <c r="D53" s="32"/>
    </row>
    <row r="54" spans="1:4" x14ac:dyDescent="0.2">
      <c r="A54" s="10" t="s">
        <v>52</v>
      </c>
      <c r="B54" s="114"/>
      <c r="C54" s="58"/>
      <c r="D54" s="32"/>
    </row>
    <row r="55" spans="1:4" x14ac:dyDescent="0.2">
      <c r="A55" s="10" t="s">
        <v>53</v>
      </c>
      <c r="B55" s="114"/>
      <c r="C55" s="58"/>
      <c r="D55" s="32"/>
    </row>
    <row r="56" spans="1:4" x14ac:dyDescent="0.2">
      <c r="A56" s="10" t="s">
        <v>54</v>
      </c>
      <c r="B56" s="114"/>
      <c r="C56" s="58"/>
      <c r="D56" s="32"/>
    </row>
    <row r="57" spans="1:4" x14ac:dyDescent="0.2">
      <c r="A57" s="10" t="s">
        <v>55</v>
      </c>
      <c r="B57" s="114"/>
      <c r="C57" s="58"/>
      <c r="D57" s="32"/>
    </row>
    <row r="58" spans="1:4" x14ac:dyDescent="0.2">
      <c r="A58" s="10" t="s">
        <v>56</v>
      </c>
      <c r="B58" s="114"/>
      <c r="C58" s="58"/>
      <c r="D58" s="32"/>
    </row>
    <row r="59" spans="1:4" x14ac:dyDescent="0.2">
      <c r="A59" s="10" t="s">
        <v>57</v>
      </c>
      <c r="B59" s="114"/>
      <c r="C59" s="58"/>
      <c r="D59" s="32"/>
    </row>
    <row r="60" spans="1:4" x14ac:dyDescent="0.2">
      <c r="A60" s="10" t="s">
        <v>58</v>
      </c>
      <c r="B60" s="114"/>
      <c r="C60" s="58"/>
      <c r="D60" s="32"/>
    </row>
    <row r="61" spans="1:4" x14ac:dyDescent="0.2">
      <c r="A61" s="10" t="s">
        <v>59</v>
      </c>
      <c r="B61" s="114"/>
      <c r="C61" s="58"/>
      <c r="D61" s="32"/>
    </row>
    <row r="62" spans="1:4" x14ac:dyDescent="0.2">
      <c r="A62" s="10" t="s">
        <v>60</v>
      </c>
      <c r="B62" s="114"/>
      <c r="C62" s="58"/>
      <c r="D62" s="32"/>
    </row>
    <row r="63" spans="1:4" x14ac:dyDescent="0.2">
      <c r="A63" s="10" t="s">
        <v>61</v>
      </c>
      <c r="B63" s="114"/>
      <c r="C63" s="58"/>
      <c r="D63" s="32"/>
    </row>
    <row r="64" spans="1:4" x14ac:dyDescent="0.2">
      <c r="A64" s="10" t="s">
        <v>62</v>
      </c>
      <c r="B64" s="114"/>
      <c r="C64" s="58"/>
      <c r="D64" s="32"/>
    </row>
    <row r="65" spans="1:4" x14ac:dyDescent="0.2">
      <c r="A65" s="10" t="s">
        <v>63</v>
      </c>
      <c r="B65" s="114"/>
      <c r="C65" s="58"/>
      <c r="D65" s="32"/>
    </row>
    <row r="66" spans="1:4" x14ac:dyDescent="0.2">
      <c r="A66" s="10" t="s">
        <v>64</v>
      </c>
      <c r="B66" s="114"/>
      <c r="C66" s="58"/>
      <c r="D66" s="32"/>
    </row>
    <row r="67" spans="1:4" x14ac:dyDescent="0.2">
      <c r="A67" s="10" t="s">
        <v>65</v>
      </c>
      <c r="B67" s="114"/>
      <c r="C67" s="58"/>
      <c r="D67" s="32"/>
    </row>
    <row r="68" spans="1:4" x14ac:dyDescent="0.2">
      <c r="A68" s="10" t="s">
        <v>66</v>
      </c>
      <c r="B68" s="114"/>
      <c r="C68" s="58"/>
      <c r="D68" s="32"/>
    </row>
    <row r="69" spans="1:4" x14ac:dyDescent="0.2">
      <c r="A69" s="10" t="s">
        <v>67</v>
      </c>
      <c r="B69" s="114"/>
      <c r="C69" s="58"/>
      <c r="D69" s="32"/>
    </row>
    <row r="70" spans="1:4" x14ac:dyDescent="0.2">
      <c r="A70" s="10" t="s">
        <v>68</v>
      </c>
      <c r="B70" s="114"/>
      <c r="C70" s="58"/>
      <c r="D70" s="32"/>
    </row>
    <row r="71" spans="1:4" x14ac:dyDescent="0.2">
      <c r="A71" s="10" t="s">
        <v>70</v>
      </c>
      <c r="B71" s="114"/>
      <c r="C71" s="58"/>
      <c r="D71" s="32"/>
    </row>
    <row r="72" spans="1:4" x14ac:dyDescent="0.2">
      <c r="A72" s="10" t="s">
        <v>71</v>
      </c>
      <c r="B72" s="114"/>
      <c r="C72" s="58"/>
      <c r="D72" s="29"/>
    </row>
    <row r="73" spans="1:4" x14ac:dyDescent="0.2">
      <c r="A73" s="10" t="s">
        <v>72</v>
      </c>
      <c r="B73" s="114"/>
      <c r="C73" s="58"/>
      <c r="D73" s="32"/>
    </row>
    <row r="74" spans="1:4" x14ac:dyDescent="0.2">
      <c r="A74" s="10" t="s">
        <v>69</v>
      </c>
      <c r="B74" s="114"/>
      <c r="C74" s="58"/>
      <c r="D74" s="32"/>
    </row>
    <row r="75" spans="1:4" x14ac:dyDescent="0.2">
      <c r="A75" s="10" t="s">
        <v>73</v>
      </c>
      <c r="B75" s="114"/>
      <c r="C75" s="58"/>
      <c r="D75" s="32"/>
    </row>
    <row r="76" spans="1:4" x14ac:dyDescent="0.2">
      <c r="A76" s="10" t="s">
        <v>74</v>
      </c>
      <c r="B76" s="114"/>
      <c r="C76" s="58"/>
      <c r="D76" s="29"/>
    </row>
    <row r="77" spans="1:4" x14ac:dyDescent="0.2">
      <c r="A77" s="10" t="s">
        <v>75</v>
      </c>
      <c r="B77" s="114"/>
      <c r="C77" s="58"/>
      <c r="D77" s="32"/>
    </row>
    <row r="78" spans="1:4" x14ac:dyDescent="0.2">
      <c r="A78" s="10" t="s">
        <v>76</v>
      </c>
      <c r="B78" s="114"/>
      <c r="C78" s="58"/>
      <c r="D78" s="29"/>
    </row>
    <row r="79" spans="1:4" x14ac:dyDescent="0.2">
      <c r="A79" s="10" t="s">
        <v>77</v>
      </c>
      <c r="B79" s="114"/>
      <c r="C79" s="58"/>
      <c r="D79" s="32"/>
    </row>
    <row r="80" spans="1:4" x14ac:dyDescent="0.2">
      <c r="A80" s="44" t="s">
        <v>255</v>
      </c>
      <c r="B80" s="44">
        <f>COUNTIF(Table18[Yes/No Report available 2010 or later], "Yes")</f>
        <v>0</v>
      </c>
      <c r="C80" s="19"/>
      <c r="D80" s="19"/>
    </row>
    <row r="81" spans="1:4" x14ac:dyDescent="0.2">
      <c r="A81" s="44" t="s">
        <v>256</v>
      </c>
      <c r="B81" s="44">
        <f>COUNTIF(Table18[Yes/No Report available 2010 or later], "No")</f>
        <v>0</v>
      </c>
      <c r="C81" s="19"/>
      <c r="D81" s="19"/>
    </row>
    <row r="82" spans="1:4" x14ac:dyDescent="0.2">
      <c r="A82" s="44" t="s">
        <v>257</v>
      </c>
      <c r="B82" s="44">
        <f>COUNTIF(Table18[Yes/No Report available 2010 or later], "No data")</f>
        <v>0</v>
      </c>
      <c r="C82" s="19"/>
      <c r="D82" s="19"/>
    </row>
  </sheetData>
  <mergeCells count="3">
    <mergeCell ref="A1:D1"/>
    <mergeCell ref="A2:D2"/>
    <mergeCell ref="C3:D3"/>
  </mergeCells>
  <pageMargins left="0.23622047244094491" right="0.23622047244094491" top="0.74803149606299213" bottom="0.74803149606299213" header="0.31496062992125984" footer="0.31496062992125984"/>
  <pageSetup paperSize="9" scale="70" orientation="portrait"/>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81"/>
  <sheetViews>
    <sheetView workbookViewId="0">
      <selection activeCell="L15" sqref="L15"/>
    </sheetView>
  </sheetViews>
  <sheetFormatPr defaultColWidth="8.85546875" defaultRowHeight="12" x14ac:dyDescent="0.2"/>
  <cols>
    <col min="1" max="1" width="31.7109375" style="1" bestFit="1" customWidth="1"/>
    <col min="2" max="2" width="8.42578125" style="1" bestFit="1" customWidth="1"/>
    <col min="3" max="3" width="8.7109375" style="1" bestFit="1" customWidth="1"/>
    <col min="4" max="4" width="7.7109375" style="1" bestFit="1" customWidth="1"/>
    <col min="5" max="5" width="9.28515625" style="1" bestFit="1" customWidth="1"/>
    <col min="6" max="6" width="8.7109375" style="1" bestFit="1" customWidth="1"/>
    <col min="7" max="7" width="7.85546875" style="1" bestFit="1" customWidth="1"/>
    <col min="8" max="8" width="18.42578125" style="1" customWidth="1"/>
    <col min="9" max="16384" width="8.85546875" style="1"/>
  </cols>
  <sheetData>
    <row r="1" spans="1:8" x14ac:dyDescent="0.2">
      <c r="A1" s="209" t="s">
        <v>363</v>
      </c>
      <c r="B1" s="209"/>
      <c r="C1" s="209"/>
      <c r="D1" s="209"/>
      <c r="E1" s="209"/>
    </row>
    <row r="2" spans="1:8" x14ac:dyDescent="0.2">
      <c r="A2" s="219" t="s">
        <v>1</v>
      </c>
      <c r="B2" s="219"/>
      <c r="C2" s="219"/>
      <c r="D2" s="219"/>
      <c r="E2" s="219"/>
    </row>
    <row r="3" spans="1:8" x14ac:dyDescent="0.2">
      <c r="A3" s="11" t="s">
        <v>0</v>
      </c>
      <c r="B3" s="12" t="s">
        <v>2</v>
      </c>
      <c r="C3" s="12" t="s">
        <v>122</v>
      </c>
      <c r="D3" s="12" t="s">
        <v>123</v>
      </c>
      <c r="E3" s="12" t="s">
        <v>119</v>
      </c>
      <c r="F3" s="12" t="s">
        <v>120</v>
      </c>
      <c r="G3" s="12" t="s">
        <v>124</v>
      </c>
      <c r="H3" s="13" t="s">
        <v>121</v>
      </c>
    </row>
    <row r="4" spans="1:8" x14ac:dyDescent="0.2">
      <c r="A4" s="10" t="s">
        <v>3</v>
      </c>
      <c r="B4" s="14" t="str">
        <f t="shared" ref="B4:B17" si="0">IF(OR(C4&gt;=75, F4&gt;=75),"Yes","No")</f>
        <v>No</v>
      </c>
      <c r="C4" s="15">
        <v>6</v>
      </c>
      <c r="D4" s="15">
        <v>2003</v>
      </c>
      <c r="E4" s="15" t="s">
        <v>83</v>
      </c>
      <c r="F4" s="15">
        <v>6.3</v>
      </c>
      <c r="G4" s="15">
        <v>2003</v>
      </c>
      <c r="H4" s="16" t="s">
        <v>84</v>
      </c>
    </row>
    <row r="5" spans="1:8" x14ac:dyDescent="0.2">
      <c r="A5" s="10" t="s">
        <v>4</v>
      </c>
      <c r="B5" s="14" t="str">
        <f t="shared" si="0"/>
        <v>No</v>
      </c>
      <c r="C5" s="15">
        <v>29</v>
      </c>
      <c r="D5" s="15">
        <v>2000</v>
      </c>
      <c r="E5" s="15" t="s">
        <v>83</v>
      </c>
      <c r="F5" s="15">
        <v>29.4</v>
      </c>
      <c r="G5" s="15">
        <v>2001</v>
      </c>
      <c r="H5" s="16" t="s">
        <v>85</v>
      </c>
    </row>
    <row r="6" spans="1:8" x14ac:dyDescent="0.2">
      <c r="A6" s="10" t="s">
        <v>5</v>
      </c>
      <c r="B6" s="14" t="str">
        <f t="shared" si="0"/>
        <v>Yes</v>
      </c>
      <c r="C6" s="15">
        <v>94</v>
      </c>
      <c r="D6" s="15">
        <v>2006</v>
      </c>
      <c r="E6" s="15" t="s">
        <v>83</v>
      </c>
      <c r="F6" s="15">
        <v>93.6</v>
      </c>
      <c r="G6" s="15">
        <v>2006</v>
      </c>
      <c r="H6" s="16" t="s">
        <v>86</v>
      </c>
    </row>
    <row r="7" spans="1:8" x14ac:dyDescent="0.2">
      <c r="A7" s="10" t="s">
        <v>6</v>
      </c>
      <c r="B7" s="14" t="str">
        <f t="shared" si="0"/>
        <v>No</v>
      </c>
      <c r="C7" s="15">
        <v>10</v>
      </c>
      <c r="D7" s="15">
        <v>2006</v>
      </c>
      <c r="E7" s="15" t="s">
        <v>83</v>
      </c>
      <c r="F7" s="15">
        <v>9.8000000000000007</v>
      </c>
      <c r="G7" s="15">
        <v>2006</v>
      </c>
      <c r="H7" s="16" t="s">
        <v>87</v>
      </c>
    </row>
    <row r="8" spans="1:8" x14ac:dyDescent="0.2">
      <c r="A8" s="10" t="s">
        <v>7</v>
      </c>
      <c r="B8" s="14" t="str">
        <f t="shared" si="0"/>
        <v>No</v>
      </c>
      <c r="C8" s="15">
        <v>60</v>
      </c>
      <c r="D8" s="15">
        <v>2006</v>
      </c>
      <c r="E8" s="15" t="s">
        <v>83</v>
      </c>
      <c r="F8" s="15">
        <v>60.3</v>
      </c>
      <c r="G8" s="15">
        <v>2006</v>
      </c>
      <c r="H8" s="16" t="s">
        <v>86</v>
      </c>
    </row>
    <row r="9" spans="1:8" ht="12.75" customHeight="1" x14ac:dyDescent="0.2">
      <c r="A9" s="10" t="s">
        <v>8</v>
      </c>
      <c r="B9" s="14" t="str">
        <f t="shared" si="0"/>
        <v>No</v>
      </c>
      <c r="C9" s="15">
        <v>74</v>
      </c>
      <c r="D9" s="15">
        <v>2001</v>
      </c>
      <c r="E9" s="15" t="s">
        <v>83</v>
      </c>
      <c r="F9" s="15">
        <v>74.400000000000006</v>
      </c>
      <c r="G9" s="15">
        <v>2001</v>
      </c>
      <c r="H9" s="16" t="s">
        <v>88</v>
      </c>
    </row>
    <row r="10" spans="1:8" x14ac:dyDescent="0.2">
      <c r="A10" s="10" t="s">
        <v>9</v>
      </c>
      <c r="B10" s="14" t="str">
        <f t="shared" si="0"/>
        <v>No</v>
      </c>
      <c r="C10" s="15">
        <v>58</v>
      </c>
      <c r="D10" s="15">
        <v>2000</v>
      </c>
      <c r="E10" s="15" t="s">
        <v>83</v>
      </c>
      <c r="F10" s="15">
        <v>72.2</v>
      </c>
      <c r="G10" s="15">
        <v>2007</v>
      </c>
      <c r="H10" s="16" t="s">
        <v>89</v>
      </c>
    </row>
    <row r="11" spans="1:8" x14ac:dyDescent="0.2">
      <c r="A11" s="10" t="s">
        <v>10</v>
      </c>
      <c r="B11" s="14" t="str">
        <f t="shared" si="0"/>
        <v>Yes</v>
      </c>
      <c r="C11" s="15">
        <v>89</v>
      </c>
      <c r="D11" s="15">
        <v>2005</v>
      </c>
      <c r="E11" s="15" t="s">
        <v>83</v>
      </c>
      <c r="F11" s="15">
        <v>91.1</v>
      </c>
      <c r="G11" s="15">
        <v>2008</v>
      </c>
      <c r="H11" s="16" t="s">
        <v>90</v>
      </c>
    </row>
    <row r="12" spans="1:8" x14ac:dyDescent="0.2">
      <c r="A12" s="10" t="s">
        <v>11</v>
      </c>
      <c r="B12" s="14" t="str">
        <f t="shared" si="0"/>
        <v>No</v>
      </c>
      <c r="C12" s="15">
        <v>64</v>
      </c>
      <c r="D12" s="15">
        <v>2006</v>
      </c>
      <c r="E12" s="15" t="s">
        <v>83</v>
      </c>
      <c r="F12" s="15">
        <v>63.7</v>
      </c>
      <c r="G12" s="15">
        <v>2006</v>
      </c>
      <c r="H12" s="16" t="s">
        <v>87</v>
      </c>
    </row>
    <row r="13" spans="1:8" x14ac:dyDescent="0.2">
      <c r="A13" s="10" t="s">
        <v>12</v>
      </c>
      <c r="B13" s="14" t="str">
        <f t="shared" si="0"/>
        <v>No</v>
      </c>
      <c r="C13" s="15">
        <v>60</v>
      </c>
      <c r="D13" s="15">
        <v>2005</v>
      </c>
      <c r="E13" s="15" t="s">
        <v>83</v>
      </c>
      <c r="F13" s="15">
        <v>60.2</v>
      </c>
      <c r="G13" s="15">
        <v>2005</v>
      </c>
      <c r="H13" s="16" t="s">
        <v>91</v>
      </c>
    </row>
    <row r="14" spans="1:8" x14ac:dyDescent="0.2">
      <c r="A14" s="10" t="s">
        <v>13</v>
      </c>
      <c r="B14" s="14" t="str">
        <f t="shared" si="0"/>
        <v>No</v>
      </c>
      <c r="C14" s="15">
        <v>66</v>
      </c>
      <c r="D14" s="15">
        <v>2005</v>
      </c>
      <c r="E14" s="15" t="s">
        <v>83</v>
      </c>
      <c r="F14" s="15">
        <v>62.1</v>
      </c>
      <c r="G14" s="15">
        <v>2010</v>
      </c>
      <c r="H14" s="16" t="s">
        <v>92</v>
      </c>
    </row>
    <row r="15" spans="1:8" x14ac:dyDescent="0.2">
      <c r="A15" s="10" t="s">
        <v>14</v>
      </c>
      <c r="B15" s="14" t="str">
        <f t="shared" si="0"/>
        <v>No</v>
      </c>
      <c r="C15" s="15">
        <v>70</v>
      </c>
      <c r="D15" s="15">
        <v>2006</v>
      </c>
      <c r="E15" s="15" t="s">
        <v>83</v>
      </c>
      <c r="F15" s="15">
        <v>70.099999999999994</v>
      </c>
      <c r="G15" s="15">
        <v>2006</v>
      </c>
      <c r="H15" s="16" t="s">
        <v>87</v>
      </c>
    </row>
    <row r="16" spans="1:8" x14ac:dyDescent="0.2">
      <c r="A16" s="10" t="s">
        <v>15</v>
      </c>
      <c r="B16" s="14" t="str">
        <f t="shared" si="0"/>
        <v>No</v>
      </c>
      <c r="C16" s="15">
        <v>49</v>
      </c>
      <c r="D16" s="15">
        <v>2006</v>
      </c>
      <c r="E16" s="15" t="s">
        <v>83</v>
      </c>
      <c r="F16" s="15">
        <v>49.2</v>
      </c>
      <c r="G16" s="15">
        <v>2006</v>
      </c>
      <c r="H16" s="16" t="s">
        <v>87</v>
      </c>
    </row>
    <row r="17" spans="1:8" x14ac:dyDescent="0.2">
      <c r="A17" s="10" t="s">
        <v>16</v>
      </c>
      <c r="B17" s="14" t="str">
        <f t="shared" si="0"/>
        <v>No</v>
      </c>
      <c r="C17" s="15">
        <v>9</v>
      </c>
      <c r="D17" s="15">
        <v>2004</v>
      </c>
      <c r="E17" s="15" t="s">
        <v>83</v>
      </c>
      <c r="F17" s="15">
        <v>9</v>
      </c>
      <c r="G17" s="15">
        <v>2004</v>
      </c>
      <c r="H17" s="16" t="s">
        <v>93</v>
      </c>
    </row>
    <row r="18" spans="1:8" x14ac:dyDescent="0.2">
      <c r="A18" s="10" t="s">
        <v>17</v>
      </c>
      <c r="B18" s="17" t="s">
        <v>154</v>
      </c>
      <c r="C18" s="15"/>
      <c r="D18" s="15"/>
      <c r="E18" s="15"/>
      <c r="F18" s="15"/>
      <c r="G18" s="15"/>
      <c r="H18" s="16"/>
    </row>
    <row r="19" spans="1:8" x14ac:dyDescent="0.2">
      <c r="A19" s="10" t="s">
        <v>18</v>
      </c>
      <c r="B19" s="14" t="str">
        <f t="shared" ref="B19:B26" si="1">IF(OR(C19&gt;=75, F19&gt;=75),"Yes","No")</f>
        <v>Yes</v>
      </c>
      <c r="C19" s="15">
        <v>83</v>
      </c>
      <c r="D19" s="15">
        <v>2000</v>
      </c>
      <c r="E19" s="15" t="s">
        <v>83</v>
      </c>
      <c r="F19" s="15">
        <v>83.4</v>
      </c>
      <c r="G19" s="15">
        <v>2000</v>
      </c>
      <c r="H19" s="16" t="s">
        <v>94</v>
      </c>
    </row>
    <row r="20" spans="1:8" x14ac:dyDescent="0.2">
      <c r="A20" s="10" t="s">
        <v>19</v>
      </c>
      <c r="B20" s="14" t="str">
        <f t="shared" si="1"/>
        <v>Yes</v>
      </c>
      <c r="C20" s="15">
        <v>81</v>
      </c>
      <c r="D20" s="15">
        <v>2005</v>
      </c>
      <c r="E20" s="15" t="s">
        <v>83</v>
      </c>
      <c r="F20" s="15">
        <v>81.099999999999994</v>
      </c>
      <c r="G20" s="15">
        <v>2005</v>
      </c>
      <c r="H20" s="16" t="s">
        <v>95</v>
      </c>
    </row>
    <row r="21" spans="1:8" x14ac:dyDescent="0.2">
      <c r="A21" s="10" t="s">
        <v>20</v>
      </c>
      <c r="B21" s="14" t="str">
        <f t="shared" si="1"/>
        <v>No</v>
      </c>
      <c r="C21" s="15">
        <v>55</v>
      </c>
      <c r="D21" s="15">
        <v>2006</v>
      </c>
      <c r="E21" s="15" t="s">
        <v>83</v>
      </c>
      <c r="F21" s="15">
        <v>54.9</v>
      </c>
      <c r="G21" s="15">
        <v>2006</v>
      </c>
      <c r="H21" s="16" t="s">
        <v>87</v>
      </c>
    </row>
    <row r="22" spans="1:8" x14ac:dyDescent="0.2">
      <c r="A22" s="10" t="s">
        <v>21</v>
      </c>
      <c r="B22" s="14" t="str">
        <f t="shared" si="1"/>
        <v>Yes</v>
      </c>
      <c r="C22" s="15">
        <v>99</v>
      </c>
      <c r="D22" s="15">
        <v>2000</v>
      </c>
      <c r="E22" s="15" t="s">
        <v>83</v>
      </c>
      <c r="F22" s="15">
        <v>100</v>
      </c>
      <c r="G22" s="15">
        <v>2009</v>
      </c>
      <c r="H22" s="16" t="s">
        <v>96</v>
      </c>
    </row>
    <row r="23" spans="1:8" x14ac:dyDescent="0.2">
      <c r="A23" s="10" t="s">
        <v>22</v>
      </c>
      <c r="B23" s="14" t="str">
        <f t="shared" si="1"/>
        <v>No</v>
      </c>
      <c r="C23" s="15">
        <v>34</v>
      </c>
      <c r="D23" s="15">
        <v>2000</v>
      </c>
      <c r="E23" s="15" t="s">
        <v>83</v>
      </c>
      <c r="F23" s="15">
        <v>27.8</v>
      </c>
      <c r="G23" s="15">
        <v>2010</v>
      </c>
      <c r="H23" s="16" t="s">
        <v>97</v>
      </c>
    </row>
    <row r="24" spans="1:8" x14ac:dyDescent="0.2">
      <c r="A24" s="10" t="s">
        <v>23</v>
      </c>
      <c r="B24" s="14" t="str">
        <f t="shared" si="1"/>
        <v>Yes</v>
      </c>
      <c r="C24" s="15">
        <v>89</v>
      </c>
      <c r="D24" s="15">
        <v>2006</v>
      </c>
      <c r="E24" s="15" t="s">
        <v>83</v>
      </c>
      <c r="F24" s="15">
        <v>89.2</v>
      </c>
      <c r="G24" s="15">
        <v>2006</v>
      </c>
      <c r="H24" s="16" t="s">
        <v>87</v>
      </c>
    </row>
    <row r="25" spans="1:8" x14ac:dyDescent="0.2">
      <c r="A25" s="10" t="s">
        <v>24</v>
      </c>
      <c r="B25" s="14" t="str">
        <f t="shared" si="1"/>
        <v>Yes</v>
      </c>
      <c r="C25" s="15" t="s">
        <v>82</v>
      </c>
      <c r="D25" s="15">
        <v>2006</v>
      </c>
      <c r="E25" s="15" t="s">
        <v>83</v>
      </c>
      <c r="F25" s="15">
        <v>99</v>
      </c>
      <c r="G25" s="15">
        <v>2005</v>
      </c>
      <c r="H25" s="16" t="s">
        <v>95</v>
      </c>
    </row>
    <row r="26" spans="1:8" x14ac:dyDescent="0.2">
      <c r="A26" s="10" t="s">
        <v>25</v>
      </c>
      <c r="B26" s="14" t="str">
        <f t="shared" si="1"/>
        <v>No</v>
      </c>
      <c r="C26" s="15">
        <v>32</v>
      </c>
      <c r="D26" s="15">
        <v>2000</v>
      </c>
      <c r="E26" s="15" t="s">
        <v>83</v>
      </c>
      <c r="F26" s="15">
        <v>32.299999999999997</v>
      </c>
      <c r="G26" s="15">
        <v>2000</v>
      </c>
      <c r="H26" s="16" t="s">
        <v>94</v>
      </c>
    </row>
    <row r="27" spans="1:8" x14ac:dyDescent="0.2">
      <c r="A27" s="10" t="s">
        <v>26</v>
      </c>
      <c r="B27" s="17" t="s">
        <v>154</v>
      </c>
      <c r="C27" s="15"/>
      <c r="D27" s="15"/>
      <c r="E27" s="15"/>
      <c r="F27" s="15"/>
      <c r="G27" s="15"/>
      <c r="H27" s="16"/>
    </row>
    <row r="28" spans="1:8" x14ac:dyDescent="0.2">
      <c r="A28" s="10" t="s">
        <v>27</v>
      </c>
      <c r="B28" s="14" t="str">
        <f t="shared" ref="B28:B44" si="2">IF(OR(C28&gt;=75, F28&gt;=75),"Yes","No")</f>
        <v>No</v>
      </c>
      <c r="C28" s="15">
        <v>7</v>
      </c>
      <c r="D28" s="15">
        <v>2005</v>
      </c>
      <c r="E28" s="15" t="s">
        <v>83</v>
      </c>
      <c r="F28" s="15">
        <v>6.6</v>
      </c>
      <c r="G28" s="15">
        <v>2005</v>
      </c>
      <c r="H28" s="16" t="s">
        <v>95</v>
      </c>
    </row>
    <row r="29" spans="1:8" x14ac:dyDescent="0.2">
      <c r="A29" s="10" t="s">
        <v>28</v>
      </c>
      <c r="B29" s="14" t="str">
        <f t="shared" si="2"/>
        <v>Yes</v>
      </c>
      <c r="C29" s="15">
        <v>89</v>
      </c>
      <c r="D29" s="15">
        <v>2000</v>
      </c>
      <c r="E29" s="15" t="s">
        <v>83</v>
      </c>
      <c r="F29" s="15">
        <v>89.4</v>
      </c>
      <c r="G29" s="15">
        <v>2000</v>
      </c>
      <c r="H29" s="16" t="s">
        <v>98</v>
      </c>
    </row>
    <row r="30" spans="1:8" ht="12.75" customHeight="1" x14ac:dyDescent="0.2">
      <c r="A30" s="10" t="s">
        <v>29</v>
      </c>
      <c r="B30" s="14" t="str">
        <f t="shared" si="2"/>
        <v>No</v>
      </c>
      <c r="C30" s="15">
        <v>55</v>
      </c>
      <c r="D30" s="15">
        <v>2005</v>
      </c>
      <c r="E30" s="15" t="s">
        <v>83</v>
      </c>
      <c r="F30" s="15">
        <v>55.1</v>
      </c>
      <c r="G30" s="15" t="s">
        <v>125</v>
      </c>
      <c r="H30" s="16" t="s">
        <v>99</v>
      </c>
    </row>
    <row r="31" spans="1:8" x14ac:dyDescent="0.2">
      <c r="A31" s="10" t="s">
        <v>30</v>
      </c>
      <c r="B31" s="14" t="str">
        <f t="shared" si="2"/>
        <v>No</v>
      </c>
      <c r="C31" s="15">
        <v>51</v>
      </c>
      <c r="D31" s="15">
        <v>2006</v>
      </c>
      <c r="E31" s="15" t="s">
        <v>83</v>
      </c>
      <c r="F31" s="15">
        <v>71.2</v>
      </c>
      <c r="G31" s="15">
        <v>2008</v>
      </c>
      <c r="H31" s="16" t="s">
        <v>100</v>
      </c>
    </row>
    <row r="32" spans="1:8" x14ac:dyDescent="0.2">
      <c r="A32" s="10" t="s">
        <v>31</v>
      </c>
      <c r="B32" s="14" t="str">
        <f t="shared" si="2"/>
        <v>Yes</v>
      </c>
      <c r="C32" s="15" t="s">
        <v>82</v>
      </c>
      <c r="D32" s="15">
        <v>2006</v>
      </c>
      <c r="E32" s="15" t="s">
        <v>83</v>
      </c>
      <c r="F32" s="15">
        <v>96.7</v>
      </c>
      <c r="G32" s="15" t="s">
        <v>126</v>
      </c>
      <c r="H32" s="16" t="s">
        <v>101</v>
      </c>
    </row>
    <row r="33" spans="1:8" x14ac:dyDescent="0.2">
      <c r="A33" s="10" t="s">
        <v>32</v>
      </c>
      <c r="B33" s="14" t="str">
        <f t="shared" si="2"/>
        <v>No</v>
      </c>
      <c r="C33" s="15">
        <v>43</v>
      </c>
      <c r="D33" s="15">
        <v>2005</v>
      </c>
      <c r="E33" s="15" t="s">
        <v>83</v>
      </c>
      <c r="F33" s="15">
        <v>43.2</v>
      </c>
      <c r="G33" s="15">
        <v>2005</v>
      </c>
      <c r="H33" s="16" t="s">
        <v>95</v>
      </c>
    </row>
    <row r="34" spans="1:8" x14ac:dyDescent="0.2">
      <c r="A34" s="10" t="s">
        <v>33</v>
      </c>
      <c r="B34" s="14" t="str">
        <f t="shared" si="2"/>
        <v>No</v>
      </c>
      <c r="C34" s="15">
        <v>39</v>
      </c>
      <c r="D34" s="15">
        <v>2006</v>
      </c>
      <c r="E34" s="15" t="s">
        <v>83</v>
      </c>
      <c r="F34" s="15">
        <v>24.1</v>
      </c>
      <c r="G34" s="15">
        <v>2010</v>
      </c>
      <c r="H34" s="16" t="s">
        <v>97</v>
      </c>
    </row>
    <row r="35" spans="1:8" x14ac:dyDescent="0.2">
      <c r="A35" s="10" t="s">
        <v>34</v>
      </c>
      <c r="B35" s="14" t="str">
        <f t="shared" si="2"/>
        <v>Yes</v>
      </c>
      <c r="C35" s="15">
        <v>81</v>
      </c>
      <c r="D35" s="15">
        <v>2005</v>
      </c>
      <c r="E35" s="15" t="s">
        <v>83</v>
      </c>
      <c r="F35" s="15">
        <v>81.099999999999994</v>
      </c>
      <c r="G35" s="15" t="s">
        <v>125</v>
      </c>
      <c r="H35" s="16" t="s">
        <v>102</v>
      </c>
    </row>
    <row r="36" spans="1:8" x14ac:dyDescent="0.2">
      <c r="A36" s="10" t="s">
        <v>35</v>
      </c>
      <c r="B36" s="14" t="str">
        <f t="shared" si="2"/>
        <v>No</v>
      </c>
      <c r="C36" s="15">
        <v>41</v>
      </c>
      <c r="D36" s="15">
        <v>2006</v>
      </c>
      <c r="E36" s="15" t="s">
        <v>83</v>
      </c>
      <c r="F36" s="15">
        <v>41.1</v>
      </c>
      <c r="G36" s="15" t="s">
        <v>125</v>
      </c>
      <c r="H36" s="16" t="s">
        <v>103</v>
      </c>
    </row>
    <row r="37" spans="1:8" x14ac:dyDescent="0.2">
      <c r="A37" s="10" t="s">
        <v>36</v>
      </c>
      <c r="B37" s="14" t="str">
        <f t="shared" si="2"/>
        <v>No</v>
      </c>
      <c r="C37" s="15">
        <v>55</v>
      </c>
      <c r="D37" s="15">
        <v>2002</v>
      </c>
      <c r="E37" s="15" t="s">
        <v>83</v>
      </c>
      <c r="F37" s="15">
        <v>53.1</v>
      </c>
      <c r="G37" s="15">
        <v>2007</v>
      </c>
      <c r="H37" s="16" t="s">
        <v>104</v>
      </c>
    </row>
    <row r="38" spans="1:8" x14ac:dyDescent="0.2">
      <c r="A38" s="10" t="s">
        <v>37</v>
      </c>
      <c r="B38" s="14" t="str">
        <f t="shared" si="2"/>
        <v>Yes</v>
      </c>
      <c r="C38" s="15">
        <v>95</v>
      </c>
      <c r="D38" s="15">
        <v>2006</v>
      </c>
      <c r="E38" s="15" t="s">
        <v>83</v>
      </c>
      <c r="F38" s="15">
        <v>95</v>
      </c>
      <c r="G38" s="15">
        <v>2006</v>
      </c>
      <c r="H38" s="16" t="s">
        <v>87</v>
      </c>
    </row>
    <row r="39" spans="1:8" x14ac:dyDescent="0.2">
      <c r="A39" s="10" t="s">
        <v>38</v>
      </c>
      <c r="B39" s="14" t="str">
        <f t="shared" si="2"/>
        <v>No</v>
      </c>
      <c r="C39" s="15">
        <v>48</v>
      </c>
      <c r="D39" s="15">
        <v>2003</v>
      </c>
      <c r="E39" s="15" t="s">
        <v>83</v>
      </c>
      <c r="F39" s="15">
        <v>60</v>
      </c>
      <c r="G39" s="15" t="s">
        <v>126</v>
      </c>
      <c r="H39" s="16" t="s">
        <v>105</v>
      </c>
    </row>
    <row r="40" spans="1:8" x14ac:dyDescent="0.2">
      <c r="A40" s="10" t="s">
        <v>39</v>
      </c>
      <c r="B40" s="14" t="str">
        <f t="shared" si="2"/>
        <v>Yes</v>
      </c>
      <c r="C40" s="15">
        <v>94</v>
      </c>
      <c r="D40" s="15">
        <v>2005</v>
      </c>
      <c r="E40" s="15" t="s">
        <v>83</v>
      </c>
      <c r="F40" s="15">
        <v>94.2</v>
      </c>
      <c r="G40" s="15">
        <v>2006</v>
      </c>
      <c r="H40" s="16" t="s">
        <v>87</v>
      </c>
    </row>
    <row r="41" spans="1:8" x14ac:dyDescent="0.2">
      <c r="A41" s="10" t="s">
        <v>40</v>
      </c>
      <c r="B41" s="14" t="str">
        <f t="shared" si="2"/>
        <v>No</v>
      </c>
      <c r="C41" s="15">
        <v>59</v>
      </c>
      <c r="D41" s="15">
        <v>2000</v>
      </c>
      <c r="E41" s="15" t="s">
        <v>83</v>
      </c>
      <c r="F41" s="15">
        <v>71.5</v>
      </c>
      <c r="G41" s="15">
        <v>2006</v>
      </c>
      <c r="H41" s="16" t="s">
        <v>87</v>
      </c>
    </row>
    <row r="42" spans="1:8" x14ac:dyDescent="0.2">
      <c r="A42" s="10" t="s">
        <v>41</v>
      </c>
      <c r="B42" s="14" t="str">
        <f t="shared" si="2"/>
        <v>No</v>
      </c>
      <c r="C42" s="15">
        <v>26</v>
      </c>
      <c r="D42" s="15">
        <v>2004</v>
      </c>
      <c r="E42" s="15" t="s">
        <v>83</v>
      </c>
      <c r="F42" s="15">
        <v>45.1</v>
      </c>
      <c r="G42" s="15">
        <v>2009</v>
      </c>
      <c r="H42" s="16" t="s">
        <v>106</v>
      </c>
    </row>
    <row r="43" spans="1:8" x14ac:dyDescent="0.2">
      <c r="A43" s="10" t="s">
        <v>42</v>
      </c>
      <c r="B43" s="14" t="str">
        <f t="shared" si="2"/>
        <v>No</v>
      </c>
      <c r="C43" s="15"/>
      <c r="D43" s="15"/>
      <c r="E43" s="15"/>
      <c r="F43" s="15">
        <v>3.6</v>
      </c>
      <c r="G43" s="15">
        <v>2007</v>
      </c>
      <c r="H43" s="16" t="s">
        <v>104</v>
      </c>
    </row>
    <row r="44" spans="1:8" x14ac:dyDescent="0.2">
      <c r="A44" s="10" t="s">
        <v>43</v>
      </c>
      <c r="B44" s="14" t="str">
        <f t="shared" si="2"/>
        <v>Yes</v>
      </c>
      <c r="C44" s="15">
        <v>75</v>
      </c>
      <c r="D44" s="15">
        <v>2003</v>
      </c>
      <c r="E44" s="15" t="s">
        <v>83</v>
      </c>
      <c r="F44" s="15">
        <v>79.7</v>
      </c>
      <c r="G44" s="15" t="s">
        <v>126</v>
      </c>
      <c r="H44" s="16" t="s">
        <v>105</v>
      </c>
    </row>
    <row r="45" spans="1:8" x14ac:dyDescent="0.2">
      <c r="A45" s="10" t="s">
        <v>44</v>
      </c>
      <c r="B45" s="17" t="s">
        <v>154</v>
      </c>
      <c r="C45" s="15"/>
      <c r="D45" s="15"/>
      <c r="E45" s="15"/>
      <c r="F45" s="15"/>
      <c r="G45" s="15"/>
      <c r="H45" s="16"/>
    </row>
    <row r="46" spans="1:8" x14ac:dyDescent="0.2">
      <c r="A46" s="10" t="s">
        <v>45</v>
      </c>
      <c r="B46" s="14" t="str">
        <f>IF(OR(C46&gt;=75, F46&gt;=75),"Yes","No")</f>
        <v>Yes</v>
      </c>
      <c r="C46" s="15">
        <v>53</v>
      </c>
      <c r="D46" s="15">
        <v>2006</v>
      </c>
      <c r="E46" s="15" t="s">
        <v>83</v>
      </c>
      <c r="F46" s="15">
        <v>80.8</v>
      </c>
      <c r="G46" s="15">
        <v>2010</v>
      </c>
      <c r="H46" s="16" t="s">
        <v>97</v>
      </c>
    </row>
    <row r="47" spans="1:8" x14ac:dyDescent="0.2">
      <c r="A47" s="10" t="s">
        <v>46</v>
      </c>
      <c r="B47" s="14" t="str">
        <f>IF(OR(C47&gt;=75, F47&gt;=75),"Yes","No")</f>
        <v>No</v>
      </c>
      <c r="C47" s="15">
        <v>56</v>
      </c>
      <c r="D47" s="15">
        <v>2007</v>
      </c>
      <c r="E47" s="15" t="s">
        <v>83</v>
      </c>
      <c r="F47" s="15">
        <v>55.9</v>
      </c>
      <c r="G47" s="15">
        <v>2007</v>
      </c>
      <c r="H47" s="16" t="s">
        <v>107</v>
      </c>
    </row>
    <row r="48" spans="1:8" x14ac:dyDescent="0.2">
      <c r="A48" s="10" t="s">
        <v>47</v>
      </c>
      <c r="B48" s="17" t="s">
        <v>154</v>
      </c>
      <c r="C48" s="15"/>
      <c r="D48" s="15"/>
      <c r="E48" s="15"/>
      <c r="F48" s="15"/>
      <c r="G48" s="15"/>
      <c r="H48" s="16"/>
    </row>
    <row r="49" spans="1:8" ht="33.75" x14ac:dyDescent="0.2">
      <c r="A49" s="10" t="s">
        <v>48</v>
      </c>
      <c r="B49" s="14" t="str">
        <f t="shared" ref="B49:B55" si="3">IF(OR(C49&gt;=75, F49&gt;=75),"Yes","No")</f>
        <v>Yes</v>
      </c>
      <c r="C49" s="15" t="s">
        <v>82</v>
      </c>
      <c r="D49" s="15">
        <v>2005</v>
      </c>
      <c r="E49" s="15" t="s">
        <v>83</v>
      </c>
      <c r="F49" s="15">
        <v>85.4</v>
      </c>
      <c r="G49" s="15">
        <v>2000</v>
      </c>
      <c r="H49" s="16" t="s">
        <v>108</v>
      </c>
    </row>
    <row r="50" spans="1:8" x14ac:dyDescent="0.2">
      <c r="A50" s="10" t="s">
        <v>49</v>
      </c>
      <c r="B50" s="14" t="str">
        <f t="shared" si="3"/>
        <v>No</v>
      </c>
      <c r="C50" s="15"/>
      <c r="D50" s="15"/>
      <c r="E50" s="15"/>
      <c r="F50" s="15">
        <v>30.8</v>
      </c>
      <c r="G50" s="15">
        <v>2008</v>
      </c>
      <c r="H50" s="16" t="s">
        <v>109</v>
      </c>
    </row>
    <row r="51" spans="1:8" ht="13.5" customHeight="1" x14ac:dyDescent="0.2">
      <c r="A51" s="10" t="s">
        <v>50</v>
      </c>
      <c r="B51" s="14" t="str">
        <f t="shared" si="3"/>
        <v>No</v>
      </c>
      <c r="C51" s="15">
        <v>65</v>
      </c>
      <c r="D51" s="15">
        <v>2003</v>
      </c>
      <c r="E51" s="15" t="s">
        <v>83</v>
      </c>
      <c r="F51" s="15">
        <v>72.400000000000006</v>
      </c>
      <c r="G51" s="15" t="s">
        <v>127</v>
      </c>
      <c r="H51" s="16" t="s">
        <v>110</v>
      </c>
    </row>
    <row r="52" spans="1:8" x14ac:dyDescent="0.2">
      <c r="A52" s="10" t="s">
        <v>51</v>
      </c>
      <c r="B52" s="14" t="str">
        <f t="shared" si="3"/>
        <v>No</v>
      </c>
      <c r="C52" s="15">
        <v>35</v>
      </c>
      <c r="D52" s="15">
        <v>2006</v>
      </c>
      <c r="E52" s="15" t="s">
        <v>83</v>
      </c>
      <c r="F52" s="15">
        <v>35</v>
      </c>
      <c r="G52" s="15">
        <v>2006</v>
      </c>
      <c r="H52" s="16" t="s">
        <v>86</v>
      </c>
    </row>
    <row r="53" spans="1:8" x14ac:dyDescent="0.2">
      <c r="A53" s="10" t="s">
        <v>52</v>
      </c>
      <c r="B53" s="14" t="str">
        <f t="shared" si="3"/>
        <v>No</v>
      </c>
      <c r="C53" s="15">
        <v>32</v>
      </c>
      <c r="D53" s="15">
        <v>2006</v>
      </c>
      <c r="E53" s="15" t="s">
        <v>83</v>
      </c>
      <c r="F53" s="15">
        <v>31.8</v>
      </c>
      <c r="G53" s="15">
        <v>2006</v>
      </c>
      <c r="H53" s="16" t="s">
        <v>111</v>
      </c>
    </row>
    <row r="54" spans="1:8" x14ac:dyDescent="0.2">
      <c r="A54" s="10" t="s">
        <v>53</v>
      </c>
      <c r="B54" s="14" t="str">
        <f t="shared" si="3"/>
        <v>No</v>
      </c>
      <c r="C54" s="15">
        <v>33</v>
      </c>
      <c r="D54" s="15">
        <v>2006</v>
      </c>
      <c r="E54" s="15" t="s">
        <v>83</v>
      </c>
      <c r="F54" s="15">
        <v>30</v>
      </c>
      <c r="G54" s="15">
        <v>2008</v>
      </c>
      <c r="H54" s="16" t="s">
        <v>100</v>
      </c>
    </row>
    <row r="55" spans="1:8" x14ac:dyDescent="0.2">
      <c r="A55" s="10" t="s">
        <v>54</v>
      </c>
      <c r="B55" s="14" t="str">
        <f t="shared" si="3"/>
        <v>No</v>
      </c>
      <c r="C55" s="15"/>
      <c r="D55" s="15"/>
      <c r="E55" s="15"/>
      <c r="F55" s="15">
        <v>26.5</v>
      </c>
      <c r="G55" s="15" t="s">
        <v>128</v>
      </c>
      <c r="H55" s="16" t="s">
        <v>112</v>
      </c>
    </row>
    <row r="56" spans="1:8" x14ac:dyDescent="0.2">
      <c r="A56" s="10" t="s">
        <v>55</v>
      </c>
      <c r="B56" s="17" t="s">
        <v>154</v>
      </c>
      <c r="C56" s="15"/>
      <c r="D56" s="15"/>
      <c r="E56" s="15"/>
      <c r="F56" s="15"/>
      <c r="G56" s="15"/>
      <c r="H56" s="16"/>
    </row>
    <row r="57" spans="1:8" ht="12" customHeight="1" x14ac:dyDescent="0.2">
      <c r="A57" s="10" t="s">
        <v>56</v>
      </c>
      <c r="B57" s="14" t="str">
        <f t="shared" ref="B57:B78" si="4">IF(OR(C57&gt;=75, F57&gt;=75),"Yes","No")</f>
        <v>Yes</v>
      </c>
      <c r="C57" s="15">
        <v>93</v>
      </c>
      <c r="D57" s="15">
        <v>2000</v>
      </c>
      <c r="E57" s="15" t="s">
        <v>83</v>
      </c>
      <c r="F57" s="15">
        <v>92.9</v>
      </c>
      <c r="G57" s="15">
        <v>2007</v>
      </c>
      <c r="H57" s="16" t="s">
        <v>113</v>
      </c>
    </row>
    <row r="58" spans="1:8" x14ac:dyDescent="0.2">
      <c r="A58" s="10" t="s">
        <v>57</v>
      </c>
      <c r="B58" s="14" t="str">
        <f t="shared" si="4"/>
        <v>Yes</v>
      </c>
      <c r="C58" s="15" t="s">
        <v>82</v>
      </c>
      <c r="D58" s="15">
        <v>2004</v>
      </c>
      <c r="E58" s="15" t="s">
        <v>83</v>
      </c>
      <c r="F58" s="15">
        <v>82.8</v>
      </c>
      <c r="G58" s="15">
        <v>2000</v>
      </c>
      <c r="H58" s="16" t="s">
        <v>94</v>
      </c>
    </row>
    <row r="59" spans="1:8" x14ac:dyDescent="0.2">
      <c r="A59" s="10" t="s">
        <v>58</v>
      </c>
      <c r="B59" s="14" t="str">
        <f t="shared" si="4"/>
        <v>Yes</v>
      </c>
      <c r="C59" s="15">
        <v>82</v>
      </c>
      <c r="D59" s="15">
        <v>2005</v>
      </c>
      <c r="E59" s="15" t="s">
        <v>83</v>
      </c>
      <c r="F59" s="15">
        <v>82.4</v>
      </c>
      <c r="G59" s="15">
        <v>2005</v>
      </c>
      <c r="H59" s="16" t="s">
        <v>95</v>
      </c>
    </row>
    <row r="60" spans="1:8" x14ac:dyDescent="0.2">
      <c r="A60" s="10" t="s">
        <v>59</v>
      </c>
      <c r="B60" s="14" t="str">
        <f t="shared" si="4"/>
        <v>Yes</v>
      </c>
      <c r="C60" s="15">
        <v>69</v>
      </c>
      <c r="D60" s="15">
        <v>2006</v>
      </c>
      <c r="E60" s="15" t="s">
        <v>83</v>
      </c>
      <c r="F60" s="15">
        <v>75.099999999999994</v>
      </c>
      <c r="G60" s="15" t="s">
        <v>126</v>
      </c>
      <c r="H60" s="16" t="s">
        <v>105</v>
      </c>
    </row>
    <row r="61" spans="1:8" x14ac:dyDescent="0.2">
      <c r="A61" s="10" t="s">
        <v>60</v>
      </c>
      <c r="B61" s="14" t="str">
        <f t="shared" si="4"/>
        <v>No</v>
      </c>
      <c r="C61" s="15">
        <v>55</v>
      </c>
      <c r="D61" s="15">
        <v>2005</v>
      </c>
      <c r="E61" s="15" t="s">
        <v>83</v>
      </c>
      <c r="F61" s="15">
        <v>55</v>
      </c>
      <c r="G61" s="15">
        <v>2005</v>
      </c>
      <c r="H61" s="16" t="s">
        <v>95</v>
      </c>
    </row>
    <row r="62" spans="1:8" x14ac:dyDescent="0.2">
      <c r="A62" s="10" t="s">
        <v>61</v>
      </c>
      <c r="B62" s="14" t="str">
        <f t="shared" si="4"/>
        <v>No</v>
      </c>
      <c r="C62" s="15">
        <v>48</v>
      </c>
      <c r="D62" s="15">
        <v>2005</v>
      </c>
      <c r="E62" s="15" t="s">
        <v>83</v>
      </c>
      <c r="F62" s="15">
        <v>50.9</v>
      </c>
      <c r="G62" s="15">
        <v>2008</v>
      </c>
      <c r="H62" s="16" t="s">
        <v>100</v>
      </c>
    </row>
    <row r="63" spans="1:8" x14ac:dyDescent="0.2">
      <c r="A63" s="10" t="s">
        <v>62</v>
      </c>
      <c r="B63" s="14" t="str">
        <f t="shared" si="4"/>
        <v>Yes</v>
      </c>
      <c r="C63" s="15"/>
      <c r="D63" s="15"/>
      <c r="E63" s="15"/>
      <c r="F63" s="15">
        <v>79.8</v>
      </c>
      <c r="G63" s="15">
        <v>2007</v>
      </c>
      <c r="H63" s="16" t="s">
        <v>104</v>
      </c>
    </row>
    <row r="64" spans="1:8" x14ac:dyDescent="0.2">
      <c r="A64" s="10" t="s">
        <v>63</v>
      </c>
      <c r="B64" s="14" t="str">
        <f t="shared" si="4"/>
        <v>No</v>
      </c>
      <c r="C64" s="15">
        <v>3</v>
      </c>
      <c r="D64" s="15">
        <v>2006</v>
      </c>
      <c r="E64" s="15" t="s">
        <v>83</v>
      </c>
      <c r="F64" s="15">
        <v>3</v>
      </c>
      <c r="G64" s="15">
        <v>2006</v>
      </c>
      <c r="H64" s="16" t="s">
        <v>87</v>
      </c>
    </row>
    <row r="65" spans="1:8" ht="22.5" x14ac:dyDescent="0.2">
      <c r="A65" s="10" t="s">
        <v>64</v>
      </c>
      <c r="B65" s="14" t="str">
        <f t="shared" si="4"/>
        <v>Yes</v>
      </c>
      <c r="C65" s="15">
        <v>78</v>
      </c>
      <c r="D65" s="15">
        <v>2006</v>
      </c>
      <c r="E65" s="15" t="s">
        <v>83</v>
      </c>
      <c r="F65" s="15">
        <v>91.8</v>
      </c>
      <c r="G65" s="15">
        <v>2008</v>
      </c>
      <c r="H65" s="16" t="s">
        <v>114</v>
      </c>
    </row>
    <row r="66" spans="1:8" x14ac:dyDescent="0.2">
      <c r="A66" s="10" t="s">
        <v>65</v>
      </c>
      <c r="B66" s="14" t="str">
        <f t="shared" si="4"/>
        <v>No</v>
      </c>
      <c r="C66" s="15"/>
      <c r="D66" s="15"/>
      <c r="E66" s="15"/>
      <c r="F66" s="15">
        <v>33</v>
      </c>
      <c r="G66" s="15">
        <v>2006</v>
      </c>
      <c r="H66" s="16" t="s">
        <v>116</v>
      </c>
    </row>
    <row r="67" spans="1:8" x14ac:dyDescent="0.2">
      <c r="A67" s="10" t="s">
        <v>66</v>
      </c>
      <c r="B67" s="14" t="str">
        <f t="shared" si="4"/>
        <v>No</v>
      </c>
      <c r="C67" s="15">
        <v>33</v>
      </c>
      <c r="D67" s="15">
        <v>2006</v>
      </c>
      <c r="E67" s="15" t="s">
        <v>83</v>
      </c>
      <c r="F67" s="15">
        <v>33</v>
      </c>
      <c r="G67" s="15">
        <v>2006</v>
      </c>
      <c r="H67" s="16" t="s">
        <v>116</v>
      </c>
    </row>
    <row r="68" spans="1:8" x14ac:dyDescent="0.2">
      <c r="A68" s="10" t="s">
        <v>67</v>
      </c>
      <c r="B68" s="14" t="str">
        <f t="shared" si="4"/>
        <v>No</v>
      </c>
      <c r="C68" s="15">
        <v>30</v>
      </c>
      <c r="D68" s="15">
        <v>2006</v>
      </c>
      <c r="E68" s="15" t="s">
        <v>83</v>
      </c>
      <c r="F68" s="15">
        <v>29.8</v>
      </c>
      <c r="G68" s="15" t="s">
        <v>128</v>
      </c>
      <c r="H68" s="16" t="s">
        <v>112</v>
      </c>
    </row>
    <row r="69" spans="1:8" x14ac:dyDescent="0.2">
      <c r="A69" s="10" t="s">
        <v>68</v>
      </c>
      <c r="B69" s="14" t="str">
        <f t="shared" si="4"/>
        <v>Yes</v>
      </c>
      <c r="C69" s="15">
        <v>88</v>
      </c>
      <c r="D69" s="15">
        <v>2005</v>
      </c>
      <c r="E69" s="15" t="s">
        <v>83</v>
      </c>
      <c r="F69" s="15">
        <v>88.3</v>
      </c>
      <c r="G69" s="15">
        <v>2005</v>
      </c>
      <c r="H69" s="16" t="s">
        <v>91</v>
      </c>
    </row>
    <row r="70" spans="1:8" x14ac:dyDescent="0.2">
      <c r="A70" s="10" t="s">
        <v>70</v>
      </c>
      <c r="B70" s="14" t="str">
        <f t="shared" si="4"/>
        <v>Yes</v>
      </c>
      <c r="C70" s="15">
        <v>78</v>
      </c>
      <c r="D70" s="15">
        <v>2006</v>
      </c>
      <c r="E70" s="15" t="s">
        <v>83</v>
      </c>
      <c r="F70" s="15">
        <v>77.900000000000006</v>
      </c>
      <c r="G70" s="15">
        <v>2010</v>
      </c>
      <c r="H70" s="16" t="s">
        <v>97</v>
      </c>
    </row>
    <row r="71" spans="1:8" x14ac:dyDescent="0.2">
      <c r="A71" s="10" t="s">
        <v>71</v>
      </c>
      <c r="B71" s="14" t="str">
        <f t="shared" si="4"/>
        <v>Yes</v>
      </c>
      <c r="C71" s="15">
        <v>96</v>
      </c>
      <c r="D71" s="15">
        <v>2006</v>
      </c>
      <c r="E71" s="15" t="s">
        <v>83</v>
      </c>
      <c r="F71" s="15">
        <v>95.5</v>
      </c>
      <c r="G71" s="15">
        <v>2006</v>
      </c>
      <c r="H71" s="16" t="s">
        <v>87</v>
      </c>
    </row>
    <row r="72" spans="1:8" x14ac:dyDescent="0.2">
      <c r="A72" s="10" t="s">
        <v>72</v>
      </c>
      <c r="B72" s="14" t="str">
        <f t="shared" si="4"/>
        <v>No</v>
      </c>
      <c r="C72" s="15">
        <v>21</v>
      </c>
      <c r="D72" s="15">
        <v>2006</v>
      </c>
      <c r="E72" s="15" t="s">
        <v>83</v>
      </c>
      <c r="F72" s="15">
        <v>21</v>
      </c>
      <c r="G72" s="15">
        <v>2006</v>
      </c>
      <c r="H72" s="16" t="s">
        <v>86</v>
      </c>
    </row>
    <row r="73" spans="1:8" x14ac:dyDescent="0.2">
      <c r="A73" s="10" t="s">
        <v>69</v>
      </c>
      <c r="B73" s="14" t="str">
        <f t="shared" si="4"/>
        <v>No</v>
      </c>
      <c r="C73" s="15">
        <v>8</v>
      </c>
      <c r="D73" s="15">
        <v>2004</v>
      </c>
      <c r="E73" s="15" t="s">
        <v>83</v>
      </c>
      <c r="F73" s="15">
        <v>16.3</v>
      </c>
      <c r="G73" s="15">
        <v>2010</v>
      </c>
      <c r="H73" s="16" t="s">
        <v>92</v>
      </c>
    </row>
    <row r="74" spans="1:8" x14ac:dyDescent="0.2">
      <c r="A74" s="10" t="s">
        <v>73</v>
      </c>
      <c r="B74" s="14" t="str">
        <f t="shared" si="4"/>
        <v>Yes</v>
      </c>
      <c r="C74" s="15">
        <v>100</v>
      </c>
      <c r="D74" s="15">
        <v>2006</v>
      </c>
      <c r="E74" s="15" t="s">
        <v>83</v>
      </c>
      <c r="F74" s="15">
        <v>99.9</v>
      </c>
      <c r="G74" s="15">
        <v>2006</v>
      </c>
      <c r="H74" s="16" t="s">
        <v>87</v>
      </c>
    </row>
    <row r="75" spans="1:8" x14ac:dyDescent="0.2">
      <c r="A75" s="10" t="s">
        <v>74</v>
      </c>
      <c r="B75" s="14" t="str">
        <f t="shared" si="4"/>
        <v>Yes</v>
      </c>
      <c r="C75" s="15">
        <v>88</v>
      </c>
      <c r="D75" s="15">
        <v>2006</v>
      </c>
      <c r="E75" s="15" t="s">
        <v>83</v>
      </c>
      <c r="F75" s="15">
        <v>87.6</v>
      </c>
      <c r="G75" s="15">
        <v>2006</v>
      </c>
      <c r="H75" s="16" t="s">
        <v>87</v>
      </c>
    </row>
    <row r="76" spans="1:8" x14ac:dyDescent="0.2">
      <c r="A76" s="10" t="s">
        <v>75</v>
      </c>
      <c r="B76" s="14" t="str">
        <f t="shared" si="4"/>
        <v>No</v>
      </c>
      <c r="C76" s="15">
        <v>22</v>
      </c>
      <c r="D76" s="15">
        <v>2006</v>
      </c>
      <c r="E76" s="15" t="s">
        <v>83</v>
      </c>
      <c r="F76" s="15">
        <v>22.3</v>
      </c>
      <c r="G76" s="15">
        <v>2006</v>
      </c>
      <c r="H76" s="16" t="s">
        <v>87</v>
      </c>
    </row>
    <row r="77" spans="1:8" x14ac:dyDescent="0.2">
      <c r="A77" s="10" t="s">
        <v>76</v>
      </c>
      <c r="B77" s="14" t="str">
        <f t="shared" si="4"/>
        <v>No</v>
      </c>
      <c r="C77" s="15">
        <v>10</v>
      </c>
      <c r="D77" s="15">
        <v>2000</v>
      </c>
      <c r="E77" s="15" t="s">
        <v>83</v>
      </c>
      <c r="F77" s="15">
        <v>14</v>
      </c>
      <c r="G77" s="15">
        <v>2007</v>
      </c>
      <c r="H77" s="16" t="s">
        <v>104</v>
      </c>
    </row>
    <row r="78" spans="1:8" x14ac:dyDescent="0.2">
      <c r="A78" s="10" t="s">
        <v>77</v>
      </c>
      <c r="B78" s="14" t="str">
        <f t="shared" si="4"/>
        <v>No</v>
      </c>
      <c r="C78" s="15">
        <v>74</v>
      </c>
      <c r="D78" s="15">
        <v>2006</v>
      </c>
      <c r="E78" s="15" t="s">
        <v>83</v>
      </c>
      <c r="F78" s="15">
        <v>37.799999999999997</v>
      </c>
      <c r="G78" s="15">
        <v>2009</v>
      </c>
      <c r="H78" s="16" t="s">
        <v>115</v>
      </c>
    </row>
    <row r="79" spans="1:8" x14ac:dyDescent="0.2">
      <c r="A79" s="18" t="s">
        <v>255</v>
      </c>
      <c r="B79" s="18">
        <f>COUNTIF(B4:B78, "Yes")</f>
        <v>26</v>
      </c>
      <c r="C79" s="19"/>
      <c r="D79" s="19"/>
      <c r="E79" s="19"/>
      <c r="F79" s="19"/>
      <c r="G79" s="19"/>
      <c r="H79" s="19"/>
    </row>
    <row r="80" spans="1:8" x14ac:dyDescent="0.2">
      <c r="A80" s="18" t="s">
        <v>256</v>
      </c>
      <c r="B80" s="18">
        <f>COUNTIF(B4:B78, "No")</f>
        <v>44</v>
      </c>
      <c r="C80" s="19"/>
      <c r="D80" s="19"/>
      <c r="E80" s="19"/>
      <c r="F80" s="19"/>
      <c r="G80" s="19"/>
      <c r="H80" s="19"/>
    </row>
    <row r="81" spans="1:8" x14ac:dyDescent="0.2">
      <c r="A81" s="18" t="s">
        <v>257</v>
      </c>
      <c r="B81" s="18">
        <f>COUNTIF(B4:B78, "No data")</f>
        <v>5</v>
      </c>
      <c r="C81" s="19"/>
      <c r="D81" s="19"/>
      <c r="E81" s="19"/>
      <c r="F81" s="19"/>
      <c r="G81" s="19"/>
      <c r="H81" s="19"/>
    </row>
  </sheetData>
  <mergeCells count="2">
    <mergeCell ref="A1:E1"/>
    <mergeCell ref="A2:E2"/>
  </mergeCells>
  <pageMargins left="0.23622047244094491" right="0.23622047244094491" top="0.74803149606299213" bottom="0.74803149606299213" header="0.31496062992125984" footer="0.31496062992125984"/>
  <pageSetup paperSize="9" scale="98" orientation="portrait"/>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E81"/>
  <sheetViews>
    <sheetView workbookViewId="0">
      <selection activeCell="E3" sqref="A1:E104857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9.42578125" style="1" bestFit="1" customWidth="1"/>
    <col min="6" max="16384" width="8.85546875" style="1"/>
  </cols>
  <sheetData>
    <row r="1" spans="1:5" x14ac:dyDescent="0.2">
      <c r="A1" s="209" t="s">
        <v>363</v>
      </c>
      <c r="B1" s="209"/>
      <c r="C1" s="209"/>
      <c r="D1" s="209"/>
      <c r="E1" s="209"/>
    </row>
    <row r="2" spans="1:5" x14ac:dyDescent="0.2">
      <c r="A2" s="219" t="s">
        <v>78</v>
      </c>
      <c r="B2" s="219"/>
      <c r="C2" s="219"/>
      <c r="D2" s="219"/>
      <c r="E2" s="219"/>
    </row>
    <row r="3" spans="1:5" x14ac:dyDescent="0.2">
      <c r="A3" s="11" t="s">
        <v>0</v>
      </c>
      <c r="B3" s="12" t="s">
        <v>2</v>
      </c>
      <c r="C3" s="12" t="s">
        <v>122</v>
      </c>
      <c r="D3" s="12" t="s">
        <v>123</v>
      </c>
      <c r="E3" s="13" t="s">
        <v>119</v>
      </c>
    </row>
    <row r="4" spans="1:5" x14ac:dyDescent="0.2">
      <c r="A4" s="10" t="s">
        <v>3</v>
      </c>
      <c r="B4" s="20" t="s">
        <v>118</v>
      </c>
      <c r="C4" s="15" t="s">
        <v>129</v>
      </c>
      <c r="D4" s="15">
        <v>2006</v>
      </c>
      <c r="E4" s="21" t="s">
        <v>83</v>
      </c>
    </row>
    <row r="5" spans="1:5" x14ac:dyDescent="0.2">
      <c r="A5" s="22" t="s">
        <v>4</v>
      </c>
      <c r="B5" s="20" t="s">
        <v>118</v>
      </c>
      <c r="C5" s="15" t="s">
        <v>129</v>
      </c>
      <c r="D5" s="15">
        <v>2006</v>
      </c>
      <c r="E5" s="21" t="s">
        <v>83</v>
      </c>
    </row>
    <row r="6" spans="1:5" x14ac:dyDescent="0.2">
      <c r="A6" s="22" t="s">
        <v>5</v>
      </c>
      <c r="B6" s="20" t="s">
        <v>117</v>
      </c>
      <c r="C6" s="15" t="s">
        <v>130</v>
      </c>
      <c r="D6" s="15">
        <v>2007</v>
      </c>
      <c r="E6" s="21" t="s">
        <v>83</v>
      </c>
    </row>
    <row r="7" spans="1:5" x14ac:dyDescent="0.2">
      <c r="A7" s="22" t="s">
        <v>6</v>
      </c>
      <c r="B7" s="20" t="s">
        <v>118</v>
      </c>
      <c r="C7" s="15" t="s">
        <v>129</v>
      </c>
      <c r="D7" s="15">
        <v>2006</v>
      </c>
      <c r="E7" s="21" t="s">
        <v>83</v>
      </c>
    </row>
    <row r="8" spans="1:5" x14ac:dyDescent="0.2">
      <c r="A8" s="22" t="s">
        <v>7</v>
      </c>
      <c r="B8" s="20" t="s">
        <v>118</v>
      </c>
      <c r="C8" s="15" t="s">
        <v>129</v>
      </c>
      <c r="D8" s="15">
        <v>2006</v>
      </c>
      <c r="E8" s="21" t="s">
        <v>83</v>
      </c>
    </row>
    <row r="9" spans="1:5" x14ac:dyDescent="0.2">
      <c r="A9" s="22" t="s">
        <v>8</v>
      </c>
      <c r="B9" s="20" t="s">
        <v>118</v>
      </c>
      <c r="C9" s="15" t="s">
        <v>129</v>
      </c>
      <c r="D9" s="15">
        <v>2006</v>
      </c>
      <c r="E9" s="21" t="s">
        <v>83</v>
      </c>
    </row>
    <row r="10" spans="1:5" x14ac:dyDescent="0.2">
      <c r="A10" s="22" t="s">
        <v>9</v>
      </c>
      <c r="B10" s="20" t="s">
        <v>118</v>
      </c>
      <c r="C10" s="15" t="s">
        <v>129</v>
      </c>
      <c r="D10" s="15">
        <v>2006</v>
      </c>
      <c r="E10" s="21" t="s">
        <v>83</v>
      </c>
    </row>
    <row r="11" spans="1:5" x14ac:dyDescent="0.2">
      <c r="A11" s="22" t="s">
        <v>10</v>
      </c>
      <c r="B11" s="20" t="s">
        <v>117</v>
      </c>
      <c r="C11" s="15" t="s">
        <v>131</v>
      </c>
      <c r="D11" s="15">
        <v>2005</v>
      </c>
      <c r="E11" s="21" t="s">
        <v>83</v>
      </c>
    </row>
    <row r="12" spans="1:5" x14ac:dyDescent="0.2">
      <c r="A12" s="22" t="s">
        <v>11</v>
      </c>
      <c r="B12" s="20" t="s">
        <v>118</v>
      </c>
      <c r="C12" s="15" t="s">
        <v>129</v>
      </c>
      <c r="D12" s="15">
        <v>2006</v>
      </c>
      <c r="E12" s="21" t="s">
        <v>83</v>
      </c>
    </row>
    <row r="13" spans="1:5" x14ac:dyDescent="0.2">
      <c r="A13" s="22" t="s">
        <v>12</v>
      </c>
      <c r="B13" s="20" t="s">
        <v>118</v>
      </c>
      <c r="C13" s="15" t="s">
        <v>129</v>
      </c>
      <c r="D13" s="15">
        <v>2006</v>
      </c>
      <c r="E13" s="21" t="s">
        <v>83</v>
      </c>
    </row>
    <row r="14" spans="1:5" x14ac:dyDescent="0.2">
      <c r="A14" s="22" t="s">
        <v>13</v>
      </c>
      <c r="B14" s="20" t="s">
        <v>118</v>
      </c>
      <c r="C14" s="15" t="s">
        <v>129</v>
      </c>
      <c r="D14" s="15">
        <v>2006</v>
      </c>
      <c r="E14" s="21" t="s">
        <v>83</v>
      </c>
    </row>
    <row r="15" spans="1:5" x14ac:dyDescent="0.2">
      <c r="A15" s="22" t="s">
        <v>14</v>
      </c>
      <c r="B15" s="20" t="s">
        <v>118</v>
      </c>
      <c r="C15" s="15" t="s">
        <v>129</v>
      </c>
      <c r="D15" s="15">
        <v>2006</v>
      </c>
      <c r="E15" s="21" t="s">
        <v>83</v>
      </c>
    </row>
    <row r="16" spans="1:5" x14ac:dyDescent="0.2">
      <c r="A16" s="22" t="s">
        <v>15</v>
      </c>
      <c r="B16" s="20" t="s">
        <v>118</v>
      </c>
      <c r="C16" s="15" t="s">
        <v>129</v>
      </c>
      <c r="D16" s="15">
        <v>2006</v>
      </c>
      <c r="E16" s="21" t="s">
        <v>83</v>
      </c>
    </row>
    <row r="17" spans="1:5" x14ac:dyDescent="0.2">
      <c r="A17" s="22" t="s">
        <v>16</v>
      </c>
      <c r="B17" s="20" t="s">
        <v>118</v>
      </c>
      <c r="C17" s="15" t="s">
        <v>129</v>
      </c>
      <c r="D17" s="15">
        <v>2006</v>
      </c>
      <c r="E17" s="21" t="s">
        <v>83</v>
      </c>
    </row>
    <row r="18" spans="1:5" x14ac:dyDescent="0.2">
      <c r="A18" s="22" t="s">
        <v>17</v>
      </c>
      <c r="B18" s="20" t="s">
        <v>118</v>
      </c>
      <c r="C18" s="15" t="s">
        <v>129</v>
      </c>
      <c r="D18" s="15">
        <v>2006</v>
      </c>
      <c r="E18" s="21" t="s">
        <v>83</v>
      </c>
    </row>
    <row r="19" spans="1:5" x14ac:dyDescent="0.2">
      <c r="A19" s="22" t="s">
        <v>18</v>
      </c>
      <c r="B19" s="20" t="s">
        <v>118</v>
      </c>
      <c r="C19" s="15" t="s">
        <v>129</v>
      </c>
      <c r="D19" s="15">
        <v>2006</v>
      </c>
      <c r="E19" s="21" t="s">
        <v>83</v>
      </c>
    </row>
    <row r="20" spans="1:5" x14ac:dyDescent="0.2">
      <c r="A20" s="22" t="s">
        <v>19</v>
      </c>
      <c r="B20" s="20" t="s">
        <v>118</v>
      </c>
      <c r="C20" s="15" t="s">
        <v>129</v>
      </c>
      <c r="D20" s="15">
        <v>2006</v>
      </c>
      <c r="E20" s="21" t="s">
        <v>83</v>
      </c>
    </row>
    <row r="21" spans="1:5" x14ac:dyDescent="0.2">
      <c r="A21" s="22" t="s">
        <v>20</v>
      </c>
      <c r="B21" s="20" t="s">
        <v>118</v>
      </c>
      <c r="C21" s="15" t="s">
        <v>129</v>
      </c>
      <c r="D21" s="15">
        <v>2006</v>
      </c>
      <c r="E21" s="21" t="s">
        <v>83</v>
      </c>
    </row>
    <row r="22" spans="1:5" x14ac:dyDescent="0.2">
      <c r="A22" s="22" t="s">
        <v>21</v>
      </c>
      <c r="B22" s="20" t="s">
        <v>118</v>
      </c>
      <c r="C22" s="15" t="s">
        <v>129</v>
      </c>
      <c r="D22" s="15">
        <v>2006</v>
      </c>
      <c r="E22" s="21" t="s">
        <v>83</v>
      </c>
    </row>
    <row r="23" spans="1:5" x14ac:dyDescent="0.2">
      <c r="A23" s="22" t="s">
        <v>22</v>
      </c>
      <c r="B23" s="20" t="s">
        <v>118</v>
      </c>
      <c r="C23" s="15" t="s">
        <v>129</v>
      </c>
      <c r="D23" s="15">
        <v>2006</v>
      </c>
      <c r="E23" s="21" t="s">
        <v>83</v>
      </c>
    </row>
    <row r="24" spans="1:5" x14ac:dyDescent="0.2">
      <c r="A24" s="22" t="s">
        <v>23</v>
      </c>
      <c r="B24" s="20" t="s">
        <v>118</v>
      </c>
      <c r="C24" s="15" t="s">
        <v>129</v>
      </c>
      <c r="D24" s="15">
        <v>2006</v>
      </c>
      <c r="E24" s="21" t="s">
        <v>83</v>
      </c>
    </row>
    <row r="25" spans="1:5" x14ac:dyDescent="0.2">
      <c r="A25" s="22" t="s">
        <v>24</v>
      </c>
      <c r="B25" s="20" t="s">
        <v>117</v>
      </c>
      <c r="C25" s="15" t="s">
        <v>131</v>
      </c>
      <c r="D25" s="15">
        <v>2000</v>
      </c>
      <c r="E25" s="21" t="s">
        <v>83</v>
      </c>
    </row>
    <row r="26" spans="1:5" x14ac:dyDescent="0.2">
      <c r="A26" s="22" t="s">
        <v>25</v>
      </c>
      <c r="B26" s="20" t="s">
        <v>118</v>
      </c>
      <c r="C26" s="15" t="s">
        <v>129</v>
      </c>
      <c r="D26" s="15">
        <v>2006</v>
      </c>
      <c r="E26" s="21" t="s">
        <v>83</v>
      </c>
    </row>
    <row r="27" spans="1:5" x14ac:dyDescent="0.2">
      <c r="A27" s="22" t="s">
        <v>26</v>
      </c>
      <c r="B27" s="20" t="s">
        <v>118</v>
      </c>
      <c r="C27" s="15" t="s">
        <v>129</v>
      </c>
      <c r="D27" s="15">
        <v>2006</v>
      </c>
      <c r="E27" s="21" t="s">
        <v>83</v>
      </c>
    </row>
    <row r="28" spans="1:5" x14ac:dyDescent="0.2">
      <c r="A28" s="22" t="s">
        <v>27</v>
      </c>
      <c r="B28" s="20" t="s">
        <v>118</v>
      </c>
      <c r="C28" s="15" t="s">
        <v>129</v>
      </c>
      <c r="D28" s="15">
        <v>2006</v>
      </c>
      <c r="E28" s="21" t="s">
        <v>83</v>
      </c>
    </row>
    <row r="29" spans="1:5" x14ac:dyDescent="0.2">
      <c r="A29" s="22" t="s">
        <v>28</v>
      </c>
      <c r="B29" s="20" t="s">
        <v>118</v>
      </c>
      <c r="C29" s="15" t="s">
        <v>129</v>
      </c>
      <c r="D29" s="15">
        <v>2006</v>
      </c>
      <c r="E29" s="21" t="s">
        <v>83</v>
      </c>
    </row>
    <row r="30" spans="1:5" x14ac:dyDescent="0.2">
      <c r="A30" s="22" t="s">
        <v>29</v>
      </c>
      <c r="B30" s="20" t="s">
        <v>118</v>
      </c>
      <c r="C30" s="15" t="s">
        <v>129</v>
      </c>
      <c r="D30" s="15">
        <v>2006</v>
      </c>
      <c r="E30" s="21" t="s">
        <v>83</v>
      </c>
    </row>
    <row r="31" spans="1:5" x14ac:dyDescent="0.2">
      <c r="A31" s="22" t="s">
        <v>30</v>
      </c>
      <c r="B31" s="20" t="s">
        <v>118</v>
      </c>
      <c r="C31" s="15" t="s">
        <v>129</v>
      </c>
      <c r="D31" s="15">
        <v>2006</v>
      </c>
      <c r="E31" s="21" t="s">
        <v>83</v>
      </c>
    </row>
    <row r="32" spans="1:5" x14ac:dyDescent="0.2">
      <c r="A32" s="22" t="s">
        <v>31</v>
      </c>
      <c r="B32" s="20" t="s">
        <v>117</v>
      </c>
      <c r="C32" s="15" t="s">
        <v>131</v>
      </c>
      <c r="D32" s="15">
        <v>2006</v>
      </c>
      <c r="E32" s="21" t="s">
        <v>83</v>
      </c>
    </row>
    <row r="33" spans="1:5" x14ac:dyDescent="0.2">
      <c r="A33" s="22" t="s">
        <v>32</v>
      </c>
      <c r="B33" s="20" t="s">
        <v>118</v>
      </c>
      <c r="C33" s="15" t="s">
        <v>129</v>
      </c>
      <c r="D33" s="15">
        <v>2006</v>
      </c>
      <c r="E33" s="21" t="s">
        <v>83</v>
      </c>
    </row>
    <row r="34" spans="1:5" x14ac:dyDescent="0.2">
      <c r="A34" s="22" t="s">
        <v>33</v>
      </c>
      <c r="B34" s="20" t="s">
        <v>118</v>
      </c>
      <c r="C34" s="15" t="s">
        <v>129</v>
      </c>
      <c r="D34" s="15">
        <v>2006</v>
      </c>
      <c r="E34" s="21" t="s">
        <v>83</v>
      </c>
    </row>
    <row r="35" spans="1:5" x14ac:dyDescent="0.2">
      <c r="A35" s="22" t="s">
        <v>34</v>
      </c>
      <c r="B35" s="20" t="s">
        <v>118</v>
      </c>
      <c r="C35" s="15" t="s">
        <v>129</v>
      </c>
      <c r="D35" s="15">
        <v>2003</v>
      </c>
      <c r="E35" s="21" t="s">
        <v>83</v>
      </c>
    </row>
    <row r="36" spans="1:5" x14ac:dyDescent="0.2">
      <c r="A36" s="22" t="s">
        <v>35</v>
      </c>
      <c r="B36" s="20" t="s">
        <v>118</v>
      </c>
      <c r="C36" s="15" t="s">
        <v>129</v>
      </c>
      <c r="D36" s="15">
        <v>2006</v>
      </c>
      <c r="E36" s="21" t="s">
        <v>83</v>
      </c>
    </row>
    <row r="37" spans="1:5" x14ac:dyDescent="0.2">
      <c r="A37" s="22" t="s">
        <v>36</v>
      </c>
      <c r="B37" s="20" t="s">
        <v>118</v>
      </c>
      <c r="C37" s="15" t="s">
        <v>129</v>
      </c>
      <c r="D37" s="15">
        <v>2006</v>
      </c>
      <c r="E37" s="21" t="s">
        <v>83</v>
      </c>
    </row>
    <row r="38" spans="1:5" x14ac:dyDescent="0.2">
      <c r="A38" s="22" t="s">
        <v>37</v>
      </c>
      <c r="B38" s="20" t="s">
        <v>118</v>
      </c>
      <c r="C38" s="15" t="s">
        <v>129</v>
      </c>
      <c r="D38" s="15">
        <v>2006</v>
      </c>
      <c r="E38" s="21" t="s">
        <v>83</v>
      </c>
    </row>
    <row r="39" spans="1:5" x14ac:dyDescent="0.2">
      <c r="A39" s="22" t="s">
        <v>38</v>
      </c>
      <c r="B39" s="20" t="s">
        <v>118</v>
      </c>
      <c r="C39" s="15" t="s">
        <v>129</v>
      </c>
      <c r="D39" s="15">
        <v>2006</v>
      </c>
      <c r="E39" s="21" t="s">
        <v>83</v>
      </c>
    </row>
    <row r="40" spans="1:5" x14ac:dyDescent="0.2">
      <c r="A40" s="22" t="s">
        <v>39</v>
      </c>
      <c r="B40" s="20" t="s">
        <v>117</v>
      </c>
      <c r="C40" s="15" t="s">
        <v>133</v>
      </c>
      <c r="D40" s="15">
        <v>2006</v>
      </c>
      <c r="E40" s="21" t="s">
        <v>83</v>
      </c>
    </row>
    <row r="41" spans="1:5" x14ac:dyDescent="0.2">
      <c r="A41" s="22" t="s">
        <v>40</v>
      </c>
      <c r="B41" s="20" t="s">
        <v>118</v>
      </c>
      <c r="C41" s="15" t="s">
        <v>129</v>
      </c>
      <c r="D41" s="15">
        <v>2006</v>
      </c>
      <c r="E41" s="21" t="s">
        <v>83</v>
      </c>
    </row>
    <row r="42" spans="1:5" x14ac:dyDescent="0.2">
      <c r="A42" s="22" t="s">
        <v>41</v>
      </c>
      <c r="B42" s="20" t="s">
        <v>118</v>
      </c>
      <c r="C42" s="15" t="s">
        <v>129</v>
      </c>
      <c r="D42" s="15">
        <v>2006</v>
      </c>
      <c r="E42" s="21" t="s">
        <v>83</v>
      </c>
    </row>
    <row r="43" spans="1:5" x14ac:dyDescent="0.2">
      <c r="A43" s="22" t="s">
        <v>42</v>
      </c>
      <c r="B43" s="20" t="s">
        <v>118</v>
      </c>
      <c r="C43" s="15" t="s">
        <v>129</v>
      </c>
      <c r="D43" s="15">
        <v>2006</v>
      </c>
      <c r="E43" s="21" t="s">
        <v>83</v>
      </c>
    </row>
    <row r="44" spans="1:5" ht="8.1" customHeight="1" x14ac:dyDescent="0.2">
      <c r="A44" s="22" t="s">
        <v>43</v>
      </c>
      <c r="B44" s="20" t="s">
        <v>118</v>
      </c>
      <c r="C44" s="15" t="s">
        <v>129</v>
      </c>
      <c r="D44" s="15">
        <v>2006</v>
      </c>
      <c r="E44" s="21" t="s">
        <v>83</v>
      </c>
    </row>
    <row r="45" spans="1:5" x14ac:dyDescent="0.2">
      <c r="A45" s="22" t="s">
        <v>44</v>
      </c>
      <c r="B45" s="20" t="s">
        <v>118</v>
      </c>
      <c r="C45" s="15" t="s">
        <v>129</v>
      </c>
      <c r="D45" s="15">
        <v>2006</v>
      </c>
      <c r="E45" s="21" t="s">
        <v>83</v>
      </c>
    </row>
    <row r="46" spans="1:5" x14ac:dyDescent="0.2">
      <c r="A46" s="22" t="s">
        <v>45</v>
      </c>
      <c r="B46" s="20" t="s">
        <v>118</v>
      </c>
      <c r="C46" s="15" t="s">
        <v>129</v>
      </c>
      <c r="D46" s="15">
        <v>2006</v>
      </c>
      <c r="E46" s="21" t="s">
        <v>83</v>
      </c>
    </row>
    <row r="47" spans="1:5" x14ac:dyDescent="0.2">
      <c r="A47" s="22" t="s">
        <v>46</v>
      </c>
      <c r="B47" s="20" t="s">
        <v>118</v>
      </c>
      <c r="C47" s="15" t="s">
        <v>129</v>
      </c>
      <c r="D47" s="15">
        <v>2006</v>
      </c>
      <c r="E47" s="21" t="s">
        <v>83</v>
      </c>
    </row>
    <row r="48" spans="1:5" x14ac:dyDescent="0.2">
      <c r="A48" s="22" t="s">
        <v>47</v>
      </c>
      <c r="B48" s="20" t="s">
        <v>117</v>
      </c>
      <c r="C48" s="15" t="s">
        <v>133</v>
      </c>
      <c r="D48" s="15">
        <v>2006</v>
      </c>
      <c r="E48" s="21" t="s">
        <v>83</v>
      </c>
    </row>
    <row r="49" spans="1:5" x14ac:dyDescent="0.2">
      <c r="A49" s="22" t="s">
        <v>48</v>
      </c>
      <c r="B49" s="20" t="s">
        <v>154</v>
      </c>
      <c r="C49" s="15"/>
      <c r="D49" s="15"/>
      <c r="E49" s="21"/>
    </row>
    <row r="50" spans="1:5" x14ac:dyDescent="0.2">
      <c r="A50" s="22" t="s">
        <v>49</v>
      </c>
      <c r="B50" s="20" t="s">
        <v>118</v>
      </c>
      <c r="C50" s="15" t="s">
        <v>129</v>
      </c>
      <c r="D50" s="15">
        <v>2006</v>
      </c>
      <c r="E50" s="21" t="s">
        <v>83</v>
      </c>
    </row>
    <row r="51" spans="1:5" x14ac:dyDescent="0.2">
      <c r="A51" s="22" t="s">
        <v>50</v>
      </c>
      <c r="B51" s="20" t="s">
        <v>118</v>
      </c>
      <c r="C51" s="15" t="s">
        <v>129</v>
      </c>
      <c r="D51" s="15">
        <v>2006</v>
      </c>
      <c r="E51" s="21" t="s">
        <v>83</v>
      </c>
    </row>
    <row r="52" spans="1:5" x14ac:dyDescent="0.2">
      <c r="A52" s="22" t="s">
        <v>51</v>
      </c>
      <c r="B52" s="20" t="s">
        <v>118</v>
      </c>
      <c r="C52" s="15" t="s">
        <v>129</v>
      </c>
      <c r="D52" s="15">
        <v>2006</v>
      </c>
      <c r="E52" s="21" t="s">
        <v>83</v>
      </c>
    </row>
    <row r="53" spans="1:5" x14ac:dyDescent="0.2">
      <c r="A53" s="22" t="s">
        <v>52</v>
      </c>
      <c r="B53" s="20" t="s">
        <v>118</v>
      </c>
      <c r="C53" s="15" t="s">
        <v>129</v>
      </c>
      <c r="D53" s="15">
        <v>2006</v>
      </c>
      <c r="E53" s="21" t="s">
        <v>83</v>
      </c>
    </row>
    <row r="54" spans="1:5" x14ac:dyDescent="0.2">
      <c r="A54" s="22" t="s">
        <v>53</v>
      </c>
      <c r="B54" s="20" t="s">
        <v>118</v>
      </c>
      <c r="C54" s="15" t="s">
        <v>129</v>
      </c>
      <c r="D54" s="15">
        <v>2006</v>
      </c>
      <c r="E54" s="21" t="s">
        <v>83</v>
      </c>
    </row>
    <row r="55" spans="1:5" x14ac:dyDescent="0.2">
      <c r="A55" s="22" t="s">
        <v>54</v>
      </c>
      <c r="B55" s="20" t="s">
        <v>118</v>
      </c>
      <c r="C55" s="15" t="s">
        <v>129</v>
      </c>
      <c r="D55" s="15">
        <v>2006</v>
      </c>
      <c r="E55" s="21" t="s">
        <v>83</v>
      </c>
    </row>
    <row r="56" spans="1:5" x14ac:dyDescent="0.2">
      <c r="A56" s="22" t="s">
        <v>55</v>
      </c>
      <c r="B56" s="20" t="s">
        <v>154</v>
      </c>
      <c r="C56" s="15"/>
      <c r="D56" s="15"/>
      <c r="E56" s="21"/>
    </row>
    <row r="57" spans="1:5" x14ac:dyDescent="0.2">
      <c r="A57" s="22" t="s">
        <v>56</v>
      </c>
      <c r="B57" s="20" t="s">
        <v>117</v>
      </c>
      <c r="C57" s="15" t="s">
        <v>130</v>
      </c>
      <c r="D57" s="15">
        <v>2000</v>
      </c>
      <c r="E57" s="21" t="s">
        <v>83</v>
      </c>
    </row>
    <row r="58" spans="1:5" x14ac:dyDescent="0.2">
      <c r="A58" s="22" t="s">
        <v>57</v>
      </c>
      <c r="B58" s="20" t="s">
        <v>117</v>
      </c>
      <c r="C58" s="15" t="s">
        <v>131</v>
      </c>
      <c r="D58" s="15">
        <v>2003</v>
      </c>
      <c r="E58" s="21" t="s">
        <v>83</v>
      </c>
    </row>
    <row r="59" spans="1:5" x14ac:dyDescent="0.2">
      <c r="A59" s="22" t="s">
        <v>58</v>
      </c>
      <c r="B59" s="20" t="s">
        <v>118</v>
      </c>
      <c r="C59" s="15" t="s">
        <v>129</v>
      </c>
      <c r="D59" s="15">
        <v>2006</v>
      </c>
      <c r="E59" s="21" t="s">
        <v>83</v>
      </c>
    </row>
    <row r="60" spans="1:5" x14ac:dyDescent="0.2">
      <c r="A60" s="22" t="s">
        <v>59</v>
      </c>
      <c r="B60" s="20" t="s">
        <v>154</v>
      </c>
      <c r="C60" s="15"/>
      <c r="D60" s="15"/>
      <c r="E60" s="21"/>
    </row>
    <row r="61" spans="1:5" x14ac:dyDescent="0.2">
      <c r="A61" s="22" t="s">
        <v>60</v>
      </c>
      <c r="B61" s="20" t="s">
        <v>118</v>
      </c>
      <c r="C61" s="15" t="s">
        <v>129</v>
      </c>
      <c r="D61" s="15">
        <v>2006</v>
      </c>
      <c r="E61" s="21" t="s">
        <v>83</v>
      </c>
    </row>
    <row r="62" spans="1:5" x14ac:dyDescent="0.2">
      <c r="A62" s="22" t="s">
        <v>61</v>
      </c>
      <c r="B62" s="20" t="s">
        <v>118</v>
      </c>
      <c r="C62" s="15" t="s">
        <v>129</v>
      </c>
      <c r="D62" s="15">
        <v>2006</v>
      </c>
      <c r="E62" s="21" t="s">
        <v>83</v>
      </c>
    </row>
    <row r="63" spans="1:5" x14ac:dyDescent="0.2">
      <c r="A63" s="22" t="s">
        <v>62</v>
      </c>
      <c r="B63" s="20" t="s">
        <v>154</v>
      </c>
      <c r="C63" s="15"/>
      <c r="D63" s="15"/>
      <c r="E63" s="21"/>
    </row>
    <row r="64" spans="1:5" x14ac:dyDescent="0.2">
      <c r="A64" s="22" t="s">
        <v>63</v>
      </c>
      <c r="B64" s="20" t="s">
        <v>118</v>
      </c>
      <c r="C64" s="15" t="s">
        <v>129</v>
      </c>
      <c r="D64" s="15">
        <v>2006</v>
      </c>
      <c r="E64" s="21" t="s">
        <v>83</v>
      </c>
    </row>
    <row r="65" spans="1:5" x14ac:dyDescent="0.2">
      <c r="A65" s="22" t="s">
        <v>64</v>
      </c>
      <c r="B65" s="20" t="s">
        <v>117</v>
      </c>
      <c r="C65" s="15" t="s">
        <v>131</v>
      </c>
      <c r="D65" s="15">
        <v>2006</v>
      </c>
      <c r="E65" s="21" t="s">
        <v>83</v>
      </c>
    </row>
    <row r="66" spans="1:5" x14ac:dyDescent="0.2">
      <c r="A66" s="22" t="s">
        <v>65</v>
      </c>
      <c r="B66" s="20" t="s">
        <v>154</v>
      </c>
      <c r="C66" s="15"/>
      <c r="D66" s="15"/>
      <c r="E66" s="21"/>
    </row>
    <row r="67" spans="1:5" x14ac:dyDescent="0.2">
      <c r="A67" s="22" t="s">
        <v>66</v>
      </c>
      <c r="B67" s="20" t="s">
        <v>118</v>
      </c>
      <c r="C67" s="15" t="s">
        <v>129</v>
      </c>
      <c r="D67" s="15">
        <v>2006</v>
      </c>
      <c r="E67" s="21" t="s">
        <v>83</v>
      </c>
    </row>
    <row r="68" spans="1:5" x14ac:dyDescent="0.2">
      <c r="A68" s="22" t="s">
        <v>67</v>
      </c>
      <c r="B68" s="20" t="s">
        <v>118</v>
      </c>
      <c r="C68" s="15" t="s">
        <v>129</v>
      </c>
      <c r="D68" s="15">
        <v>2006</v>
      </c>
      <c r="E68" s="21" t="s">
        <v>83</v>
      </c>
    </row>
    <row r="69" spans="1:5" x14ac:dyDescent="0.2">
      <c r="A69" s="22" t="s">
        <v>68</v>
      </c>
      <c r="B69" s="20" t="s">
        <v>117</v>
      </c>
      <c r="C69" s="15" t="s">
        <v>130</v>
      </c>
      <c r="D69" s="15">
        <v>2005</v>
      </c>
      <c r="E69" s="21" t="s">
        <v>83</v>
      </c>
    </row>
    <row r="70" spans="1:5" x14ac:dyDescent="0.2">
      <c r="A70" s="22" t="s">
        <v>70</v>
      </c>
      <c r="B70" s="20" t="s">
        <v>118</v>
      </c>
      <c r="C70" s="15" t="s">
        <v>129</v>
      </c>
      <c r="D70" s="15">
        <v>2006</v>
      </c>
      <c r="E70" s="21" t="s">
        <v>83</v>
      </c>
    </row>
    <row r="71" spans="1:5" x14ac:dyDescent="0.2">
      <c r="A71" s="22" t="s">
        <v>71</v>
      </c>
      <c r="B71" s="20" t="s">
        <v>154</v>
      </c>
      <c r="C71" s="15"/>
      <c r="D71" s="15"/>
      <c r="E71" s="21"/>
    </row>
    <row r="72" spans="1:5" x14ac:dyDescent="0.2">
      <c r="A72" s="22" t="s">
        <v>72</v>
      </c>
      <c r="B72" s="20" t="s">
        <v>118</v>
      </c>
      <c r="C72" s="15" t="s">
        <v>129</v>
      </c>
      <c r="D72" s="15">
        <v>2006</v>
      </c>
      <c r="E72" s="21" t="s">
        <v>83</v>
      </c>
    </row>
    <row r="73" spans="1:5" x14ac:dyDescent="0.2">
      <c r="A73" s="22" t="s">
        <v>69</v>
      </c>
      <c r="B73" s="20" t="s">
        <v>118</v>
      </c>
      <c r="C73" s="15" t="s">
        <v>129</v>
      </c>
      <c r="D73" s="15">
        <v>2006</v>
      </c>
      <c r="E73" s="21" t="s">
        <v>83</v>
      </c>
    </row>
    <row r="74" spans="1:5" x14ac:dyDescent="0.2">
      <c r="A74" s="22" t="s">
        <v>73</v>
      </c>
      <c r="B74" s="20" t="s">
        <v>117</v>
      </c>
      <c r="C74" s="15" t="s">
        <v>130</v>
      </c>
      <c r="D74" s="15">
        <v>2005</v>
      </c>
      <c r="E74" s="21" t="s">
        <v>83</v>
      </c>
    </row>
    <row r="75" spans="1:5" x14ac:dyDescent="0.2">
      <c r="A75" s="22" t="s">
        <v>74</v>
      </c>
      <c r="B75" s="20" t="s">
        <v>118</v>
      </c>
      <c r="C75" s="15" t="s">
        <v>129</v>
      </c>
      <c r="D75" s="15">
        <v>2006</v>
      </c>
      <c r="E75" s="21" t="s">
        <v>83</v>
      </c>
    </row>
    <row r="76" spans="1:5" x14ac:dyDescent="0.2">
      <c r="A76" s="22" t="s">
        <v>75</v>
      </c>
      <c r="B76" s="20" t="s">
        <v>118</v>
      </c>
      <c r="C76" s="15" t="s">
        <v>129</v>
      </c>
      <c r="D76" s="15">
        <v>2006</v>
      </c>
      <c r="E76" s="21" t="s">
        <v>83</v>
      </c>
    </row>
    <row r="77" spans="1:5" x14ac:dyDescent="0.2">
      <c r="A77" s="22" t="s">
        <v>76</v>
      </c>
      <c r="B77" s="20" t="s">
        <v>118</v>
      </c>
      <c r="C77" s="15" t="s">
        <v>129</v>
      </c>
      <c r="D77" s="15">
        <v>2006</v>
      </c>
      <c r="E77" s="21" t="s">
        <v>83</v>
      </c>
    </row>
    <row r="78" spans="1:5" x14ac:dyDescent="0.2">
      <c r="A78" s="23" t="s">
        <v>77</v>
      </c>
      <c r="B78" s="20" t="s">
        <v>118</v>
      </c>
      <c r="C78" s="24" t="s">
        <v>132</v>
      </c>
      <c r="D78" s="24">
        <v>2002</v>
      </c>
      <c r="E78" s="25" t="s">
        <v>83</v>
      </c>
    </row>
    <row r="79" spans="1:5" x14ac:dyDescent="0.2">
      <c r="A79" s="18" t="s">
        <v>255</v>
      </c>
      <c r="B79" s="18">
        <f>COUNTIF(B4:B78, "Yes")</f>
        <v>11</v>
      </c>
      <c r="C79" s="19"/>
      <c r="D79" s="19"/>
      <c r="E79" s="19"/>
    </row>
    <row r="80" spans="1:5" x14ac:dyDescent="0.2">
      <c r="A80" s="18" t="s">
        <v>256</v>
      </c>
      <c r="B80" s="18">
        <f>COUNTIF(B4:B78, "No")</f>
        <v>58</v>
      </c>
      <c r="C80" s="19"/>
      <c r="D80" s="19"/>
      <c r="E80" s="19"/>
    </row>
    <row r="81" spans="1:5" x14ac:dyDescent="0.2">
      <c r="A81" s="18" t="s">
        <v>257</v>
      </c>
      <c r="B81" s="18">
        <f>COUNTIF(B4:B78, "No data")</f>
        <v>6</v>
      </c>
      <c r="C81" s="19"/>
      <c r="D81" s="19"/>
      <c r="E81" s="19"/>
    </row>
  </sheetData>
  <mergeCells count="2">
    <mergeCell ref="A1:E1"/>
    <mergeCell ref="A2:E2"/>
  </mergeCells>
  <pageMargins left="0.23622047244094491" right="0.23622047244094491" top="0.74803149606299213" bottom="0.74803149606299213" header="0.31496062992125984" footer="0.31496062992125984"/>
  <pageSetup paperSize="9" orientation="portrait"/>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84"/>
  <sheetViews>
    <sheetView zoomScale="85" zoomScaleNormal="85" zoomScalePageLayoutView="85" workbookViewId="0">
      <selection activeCell="B1" sqref="B1:B1048576"/>
    </sheetView>
  </sheetViews>
  <sheetFormatPr defaultColWidth="8.85546875" defaultRowHeight="12" x14ac:dyDescent="0.2"/>
  <cols>
    <col min="1" max="1" width="24.140625" style="1" customWidth="1"/>
    <col min="2" max="5" width="12.7109375" style="1" customWidth="1"/>
    <col min="6" max="14" width="7.7109375" style="19" customWidth="1"/>
    <col min="15" max="23" width="7.7109375" style="1" customWidth="1"/>
    <col min="24" max="16384" width="8.85546875" style="1"/>
  </cols>
  <sheetData>
    <row r="1" spans="1:23" x14ac:dyDescent="0.2">
      <c r="A1" s="68" t="s">
        <v>363</v>
      </c>
      <c r="B1" s="68"/>
      <c r="C1" s="68"/>
      <c r="D1" s="68"/>
      <c r="E1" s="68"/>
      <c r="F1" s="30"/>
      <c r="G1" s="30"/>
      <c r="H1" s="30"/>
      <c r="I1" s="31"/>
      <c r="J1" s="31"/>
      <c r="K1" s="31"/>
      <c r="L1" s="31"/>
      <c r="M1" s="31"/>
      <c r="N1" s="31"/>
      <c r="O1" s="3"/>
      <c r="P1" s="3"/>
      <c r="Q1" s="3"/>
      <c r="R1" s="3"/>
      <c r="S1" s="3"/>
      <c r="T1" s="3"/>
      <c r="U1" s="3"/>
      <c r="V1" s="3"/>
      <c r="W1" s="3"/>
    </row>
    <row r="2" spans="1:23" x14ac:dyDescent="0.2">
      <c r="A2" s="219" t="s">
        <v>79</v>
      </c>
      <c r="B2" s="219"/>
      <c r="C2" s="219"/>
      <c r="D2" s="219"/>
      <c r="E2" s="219"/>
      <c r="F2" s="219"/>
      <c r="G2" s="219"/>
      <c r="H2" s="219"/>
      <c r="I2" s="31"/>
      <c r="J2" s="31"/>
      <c r="K2" s="31"/>
      <c r="L2" s="31"/>
      <c r="M2" s="31"/>
      <c r="N2" s="31"/>
      <c r="O2" s="3"/>
      <c r="P2" s="3"/>
      <c r="Q2" s="3"/>
      <c r="R2" s="3"/>
      <c r="S2" s="3"/>
      <c r="T2" s="3"/>
      <c r="U2" s="3"/>
      <c r="V2" s="3"/>
      <c r="W2" s="3"/>
    </row>
    <row r="3" spans="1:23" x14ac:dyDescent="0.2">
      <c r="A3" s="219" t="s">
        <v>80</v>
      </c>
      <c r="B3" s="219"/>
      <c r="C3" s="219"/>
      <c r="D3" s="219"/>
      <c r="E3" s="219"/>
      <c r="F3" s="210"/>
      <c r="G3" s="210"/>
      <c r="H3" s="210"/>
      <c r="I3" s="31"/>
      <c r="J3" s="31"/>
      <c r="K3" s="31"/>
      <c r="L3" s="31"/>
      <c r="M3" s="31"/>
      <c r="N3" s="31"/>
      <c r="O3" s="3"/>
      <c r="P3" s="3"/>
      <c r="Q3" s="3"/>
      <c r="R3" s="3"/>
      <c r="S3" s="3"/>
      <c r="T3" s="3"/>
      <c r="U3" s="3"/>
      <c r="V3" s="3"/>
      <c r="W3" s="3"/>
    </row>
    <row r="4" spans="1:23" x14ac:dyDescent="0.2">
      <c r="A4" s="26"/>
      <c r="B4" s="26"/>
      <c r="C4" s="26"/>
      <c r="D4" s="45"/>
      <c r="E4" s="45"/>
      <c r="F4" s="201" t="s">
        <v>168</v>
      </c>
      <c r="G4" s="202"/>
      <c r="H4" s="202"/>
      <c r="I4" s="202"/>
      <c r="J4" s="202"/>
      <c r="K4" s="202"/>
      <c r="L4" s="202"/>
      <c r="M4" s="202"/>
      <c r="N4" s="202"/>
      <c r="O4" s="201" t="s">
        <v>169</v>
      </c>
      <c r="P4" s="202"/>
      <c r="Q4" s="202"/>
      <c r="R4" s="202"/>
      <c r="S4" s="202"/>
      <c r="T4" s="202"/>
      <c r="U4" s="202"/>
      <c r="V4" s="202"/>
      <c r="W4" s="202"/>
    </row>
    <row r="5" spans="1:23" ht="56.25" x14ac:dyDescent="0.2">
      <c r="A5" s="26"/>
      <c r="B5" s="71" t="s">
        <v>167</v>
      </c>
      <c r="C5" s="64" t="s">
        <v>404</v>
      </c>
      <c r="D5" s="65" t="s">
        <v>318</v>
      </c>
      <c r="E5" s="65" t="s">
        <v>319</v>
      </c>
      <c r="F5" s="220" t="s">
        <v>370</v>
      </c>
      <c r="G5" s="221"/>
      <c r="H5" s="221"/>
      <c r="I5" s="222" t="s">
        <v>155</v>
      </c>
      <c r="J5" s="223"/>
      <c r="K5" s="223"/>
      <c r="L5" s="224" t="s">
        <v>156</v>
      </c>
      <c r="M5" s="225"/>
      <c r="N5" s="225"/>
      <c r="O5" s="222" t="s">
        <v>157</v>
      </c>
      <c r="P5" s="223"/>
      <c r="Q5" s="223"/>
      <c r="R5" s="224" t="s">
        <v>371</v>
      </c>
      <c r="S5" s="225"/>
      <c r="T5" s="225"/>
      <c r="U5" s="224" t="s">
        <v>158</v>
      </c>
      <c r="V5" s="225"/>
      <c r="W5" s="225"/>
    </row>
    <row r="6" spans="1:23" x14ac:dyDescent="0.2">
      <c r="A6" s="11" t="s">
        <v>0</v>
      </c>
      <c r="B6" s="12" t="s">
        <v>2</v>
      </c>
      <c r="C6" s="12" t="s">
        <v>403</v>
      </c>
      <c r="D6" s="12" t="s">
        <v>282</v>
      </c>
      <c r="E6" s="13" t="s">
        <v>268</v>
      </c>
      <c r="F6" s="27" t="s">
        <v>122</v>
      </c>
      <c r="G6" s="27" t="s">
        <v>123</v>
      </c>
      <c r="H6" s="27" t="s">
        <v>119</v>
      </c>
      <c r="I6" s="27" t="s">
        <v>120</v>
      </c>
      <c r="J6" s="27" t="s">
        <v>124</v>
      </c>
      <c r="K6" s="27" t="s">
        <v>121</v>
      </c>
      <c r="L6" s="27" t="s">
        <v>241</v>
      </c>
      <c r="M6" s="27" t="s">
        <v>242</v>
      </c>
      <c r="N6" s="27" t="s">
        <v>243</v>
      </c>
      <c r="O6" s="27" t="s">
        <v>258</v>
      </c>
      <c r="P6" s="27" t="s">
        <v>259</v>
      </c>
      <c r="Q6" s="27" t="s">
        <v>260</v>
      </c>
      <c r="R6" s="27" t="s">
        <v>261</v>
      </c>
      <c r="S6" s="27" t="s">
        <v>262</v>
      </c>
      <c r="T6" s="27" t="s">
        <v>263</v>
      </c>
      <c r="U6" s="27" t="s">
        <v>264</v>
      </c>
      <c r="V6" s="27" t="s">
        <v>265</v>
      </c>
      <c r="W6" s="27" t="s">
        <v>266</v>
      </c>
    </row>
    <row r="7" spans="1:23" x14ac:dyDescent="0.2">
      <c r="A7" s="19" t="s">
        <v>3</v>
      </c>
      <c r="B7" s="28" t="s">
        <v>154</v>
      </c>
      <c r="C7" s="14" t="str">
        <f t="shared" ref="C7:C70" si="0">IF(AND(D7= "Yes", E7= "Yes"), "Yes", "No")</f>
        <v>No</v>
      </c>
      <c r="D7" s="28" t="str">
        <f>IF(F7="Yes", "Yes", "No")</f>
        <v>No</v>
      </c>
      <c r="E7" s="28" t="str">
        <f>IF(OR(I7="Yes", O7="Yes"),"Yes", "No")</f>
        <v>Yes</v>
      </c>
      <c r="F7" s="29" t="s">
        <v>118</v>
      </c>
      <c r="G7" s="16">
        <v>2011</v>
      </c>
      <c r="H7" s="16" t="s">
        <v>163</v>
      </c>
      <c r="I7" s="16" t="s">
        <v>117</v>
      </c>
      <c r="J7" s="16">
        <v>2011</v>
      </c>
      <c r="K7" s="16" t="s">
        <v>163</v>
      </c>
      <c r="L7" s="16"/>
      <c r="M7" s="16"/>
      <c r="N7" s="16"/>
      <c r="O7" s="16"/>
      <c r="P7" s="16"/>
      <c r="Q7" s="16"/>
      <c r="R7" s="16"/>
      <c r="S7" s="16"/>
      <c r="T7" s="16"/>
      <c r="U7" s="16"/>
      <c r="V7" s="16"/>
      <c r="W7" s="16"/>
    </row>
    <row r="8" spans="1:23" x14ac:dyDescent="0.2">
      <c r="A8" s="19" t="s">
        <v>4</v>
      </c>
      <c r="B8" s="28" t="s">
        <v>154</v>
      </c>
      <c r="C8" s="14" t="str">
        <f t="shared" si="0"/>
        <v>No</v>
      </c>
      <c r="D8" s="28" t="s">
        <v>154</v>
      </c>
      <c r="E8" s="28" t="s">
        <v>154</v>
      </c>
      <c r="F8" s="29"/>
      <c r="G8" s="16"/>
      <c r="H8" s="16" t="s">
        <v>161</v>
      </c>
      <c r="I8" s="16"/>
      <c r="J8" s="16"/>
      <c r="K8" s="16"/>
      <c r="L8" s="16"/>
      <c r="M8" s="16"/>
      <c r="N8" s="16"/>
      <c r="O8" s="16"/>
      <c r="P8" s="16"/>
      <c r="Q8" s="16"/>
      <c r="R8" s="16"/>
      <c r="S8" s="16"/>
      <c r="T8" s="16"/>
      <c r="U8" s="16"/>
      <c r="V8" s="16"/>
      <c r="W8" s="16"/>
    </row>
    <row r="9" spans="1:23" ht="33.75" x14ac:dyDescent="0.2">
      <c r="A9" s="19" t="s">
        <v>5</v>
      </c>
      <c r="B9" s="28" t="s">
        <v>154</v>
      </c>
      <c r="C9" s="14" t="str">
        <f t="shared" si="0"/>
        <v>Yes</v>
      </c>
      <c r="D9" s="28" t="str">
        <f>IF(F9="Yes", "Yes", "No")</f>
        <v>Yes</v>
      </c>
      <c r="E9" s="28" t="str">
        <f t="shared" ref="E9:E17" si="1">IF(OR(I9="Yes", O9="Yes"),"Yes", "No")</f>
        <v>Yes</v>
      </c>
      <c r="F9" s="29" t="s">
        <v>117</v>
      </c>
      <c r="G9" s="16" t="s">
        <v>164</v>
      </c>
      <c r="H9" s="16" t="s">
        <v>162</v>
      </c>
      <c r="I9" s="16" t="s">
        <v>117</v>
      </c>
      <c r="J9" s="16" t="s">
        <v>164</v>
      </c>
      <c r="K9" s="16" t="s">
        <v>162</v>
      </c>
      <c r="L9" s="16" t="s">
        <v>117</v>
      </c>
      <c r="M9" s="16" t="s">
        <v>164</v>
      </c>
      <c r="N9" s="16" t="s">
        <v>162</v>
      </c>
      <c r="O9" s="16" t="s">
        <v>117</v>
      </c>
      <c r="P9" s="16">
        <v>2010</v>
      </c>
      <c r="Q9" s="16" t="s">
        <v>162</v>
      </c>
      <c r="R9" s="16" t="s">
        <v>117</v>
      </c>
      <c r="S9" s="16">
        <v>2010</v>
      </c>
      <c r="T9" s="16" t="s">
        <v>162</v>
      </c>
      <c r="U9" s="16" t="s">
        <v>117</v>
      </c>
      <c r="V9" s="16">
        <v>2010</v>
      </c>
      <c r="W9" s="16" t="s">
        <v>162</v>
      </c>
    </row>
    <row r="10" spans="1:23" ht="33.75" x14ac:dyDescent="0.2">
      <c r="A10" s="19" t="s">
        <v>6</v>
      </c>
      <c r="B10" s="28" t="s">
        <v>154</v>
      </c>
      <c r="C10" s="14" t="str">
        <f t="shared" si="0"/>
        <v>No</v>
      </c>
      <c r="D10" s="28" t="s">
        <v>154</v>
      </c>
      <c r="E10" s="28" t="str">
        <f t="shared" si="1"/>
        <v>No</v>
      </c>
      <c r="F10" s="29"/>
      <c r="G10" s="16"/>
      <c r="H10" s="16"/>
      <c r="I10" s="16"/>
      <c r="J10" s="16"/>
      <c r="K10" s="16"/>
      <c r="L10" s="16"/>
      <c r="M10" s="16"/>
      <c r="N10" s="16"/>
      <c r="O10" s="16" t="s">
        <v>118</v>
      </c>
      <c r="P10" s="16">
        <v>2010</v>
      </c>
      <c r="Q10" s="16" t="s">
        <v>162</v>
      </c>
      <c r="R10" s="16" t="s">
        <v>118</v>
      </c>
      <c r="S10" s="16">
        <v>2010</v>
      </c>
      <c r="T10" s="16" t="s">
        <v>162</v>
      </c>
      <c r="U10" s="16" t="s">
        <v>117</v>
      </c>
      <c r="V10" s="16">
        <v>2010</v>
      </c>
      <c r="W10" s="16" t="s">
        <v>162</v>
      </c>
    </row>
    <row r="11" spans="1:23" ht="33.75" x14ac:dyDescent="0.2">
      <c r="A11" s="19" t="s">
        <v>7</v>
      </c>
      <c r="B11" s="28" t="s">
        <v>154</v>
      </c>
      <c r="C11" s="14" t="str">
        <f t="shared" si="0"/>
        <v>No</v>
      </c>
      <c r="D11" s="28" t="str">
        <f>IF(F11="Yes", "Yes", "No")</f>
        <v>No</v>
      </c>
      <c r="E11" s="28" t="str">
        <f t="shared" si="1"/>
        <v>Yes</v>
      </c>
      <c r="F11" s="29" t="s">
        <v>118</v>
      </c>
      <c r="G11" s="16">
        <v>2011</v>
      </c>
      <c r="H11" s="16" t="s">
        <v>163</v>
      </c>
      <c r="I11" s="16" t="s">
        <v>118</v>
      </c>
      <c r="J11" s="16">
        <v>2011</v>
      </c>
      <c r="K11" s="16" t="s">
        <v>163</v>
      </c>
      <c r="L11" s="16"/>
      <c r="M11" s="16"/>
      <c r="N11" s="16"/>
      <c r="O11" s="16" t="s">
        <v>117</v>
      </c>
      <c r="P11" s="16">
        <v>2010</v>
      </c>
      <c r="Q11" s="16" t="s">
        <v>162</v>
      </c>
      <c r="R11" s="16" t="s">
        <v>117</v>
      </c>
      <c r="S11" s="16">
        <v>2010</v>
      </c>
      <c r="T11" s="16" t="s">
        <v>162</v>
      </c>
      <c r="U11" s="16" t="s">
        <v>117</v>
      </c>
      <c r="V11" s="16">
        <v>2010</v>
      </c>
      <c r="W11" s="16" t="s">
        <v>162</v>
      </c>
    </row>
    <row r="12" spans="1:23" ht="33.75" x14ac:dyDescent="0.2">
      <c r="A12" s="19" t="s">
        <v>8</v>
      </c>
      <c r="B12" s="28" t="s">
        <v>154</v>
      </c>
      <c r="C12" s="14" t="str">
        <f t="shared" si="0"/>
        <v>Yes</v>
      </c>
      <c r="D12" s="28" t="str">
        <f>IF(F12="Yes", "Yes", "No")</f>
        <v>Yes</v>
      </c>
      <c r="E12" s="28" t="str">
        <f t="shared" si="1"/>
        <v>Yes</v>
      </c>
      <c r="F12" s="29" t="s">
        <v>117</v>
      </c>
      <c r="G12" s="16" t="s">
        <v>164</v>
      </c>
      <c r="H12" s="16" t="s">
        <v>162</v>
      </c>
      <c r="I12" s="16" t="s">
        <v>117</v>
      </c>
      <c r="J12" s="16" t="s">
        <v>164</v>
      </c>
      <c r="K12" s="16" t="s">
        <v>162</v>
      </c>
      <c r="L12" s="16" t="s">
        <v>117</v>
      </c>
      <c r="M12" s="16" t="s">
        <v>164</v>
      </c>
      <c r="N12" s="16" t="s">
        <v>162</v>
      </c>
      <c r="O12" s="16"/>
      <c r="P12" s="16"/>
      <c r="Q12" s="16"/>
      <c r="R12" s="16"/>
      <c r="S12" s="16"/>
      <c r="T12" s="16"/>
      <c r="U12" s="16"/>
      <c r="V12" s="16"/>
      <c r="W12" s="16"/>
    </row>
    <row r="13" spans="1:23" ht="33.75" x14ac:dyDescent="0.2">
      <c r="A13" s="19" t="s">
        <v>9</v>
      </c>
      <c r="B13" s="28" t="s">
        <v>154</v>
      </c>
      <c r="C13" s="14" t="str">
        <f t="shared" si="0"/>
        <v>Yes</v>
      </c>
      <c r="D13" s="28" t="str">
        <f>IF(F13="Yes", "Yes", "No")</f>
        <v>Yes</v>
      </c>
      <c r="E13" s="28" t="str">
        <f t="shared" si="1"/>
        <v>Yes</v>
      </c>
      <c r="F13" s="29" t="s">
        <v>117</v>
      </c>
      <c r="G13" s="16" t="s">
        <v>164</v>
      </c>
      <c r="H13" s="16" t="s">
        <v>162</v>
      </c>
      <c r="I13" s="16" t="s">
        <v>117</v>
      </c>
      <c r="J13" s="16" t="s">
        <v>164</v>
      </c>
      <c r="K13" s="16" t="s">
        <v>162</v>
      </c>
      <c r="L13" s="16" t="s">
        <v>117</v>
      </c>
      <c r="M13" s="16" t="s">
        <v>164</v>
      </c>
      <c r="N13" s="16" t="s">
        <v>162</v>
      </c>
      <c r="O13" s="16" t="s">
        <v>117</v>
      </c>
      <c r="P13" s="16">
        <v>2010</v>
      </c>
      <c r="Q13" s="16" t="s">
        <v>162</v>
      </c>
      <c r="R13" s="16" t="s">
        <v>117</v>
      </c>
      <c r="S13" s="16">
        <v>2010</v>
      </c>
      <c r="T13" s="16" t="s">
        <v>162</v>
      </c>
      <c r="U13" s="16" t="s">
        <v>117</v>
      </c>
      <c r="V13" s="16">
        <v>2010</v>
      </c>
      <c r="W13" s="16" t="s">
        <v>162</v>
      </c>
    </row>
    <row r="14" spans="1:23" ht="33.75" x14ac:dyDescent="0.2">
      <c r="A14" s="19" t="s">
        <v>10</v>
      </c>
      <c r="B14" s="28" t="s">
        <v>154</v>
      </c>
      <c r="C14" s="14" t="str">
        <f t="shared" si="0"/>
        <v>No</v>
      </c>
      <c r="D14" s="28" t="s">
        <v>154</v>
      </c>
      <c r="E14" s="28" t="str">
        <f t="shared" si="1"/>
        <v>Yes</v>
      </c>
      <c r="F14" s="29"/>
      <c r="G14" s="16"/>
      <c r="H14" s="16"/>
      <c r="I14" s="16"/>
      <c r="J14" s="16"/>
      <c r="K14" s="16"/>
      <c r="L14" s="16"/>
      <c r="M14" s="16"/>
      <c r="N14" s="16"/>
      <c r="O14" s="16" t="s">
        <v>117</v>
      </c>
      <c r="P14" s="16">
        <v>2010</v>
      </c>
      <c r="Q14" s="16" t="s">
        <v>162</v>
      </c>
      <c r="R14" s="16" t="s">
        <v>117</v>
      </c>
      <c r="S14" s="16">
        <v>2010</v>
      </c>
      <c r="T14" s="16" t="s">
        <v>162</v>
      </c>
      <c r="U14" s="16"/>
      <c r="V14" s="16"/>
      <c r="W14" s="16"/>
    </row>
    <row r="15" spans="1:23" ht="33.75" x14ac:dyDescent="0.2">
      <c r="A15" s="19" t="s">
        <v>11</v>
      </c>
      <c r="B15" s="28" t="s">
        <v>154</v>
      </c>
      <c r="C15" s="14" t="str">
        <f t="shared" si="0"/>
        <v>No</v>
      </c>
      <c r="D15" s="28" t="str">
        <f>IF(F15="Yes", "Yes", "No")</f>
        <v>No</v>
      </c>
      <c r="E15" s="28" t="str">
        <f t="shared" si="1"/>
        <v>Yes</v>
      </c>
      <c r="F15" s="29" t="s">
        <v>118</v>
      </c>
      <c r="G15" s="16" t="s">
        <v>164</v>
      </c>
      <c r="H15" s="16" t="s">
        <v>162</v>
      </c>
      <c r="I15" s="16" t="s">
        <v>117</v>
      </c>
      <c r="J15" s="16" t="s">
        <v>164</v>
      </c>
      <c r="K15" s="16" t="s">
        <v>162</v>
      </c>
      <c r="L15" s="16" t="s">
        <v>118</v>
      </c>
      <c r="M15" s="16" t="s">
        <v>164</v>
      </c>
      <c r="N15" s="16" t="s">
        <v>162</v>
      </c>
      <c r="O15" s="16" t="s">
        <v>117</v>
      </c>
      <c r="P15" s="16">
        <v>2010</v>
      </c>
      <c r="Q15" s="16" t="s">
        <v>162</v>
      </c>
      <c r="R15" s="16" t="s">
        <v>118</v>
      </c>
      <c r="S15" s="16">
        <v>2010</v>
      </c>
      <c r="T15" s="16" t="s">
        <v>162</v>
      </c>
      <c r="U15" s="16" t="s">
        <v>117</v>
      </c>
      <c r="V15" s="16">
        <v>2010</v>
      </c>
      <c r="W15" s="16" t="s">
        <v>162</v>
      </c>
    </row>
    <row r="16" spans="1:23" ht="33.75" x14ac:dyDescent="0.2">
      <c r="A16" s="19" t="s">
        <v>12</v>
      </c>
      <c r="B16" s="28" t="s">
        <v>154</v>
      </c>
      <c r="C16" s="14" t="str">
        <f t="shared" si="0"/>
        <v>No</v>
      </c>
      <c r="D16" s="28" t="str">
        <f>IF(F16="Yes", "Yes", "No")</f>
        <v>No</v>
      </c>
      <c r="E16" s="28" t="str">
        <f t="shared" si="1"/>
        <v>No</v>
      </c>
      <c r="F16" s="29" t="s">
        <v>118</v>
      </c>
      <c r="G16" s="16" t="s">
        <v>164</v>
      </c>
      <c r="H16" s="16" t="s">
        <v>162</v>
      </c>
      <c r="I16" s="16" t="s">
        <v>118</v>
      </c>
      <c r="J16" s="16" t="s">
        <v>164</v>
      </c>
      <c r="K16" s="16" t="s">
        <v>162</v>
      </c>
      <c r="L16" s="16" t="s">
        <v>118</v>
      </c>
      <c r="M16" s="16" t="s">
        <v>164</v>
      </c>
      <c r="N16" s="16" t="s">
        <v>162</v>
      </c>
      <c r="O16" s="16"/>
      <c r="P16" s="16"/>
      <c r="Q16" s="16"/>
      <c r="R16" s="16"/>
      <c r="S16" s="16"/>
      <c r="T16" s="16"/>
      <c r="U16" s="16" t="s">
        <v>117</v>
      </c>
      <c r="V16" s="16">
        <v>2010</v>
      </c>
      <c r="W16" s="16" t="s">
        <v>162</v>
      </c>
    </row>
    <row r="17" spans="1:23" ht="33.75" x14ac:dyDescent="0.2">
      <c r="A17" s="19" t="s">
        <v>13</v>
      </c>
      <c r="B17" s="28" t="s">
        <v>154</v>
      </c>
      <c r="C17" s="14" t="str">
        <f t="shared" si="0"/>
        <v>No</v>
      </c>
      <c r="D17" s="28" t="str">
        <f>IF(F17="Yes", "Yes", "No")</f>
        <v>No</v>
      </c>
      <c r="E17" s="28" t="str">
        <f t="shared" si="1"/>
        <v>Yes</v>
      </c>
      <c r="F17" s="29" t="s">
        <v>118</v>
      </c>
      <c r="G17" s="16">
        <v>2012</v>
      </c>
      <c r="H17" s="16" t="s">
        <v>163</v>
      </c>
      <c r="I17" s="16" t="s">
        <v>117</v>
      </c>
      <c r="J17" s="16">
        <v>2012</v>
      </c>
      <c r="K17" s="16" t="s">
        <v>163</v>
      </c>
      <c r="L17" s="16"/>
      <c r="M17" s="16"/>
      <c r="N17" s="16"/>
      <c r="O17" s="16" t="s">
        <v>118</v>
      </c>
      <c r="P17" s="16">
        <v>2010</v>
      </c>
      <c r="Q17" s="16" t="s">
        <v>162</v>
      </c>
      <c r="R17" s="16" t="s">
        <v>117</v>
      </c>
      <c r="S17" s="16">
        <v>2010</v>
      </c>
      <c r="T17" s="16" t="s">
        <v>162</v>
      </c>
      <c r="U17" s="16" t="s">
        <v>117</v>
      </c>
      <c r="V17" s="16">
        <v>2010</v>
      </c>
      <c r="W17" s="16" t="s">
        <v>162</v>
      </c>
    </row>
    <row r="18" spans="1:23" x14ac:dyDescent="0.2">
      <c r="A18" s="19" t="s">
        <v>14</v>
      </c>
      <c r="B18" s="28" t="s">
        <v>154</v>
      </c>
      <c r="C18" s="14" t="str">
        <f t="shared" si="0"/>
        <v>No</v>
      </c>
      <c r="D18" s="28" t="s">
        <v>154</v>
      </c>
      <c r="E18" s="28" t="s">
        <v>154</v>
      </c>
      <c r="F18" s="29"/>
      <c r="G18" s="16"/>
      <c r="H18" s="16" t="s">
        <v>161</v>
      </c>
      <c r="I18" s="16"/>
      <c r="J18" s="16"/>
      <c r="K18" s="16" t="s">
        <v>161</v>
      </c>
      <c r="L18" s="16"/>
      <c r="M18" s="16"/>
      <c r="N18" s="16" t="s">
        <v>161</v>
      </c>
      <c r="O18" s="16"/>
      <c r="P18" s="16"/>
      <c r="Q18" s="16"/>
      <c r="R18" s="16"/>
      <c r="S18" s="16"/>
      <c r="T18" s="16"/>
      <c r="U18" s="16"/>
      <c r="V18" s="16"/>
      <c r="W18" s="16"/>
    </row>
    <row r="19" spans="1:23" x14ac:dyDescent="0.2">
      <c r="A19" s="19" t="s">
        <v>15</v>
      </c>
      <c r="B19" s="28" t="s">
        <v>154</v>
      </c>
      <c r="C19" s="14" t="str">
        <f t="shared" si="0"/>
        <v>No</v>
      </c>
      <c r="D19" s="28" t="s">
        <v>154</v>
      </c>
      <c r="E19" s="28" t="s">
        <v>154</v>
      </c>
      <c r="F19" s="29"/>
      <c r="G19" s="16"/>
      <c r="H19" s="16" t="s">
        <v>161</v>
      </c>
      <c r="I19" s="16"/>
      <c r="J19" s="16"/>
      <c r="K19" s="16" t="s">
        <v>161</v>
      </c>
      <c r="L19" s="16"/>
      <c r="M19" s="16"/>
      <c r="N19" s="16" t="s">
        <v>161</v>
      </c>
      <c r="O19" s="16"/>
      <c r="P19" s="16"/>
      <c r="Q19" s="16"/>
      <c r="R19" s="16"/>
      <c r="S19" s="16"/>
      <c r="T19" s="16"/>
      <c r="U19" s="16"/>
      <c r="V19" s="16"/>
      <c r="W19" s="16"/>
    </row>
    <row r="20" spans="1:23" ht="33.75" x14ac:dyDescent="0.2">
      <c r="A20" s="19" t="s">
        <v>16</v>
      </c>
      <c r="B20" s="28" t="s">
        <v>154</v>
      </c>
      <c r="C20" s="14" t="str">
        <f t="shared" si="0"/>
        <v>No</v>
      </c>
      <c r="D20" s="28" t="s">
        <v>154</v>
      </c>
      <c r="E20" s="28" t="str">
        <f>IF(OR(I20="Yes", O20="Yes"),"Yes", "No")</f>
        <v>No</v>
      </c>
      <c r="F20" s="29"/>
      <c r="G20" s="16"/>
      <c r="H20" s="16"/>
      <c r="I20" s="16"/>
      <c r="J20" s="16"/>
      <c r="K20" s="16"/>
      <c r="L20" s="16"/>
      <c r="M20" s="16"/>
      <c r="N20" s="16"/>
      <c r="O20" s="16" t="s">
        <v>118</v>
      </c>
      <c r="P20" s="16">
        <v>2010</v>
      </c>
      <c r="Q20" s="16" t="s">
        <v>162</v>
      </c>
      <c r="R20" s="16" t="s">
        <v>118</v>
      </c>
      <c r="S20" s="16">
        <v>2010</v>
      </c>
      <c r="T20" s="16" t="s">
        <v>162</v>
      </c>
      <c r="U20" s="16" t="s">
        <v>117</v>
      </c>
      <c r="V20" s="16">
        <v>2010</v>
      </c>
      <c r="W20" s="16" t="s">
        <v>162</v>
      </c>
    </row>
    <row r="21" spans="1:23" ht="33.75" x14ac:dyDescent="0.2">
      <c r="A21" s="19" t="s">
        <v>17</v>
      </c>
      <c r="B21" s="28" t="s">
        <v>154</v>
      </c>
      <c r="C21" s="14" t="str">
        <f t="shared" si="0"/>
        <v>Yes</v>
      </c>
      <c r="D21" s="28" t="str">
        <f>IF(F21="Yes", "Yes", "No")</f>
        <v>Yes</v>
      </c>
      <c r="E21" s="28" t="str">
        <f>IF(OR(I21="Yes", O21="Yes"),"Yes", "No")</f>
        <v>Yes</v>
      </c>
      <c r="F21" s="29" t="s">
        <v>117</v>
      </c>
      <c r="G21" s="16">
        <v>2012</v>
      </c>
      <c r="H21" s="16" t="s">
        <v>163</v>
      </c>
      <c r="I21" s="16" t="s">
        <v>117</v>
      </c>
      <c r="J21" s="16">
        <v>2012</v>
      </c>
      <c r="K21" s="16" t="s">
        <v>163</v>
      </c>
      <c r="L21" s="16"/>
      <c r="M21" s="16"/>
      <c r="N21" s="16"/>
      <c r="O21" s="16" t="s">
        <v>117</v>
      </c>
      <c r="P21" s="16">
        <v>2010</v>
      </c>
      <c r="Q21" s="16" t="s">
        <v>162</v>
      </c>
      <c r="R21" s="16" t="s">
        <v>117</v>
      </c>
      <c r="S21" s="16">
        <v>2010</v>
      </c>
      <c r="T21" s="16" t="s">
        <v>162</v>
      </c>
      <c r="U21" s="16" t="s">
        <v>117</v>
      </c>
      <c r="V21" s="16">
        <v>2010</v>
      </c>
      <c r="W21" s="16" t="s">
        <v>162</v>
      </c>
    </row>
    <row r="22" spans="1:23" ht="33.75" x14ac:dyDescent="0.2">
      <c r="A22" s="19" t="s">
        <v>18</v>
      </c>
      <c r="B22" s="28" t="s">
        <v>154</v>
      </c>
      <c r="C22" s="14" t="str">
        <f t="shared" si="0"/>
        <v>No</v>
      </c>
      <c r="D22" s="28" t="str">
        <f>IF(F22="Yes", "Yes", "No")</f>
        <v>Yes</v>
      </c>
      <c r="E22" s="28" t="str">
        <f>IF(OR(I22="Yes", O22="Yes"),"Yes", "No")</f>
        <v>No</v>
      </c>
      <c r="F22" s="29" t="s">
        <v>117</v>
      </c>
      <c r="G22" s="16" t="s">
        <v>164</v>
      </c>
      <c r="H22" s="16" t="s">
        <v>162</v>
      </c>
      <c r="I22" s="16" t="s">
        <v>118</v>
      </c>
      <c r="J22" s="16" t="s">
        <v>164</v>
      </c>
      <c r="K22" s="16" t="s">
        <v>162</v>
      </c>
      <c r="L22" s="16" t="s">
        <v>118</v>
      </c>
      <c r="M22" s="16" t="s">
        <v>164</v>
      </c>
      <c r="N22" s="16" t="s">
        <v>162</v>
      </c>
      <c r="O22" s="16"/>
      <c r="P22" s="16"/>
      <c r="Q22" s="16"/>
      <c r="R22" s="16"/>
      <c r="S22" s="16"/>
      <c r="T22" s="16"/>
      <c r="U22" s="16"/>
      <c r="V22" s="16"/>
      <c r="W22" s="16"/>
    </row>
    <row r="23" spans="1:23" x14ac:dyDescent="0.2">
      <c r="A23" s="19" t="s">
        <v>19</v>
      </c>
      <c r="B23" s="28" t="s">
        <v>154</v>
      </c>
      <c r="C23" s="14" t="str">
        <f t="shared" si="0"/>
        <v>No</v>
      </c>
      <c r="D23" s="28" t="s">
        <v>154</v>
      </c>
      <c r="E23" s="28" t="s">
        <v>154</v>
      </c>
      <c r="F23" s="29"/>
      <c r="G23" s="16"/>
      <c r="H23" s="16" t="s">
        <v>161</v>
      </c>
      <c r="I23" s="16"/>
      <c r="J23" s="16"/>
      <c r="K23" s="16" t="s">
        <v>161</v>
      </c>
      <c r="L23" s="16"/>
      <c r="M23" s="16"/>
      <c r="N23" s="16" t="s">
        <v>161</v>
      </c>
      <c r="O23" s="16"/>
      <c r="P23" s="16"/>
      <c r="Q23" s="16"/>
      <c r="R23" s="16"/>
      <c r="S23" s="16"/>
      <c r="T23" s="16"/>
      <c r="U23" s="16"/>
      <c r="V23" s="16"/>
      <c r="W23" s="16"/>
    </row>
    <row r="24" spans="1:23" ht="33.75" x14ac:dyDescent="0.2">
      <c r="A24" s="19" t="s">
        <v>20</v>
      </c>
      <c r="B24" s="28" t="s">
        <v>154</v>
      </c>
      <c r="C24" s="14" t="str">
        <f t="shared" si="0"/>
        <v>No</v>
      </c>
      <c r="D24" s="28" t="s">
        <v>154</v>
      </c>
      <c r="E24" s="28" t="str">
        <f>IF(OR(I24="Yes", O24="Yes"),"Yes", "No")</f>
        <v>Yes</v>
      </c>
      <c r="F24" s="29"/>
      <c r="G24" s="16"/>
      <c r="H24" s="16"/>
      <c r="I24" s="16"/>
      <c r="J24" s="16"/>
      <c r="K24" s="16"/>
      <c r="L24" s="16"/>
      <c r="M24" s="16"/>
      <c r="N24" s="16"/>
      <c r="O24" s="16" t="s">
        <v>117</v>
      </c>
      <c r="P24" s="16">
        <v>2010</v>
      </c>
      <c r="Q24" s="16" t="s">
        <v>162</v>
      </c>
      <c r="R24" s="16" t="s">
        <v>118</v>
      </c>
      <c r="S24" s="16">
        <v>2010</v>
      </c>
      <c r="T24" s="16" t="s">
        <v>162</v>
      </c>
      <c r="U24" s="16" t="s">
        <v>117</v>
      </c>
      <c r="V24" s="16">
        <v>2010</v>
      </c>
      <c r="W24" s="16" t="s">
        <v>162</v>
      </c>
    </row>
    <row r="25" spans="1:23" x14ac:dyDescent="0.2">
      <c r="A25" s="19" t="s">
        <v>21</v>
      </c>
      <c r="B25" s="28" t="s">
        <v>154</v>
      </c>
      <c r="C25" s="14" t="str">
        <f t="shared" si="0"/>
        <v>No</v>
      </c>
      <c r="D25" s="28" t="s">
        <v>154</v>
      </c>
      <c r="E25" s="28" t="s">
        <v>154</v>
      </c>
      <c r="F25" s="29"/>
      <c r="G25" s="16"/>
      <c r="H25" s="16" t="s">
        <v>161</v>
      </c>
      <c r="I25" s="16"/>
      <c r="J25" s="16"/>
      <c r="K25" s="16" t="s">
        <v>161</v>
      </c>
      <c r="L25" s="16"/>
      <c r="M25" s="16"/>
      <c r="N25" s="16" t="s">
        <v>161</v>
      </c>
      <c r="O25" s="16"/>
      <c r="P25" s="16"/>
      <c r="Q25" s="16"/>
      <c r="R25" s="16"/>
      <c r="S25" s="16"/>
      <c r="T25" s="16"/>
      <c r="U25" s="16"/>
      <c r="V25" s="16"/>
      <c r="W25" s="16"/>
    </row>
    <row r="26" spans="1:23" ht="33.75" x14ac:dyDescent="0.2">
      <c r="A26" s="19" t="s">
        <v>22</v>
      </c>
      <c r="B26" s="28" t="s">
        <v>154</v>
      </c>
      <c r="C26" s="14" t="str">
        <f t="shared" si="0"/>
        <v>No</v>
      </c>
      <c r="D26" s="28" t="s">
        <v>154</v>
      </c>
      <c r="E26" s="28" t="str">
        <f>IF(OR(I26="Yes", O26="Yes"),"Yes", "No")</f>
        <v>Yes</v>
      </c>
      <c r="F26" s="29"/>
      <c r="G26" s="16"/>
      <c r="H26" s="16"/>
      <c r="I26" s="16"/>
      <c r="J26" s="16"/>
      <c r="K26" s="16"/>
      <c r="L26" s="16"/>
      <c r="M26" s="16"/>
      <c r="N26" s="16"/>
      <c r="O26" s="16" t="s">
        <v>117</v>
      </c>
      <c r="P26" s="16">
        <v>2010</v>
      </c>
      <c r="Q26" s="16" t="s">
        <v>162</v>
      </c>
      <c r="R26" s="16" t="s">
        <v>118</v>
      </c>
      <c r="S26" s="16">
        <v>2010</v>
      </c>
      <c r="T26" s="16" t="s">
        <v>162</v>
      </c>
      <c r="U26" s="16" t="s">
        <v>117</v>
      </c>
      <c r="V26" s="16">
        <v>2010</v>
      </c>
      <c r="W26" s="16" t="s">
        <v>162</v>
      </c>
    </row>
    <row r="27" spans="1:23" x14ac:dyDescent="0.2">
      <c r="A27" s="19" t="s">
        <v>23</v>
      </c>
      <c r="B27" s="28" t="s">
        <v>154</v>
      </c>
      <c r="C27" s="14" t="str">
        <f t="shared" si="0"/>
        <v>No</v>
      </c>
      <c r="D27" s="28" t="s">
        <v>154</v>
      </c>
      <c r="E27" s="28" t="s">
        <v>154</v>
      </c>
      <c r="F27" s="29"/>
      <c r="G27" s="16"/>
      <c r="H27" s="16" t="s">
        <v>161</v>
      </c>
      <c r="I27" s="16"/>
      <c r="J27" s="16"/>
      <c r="K27" s="16" t="s">
        <v>161</v>
      </c>
      <c r="L27" s="16"/>
      <c r="M27" s="16"/>
      <c r="N27" s="16" t="s">
        <v>161</v>
      </c>
      <c r="O27" s="16"/>
      <c r="P27" s="16"/>
      <c r="Q27" s="16"/>
      <c r="R27" s="16"/>
      <c r="S27" s="16"/>
      <c r="T27" s="16"/>
      <c r="U27" s="16"/>
      <c r="V27" s="16"/>
      <c r="W27" s="16"/>
    </row>
    <row r="28" spans="1:23" x14ac:dyDescent="0.2">
      <c r="A28" s="19" t="s">
        <v>24</v>
      </c>
      <c r="B28" s="28" t="s">
        <v>154</v>
      </c>
      <c r="C28" s="14" t="str">
        <f t="shared" si="0"/>
        <v>No</v>
      </c>
      <c r="D28" s="28" t="s">
        <v>154</v>
      </c>
      <c r="E28" s="28" t="s">
        <v>154</v>
      </c>
      <c r="F28" s="29"/>
      <c r="G28" s="16"/>
      <c r="H28" s="16" t="s">
        <v>161</v>
      </c>
      <c r="I28" s="16"/>
      <c r="J28" s="16"/>
      <c r="K28" s="16" t="s">
        <v>161</v>
      </c>
      <c r="L28" s="16"/>
      <c r="M28" s="16"/>
      <c r="N28" s="16" t="s">
        <v>161</v>
      </c>
      <c r="O28" s="16"/>
      <c r="P28" s="16"/>
      <c r="Q28" s="16"/>
      <c r="R28" s="16"/>
      <c r="S28" s="16"/>
      <c r="T28" s="16"/>
      <c r="U28" s="16"/>
      <c r="V28" s="16"/>
      <c r="W28" s="16"/>
    </row>
    <row r="29" spans="1:23" x14ac:dyDescent="0.2">
      <c r="A29" s="19" t="s">
        <v>25</v>
      </c>
      <c r="B29" s="28" t="s">
        <v>154</v>
      </c>
      <c r="C29" s="14" t="str">
        <f t="shared" si="0"/>
        <v>No</v>
      </c>
      <c r="D29" s="28" t="s">
        <v>154</v>
      </c>
      <c r="E29" s="28" t="s">
        <v>154</v>
      </c>
      <c r="F29" s="29"/>
      <c r="G29" s="16"/>
      <c r="H29" s="16" t="s">
        <v>161</v>
      </c>
      <c r="I29" s="16"/>
      <c r="J29" s="16"/>
      <c r="K29" s="16" t="s">
        <v>161</v>
      </c>
      <c r="L29" s="16"/>
      <c r="M29" s="16"/>
      <c r="N29" s="16" t="s">
        <v>161</v>
      </c>
      <c r="O29" s="16"/>
      <c r="P29" s="16"/>
      <c r="Q29" s="16"/>
      <c r="R29" s="16"/>
      <c r="S29" s="16"/>
      <c r="T29" s="16"/>
      <c r="U29" s="16"/>
      <c r="V29" s="16"/>
      <c r="W29" s="16"/>
    </row>
    <row r="30" spans="1:23" x14ac:dyDescent="0.2">
      <c r="A30" s="19" t="s">
        <v>26</v>
      </c>
      <c r="B30" s="28" t="s">
        <v>154</v>
      </c>
      <c r="C30" s="14" t="str">
        <f t="shared" si="0"/>
        <v>No</v>
      </c>
      <c r="D30" s="28" t="s">
        <v>154</v>
      </c>
      <c r="E30" s="28" t="s">
        <v>154</v>
      </c>
      <c r="F30" s="29"/>
      <c r="G30" s="16"/>
      <c r="H30" s="16" t="s">
        <v>161</v>
      </c>
      <c r="I30" s="16"/>
      <c r="J30" s="16"/>
      <c r="K30" s="16" t="s">
        <v>161</v>
      </c>
      <c r="L30" s="16"/>
      <c r="M30" s="16"/>
      <c r="N30" s="16" t="s">
        <v>161</v>
      </c>
      <c r="O30" s="16"/>
      <c r="P30" s="16"/>
      <c r="Q30" s="16"/>
      <c r="R30" s="16"/>
      <c r="S30" s="16"/>
      <c r="T30" s="16"/>
      <c r="U30" s="16"/>
      <c r="V30" s="16"/>
      <c r="W30" s="16"/>
    </row>
    <row r="31" spans="1:23" ht="45" x14ac:dyDescent="0.2">
      <c r="A31" s="19" t="s">
        <v>27</v>
      </c>
      <c r="B31" s="28" t="s">
        <v>154</v>
      </c>
      <c r="C31" s="14" t="str">
        <f t="shared" si="0"/>
        <v>No</v>
      </c>
      <c r="D31" s="28" t="str">
        <f>IF(F31="Yes", "Yes", "No")</f>
        <v>No</v>
      </c>
      <c r="E31" s="28" t="str">
        <f t="shared" ref="E31:E37" si="2">IF(OR(I31="Yes", O31="Yes"),"Yes", "No")</f>
        <v>No</v>
      </c>
      <c r="F31" s="29" t="s">
        <v>118</v>
      </c>
      <c r="G31" s="16" t="s">
        <v>164</v>
      </c>
      <c r="H31" s="16" t="s">
        <v>165</v>
      </c>
      <c r="I31" s="16" t="s">
        <v>118</v>
      </c>
      <c r="J31" s="16" t="s">
        <v>164</v>
      </c>
      <c r="K31" s="16" t="s">
        <v>165</v>
      </c>
      <c r="L31" s="16" t="s">
        <v>118</v>
      </c>
      <c r="M31" s="16" t="s">
        <v>164</v>
      </c>
      <c r="N31" s="16" t="s">
        <v>165</v>
      </c>
      <c r="O31" s="16" t="s">
        <v>118</v>
      </c>
      <c r="P31" s="16">
        <v>2010</v>
      </c>
      <c r="Q31" s="16" t="s">
        <v>162</v>
      </c>
      <c r="R31" s="16" t="s">
        <v>118</v>
      </c>
      <c r="S31" s="16">
        <v>2010</v>
      </c>
      <c r="T31" s="16" t="s">
        <v>162</v>
      </c>
      <c r="U31" s="16" t="s">
        <v>117</v>
      </c>
      <c r="V31" s="16">
        <v>2010</v>
      </c>
      <c r="W31" s="16" t="s">
        <v>162</v>
      </c>
    </row>
    <row r="32" spans="1:23" ht="33.75" x14ac:dyDescent="0.2">
      <c r="A32" s="19" t="s">
        <v>28</v>
      </c>
      <c r="B32" s="28" t="s">
        <v>154</v>
      </c>
      <c r="C32" s="14" t="str">
        <f t="shared" si="0"/>
        <v>Yes</v>
      </c>
      <c r="D32" s="28" t="str">
        <f>IF(F32="Yes", "Yes", "No")</f>
        <v>Yes</v>
      </c>
      <c r="E32" s="28" t="str">
        <f t="shared" si="2"/>
        <v>Yes</v>
      </c>
      <c r="F32" s="29" t="s">
        <v>117</v>
      </c>
      <c r="G32" s="16" t="s">
        <v>164</v>
      </c>
      <c r="H32" s="16" t="s">
        <v>162</v>
      </c>
      <c r="I32" s="16" t="s">
        <v>117</v>
      </c>
      <c r="J32" s="16" t="s">
        <v>164</v>
      </c>
      <c r="K32" s="16" t="s">
        <v>162</v>
      </c>
      <c r="L32" s="16" t="s">
        <v>118</v>
      </c>
      <c r="M32" s="16" t="s">
        <v>164</v>
      </c>
      <c r="N32" s="16" t="s">
        <v>162</v>
      </c>
      <c r="O32" s="16"/>
      <c r="P32" s="16"/>
      <c r="Q32" s="16"/>
      <c r="R32" s="16"/>
      <c r="S32" s="16"/>
      <c r="T32" s="16"/>
      <c r="U32" s="16"/>
      <c r="V32" s="16"/>
      <c r="W32" s="16"/>
    </row>
    <row r="33" spans="1:23" ht="33.75" x14ac:dyDescent="0.2">
      <c r="A33" s="19" t="s">
        <v>29</v>
      </c>
      <c r="B33" s="28" t="s">
        <v>154</v>
      </c>
      <c r="C33" s="14" t="str">
        <f t="shared" si="0"/>
        <v>No</v>
      </c>
      <c r="D33" s="28" t="str">
        <f>IF(F33="Yes", "Yes", "No")</f>
        <v>No</v>
      </c>
      <c r="E33" s="28" t="str">
        <f t="shared" si="2"/>
        <v>Yes</v>
      </c>
      <c r="F33" s="29" t="s">
        <v>118</v>
      </c>
      <c r="G33" s="16" t="s">
        <v>164</v>
      </c>
      <c r="H33" s="16" t="s">
        <v>162</v>
      </c>
      <c r="I33" s="16" t="s">
        <v>117</v>
      </c>
      <c r="J33" s="16" t="s">
        <v>164</v>
      </c>
      <c r="K33" s="16" t="s">
        <v>162</v>
      </c>
      <c r="L33" s="16" t="s">
        <v>118</v>
      </c>
      <c r="M33" s="16" t="s">
        <v>164</v>
      </c>
      <c r="N33" s="16" t="s">
        <v>162</v>
      </c>
      <c r="O33" s="16" t="s">
        <v>118</v>
      </c>
      <c r="P33" s="16">
        <v>2010</v>
      </c>
      <c r="Q33" s="16" t="s">
        <v>162</v>
      </c>
      <c r="R33" s="16" t="s">
        <v>118</v>
      </c>
      <c r="S33" s="16">
        <v>2010</v>
      </c>
      <c r="T33" s="16" t="s">
        <v>162</v>
      </c>
      <c r="U33" s="16" t="s">
        <v>117</v>
      </c>
      <c r="V33" s="16">
        <v>2010</v>
      </c>
      <c r="W33" s="16" t="s">
        <v>162</v>
      </c>
    </row>
    <row r="34" spans="1:23" ht="45" x14ac:dyDescent="0.2">
      <c r="A34" s="19" t="s">
        <v>30</v>
      </c>
      <c r="B34" s="28" t="s">
        <v>154</v>
      </c>
      <c r="C34" s="14" t="str">
        <f t="shared" si="0"/>
        <v>Yes</v>
      </c>
      <c r="D34" s="28" t="s">
        <v>117</v>
      </c>
      <c r="E34" s="28" t="str">
        <f t="shared" si="2"/>
        <v>Yes</v>
      </c>
      <c r="F34" s="29" t="s">
        <v>159</v>
      </c>
      <c r="G34" s="16" t="s">
        <v>164</v>
      </c>
      <c r="H34" s="16" t="s">
        <v>165</v>
      </c>
      <c r="I34" s="16" t="s">
        <v>117</v>
      </c>
      <c r="J34" s="16" t="s">
        <v>164</v>
      </c>
      <c r="K34" s="16" t="s">
        <v>165</v>
      </c>
      <c r="L34" s="16" t="s">
        <v>118</v>
      </c>
      <c r="M34" s="16" t="s">
        <v>164</v>
      </c>
      <c r="N34" s="16" t="s">
        <v>165</v>
      </c>
      <c r="O34" s="16" t="s">
        <v>117</v>
      </c>
      <c r="P34" s="16">
        <v>2010</v>
      </c>
      <c r="Q34" s="16" t="s">
        <v>162</v>
      </c>
      <c r="R34" s="16" t="s">
        <v>118</v>
      </c>
      <c r="S34" s="16">
        <v>2010</v>
      </c>
      <c r="T34" s="16" t="s">
        <v>162</v>
      </c>
      <c r="U34" s="16" t="s">
        <v>117</v>
      </c>
      <c r="V34" s="16">
        <v>2010</v>
      </c>
      <c r="W34" s="16" t="s">
        <v>162</v>
      </c>
    </row>
    <row r="35" spans="1:23" ht="33.75" x14ac:dyDescent="0.2">
      <c r="A35" s="19" t="s">
        <v>31</v>
      </c>
      <c r="B35" s="28" t="s">
        <v>154</v>
      </c>
      <c r="C35" s="14" t="str">
        <f t="shared" si="0"/>
        <v>Yes</v>
      </c>
      <c r="D35" s="28" t="str">
        <f>IF(F35="Yes", "Yes", "No")</f>
        <v>Yes</v>
      </c>
      <c r="E35" s="28" t="str">
        <f t="shared" si="2"/>
        <v>Yes</v>
      </c>
      <c r="F35" s="29" t="s">
        <v>117</v>
      </c>
      <c r="G35" s="16" t="s">
        <v>164</v>
      </c>
      <c r="H35" s="16" t="s">
        <v>162</v>
      </c>
      <c r="I35" s="16" t="s">
        <v>117</v>
      </c>
      <c r="J35" s="16" t="s">
        <v>164</v>
      </c>
      <c r="K35" s="16" t="s">
        <v>162</v>
      </c>
      <c r="L35" s="16"/>
      <c r="M35" s="16"/>
      <c r="N35" s="16"/>
      <c r="O35" s="16" t="s">
        <v>117</v>
      </c>
      <c r="P35" s="16">
        <v>2010</v>
      </c>
      <c r="Q35" s="16" t="s">
        <v>162</v>
      </c>
      <c r="R35" s="16" t="s">
        <v>117</v>
      </c>
      <c r="S35" s="16">
        <v>2010</v>
      </c>
      <c r="T35" s="16" t="s">
        <v>162</v>
      </c>
      <c r="U35" s="16" t="s">
        <v>117</v>
      </c>
      <c r="V35" s="16">
        <v>2010</v>
      </c>
      <c r="W35" s="16" t="s">
        <v>162</v>
      </c>
    </row>
    <row r="36" spans="1:23" ht="33.75" x14ac:dyDescent="0.2">
      <c r="A36" s="19" t="s">
        <v>32</v>
      </c>
      <c r="B36" s="28" t="s">
        <v>154</v>
      </c>
      <c r="C36" s="14" t="str">
        <f t="shared" si="0"/>
        <v>No</v>
      </c>
      <c r="D36" s="28" t="str">
        <f>IF(F36="Yes", "Yes", "No")</f>
        <v>No</v>
      </c>
      <c r="E36" s="28" t="str">
        <f t="shared" si="2"/>
        <v>No</v>
      </c>
      <c r="F36" s="29" t="s">
        <v>118</v>
      </c>
      <c r="G36" s="16" t="s">
        <v>164</v>
      </c>
      <c r="H36" s="16" t="s">
        <v>162</v>
      </c>
      <c r="I36" s="16" t="s">
        <v>118</v>
      </c>
      <c r="J36" s="16" t="s">
        <v>164</v>
      </c>
      <c r="K36" s="16" t="s">
        <v>162</v>
      </c>
      <c r="L36" s="16" t="s">
        <v>118</v>
      </c>
      <c r="M36" s="16" t="s">
        <v>164</v>
      </c>
      <c r="N36" s="16" t="s">
        <v>162</v>
      </c>
      <c r="O36" s="16"/>
      <c r="P36" s="16"/>
      <c r="Q36" s="16"/>
      <c r="R36" s="16"/>
      <c r="S36" s="16"/>
      <c r="T36" s="16"/>
      <c r="U36" s="16"/>
      <c r="V36" s="16"/>
      <c r="W36" s="16"/>
    </row>
    <row r="37" spans="1:23" ht="33.75" x14ac:dyDescent="0.2">
      <c r="A37" s="19" t="s">
        <v>33</v>
      </c>
      <c r="B37" s="28" t="s">
        <v>154</v>
      </c>
      <c r="C37" s="14" t="str">
        <f t="shared" si="0"/>
        <v>No</v>
      </c>
      <c r="D37" s="28" t="str">
        <f>IF(F37="Yes", "Yes", "No")</f>
        <v>No</v>
      </c>
      <c r="E37" s="28" t="str">
        <f t="shared" si="2"/>
        <v>No</v>
      </c>
      <c r="F37" s="29" t="s">
        <v>118</v>
      </c>
      <c r="G37" s="16" t="s">
        <v>164</v>
      </c>
      <c r="H37" s="16" t="s">
        <v>162</v>
      </c>
      <c r="I37" s="16" t="s">
        <v>118</v>
      </c>
      <c r="J37" s="16" t="s">
        <v>164</v>
      </c>
      <c r="K37" s="16" t="s">
        <v>162</v>
      </c>
      <c r="L37" s="16" t="s">
        <v>117</v>
      </c>
      <c r="M37" s="16" t="s">
        <v>164</v>
      </c>
      <c r="N37" s="16" t="s">
        <v>162</v>
      </c>
      <c r="O37" s="16"/>
      <c r="P37" s="16"/>
      <c r="Q37" s="16"/>
      <c r="R37" s="16"/>
      <c r="S37" s="16"/>
      <c r="T37" s="16"/>
      <c r="U37" s="16"/>
      <c r="V37" s="16"/>
      <c r="W37" s="16"/>
    </row>
    <row r="38" spans="1:23" x14ac:dyDescent="0.2">
      <c r="A38" s="19" t="s">
        <v>34</v>
      </c>
      <c r="B38" s="28" t="s">
        <v>154</v>
      </c>
      <c r="C38" s="14" t="str">
        <f t="shared" si="0"/>
        <v>No</v>
      </c>
      <c r="D38" s="28" t="s">
        <v>154</v>
      </c>
      <c r="E38" s="28" t="s">
        <v>154</v>
      </c>
      <c r="F38" s="29"/>
      <c r="G38" s="16"/>
      <c r="H38" s="16" t="s">
        <v>161</v>
      </c>
      <c r="I38" s="16"/>
      <c r="J38" s="16"/>
      <c r="K38" s="16" t="s">
        <v>161</v>
      </c>
      <c r="L38" s="16"/>
      <c r="M38" s="16"/>
      <c r="N38" s="16" t="s">
        <v>161</v>
      </c>
      <c r="O38" s="16"/>
      <c r="P38" s="16"/>
      <c r="Q38" s="16"/>
      <c r="R38" s="16"/>
      <c r="S38" s="16"/>
      <c r="T38" s="16"/>
      <c r="U38" s="16"/>
      <c r="V38" s="16"/>
      <c r="W38" s="16"/>
    </row>
    <row r="39" spans="1:23" ht="33.75" x14ac:dyDescent="0.2">
      <c r="A39" s="19" t="s">
        <v>35</v>
      </c>
      <c r="B39" s="28" t="s">
        <v>154</v>
      </c>
      <c r="C39" s="14" t="str">
        <f t="shared" si="0"/>
        <v>No</v>
      </c>
      <c r="D39" s="28" t="s">
        <v>154</v>
      </c>
      <c r="E39" s="28" t="str">
        <f>IF(OR(I39="Yes", O39="Yes"),"Yes", "No")</f>
        <v>No</v>
      </c>
      <c r="F39" s="29"/>
      <c r="G39" s="16"/>
      <c r="H39" s="16"/>
      <c r="I39" s="16"/>
      <c r="J39" s="16"/>
      <c r="K39" s="16"/>
      <c r="L39" s="16"/>
      <c r="M39" s="16"/>
      <c r="N39" s="16"/>
      <c r="O39" s="16" t="s">
        <v>118</v>
      </c>
      <c r="P39" s="16">
        <v>2010</v>
      </c>
      <c r="Q39" s="16" t="s">
        <v>162</v>
      </c>
      <c r="R39" s="16" t="s">
        <v>118</v>
      </c>
      <c r="S39" s="16">
        <v>2010</v>
      </c>
      <c r="T39" s="16" t="s">
        <v>162</v>
      </c>
      <c r="U39" s="16" t="s">
        <v>117</v>
      </c>
      <c r="V39" s="16">
        <v>2010</v>
      </c>
      <c r="W39" s="16" t="s">
        <v>162</v>
      </c>
    </row>
    <row r="40" spans="1:23" ht="33.75" x14ac:dyDescent="0.2">
      <c r="A40" s="19" t="s">
        <v>36</v>
      </c>
      <c r="B40" s="28" t="s">
        <v>154</v>
      </c>
      <c r="C40" s="14" t="str">
        <f t="shared" si="0"/>
        <v>No</v>
      </c>
      <c r="D40" s="28" t="s">
        <v>154</v>
      </c>
      <c r="E40" s="28" t="s">
        <v>154</v>
      </c>
      <c r="F40" s="29"/>
      <c r="G40" s="16"/>
      <c r="H40" s="16"/>
      <c r="I40" s="16"/>
      <c r="J40" s="16"/>
      <c r="K40" s="16"/>
      <c r="L40" s="16"/>
      <c r="M40" s="16"/>
      <c r="N40" s="16"/>
      <c r="O40" s="16"/>
      <c r="P40" s="16"/>
      <c r="Q40" s="16"/>
      <c r="R40" s="16" t="s">
        <v>118</v>
      </c>
      <c r="S40" s="16">
        <v>2010</v>
      </c>
      <c r="T40" s="16" t="s">
        <v>162</v>
      </c>
      <c r="U40" s="16" t="s">
        <v>117</v>
      </c>
      <c r="V40" s="16">
        <v>2010</v>
      </c>
      <c r="W40" s="16" t="s">
        <v>162</v>
      </c>
    </row>
    <row r="41" spans="1:23" ht="45" x14ac:dyDescent="0.2">
      <c r="A41" s="19" t="s">
        <v>37</v>
      </c>
      <c r="B41" s="28" t="s">
        <v>154</v>
      </c>
      <c r="C41" s="14" t="str">
        <f t="shared" si="0"/>
        <v>Yes</v>
      </c>
      <c r="D41" s="28" t="str">
        <f>IF(F41="Yes", "Yes", "No")</f>
        <v>Yes</v>
      </c>
      <c r="E41" s="28" t="str">
        <f t="shared" ref="E41:E49" si="3">IF(OR(I41="Yes", O41="Yes"),"Yes", "No")</f>
        <v>Yes</v>
      </c>
      <c r="F41" s="29" t="s">
        <v>117</v>
      </c>
      <c r="G41" s="16" t="s">
        <v>164</v>
      </c>
      <c r="H41" s="16" t="s">
        <v>165</v>
      </c>
      <c r="I41" s="16" t="s">
        <v>117</v>
      </c>
      <c r="J41" s="16" t="s">
        <v>164</v>
      </c>
      <c r="K41" s="16" t="s">
        <v>165</v>
      </c>
      <c r="L41" s="16" t="s">
        <v>117</v>
      </c>
      <c r="M41" s="16" t="s">
        <v>164</v>
      </c>
      <c r="N41" s="16" t="s">
        <v>165</v>
      </c>
      <c r="O41" s="16"/>
      <c r="P41" s="16"/>
      <c r="Q41" s="16"/>
      <c r="R41" s="16"/>
      <c r="S41" s="16"/>
      <c r="T41" s="16"/>
      <c r="U41" s="16"/>
      <c r="V41" s="16"/>
      <c r="W41" s="16"/>
    </row>
    <row r="42" spans="1:23" ht="33.75" x14ac:dyDescent="0.2">
      <c r="A42" s="19" t="s">
        <v>38</v>
      </c>
      <c r="B42" s="28" t="s">
        <v>154</v>
      </c>
      <c r="C42" s="14" t="str">
        <f t="shared" si="0"/>
        <v>No</v>
      </c>
      <c r="D42" s="28" t="str">
        <f>IF(F42="Yes", "Yes", "No")</f>
        <v>No</v>
      </c>
      <c r="E42" s="28" t="str">
        <f t="shared" si="3"/>
        <v>Yes</v>
      </c>
      <c r="F42" s="29" t="s">
        <v>160</v>
      </c>
      <c r="G42" s="16">
        <v>2012</v>
      </c>
      <c r="H42" s="16" t="s">
        <v>163</v>
      </c>
      <c r="I42" s="16" t="s">
        <v>117</v>
      </c>
      <c r="J42" s="16">
        <v>2012</v>
      </c>
      <c r="K42" s="16" t="s">
        <v>163</v>
      </c>
      <c r="L42" s="16"/>
      <c r="M42" s="16"/>
      <c r="N42" s="16"/>
      <c r="O42" s="16"/>
      <c r="P42" s="16"/>
      <c r="Q42" s="16"/>
      <c r="R42" s="16"/>
      <c r="S42" s="16"/>
      <c r="T42" s="16"/>
      <c r="U42" s="16"/>
      <c r="V42" s="16"/>
      <c r="W42" s="16"/>
    </row>
    <row r="43" spans="1:23" ht="33.75" x14ac:dyDescent="0.2">
      <c r="A43" s="19" t="s">
        <v>39</v>
      </c>
      <c r="B43" s="28" t="s">
        <v>154</v>
      </c>
      <c r="C43" s="14" t="str">
        <f t="shared" si="0"/>
        <v>No</v>
      </c>
      <c r="D43" s="28" t="s">
        <v>154</v>
      </c>
      <c r="E43" s="28" t="str">
        <f t="shared" si="3"/>
        <v>Yes</v>
      </c>
      <c r="F43" s="29"/>
      <c r="G43" s="16"/>
      <c r="H43" s="16"/>
      <c r="I43" s="16"/>
      <c r="J43" s="16"/>
      <c r="K43" s="16"/>
      <c r="L43" s="16"/>
      <c r="M43" s="16"/>
      <c r="N43" s="16"/>
      <c r="O43" s="16" t="s">
        <v>117</v>
      </c>
      <c r="P43" s="16">
        <v>2010</v>
      </c>
      <c r="Q43" s="16" t="s">
        <v>162</v>
      </c>
      <c r="R43" s="16" t="s">
        <v>118</v>
      </c>
      <c r="S43" s="16">
        <v>2010</v>
      </c>
      <c r="T43" s="16" t="s">
        <v>162</v>
      </c>
      <c r="U43" s="16" t="s">
        <v>117</v>
      </c>
      <c r="V43" s="16">
        <v>2010</v>
      </c>
      <c r="W43" s="16" t="s">
        <v>162</v>
      </c>
    </row>
    <row r="44" spans="1:23" ht="45" x14ac:dyDescent="0.2">
      <c r="A44" s="19" t="s">
        <v>40</v>
      </c>
      <c r="B44" s="28" t="s">
        <v>154</v>
      </c>
      <c r="C44" s="14" t="str">
        <f t="shared" si="0"/>
        <v>No</v>
      </c>
      <c r="D44" s="28" t="str">
        <f>IF(F44="Yes", "Yes", "No")</f>
        <v>No</v>
      </c>
      <c r="E44" s="28" t="str">
        <f t="shared" si="3"/>
        <v>Yes</v>
      </c>
      <c r="F44" s="29" t="s">
        <v>118</v>
      </c>
      <c r="G44" s="16" t="s">
        <v>164</v>
      </c>
      <c r="H44" s="16" t="s">
        <v>165</v>
      </c>
      <c r="I44" s="16" t="s">
        <v>117</v>
      </c>
      <c r="J44" s="16" t="s">
        <v>164</v>
      </c>
      <c r="K44" s="16" t="s">
        <v>165</v>
      </c>
      <c r="L44" s="16" t="s">
        <v>117</v>
      </c>
      <c r="M44" s="16" t="s">
        <v>164</v>
      </c>
      <c r="N44" s="16" t="s">
        <v>165</v>
      </c>
      <c r="O44" s="16" t="s">
        <v>118</v>
      </c>
      <c r="P44" s="16">
        <v>2010</v>
      </c>
      <c r="Q44" s="16" t="s">
        <v>162</v>
      </c>
      <c r="R44" s="16" t="s">
        <v>118</v>
      </c>
      <c r="S44" s="16">
        <v>2010</v>
      </c>
      <c r="T44" s="16" t="s">
        <v>162</v>
      </c>
      <c r="U44" s="16" t="s">
        <v>117</v>
      </c>
      <c r="V44" s="16">
        <v>2010</v>
      </c>
      <c r="W44" s="16" t="s">
        <v>162</v>
      </c>
    </row>
    <row r="45" spans="1:23" ht="33.75" x14ac:dyDescent="0.2">
      <c r="A45" s="19" t="s">
        <v>41</v>
      </c>
      <c r="B45" s="28" t="s">
        <v>154</v>
      </c>
      <c r="C45" s="14" t="str">
        <f t="shared" si="0"/>
        <v>No</v>
      </c>
      <c r="D45" s="28" t="s">
        <v>154</v>
      </c>
      <c r="E45" s="28" t="str">
        <f t="shared" si="3"/>
        <v>Yes</v>
      </c>
      <c r="F45" s="29"/>
      <c r="G45" s="16"/>
      <c r="H45" s="16"/>
      <c r="I45" s="16"/>
      <c r="J45" s="16"/>
      <c r="K45" s="16"/>
      <c r="L45" s="16"/>
      <c r="M45" s="16"/>
      <c r="N45" s="16"/>
      <c r="O45" s="16" t="s">
        <v>117</v>
      </c>
      <c r="P45" s="16">
        <v>2010</v>
      </c>
      <c r="Q45" s="16" t="s">
        <v>162</v>
      </c>
      <c r="R45" s="16" t="s">
        <v>117</v>
      </c>
      <c r="S45" s="16">
        <v>2010</v>
      </c>
      <c r="T45" s="16" t="s">
        <v>162</v>
      </c>
      <c r="U45" s="16" t="s">
        <v>117</v>
      </c>
      <c r="V45" s="16">
        <v>2010</v>
      </c>
      <c r="W45" s="16" t="s">
        <v>162</v>
      </c>
    </row>
    <row r="46" spans="1:23" ht="33.75" x14ac:dyDescent="0.2">
      <c r="A46" s="19" t="s">
        <v>42</v>
      </c>
      <c r="B46" s="28" t="s">
        <v>154</v>
      </c>
      <c r="C46" s="14" t="str">
        <f t="shared" si="0"/>
        <v>Yes</v>
      </c>
      <c r="D46" s="28" t="str">
        <f>IF(F46="Yes", "Yes", "No")</f>
        <v>Yes</v>
      </c>
      <c r="E46" s="28" t="str">
        <f t="shared" si="3"/>
        <v>Yes</v>
      </c>
      <c r="F46" s="29" t="s">
        <v>117</v>
      </c>
      <c r="G46" s="16" t="s">
        <v>164</v>
      </c>
      <c r="H46" s="16" t="s">
        <v>162</v>
      </c>
      <c r="I46" s="16" t="s">
        <v>117</v>
      </c>
      <c r="J46" s="16" t="s">
        <v>164</v>
      </c>
      <c r="K46" s="16" t="s">
        <v>162</v>
      </c>
      <c r="L46" s="16" t="s">
        <v>117</v>
      </c>
      <c r="M46" s="16" t="s">
        <v>164</v>
      </c>
      <c r="N46" s="16" t="s">
        <v>162</v>
      </c>
      <c r="O46" s="16" t="s">
        <v>117</v>
      </c>
      <c r="P46" s="16">
        <v>2010</v>
      </c>
      <c r="Q46" s="16" t="s">
        <v>162</v>
      </c>
      <c r="R46" s="16" t="s">
        <v>118</v>
      </c>
      <c r="S46" s="16">
        <v>2010</v>
      </c>
      <c r="T46" s="16" t="s">
        <v>162</v>
      </c>
      <c r="U46" s="16" t="s">
        <v>117</v>
      </c>
      <c r="V46" s="16">
        <v>2010</v>
      </c>
      <c r="W46" s="16" t="s">
        <v>162</v>
      </c>
    </row>
    <row r="47" spans="1:23" ht="33.75" x14ac:dyDescent="0.2">
      <c r="A47" s="19" t="s">
        <v>43</v>
      </c>
      <c r="B47" s="28" t="s">
        <v>154</v>
      </c>
      <c r="C47" s="14" t="str">
        <f t="shared" si="0"/>
        <v>No</v>
      </c>
      <c r="D47" s="28" t="s">
        <v>154</v>
      </c>
      <c r="E47" s="28" t="str">
        <f t="shared" si="3"/>
        <v>No</v>
      </c>
      <c r="F47" s="29"/>
      <c r="G47" s="16"/>
      <c r="H47" s="16"/>
      <c r="I47" s="16"/>
      <c r="J47" s="16"/>
      <c r="K47" s="16"/>
      <c r="L47" s="16"/>
      <c r="M47" s="16"/>
      <c r="N47" s="16"/>
      <c r="O47" s="16" t="s">
        <v>118</v>
      </c>
      <c r="P47" s="16">
        <v>2010</v>
      </c>
      <c r="Q47" s="16" t="s">
        <v>162</v>
      </c>
      <c r="R47" s="16" t="s">
        <v>118</v>
      </c>
      <c r="S47" s="16">
        <v>2010</v>
      </c>
      <c r="T47" s="16" t="s">
        <v>162</v>
      </c>
      <c r="U47" s="16" t="s">
        <v>117</v>
      </c>
      <c r="V47" s="16">
        <v>2010</v>
      </c>
      <c r="W47" s="16" t="s">
        <v>162</v>
      </c>
    </row>
    <row r="48" spans="1:23" ht="33.75" x14ac:dyDescent="0.2">
      <c r="A48" s="19" t="s">
        <v>44</v>
      </c>
      <c r="B48" s="28" t="s">
        <v>154</v>
      </c>
      <c r="C48" s="14" t="str">
        <f t="shared" si="0"/>
        <v>Yes</v>
      </c>
      <c r="D48" s="28" t="str">
        <f>IF(F48="Yes", "Yes", "No")</f>
        <v>Yes</v>
      </c>
      <c r="E48" s="28" t="str">
        <f t="shared" si="3"/>
        <v>Yes</v>
      </c>
      <c r="F48" s="29" t="s">
        <v>117</v>
      </c>
      <c r="G48" s="16">
        <v>2012</v>
      </c>
      <c r="H48" s="16" t="s">
        <v>163</v>
      </c>
      <c r="I48" s="16" t="s">
        <v>117</v>
      </c>
      <c r="J48" s="16">
        <v>2012</v>
      </c>
      <c r="K48" s="16" t="s">
        <v>163</v>
      </c>
      <c r="L48" s="16"/>
      <c r="M48" s="16"/>
      <c r="N48" s="16"/>
      <c r="O48" s="16" t="s">
        <v>117</v>
      </c>
      <c r="P48" s="16">
        <v>2010</v>
      </c>
      <c r="Q48" s="16" t="s">
        <v>162</v>
      </c>
      <c r="R48" s="16" t="s">
        <v>117</v>
      </c>
      <c r="S48" s="16">
        <v>2010</v>
      </c>
      <c r="T48" s="16" t="s">
        <v>162</v>
      </c>
      <c r="U48" s="16" t="s">
        <v>117</v>
      </c>
      <c r="V48" s="16">
        <v>2010</v>
      </c>
      <c r="W48" s="16" t="s">
        <v>162</v>
      </c>
    </row>
    <row r="49" spans="1:23" ht="33.75" x14ac:dyDescent="0.2">
      <c r="A49" s="19" t="s">
        <v>45</v>
      </c>
      <c r="B49" s="28" t="s">
        <v>154</v>
      </c>
      <c r="C49" s="14" t="str">
        <f t="shared" si="0"/>
        <v>No</v>
      </c>
      <c r="D49" s="28" t="str">
        <f>IF(F49="Yes", "Yes", "No")</f>
        <v>No</v>
      </c>
      <c r="E49" s="28" t="str">
        <f t="shared" si="3"/>
        <v>Yes</v>
      </c>
      <c r="F49" s="29" t="s">
        <v>118</v>
      </c>
      <c r="G49" s="16">
        <v>2011</v>
      </c>
      <c r="H49" s="16" t="s">
        <v>163</v>
      </c>
      <c r="I49" s="16" t="s">
        <v>118</v>
      </c>
      <c r="J49" s="16">
        <v>2011</v>
      </c>
      <c r="K49" s="16" t="s">
        <v>163</v>
      </c>
      <c r="L49" s="16"/>
      <c r="M49" s="16"/>
      <c r="N49" s="16"/>
      <c r="O49" s="16" t="s">
        <v>117</v>
      </c>
      <c r="P49" s="16">
        <v>2010</v>
      </c>
      <c r="Q49" s="16" t="s">
        <v>162</v>
      </c>
      <c r="R49" s="16" t="s">
        <v>118</v>
      </c>
      <c r="S49" s="16">
        <v>2010</v>
      </c>
      <c r="T49" s="16" t="s">
        <v>162</v>
      </c>
      <c r="U49" s="16" t="s">
        <v>117</v>
      </c>
      <c r="V49" s="16">
        <v>2010</v>
      </c>
      <c r="W49" s="16" t="s">
        <v>162</v>
      </c>
    </row>
    <row r="50" spans="1:23" x14ac:dyDescent="0.2">
      <c r="A50" s="19" t="s">
        <v>46</v>
      </c>
      <c r="B50" s="28" t="s">
        <v>154</v>
      </c>
      <c r="C50" s="14" t="str">
        <f t="shared" si="0"/>
        <v>No</v>
      </c>
      <c r="D50" s="28" t="s">
        <v>154</v>
      </c>
      <c r="E50" s="28" t="s">
        <v>154</v>
      </c>
      <c r="F50" s="29"/>
      <c r="G50" s="16"/>
      <c r="H50" s="16" t="s">
        <v>161</v>
      </c>
      <c r="I50" s="16"/>
      <c r="J50" s="16"/>
      <c r="K50" s="16" t="s">
        <v>161</v>
      </c>
      <c r="L50" s="16"/>
      <c r="M50" s="16"/>
      <c r="N50" s="16" t="s">
        <v>161</v>
      </c>
      <c r="O50" s="16"/>
      <c r="P50" s="16"/>
      <c r="Q50" s="16"/>
      <c r="R50" s="16"/>
      <c r="S50" s="16"/>
      <c r="T50" s="16"/>
      <c r="U50" s="16"/>
      <c r="V50" s="16"/>
      <c r="W50" s="16"/>
    </row>
    <row r="51" spans="1:23" ht="33.75" x14ac:dyDescent="0.2">
      <c r="A51" s="19" t="s">
        <v>47</v>
      </c>
      <c r="B51" s="28" t="s">
        <v>154</v>
      </c>
      <c r="C51" s="14" t="str">
        <f t="shared" si="0"/>
        <v>Yes</v>
      </c>
      <c r="D51" s="28" t="str">
        <f>IF(F51="Yes", "Yes", "No")</f>
        <v>Yes</v>
      </c>
      <c r="E51" s="28" t="str">
        <f>IF(OR(I51="Yes", O51="Yes"),"Yes", "No")</f>
        <v>Yes</v>
      </c>
      <c r="F51" s="29" t="s">
        <v>117</v>
      </c>
      <c r="G51" s="16" t="s">
        <v>164</v>
      </c>
      <c r="H51" s="16" t="s">
        <v>162</v>
      </c>
      <c r="I51" s="16" t="s">
        <v>117</v>
      </c>
      <c r="J51" s="16" t="s">
        <v>164</v>
      </c>
      <c r="K51" s="16" t="s">
        <v>162</v>
      </c>
      <c r="L51" s="16" t="s">
        <v>117</v>
      </c>
      <c r="M51" s="16" t="s">
        <v>164</v>
      </c>
      <c r="N51" s="16" t="s">
        <v>162</v>
      </c>
      <c r="O51" s="16" t="s">
        <v>117</v>
      </c>
      <c r="P51" s="16">
        <v>2010</v>
      </c>
      <c r="Q51" s="16" t="s">
        <v>162</v>
      </c>
      <c r="R51" s="16" t="s">
        <v>117</v>
      </c>
      <c r="S51" s="16">
        <v>2010</v>
      </c>
      <c r="T51" s="16" t="s">
        <v>162</v>
      </c>
      <c r="U51" s="16" t="s">
        <v>117</v>
      </c>
      <c r="V51" s="16">
        <v>2010</v>
      </c>
      <c r="W51" s="16" t="s">
        <v>162</v>
      </c>
    </row>
    <row r="52" spans="1:23" x14ac:dyDescent="0.2">
      <c r="A52" s="19" t="s">
        <v>48</v>
      </c>
      <c r="B52" s="28" t="s">
        <v>154</v>
      </c>
      <c r="C52" s="14" t="str">
        <f t="shared" si="0"/>
        <v>No</v>
      </c>
      <c r="D52" s="28" t="s">
        <v>154</v>
      </c>
      <c r="E52" s="28" t="s">
        <v>154</v>
      </c>
      <c r="F52" s="29"/>
      <c r="G52" s="16"/>
      <c r="H52" s="16" t="s">
        <v>161</v>
      </c>
      <c r="I52" s="16"/>
      <c r="J52" s="16"/>
      <c r="K52" s="16" t="s">
        <v>161</v>
      </c>
      <c r="L52" s="16"/>
      <c r="M52" s="16"/>
      <c r="N52" s="16" t="s">
        <v>161</v>
      </c>
      <c r="O52" s="16"/>
      <c r="P52" s="16"/>
      <c r="Q52" s="16"/>
      <c r="R52" s="16"/>
      <c r="S52" s="16"/>
      <c r="T52" s="16"/>
      <c r="U52" s="16"/>
      <c r="V52" s="16"/>
      <c r="W52" s="16"/>
    </row>
    <row r="53" spans="1:23" ht="45" x14ac:dyDescent="0.2">
      <c r="A53" s="19" t="s">
        <v>49</v>
      </c>
      <c r="B53" s="28" t="s">
        <v>154</v>
      </c>
      <c r="C53" s="14" t="str">
        <f t="shared" si="0"/>
        <v>No</v>
      </c>
      <c r="D53" s="28" t="str">
        <f>IF(F53="Yes", "Yes", "No")</f>
        <v>No</v>
      </c>
      <c r="E53" s="28" t="str">
        <f t="shared" ref="E53:E62" si="4">IF(OR(I53="Yes", O53="Yes"),"Yes", "No")</f>
        <v>No</v>
      </c>
      <c r="F53" s="29" t="s">
        <v>118</v>
      </c>
      <c r="G53" s="16" t="s">
        <v>164</v>
      </c>
      <c r="H53" s="16" t="s">
        <v>165</v>
      </c>
      <c r="I53" s="16" t="s">
        <v>118</v>
      </c>
      <c r="J53" s="16" t="s">
        <v>164</v>
      </c>
      <c r="K53" s="16" t="s">
        <v>165</v>
      </c>
      <c r="L53" s="16"/>
      <c r="M53" s="16"/>
      <c r="N53" s="16"/>
      <c r="O53" s="16"/>
      <c r="P53" s="16"/>
      <c r="Q53" s="16"/>
      <c r="R53" s="16"/>
      <c r="S53" s="16"/>
      <c r="T53" s="16"/>
      <c r="U53" s="16"/>
      <c r="V53" s="16"/>
      <c r="W53" s="16"/>
    </row>
    <row r="54" spans="1:23" ht="33.75" x14ac:dyDescent="0.2">
      <c r="A54" s="19" t="s">
        <v>50</v>
      </c>
      <c r="B54" s="28" t="s">
        <v>154</v>
      </c>
      <c r="C54" s="14" t="str">
        <f t="shared" si="0"/>
        <v>No</v>
      </c>
      <c r="D54" s="28" t="s">
        <v>154</v>
      </c>
      <c r="E54" s="28" t="str">
        <f t="shared" si="4"/>
        <v>No</v>
      </c>
      <c r="F54" s="29"/>
      <c r="G54" s="16"/>
      <c r="H54" s="16"/>
      <c r="I54" s="16"/>
      <c r="J54" s="16"/>
      <c r="K54" s="16"/>
      <c r="L54" s="16"/>
      <c r="M54" s="16"/>
      <c r="N54" s="16"/>
      <c r="O54" s="16" t="s">
        <v>118</v>
      </c>
      <c r="P54" s="16">
        <v>2010</v>
      </c>
      <c r="Q54" s="16" t="s">
        <v>162</v>
      </c>
      <c r="R54" s="16" t="s">
        <v>118</v>
      </c>
      <c r="S54" s="16">
        <v>2010</v>
      </c>
      <c r="T54" s="16" t="s">
        <v>162</v>
      </c>
      <c r="U54" s="16" t="s">
        <v>117</v>
      </c>
      <c r="V54" s="16">
        <v>2010</v>
      </c>
      <c r="W54" s="16" t="s">
        <v>162</v>
      </c>
    </row>
    <row r="55" spans="1:23" ht="33.75" x14ac:dyDescent="0.2">
      <c r="A55" s="19" t="s">
        <v>51</v>
      </c>
      <c r="B55" s="28" t="s">
        <v>154</v>
      </c>
      <c r="C55" s="14" t="str">
        <f t="shared" si="0"/>
        <v>No</v>
      </c>
      <c r="D55" s="28" t="s">
        <v>154</v>
      </c>
      <c r="E55" s="28" t="str">
        <f t="shared" si="4"/>
        <v>Yes</v>
      </c>
      <c r="F55" s="29"/>
      <c r="G55" s="16"/>
      <c r="H55" s="16"/>
      <c r="I55" s="16"/>
      <c r="J55" s="16"/>
      <c r="K55" s="16"/>
      <c r="L55" s="16"/>
      <c r="M55" s="16"/>
      <c r="N55" s="16"/>
      <c r="O55" s="16" t="s">
        <v>117</v>
      </c>
      <c r="P55" s="16">
        <v>2010</v>
      </c>
      <c r="Q55" s="16" t="s">
        <v>162</v>
      </c>
      <c r="R55" s="16" t="s">
        <v>118</v>
      </c>
      <c r="S55" s="16">
        <v>2010</v>
      </c>
      <c r="T55" s="16" t="s">
        <v>162</v>
      </c>
      <c r="U55" s="16" t="s">
        <v>117</v>
      </c>
      <c r="V55" s="16">
        <v>2010</v>
      </c>
      <c r="W55" s="16" t="s">
        <v>162</v>
      </c>
    </row>
    <row r="56" spans="1:23" x14ac:dyDescent="0.2">
      <c r="A56" s="19" t="s">
        <v>52</v>
      </c>
      <c r="B56" s="28" t="s">
        <v>154</v>
      </c>
      <c r="C56" s="14" t="str">
        <f t="shared" si="0"/>
        <v>No</v>
      </c>
      <c r="D56" s="28" t="str">
        <f>IF(F56="Yes", "Yes", "No")</f>
        <v>Yes</v>
      </c>
      <c r="E56" s="28" t="str">
        <f t="shared" si="4"/>
        <v>No</v>
      </c>
      <c r="F56" s="29" t="s">
        <v>117</v>
      </c>
      <c r="G56" s="16">
        <v>2011</v>
      </c>
      <c r="H56" s="16" t="s">
        <v>163</v>
      </c>
      <c r="I56" s="16" t="s">
        <v>118</v>
      </c>
      <c r="J56" s="16">
        <v>2011</v>
      </c>
      <c r="K56" s="16" t="s">
        <v>163</v>
      </c>
      <c r="L56" s="16"/>
      <c r="M56" s="16"/>
      <c r="N56" s="16"/>
      <c r="O56" s="16"/>
      <c r="P56" s="16"/>
      <c r="Q56" s="16"/>
      <c r="R56" s="16"/>
      <c r="S56" s="16"/>
      <c r="T56" s="16"/>
      <c r="U56" s="16"/>
      <c r="V56" s="16"/>
      <c r="W56" s="16"/>
    </row>
    <row r="57" spans="1:23" ht="33.75" x14ac:dyDescent="0.2">
      <c r="A57" s="19" t="s">
        <v>53</v>
      </c>
      <c r="B57" s="28" t="s">
        <v>154</v>
      </c>
      <c r="C57" s="14" t="str">
        <f t="shared" si="0"/>
        <v>No</v>
      </c>
      <c r="D57" s="28" t="str">
        <f>IF(F57="Yes", "Yes", "No")</f>
        <v>No</v>
      </c>
      <c r="E57" s="28" t="str">
        <f t="shared" si="4"/>
        <v>No</v>
      </c>
      <c r="F57" s="29" t="s">
        <v>118</v>
      </c>
      <c r="G57" s="16" t="s">
        <v>164</v>
      </c>
      <c r="H57" s="16" t="s">
        <v>162</v>
      </c>
      <c r="I57" s="16" t="s">
        <v>118</v>
      </c>
      <c r="J57" s="16" t="s">
        <v>164</v>
      </c>
      <c r="K57" s="16" t="s">
        <v>162</v>
      </c>
      <c r="L57" s="16" t="s">
        <v>118</v>
      </c>
      <c r="M57" s="16" t="s">
        <v>164</v>
      </c>
      <c r="N57" s="16" t="s">
        <v>162</v>
      </c>
      <c r="O57" s="16" t="s">
        <v>118</v>
      </c>
      <c r="P57" s="16">
        <v>2010</v>
      </c>
      <c r="Q57" s="16" t="s">
        <v>162</v>
      </c>
      <c r="R57" s="16" t="s">
        <v>118</v>
      </c>
      <c r="S57" s="16">
        <v>2010</v>
      </c>
      <c r="T57" s="16" t="s">
        <v>162</v>
      </c>
      <c r="U57" s="16" t="s">
        <v>117</v>
      </c>
      <c r="V57" s="16">
        <v>2010</v>
      </c>
      <c r="W57" s="16" t="s">
        <v>162</v>
      </c>
    </row>
    <row r="58" spans="1:23" x14ac:dyDescent="0.2">
      <c r="A58" s="19" t="s">
        <v>54</v>
      </c>
      <c r="B58" s="28" t="s">
        <v>154</v>
      </c>
      <c r="C58" s="14" t="str">
        <f t="shared" si="0"/>
        <v>No</v>
      </c>
      <c r="D58" s="28" t="str">
        <f>IF(F58="Yes", "Yes", "No")</f>
        <v>No</v>
      </c>
      <c r="E58" s="28" t="str">
        <f t="shared" si="4"/>
        <v>No</v>
      </c>
      <c r="F58" s="29" t="s">
        <v>118</v>
      </c>
      <c r="G58" s="16">
        <v>2011</v>
      </c>
      <c r="H58" s="16" t="s">
        <v>163</v>
      </c>
      <c r="I58" s="16" t="s">
        <v>118</v>
      </c>
      <c r="J58" s="16">
        <v>2011</v>
      </c>
      <c r="K58" s="16" t="s">
        <v>163</v>
      </c>
      <c r="L58" s="16"/>
      <c r="M58" s="16"/>
      <c r="N58" s="16"/>
      <c r="O58" s="16"/>
      <c r="P58" s="16"/>
      <c r="Q58" s="16"/>
      <c r="R58" s="16"/>
      <c r="S58" s="16"/>
      <c r="T58" s="16"/>
      <c r="U58" s="16"/>
      <c r="V58" s="16"/>
      <c r="W58" s="16"/>
    </row>
    <row r="59" spans="1:23" ht="33.75" x14ac:dyDescent="0.2">
      <c r="A59" s="19" t="s">
        <v>55</v>
      </c>
      <c r="B59" s="28" t="s">
        <v>154</v>
      </c>
      <c r="C59" s="14" t="str">
        <f t="shared" si="0"/>
        <v>No</v>
      </c>
      <c r="D59" s="28" t="str">
        <f>IF(F59="Yes", "Yes", "No")</f>
        <v>No</v>
      </c>
      <c r="E59" s="28" t="str">
        <f t="shared" si="4"/>
        <v>Yes</v>
      </c>
      <c r="F59" s="29" t="s">
        <v>118</v>
      </c>
      <c r="G59" s="16">
        <v>2012</v>
      </c>
      <c r="H59" s="16" t="s">
        <v>163</v>
      </c>
      <c r="I59" s="16" t="s">
        <v>117</v>
      </c>
      <c r="J59" s="16">
        <v>2012</v>
      </c>
      <c r="K59" s="16" t="s">
        <v>163</v>
      </c>
      <c r="L59" s="16"/>
      <c r="M59" s="16"/>
      <c r="N59" s="16"/>
      <c r="O59" s="16" t="s">
        <v>117</v>
      </c>
      <c r="P59" s="16">
        <v>2010</v>
      </c>
      <c r="Q59" s="16" t="s">
        <v>162</v>
      </c>
      <c r="R59" s="16" t="s">
        <v>118</v>
      </c>
      <c r="S59" s="16">
        <v>2010</v>
      </c>
      <c r="T59" s="16" t="s">
        <v>162</v>
      </c>
      <c r="U59" s="16" t="s">
        <v>117</v>
      </c>
      <c r="V59" s="16">
        <v>2010</v>
      </c>
      <c r="W59" s="16" t="s">
        <v>162</v>
      </c>
    </row>
    <row r="60" spans="1:23" ht="33.75" x14ac:dyDescent="0.2">
      <c r="A60" s="19" t="s">
        <v>56</v>
      </c>
      <c r="B60" s="28" t="s">
        <v>154</v>
      </c>
      <c r="C60" s="14" t="str">
        <f t="shared" si="0"/>
        <v>No</v>
      </c>
      <c r="D60" s="28" t="s">
        <v>154</v>
      </c>
      <c r="E60" s="28" t="str">
        <f t="shared" si="4"/>
        <v>Yes</v>
      </c>
      <c r="F60" s="29"/>
      <c r="G60" s="16"/>
      <c r="H60" s="16"/>
      <c r="I60" s="16"/>
      <c r="J60" s="16"/>
      <c r="K60" s="16"/>
      <c r="L60" s="16"/>
      <c r="M60" s="16"/>
      <c r="N60" s="16"/>
      <c r="O60" s="16" t="s">
        <v>117</v>
      </c>
      <c r="P60" s="16">
        <v>2010</v>
      </c>
      <c r="Q60" s="16" t="s">
        <v>162</v>
      </c>
      <c r="R60" s="16" t="s">
        <v>118</v>
      </c>
      <c r="S60" s="16">
        <v>2010</v>
      </c>
      <c r="T60" s="16" t="s">
        <v>162</v>
      </c>
      <c r="U60" s="16" t="s">
        <v>117</v>
      </c>
      <c r="V60" s="16">
        <v>2010</v>
      </c>
      <c r="W60" s="16" t="s">
        <v>162</v>
      </c>
    </row>
    <row r="61" spans="1:23" ht="90" x14ac:dyDescent="0.2">
      <c r="A61" s="19" t="s">
        <v>57</v>
      </c>
      <c r="B61" s="28" t="s">
        <v>154</v>
      </c>
      <c r="C61" s="14" t="str">
        <f t="shared" si="0"/>
        <v>No</v>
      </c>
      <c r="D61" s="28" t="str">
        <f>IF(F61="Yes", "Yes", "No")</f>
        <v>No</v>
      </c>
      <c r="E61" s="28" t="str">
        <f t="shared" si="4"/>
        <v>Yes</v>
      </c>
      <c r="F61" s="29" t="s">
        <v>166</v>
      </c>
      <c r="G61" s="16">
        <v>2012</v>
      </c>
      <c r="H61" s="16" t="s">
        <v>163</v>
      </c>
      <c r="I61" s="16" t="s">
        <v>117</v>
      </c>
      <c r="J61" s="16">
        <v>2012</v>
      </c>
      <c r="K61" s="16" t="s">
        <v>163</v>
      </c>
      <c r="L61" s="16"/>
      <c r="M61" s="16"/>
      <c r="N61" s="16"/>
      <c r="O61" s="16"/>
      <c r="P61" s="16"/>
      <c r="Q61" s="16"/>
      <c r="R61" s="16"/>
      <c r="S61" s="16"/>
      <c r="T61" s="16"/>
      <c r="U61" s="16"/>
      <c r="V61" s="16"/>
      <c r="W61" s="16"/>
    </row>
    <row r="62" spans="1:23" x14ac:dyDescent="0.2">
      <c r="A62" s="19" t="s">
        <v>58</v>
      </c>
      <c r="B62" s="28" t="s">
        <v>154</v>
      </c>
      <c r="C62" s="14" t="str">
        <f t="shared" si="0"/>
        <v>Yes</v>
      </c>
      <c r="D62" s="28" t="str">
        <f>IF(F62="Yes", "Yes", "No")</f>
        <v>Yes</v>
      </c>
      <c r="E62" s="28" t="str">
        <f t="shared" si="4"/>
        <v>Yes</v>
      </c>
      <c r="F62" s="29" t="s">
        <v>117</v>
      </c>
      <c r="G62" s="16">
        <v>2012</v>
      </c>
      <c r="H62" s="16" t="s">
        <v>163</v>
      </c>
      <c r="I62" s="16" t="s">
        <v>117</v>
      </c>
      <c r="J62" s="16">
        <v>2012</v>
      </c>
      <c r="K62" s="16" t="s">
        <v>163</v>
      </c>
      <c r="L62" s="16"/>
      <c r="M62" s="16"/>
      <c r="N62" s="16"/>
      <c r="O62" s="16"/>
      <c r="P62" s="16"/>
      <c r="Q62" s="16"/>
      <c r="R62" s="16"/>
      <c r="S62" s="16"/>
      <c r="T62" s="16"/>
      <c r="U62" s="16"/>
      <c r="V62" s="16"/>
      <c r="W62" s="16"/>
    </row>
    <row r="63" spans="1:23" x14ac:dyDescent="0.2">
      <c r="A63" s="19" t="s">
        <v>59</v>
      </c>
      <c r="B63" s="28" t="s">
        <v>154</v>
      </c>
      <c r="C63" s="14" t="str">
        <f t="shared" si="0"/>
        <v>No</v>
      </c>
      <c r="D63" s="28" t="s">
        <v>154</v>
      </c>
      <c r="E63" s="28" t="s">
        <v>154</v>
      </c>
      <c r="F63" s="29"/>
      <c r="G63" s="16"/>
      <c r="H63" s="16" t="s">
        <v>161</v>
      </c>
      <c r="I63" s="16"/>
      <c r="J63" s="16"/>
      <c r="K63" s="16" t="s">
        <v>161</v>
      </c>
      <c r="L63" s="16"/>
      <c r="M63" s="16"/>
      <c r="N63" s="16" t="s">
        <v>161</v>
      </c>
      <c r="O63" s="16"/>
      <c r="P63" s="16"/>
      <c r="Q63" s="16"/>
      <c r="R63" s="16"/>
      <c r="S63" s="16"/>
      <c r="T63" s="16"/>
      <c r="U63" s="16"/>
      <c r="V63" s="16"/>
      <c r="W63" s="16"/>
    </row>
    <row r="64" spans="1:23" x14ac:dyDescent="0.2">
      <c r="A64" s="19" t="s">
        <v>60</v>
      </c>
      <c r="B64" s="28" t="s">
        <v>154</v>
      </c>
      <c r="C64" s="14" t="str">
        <f t="shared" si="0"/>
        <v>No</v>
      </c>
      <c r="D64" s="28" t="str">
        <f>IF(F64="Yes", "Yes", "No")</f>
        <v>No</v>
      </c>
      <c r="E64" s="28" t="str">
        <f>IF(OR(I64="Yes", O64="Yes"),"Yes", "No")</f>
        <v>Yes</v>
      </c>
      <c r="F64" s="29" t="s">
        <v>118</v>
      </c>
      <c r="G64" s="16">
        <v>2011</v>
      </c>
      <c r="H64" s="16" t="s">
        <v>163</v>
      </c>
      <c r="I64" s="16" t="s">
        <v>117</v>
      </c>
      <c r="J64" s="16">
        <v>2011</v>
      </c>
      <c r="K64" s="16" t="s">
        <v>163</v>
      </c>
      <c r="L64" s="16"/>
      <c r="M64" s="16"/>
      <c r="N64" s="16"/>
      <c r="O64" s="16"/>
      <c r="P64" s="16"/>
      <c r="Q64" s="16"/>
      <c r="R64" s="16"/>
      <c r="S64" s="16"/>
      <c r="T64" s="16"/>
      <c r="U64" s="16"/>
      <c r="V64" s="16"/>
      <c r="W64" s="16"/>
    </row>
    <row r="65" spans="1:23" x14ac:dyDescent="0.2">
      <c r="A65" s="19" t="s">
        <v>61</v>
      </c>
      <c r="B65" s="28" t="s">
        <v>154</v>
      </c>
      <c r="C65" s="14" t="str">
        <f t="shared" si="0"/>
        <v>No</v>
      </c>
      <c r="D65" s="28" t="str">
        <f>IF(F65="Yes", "Yes", "No")</f>
        <v>Yes</v>
      </c>
      <c r="E65" s="28" t="str">
        <f>IF(OR(I65="Yes", O65="Yes"),"Yes", "No")</f>
        <v>No</v>
      </c>
      <c r="F65" s="29" t="s">
        <v>117</v>
      </c>
      <c r="G65" s="16">
        <v>2011</v>
      </c>
      <c r="H65" s="16" t="s">
        <v>163</v>
      </c>
      <c r="I65" s="16" t="s">
        <v>118</v>
      </c>
      <c r="J65" s="16">
        <v>2011</v>
      </c>
      <c r="K65" s="16" t="s">
        <v>163</v>
      </c>
      <c r="L65" s="16"/>
      <c r="M65" s="16"/>
      <c r="N65" s="16"/>
      <c r="O65" s="16"/>
      <c r="P65" s="16"/>
      <c r="Q65" s="16"/>
      <c r="R65" s="16"/>
      <c r="S65" s="16"/>
      <c r="T65" s="16"/>
      <c r="U65" s="16"/>
      <c r="V65" s="16"/>
      <c r="W65" s="16"/>
    </row>
    <row r="66" spans="1:23" x14ac:dyDescent="0.2">
      <c r="A66" s="19" t="s">
        <v>62</v>
      </c>
      <c r="B66" s="28" t="s">
        <v>154</v>
      </c>
      <c r="C66" s="14" t="str">
        <f t="shared" si="0"/>
        <v>No</v>
      </c>
      <c r="D66" s="28" t="s">
        <v>154</v>
      </c>
      <c r="E66" s="28" t="s">
        <v>154</v>
      </c>
      <c r="F66" s="29"/>
      <c r="G66" s="16"/>
      <c r="H66" s="16" t="s">
        <v>161</v>
      </c>
      <c r="I66" s="16"/>
      <c r="J66" s="16"/>
      <c r="K66" s="16" t="s">
        <v>161</v>
      </c>
      <c r="L66" s="16"/>
      <c r="M66" s="16"/>
      <c r="N66" s="16" t="s">
        <v>161</v>
      </c>
      <c r="O66" s="16"/>
      <c r="P66" s="16"/>
      <c r="Q66" s="16"/>
      <c r="R66" s="16"/>
      <c r="S66" s="16"/>
      <c r="T66" s="16"/>
      <c r="U66" s="16"/>
      <c r="V66" s="16"/>
      <c r="W66" s="16"/>
    </row>
    <row r="67" spans="1:23" x14ac:dyDescent="0.2">
      <c r="A67" s="19" t="s">
        <v>63</v>
      </c>
      <c r="B67" s="28" t="s">
        <v>154</v>
      </c>
      <c r="C67" s="14" t="str">
        <f t="shared" si="0"/>
        <v>No</v>
      </c>
      <c r="D67" s="28" t="s">
        <v>154</v>
      </c>
      <c r="E67" s="28" t="s">
        <v>154</v>
      </c>
      <c r="F67" s="29"/>
      <c r="G67" s="16"/>
      <c r="H67" s="16" t="s">
        <v>161</v>
      </c>
      <c r="I67" s="16"/>
      <c r="J67" s="16"/>
      <c r="K67" s="16" t="s">
        <v>161</v>
      </c>
      <c r="L67" s="16"/>
      <c r="M67" s="16"/>
      <c r="N67" s="16" t="s">
        <v>161</v>
      </c>
      <c r="O67" s="16"/>
      <c r="P67" s="16"/>
      <c r="Q67" s="16"/>
      <c r="R67" s="16"/>
      <c r="S67" s="16"/>
      <c r="T67" s="16"/>
      <c r="U67" s="16"/>
      <c r="V67" s="16"/>
      <c r="W67" s="16"/>
    </row>
    <row r="68" spans="1:23" x14ac:dyDescent="0.2">
      <c r="A68" s="19" t="s">
        <v>64</v>
      </c>
      <c r="B68" s="28" t="s">
        <v>154</v>
      </c>
      <c r="C68" s="14" t="str">
        <f t="shared" si="0"/>
        <v>No</v>
      </c>
      <c r="D68" s="28" t="s">
        <v>154</v>
      </c>
      <c r="E68" s="28" t="s">
        <v>154</v>
      </c>
      <c r="F68" s="29"/>
      <c r="G68" s="16"/>
      <c r="H68" s="16" t="s">
        <v>161</v>
      </c>
      <c r="I68" s="16"/>
      <c r="J68" s="16"/>
      <c r="K68" s="16" t="s">
        <v>161</v>
      </c>
      <c r="L68" s="16"/>
      <c r="M68" s="16"/>
      <c r="N68" s="16" t="s">
        <v>161</v>
      </c>
      <c r="O68" s="16"/>
      <c r="P68" s="16"/>
      <c r="Q68" s="16"/>
      <c r="R68" s="16"/>
      <c r="S68" s="16"/>
      <c r="T68" s="16"/>
      <c r="U68" s="16"/>
      <c r="V68" s="16"/>
      <c r="W68" s="16"/>
    </row>
    <row r="69" spans="1:23" x14ac:dyDescent="0.2">
      <c r="A69" s="19" t="s">
        <v>65</v>
      </c>
      <c r="B69" s="28" t="s">
        <v>154</v>
      </c>
      <c r="C69" s="14" t="str">
        <f t="shared" si="0"/>
        <v>No</v>
      </c>
      <c r="D69" s="28" t="str">
        <f>IF(F69="Yes", "Yes", "No")</f>
        <v>No</v>
      </c>
      <c r="E69" s="28" t="str">
        <f>IF(OR(I69="Yes", O69="Yes"),"Yes", "No")</f>
        <v>No</v>
      </c>
      <c r="F69" s="29" t="s">
        <v>118</v>
      </c>
      <c r="G69" s="16">
        <v>2011</v>
      </c>
      <c r="H69" s="16" t="s">
        <v>163</v>
      </c>
      <c r="I69" s="16" t="s">
        <v>118</v>
      </c>
      <c r="J69" s="16">
        <v>2011</v>
      </c>
      <c r="K69" s="16" t="s">
        <v>163</v>
      </c>
      <c r="L69" s="16"/>
      <c r="M69" s="16"/>
      <c r="N69" s="16"/>
      <c r="O69" s="16"/>
      <c r="P69" s="16"/>
      <c r="Q69" s="16"/>
      <c r="R69" s="16"/>
      <c r="S69" s="16"/>
      <c r="T69" s="16"/>
      <c r="U69" s="16"/>
      <c r="V69" s="16"/>
      <c r="W69" s="16"/>
    </row>
    <row r="70" spans="1:23" ht="45" x14ac:dyDescent="0.2">
      <c r="A70" s="19" t="s">
        <v>66</v>
      </c>
      <c r="B70" s="28" t="s">
        <v>154</v>
      </c>
      <c r="C70" s="14" t="str">
        <f t="shared" si="0"/>
        <v>Yes</v>
      </c>
      <c r="D70" s="28" t="str">
        <f>IF(F70="Yes", "Yes", "No")</f>
        <v>Yes</v>
      </c>
      <c r="E70" s="28" t="str">
        <f>IF(OR(I70="Yes", O70="Yes"),"Yes", "No")</f>
        <v>Yes</v>
      </c>
      <c r="F70" s="29" t="s">
        <v>117</v>
      </c>
      <c r="G70" s="16" t="s">
        <v>164</v>
      </c>
      <c r="H70" s="16" t="s">
        <v>165</v>
      </c>
      <c r="I70" s="16" t="s">
        <v>117</v>
      </c>
      <c r="J70" s="16" t="s">
        <v>164</v>
      </c>
      <c r="K70" s="16" t="s">
        <v>165</v>
      </c>
      <c r="L70" s="16" t="s">
        <v>117</v>
      </c>
      <c r="M70" s="16" t="s">
        <v>164</v>
      </c>
      <c r="N70" s="16" t="s">
        <v>165</v>
      </c>
      <c r="O70" s="16"/>
      <c r="P70" s="16"/>
      <c r="Q70" s="16"/>
      <c r="R70" s="16"/>
      <c r="S70" s="16"/>
      <c r="T70" s="16"/>
      <c r="U70" s="16"/>
      <c r="V70" s="16"/>
      <c r="W70" s="16"/>
    </row>
    <row r="71" spans="1:23" x14ac:dyDescent="0.2">
      <c r="A71" s="19" t="s">
        <v>67</v>
      </c>
      <c r="B71" s="28" t="s">
        <v>154</v>
      </c>
      <c r="C71" s="14" t="str">
        <f t="shared" ref="C71:C81" si="5">IF(AND(D71= "Yes", E71= "Yes"), "Yes", "No")</f>
        <v>No</v>
      </c>
      <c r="D71" s="28" t="s">
        <v>154</v>
      </c>
      <c r="E71" s="28" t="s">
        <v>154</v>
      </c>
      <c r="F71" s="29"/>
      <c r="G71" s="16"/>
      <c r="H71" s="16" t="s">
        <v>161</v>
      </c>
      <c r="I71" s="16"/>
      <c r="J71" s="16"/>
      <c r="K71" s="16" t="s">
        <v>161</v>
      </c>
      <c r="L71" s="16"/>
      <c r="M71" s="16"/>
      <c r="N71" s="16" t="s">
        <v>161</v>
      </c>
      <c r="O71" s="16"/>
      <c r="P71" s="16"/>
      <c r="Q71" s="16"/>
      <c r="R71" s="16"/>
      <c r="S71" s="16"/>
      <c r="T71" s="16"/>
      <c r="U71" s="16"/>
      <c r="V71" s="16"/>
      <c r="W71" s="16"/>
    </row>
    <row r="72" spans="1:23" ht="33.75" x14ac:dyDescent="0.2">
      <c r="A72" s="19" t="s">
        <v>68</v>
      </c>
      <c r="B72" s="28" t="s">
        <v>154</v>
      </c>
      <c r="C72" s="14" t="str">
        <f t="shared" si="5"/>
        <v>No</v>
      </c>
      <c r="D72" s="28" t="s">
        <v>154</v>
      </c>
      <c r="E72" s="28" t="str">
        <f t="shared" ref="E72:E81" si="6">IF(OR(I72="Yes", O72="Yes"),"Yes", "No")</f>
        <v>Yes</v>
      </c>
      <c r="F72" s="29"/>
      <c r="G72" s="16"/>
      <c r="H72" s="16"/>
      <c r="I72" s="16"/>
      <c r="J72" s="16"/>
      <c r="K72" s="16"/>
      <c r="L72" s="16"/>
      <c r="M72" s="16"/>
      <c r="N72" s="16"/>
      <c r="O72" s="16" t="s">
        <v>117</v>
      </c>
      <c r="P72" s="16">
        <v>2010</v>
      </c>
      <c r="Q72" s="16" t="s">
        <v>162</v>
      </c>
      <c r="R72" s="16" t="s">
        <v>117</v>
      </c>
      <c r="S72" s="16">
        <v>2010</v>
      </c>
      <c r="T72" s="16" t="s">
        <v>162</v>
      </c>
      <c r="U72" s="16" t="s">
        <v>117</v>
      </c>
      <c r="V72" s="16">
        <v>2010</v>
      </c>
      <c r="W72" s="16" t="s">
        <v>162</v>
      </c>
    </row>
    <row r="73" spans="1:23" ht="33.75" x14ac:dyDescent="0.2">
      <c r="A73" s="19" t="s">
        <v>70</v>
      </c>
      <c r="B73" s="28" t="s">
        <v>154</v>
      </c>
      <c r="C73" s="14" t="str">
        <f t="shared" si="5"/>
        <v>No</v>
      </c>
      <c r="D73" s="28" t="str">
        <f>IF(F73="Yes", "Yes", "No")</f>
        <v>No</v>
      </c>
      <c r="E73" s="28" t="str">
        <f t="shared" si="6"/>
        <v>Yes</v>
      </c>
      <c r="F73" s="29" t="s">
        <v>118</v>
      </c>
      <c r="G73" s="16">
        <v>2011</v>
      </c>
      <c r="H73" s="16" t="s">
        <v>163</v>
      </c>
      <c r="I73" s="16" t="s">
        <v>118</v>
      </c>
      <c r="J73" s="16">
        <v>2011</v>
      </c>
      <c r="K73" s="16" t="s">
        <v>163</v>
      </c>
      <c r="L73" s="16"/>
      <c r="M73" s="16"/>
      <c r="N73" s="16"/>
      <c r="O73" s="16" t="s">
        <v>117</v>
      </c>
      <c r="P73" s="16">
        <v>2010</v>
      </c>
      <c r="Q73" s="16" t="s">
        <v>162</v>
      </c>
      <c r="R73" s="16" t="s">
        <v>118</v>
      </c>
      <c r="S73" s="16">
        <v>2010</v>
      </c>
      <c r="T73" s="16" t="s">
        <v>162</v>
      </c>
      <c r="U73" s="16" t="s">
        <v>117</v>
      </c>
      <c r="V73" s="16">
        <v>2010</v>
      </c>
      <c r="W73" s="16" t="s">
        <v>162</v>
      </c>
    </row>
    <row r="74" spans="1:23" ht="33.75" x14ac:dyDescent="0.2">
      <c r="A74" s="19" t="s">
        <v>71</v>
      </c>
      <c r="B74" s="28" t="s">
        <v>154</v>
      </c>
      <c r="C74" s="14" t="str">
        <f t="shared" si="5"/>
        <v>No</v>
      </c>
      <c r="D74" s="28" t="s">
        <v>154</v>
      </c>
      <c r="E74" s="28" t="str">
        <f t="shared" si="6"/>
        <v>Yes</v>
      </c>
      <c r="F74" s="29"/>
      <c r="G74" s="16"/>
      <c r="H74" s="16"/>
      <c r="I74" s="16"/>
      <c r="J74" s="16"/>
      <c r="K74" s="16"/>
      <c r="L74" s="16"/>
      <c r="M74" s="16"/>
      <c r="N74" s="16"/>
      <c r="O74" s="16" t="s">
        <v>117</v>
      </c>
      <c r="P74" s="16">
        <v>2010</v>
      </c>
      <c r="Q74" s="16" t="s">
        <v>162</v>
      </c>
      <c r="R74" s="16" t="s">
        <v>117</v>
      </c>
      <c r="S74" s="16">
        <v>2010</v>
      </c>
      <c r="T74" s="16" t="s">
        <v>162</v>
      </c>
      <c r="U74" s="16" t="s">
        <v>117</v>
      </c>
      <c r="V74" s="16">
        <v>2010</v>
      </c>
      <c r="W74" s="16" t="s">
        <v>162</v>
      </c>
    </row>
    <row r="75" spans="1:23" ht="45" x14ac:dyDescent="0.2">
      <c r="A75" s="19" t="s">
        <v>72</v>
      </c>
      <c r="B75" s="28" t="s">
        <v>154</v>
      </c>
      <c r="C75" s="14" t="str">
        <f t="shared" si="5"/>
        <v>Yes</v>
      </c>
      <c r="D75" s="28" t="str">
        <f t="shared" ref="D75:D81" si="7">IF(F75="Yes", "Yes", "No")</f>
        <v>Yes</v>
      </c>
      <c r="E75" s="28" t="str">
        <f t="shared" si="6"/>
        <v>Yes</v>
      </c>
      <c r="F75" s="29" t="s">
        <v>117</v>
      </c>
      <c r="G75" s="16" t="s">
        <v>164</v>
      </c>
      <c r="H75" s="16" t="s">
        <v>165</v>
      </c>
      <c r="I75" s="16" t="s">
        <v>117</v>
      </c>
      <c r="J75" s="16" t="s">
        <v>164</v>
      </c>
      <c r="K75" s="16" t="s">
        <v>165</v>
      </c>
      <c r="L75" s="16" t="s">
        <v>118</v>
      </c>
      <c r="M75" s="16" t="s">
        <v>164</v>
      </c>
      <c r="N75" s="16" t="s">
        <v>165</v>
      </c>
      <c r="O75" s="16" t="s">
        <v>117</v>
      </c>
      <c r="P75" s="16">
        <v>2010</v>
      </c>
      <c r="Q75" s="16" t="s">
        <v>162</v>
      </c>
      <c r="R75" s="16" t="s">
        <v>117</v>
      </c>
      <c r="S75" s="16">
        <v>2010</v>
      </c>
      <c r="T75" s="16" t="s">
        <v>162</v>
      </c>
      <c r="U75" s="16" t="s">
        <v>117</v>
      </c>
      <c r="V75" s="16">
        <v>2010</v>
      </c>
      <c r="W75" s="16" t="s">
        <v>162</v>
      </c>
    </row>
    <row r="76" spans="1:23" ht="45" x14ac:dyDescent="0.2">
      <c r="A76" s="19" t="s">
        <v>69</v>
      </c>
      <c r="B76" s="28" t="s">
        <v>154</v>
      </c>
      <c r="C76" s="14" t="str">
        <f t="shared" si="5"/>
        <v>Yes</v>
      </c>
      <c r="D76" s="28" t="str">
        <f t="shared" si="7"/>
        <v>Yes</v>
      </c>
      <c r="E76" s="28" t="str">
        <f t="shared" si="6"/>
        <v>Yes</v>
      </c>
      <c r="F76" s="29" t="s">
        <v>117</v>
      </c>
      <c r="G76" s="16" t="s">
        <v>164</v>
      </c>
      <c r="H76" s="16" t="s">
        <v>165</v>
      </c>
      <c r="I76" s="16" t="s">
        <v>117</v>
      </c>
      <c r="J76" s="16" t="s">
        <v>164</v>
      </c>
      <c r="K76" s="16" t="s">
        <v>165</v>
      </c>
      <c r="L76" s="16" t="s">
        <v>117</v>
      </c>
      <c r="M76" s="16" t="s">
        <v>164</v>
      </c>
      <c r="N76" s="16" t="s">
        <v>165</v>
      </c>
      <c r="O76" s="16" t="s">
        <v>117</v>
      </c>
      <c r="P76" s="16">
        <v>2010</v>
      </c>
      <c r="Q76" s="16" t="s">
        <v>162</v>
      </c>
      <c r="R76" s="16" t="s">
        <v>118</v>
      </c>
      <c r="S76" s="16">
        <v>2010</v>
      </c>
      <c r="T76" s="16" t="s">
        <v>162</v>
      </c>
      <c r="U76" s="16" t="s">
        <v>117</v>
      </c>
      <c r="V76" s="16">
        <v>2010</v>
      </c>
      <c r="W76" s="16" t="s">
        <v>162</v>
      </c>
    </row>
    <row r="77" spans="1:23" ht="33.75" x14ac:dyDescent="0.2">
      <c r="A77" s="19" t="s">
        <v>73</v>
      </c>
      <c r="B77" s="28" t="s">
        <v>154</v>
      </c>
      <c r="C77" s="14" t="str">
        <f t="shared" si="5"/>
        <v>Yes</v>
      </c>
      <c r="D77" s="28" t="str">
        <f t="shared" si="7"/>
        <v>Yes</v>
      </c>
      <c r="E77" s="28" t="str">
        <f t="shared" si="6"/>
        <v>Yes</v>
      </c>
      <c r="F77" s="29" t="s">
        <v>117</v>
      </c>
      <c r="G77" s="16" t="s">
        <v>164</v>
      </c>
      <c r="H77" s="16" t="s">
        <v>162</v>
      </c>
      <c r="I77" s="16" t="s">
        <v>117</v>
      </c>
      <c r="J77" s="16" t="s">
        <v>164</v>
      </c>
      <c r="K77" s="16" t="s">
        <v>162</v>
      </c>
      <c r="L77" s="16" t="s">
        <v>117</v>
      </c>
      <c r="M77" s="16" t="s">
        <v>164</v>
      </c>
      <c r="N77" s="16" t="s">
        <v>162</v>
      </c>
      <c r="O77" s="16"/>
      <c r="P77" s="16"/>
      <c r="Q77" s="16"/>
      <c r="R77" s="16" t="s">
        <v>117</v>
      </c>
      <c r="S77" s="16">
        <v>2010</v>
      </c>
      <c r="T77" s="16" t="s">
        <v>162</v>
      </c>
      <c r="U77" s="16" t="s">
        <v>117</v>
      </c>
      <c r="V77" s="16">
        <v>2010</v>
      </c>
      <c r="W77" s="16" t="s">
        <v>162</v>
      </c>
    </row>
    <row r="78" spans="1:23" ht="33.75" x14ac:dyDescent="0.2">
      <c r="A78" s="19" t="s">
        <v>74</v>
      </c>
      <c r="B78" s="28" t="s">
        <v>154</v>
      </c>
      <c r="C78" s="14" t="str">
        <f t="shared" si="5"/>
        <v>No</v>
      </c>
      <c r="D78" s="28" t="str">
        <f t="shared" si="7"/>
        <v>No</v>
      </c>
      <c r="E78" s="28" t="str">
        <f t="shared" si="6"/>
        <v>Yes</v>
      </c>
      <c r="F78" s="29" t="s">
        <v>118</v>
      </c>
      <c r="G78" s="16">
        <v>2012</v>
      </c>
      <c r="H78" s="16" t="s">
        <v>163</v>
      </c>
      <c r="I78" s="16" t="s">
        <v>117</v>
      </c>
      <c r="J78" s="16">
        <v>2012</v>
      </c>
      <c r="K78" s="16" t="s">
        <v>163</v>
      </c>
      <c r="L78" s="16"/>
      <c r="M78" s="16"/>
      <c r="N78" s="16"/>
      <c r="O78" s="16" t="s">
        <v>117</v>
      </c>
      <c r="P78" s="16">
        <v>2010</v>
      </c>
      <c r="Q78" s="16" t="s">
        <v>162</v>
      </c>
      <c r="R78" s="16" t="s">
        <v>118</v>
      </c>
      <c r="S78" s="16">
        <v>2010</v>
      </c>
      <c r="T78" s="16" t="s">
        <v>162</v>
      </c>
      <c r="U78" s="16" t="s">
        <v>117</v>
      </c>
      <c r="V78" s="16">
        <v>2010</v>
      </c>
      <c r="W78" s="16" t="s">
        <v>162</v>
      </c>
    </row>
    <row r="79" spans="1:23" x14ac:dyDescent="0.2">
      <c r="A79" s="19" t="s">
        <v>75</v>
      </c>
      <c r="B79" s="28" t="s">
        <v>154</v>
      </c>
      <c r="C79" s="14" t="str">
        <f t="shared" si="5"/>
        <v>No</v>
      </c>
      <c r="D79" s="28" t="str">
        <f t="shared" si="7"/>
        <v>No</v>
      </c>
      <c r="E79" s="28" t="str">
        <f t="shared" si="6"/>
        <v>No</v>
      </c>
      <c r="F79" s="29" t="s">
        <v>118</v>
      </c>
      <c r="G79" s="16">
        <v>2011</v>
      </c>
      <c r="H79" s="16" t="s">
        <v>163</v>
      </c>
      <c r="I79" s="16" t="s">
        <v>118</v>
      </c>
      <c r="J79" s="16">
        <v>2011</v>
      </c>
      <c r="K79" s="16" t="s">
        <v>163</v>
      </c>
      <c r="L79" s="16"/>
      <c r="M79" s="16"/>
      <c r="N79" s="16"/>
      <c r="O79" s="16"/>
      <c r="P79" s="16"/>
      <c r="Q79" s="16"/>
      <c r="R79" s="16"/>
      <c r="S79" s="16"/>
      <c r="T79" s="16"/>
      <c r="U79" s="16"/>
      <c r="V79" s="16"/>
      <c r="W79" s="16"/>
    </row>
    <row r="80" spans="1:23" ht="45" x14ac:dyDescent="0.2">
      <c r="A80" s="19" t="s">
        <v>76</v>
      </c>
      <c r="B80" s="28" t="s">
        <v>154</v>
      </c>
      <c r="C80" s="14" t="str">
        <f t="shared" si="5"/>
        <v>No</v>
      </c>
      <c r="D80" s="28" t="str">
        <f t="shared" si="7"/>
        <v>No</v>
      </c>
      <c r="E80" s="28" t="str">
        <f t="shared" si="6"/>
        <v>Yes</v>
      </c>
      <c r="F80" s="29" t="s">
        <v>118</v>
      </c>
      <c r="G80" s="16" t="s">
        <v>164</v>
      </c>
      <c r="H80" s="16" t="s">
        <v>165</v>
      </c>
      <c r="I80" s="16" t="s">
        <v>117</v>
      </c>
      <c r="J80" s="16" t="s">
        <v>164</v>
      </c>
      <c r="K80" s="16" t="s">
        <v>165</v>
      </c>
      <c r="L80" s="16" t="s">
        <v>118</v>
      </c>
      <c r="M80" s="16" t="s">
        <v>164</v>
      </c>
      <c r="N80" s="16" t="s">
        <v>165</v>
      </c>
      <c r="O80" s="16" t="s">
        <v>117</v>
      </c>
      <c r="P80" s="16">
        <v>2010</v>
      </c>
      <c r="Q80" s="16" t="s">
        <v>162</v>
      </c>
      <c r="R80" s="16" t="s">
        <v>117</v>
      </c>
      <c r="S80" s="16">
        <v>2010</v>
      </c>
      <c r="T80" s="16" t="s">
        <v>162</v>
      </c>
      <c r="U80" s="16" t="s">
        <v>117</v>
      </c>
      <c r="V80" s="16">
        <v>2010</v>
      </c>
      <c r="W80" s="16" t="s">
        <v>162</v>
      </c>
    </row>
    <row r="81" spans="1:23" ht="45" x14ac:dyDescent="0.2">
      <c r="A81" s="19" t="s">
        <v>77</v>
      </c>
      <c r="B81" s="28" t="s">
        <v>154</v>
      </c>
      <c r="C81" s="14" t="str">
        <f t="shared" si="5"/>
        <v>No</v>
      </c>
      <c r="D81" s="28" t="str">
        <f t="shared" si="7"/>
        <v>No</v>
      </c>
      <c r="E81" s="28" t="str">
        <f t="shared" si="6"/>
        <v>Yes</v>
      </c>
      <c r="F81" s="29" t="s">
        <v>118</v>
      </c>
      <c r="G81" s="16" t="s">
        <v>164</v>
      </c>
      <c r="H81" s="16" t="s">
        <v>165</v>
      </c>
      <c r="I81" s="16" t="s">
        <v>117</v>
      </c>
      <c r="J81" s="16" t="s">
        <v>164</v>
      </c>
      <c r="K81" s="16" t="s">
        <v>165</v>
      </c>
      <c r="L81" s="16" t="s">
        <v>117</v>
      </c>
      <c r="M81" s="16" t="s">
        <v>164</v>
      </c>
      <c r="N81" s="16" t="s">
        <v>165</v>
      </c>
      <c r="O81" s="16" t="s">
        <v>117</v>
      </c>
      <c r="P81" s="16">
        <v>2010</v>
      </c>
      <c r="Q81" s="16" t="s">
        <v>162</v>
      </c>
      <c r="R81" s="16" t="s">
        <v>118</v>
      </c>
      <c r="S81" s="16">
        <v>2010</v>
      </c>
      <c r="T81" s="16" t="s">
        <v>162</v>
      </c>
      <c r="U81" s="16" t="s">
        <v>117</v>
      </c>
      <c r="V81" s="16">
        <v>2010</v>
      </c>
      <c r="W81" s="16" t="s">
        <v>162</v>
      </c>
    </row>
    <row r="82" spans="1:23" x14ac:dyDescent="0.2">
      <c r="A82" s="18" t="s">
        <v>255</v>
      </c>
      <c r="B82" s="18">
        <f>COUNTIF(B7:B81, "Yes")</f>
        <v>0</v>
      </c>
      <c r="C82" s="18"/>
      <c r="D82" s="18">
        <f>COUNTIF(D7:D81, "Yes")</f>
        <v>19</v>
      </c>
      <c r="E82" s="18">
        <f>COUNTIF(E7:E81, "Yes")</f>
        <v>40</v>
      </c>
      <c r="O82" s="19"/>
      <c r="P82" s="19"/>
      <c r="Q82" s="19"/>
      <c r="R82" s="19"/>
      <c r="S82" s="19"/>
      <c r="T82" s="19"/>
      <c r="U82" s="19"/>
      <c r="V82" s="19"/>
      <c r="W82" s="19"/>
    </row>
    <row r="83" spans="1:23" x14ac:dyDescent="0.2">
      <c r="A83" s="18" t="s">
        <v>256</v>
      </c>
      <c r="B83" s="18">
        <f>COUNTIF(B7:B81, "No")</f>
        <v>0</v>
      </c>
      <c r="C83" s="18"/>
      <c r="D83" s="18">
        <f>COUNTIF(D7:D81, "No")</f>
        <v>24</v>
      </c>
      <c r="E83" s="18">
        <f>COUNTIF(E7:E81, "No")</f>
        <v>17</v>
      </c>
      <c r="O83" s="19"/>
      <c r="P83" s="19"/>
      <c r="Q83" s="19"/>
      <c r="R83" s="19"/>
      <c r="S83" s="19"/>
      <c r="T83" s="19"/>
      <c r="U83" s="19"/>
      <c r="V83" s="19"/>
      <c r="W83" s="19"/>
    </row>
    <row r="84" spans="1:23" x14ac:dyDescent="0.2">
      <c r="A84" s="18" t="s">
        <v>257</v>
      </c>
      <c r="B84" s="18">
        <f>COUNTIF(B7:B81, "No data")</f>
        <v>75</v>
      </c>
      <c r="C84" s="18"/>
      <c r="D84" s="18">
        <f>COUNTIF(D7:D81, "No data")</f>
        <v>32</v>
      </c>
      <c r="E84" s="18">
        <f>COUNTIF(E7:E81, "No data")</f>
        <v>18</v>
      </c>
      <c r="O84" s="19"/>
      <c r="P84" s="19"/>
      <c r="Q84" s="19"/>
      <c r="R84" s="19"/>
      <c r="S84" s="19"/>
      <c r="T84" s="19"/>
      <c r="U84" s="19"/>
      <c r="V84" s="19"/>
      <c r="W84" s="19"/>
    </row>
  </sheetData>
  <mergeCells count="10">
    <mergeCell ref="A2:H2"/>
    <mergeCell ref="A3:H3"/>
    <mergeCell ref="F4:N4"/>
    <mergeCell ref="O4:W4"/>
    <mergeCell ref="F5:H5"/>
    <mergeCell ref="I5:K5"/>
    <mergeCell ref="L5:N5"/>
    <mergeCell ref="O5:Q5"/>
    <mergeCell ref="R5:T5"/>
    <mergeCell ref="U5:W5"/>
  </mergeCells>
  <pageMargins left="0.23622047244094491" right="0.23622047244094491" top="0.74803149606299213" bottom="0.74803149606299213" header="0.31496062992125984" footer="0.31496062992125984"/>
  <pageSetup paperSize="9" scale="80" orientation="portrait"/>
  <colBreaks count="2" manualBreakCount="2">
    <brk id="5" max="1048575" man="1"/>
    <brk id="14" max="1048575" man="1"/>
  </colBreaks>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82"/>
  <sheetViews>
    <sheetView zoomScale="70" zoomScaleNormal="70" zoomScalePageLayoutView="70" workbookViewId="0">
      <pane ySplit="4" topLeftCell="A5" activePane="bottomLeft" state="frozen"/>
      <selection activeCell="L25" sqref="L25"/>
      <selection pane="bottomLeft" activeCell="O4" sqref="O4"/>
    </sheetView>
  </sheetViews>
  <sheetFormatPr defaultColWidth="8.85546875" defaultRowHeight="12" x14ac:dyDescent="0.2"/>
  <cols>
    <col min="1" max="1" width="35.85546875" style="1" bestFit="1" customWidth="1"/>
    <col min="2" max="3" width="19.140625" style="1" customWidth="1"/>
    <col min="4" max="4" width="9.140625" style="1" customWidth="1"/>
    <col min="5" max="5" width="8" style="1" customWidth="1"/>
    <col min="6" max="6" width="9.7109375" style="1" customWidth="1"/>
    <col min="7" max="7" width="9.140625" style="1" customWidth="1"/>
    <col min="8" max="8" width="8" style="1" customWidth="1"/>
    <col min="9" max="9" width="9.7109375" style="1" customWidth="1"/>
    <col min="10" max="10" width="10.7109375" style="1" customWidth="1"/>
    <col min="11" max="11" width="9.28515625" style="1" customWidth="1"/>
    <col min="12" max="12" width="10.7109375" style="1" customWidth="1"/>
    <col min="13" max="13" width="13.85546875" style="1" customWidth="1"/>
    <col min="14" max="14" width="10.7109375" style="1" customWidth="1"/>
    <col min="15" max="15" width="14.28515625" style="1" customWidth="1"/>
    <col min="16" max="16" width="12.42578125" style="1" customWidth="1"/>
    <col min="17" max="17" width="10.7109375" style="1" customWidth="1"/>
    <col min="18" max="16384" width="8.85546875" style="1"/>
  </cols>
  <sheetData>
    <row r="1" spans="1:17" x14ac:dyDescent="0.2">
      <c r="A1" s="68" t="s">
        <v>363</v>
      </c>
      <c r="B1" s="68"/>
      <c r="C1" s="68"/>
      <c r="D1" s="68"/>
      <c r="E1" s="68"/>
      <c r="F1" s="68"/>
    </row>
    <row r="2" spans="1:17" x14ac:dyDescent="0.2">
      <c r="A2" s="69" t="s">
        <v>81</v>
      </c>
      <c r="B2" s="72"/>
      <c r="C2" s="72"/>
      <c r="D2" s="72"/>
      <c r="E2" s="72"/>
      <c r="F2" s="72"/>
    </row>
    <row r="3" spans="1:17" ht="56.25" customHeight="1" x14ac:dyDescent="0.2">
      <c r="A3" s="34"/>
      <c r="B3" s="35" t="s">
        <v>170</v>
      </c>
      <c r="C3" s="73" t="s">
        <v>320</v>
      </c>
      <c r="D3" s="226" t="s">
        <v>353</v>
      </c>
      <c r="E3" s="226"/>
      <c r="F3" s="226"/>
      <c r="G3" s="227" t="s">
        <v>354</v>
      </c>
      <c r="H3" s="227"/>
      <c r="I3" s="227"/>
      <c r="J3" s="227" t="s">
        <v>297</v>
      </c>
      <c r="K3" s="227"/>
      <c r="L3" s="227"/>
      <c r="M3" s="227"/>
      <c r="N3" s="227"/>
      <c r="O3" s="227"/>
      <c r="P3" s="227"/>
      <c r="Q3" s="227"/>
    </row>
    <row r="4" spans="1:17" ht="72" x14ac:dyDescent="0.2">
      <c r="A4" s="36" t="s">
        <v>0</v>
      </c>
      <c r="B4" s="37" t="s">
        <v>2</v>
      </c>
      <c r="C4" s="66" t="s">
        <v>267</v>
      </c>
      <c r="D4" s="66" t="s">
        <v>122</v>
      </c>
      <c r="E4" s="66" t="s">
        <v>123</v>
      </c>
      <c r="F4" s="66" t="s">
        <v>119</v>
      </c>
      <c r="G4" s="37" t="s">
        <v>120</v>
      </c>
      <c r="H4" s="37" t="s">
        <v>124</v>
      </c>
      <c r="I4" s="37" t="s">
        <v>121</v>
      </c>
      <c r="J4" s="66" t="s">
        <v>288</v>
      </c>
      <c r="K4" s="66" t="s">
        <v>289</v>
      </c>
      <c r="L4" s="66" t="s">
        <v>290</v>
      </c>
      <c r="M4" s="66" t="s">
        <v>291</v>
      </c>
      <c r="N4" s="66" t="s">
        <v>292</v>
      </c>
      <c r="O4" s="37" t="s">
        <v>293</v>
      </c>
      <c r="P4" s="66" t="s">
        <v>294</v>
      </c>
      <c r="Q4" s="67" t="s">
        <v>295</v>
      </c>
    </row>
    <row r="5" spans="1:17" x14ac:dyDescent="0.2">
      <c r="A5" s="22" t="s">
        <v>3</v>
      </c>
      <c r="B5" s="38" t="str">
        <f>IF(OR(G5="Yes", O5="Yes"),"Yes", "No")</f>
        <v>No</v>
      </c>
      <c r="C5" s="38" t="str">
        <f>IF(OR(D5="Yes", L5="Yes", M5="Yes"),"Yes", "No")</f>
        <v>No</v>
      </c>
      <c r="D5" s="29" t="s">
        <v>118</v>
      </c>
      <c r="E5" s="29">
        <v>2011</v>
      </c>
      <c r="F5" s="29" t="s">
        <v>163</v>
      </c>
      <c r="G5" s="29" t="s">
        <v>118</v>
      </c>
      <c r="H5" s="29">
        <v>2011</v>
      </c>
      <c r="I5" s="29" t="s">
        <v>163</v>
      </c>
      <c r="J5" s="16" t="s">
        <v>117</v>
      </c>
      <c r="K5" s="16" t="s">
        <v>117</v>
      </c>
      <c r="L5" s="16" t="s">
        <v>118</v>
      </c>
      <c r="M5" s="16" t="s">
        <v>118</v>
      </c>
      <c r="N5" s="16" t="s">
        <v>118</v>
      </c>
      <c r="O5" s="16" t="s">
        <v>118</v>
      </c>
      <c r="P5" s="16" t="s">
        <v>118</v>
      </c>
      <c r="Q5" s="39"/>
    </row>
    <row r="6" spans="1:17" x14ac:dyDescent="0.2">
      <c r="A6" s="22" t="s">
        <v>4</v>
      </c>
      <c r="B6" s="38" t="str">
        <f>IF(OR(G6="Yes", O6="Yes"),"Yes", "No")</f>
        <v>No</v>
      </c>
      <c r="C6" s="38" t="str">
        <f>IF(OR(D6="Yes", L6="Yes", M6="Yes"),"Yes", "No")</f>
        <v>No</v>
      </c>
      <c r="D6" s="29"/>
      <c r="E6" s="29"/>
      <c r="F6" s="29"/>
      <c r="G6" s="29"/>
      <c r="H6" s="29"/>
      <c r="I6" s="29"/>
      <c r="J6" s="16" t="s">
        <v>117</v>
      </c>
      <c r="K6" s="16" t="s">
        <v>117</v>
      </c>
      <c r="L6" s="16" t="s">
        <v>118</v>
      </c>
      <c r="M6" s="16" t="s">
        <v>118</v>
      </c>
      <c r="N6" s="16" t="s">
        <v>118</v>
      </c>
      <c r="O6" s="16" t="s">
        <v>118</v>
      </c>
      <c r="P6" s="16" t="s">
        <v>118</v>
      </c>
      <c r="Q6" s="39"/>
    </row>
    <row r="7" spans="1:17" x14ac:dyDescent="0.2">
      <c r="A7" s="22" t="s">
        <v>5</v>
      </c>
      <c r="B7" s="38" t="str">
        <f>IF(OR(G7="Yes", O7="Yes"),"Yes", "No")</f>
        <v>No</v>
      </c>
      <c r="C7" s="38" t="str">
        <f>IF(OR(D7="Yes", L7="Yes", M7="Yes"),"Yes", "No")</f>
        <v>No</v>
      </c>
      <c r="D7" s="29"/>
      <c r="E7" s="29"/>
      <c r="F7" s="29"/>
      <c r="G7" s="29"/>
      <c r="H7" s="29"/>
      <c r="I7" s="29"/>
      <c r="J7" s="16" t="s">
        <v>117</v>
      </c>
      <c r="K7" s="16" t="s">
        <v>118</v>
      </c>
      <c r="L7" s="16" t="s">
        <v>118</v>
      </c>
      <c r="M7" s="16" t="s">
        <v>118</v>
      </c>
      <c r="N7" s="16" t="s">
        <v>118</v>
      </c>
      <c r="O7" s="16" t="s">
        <v>118</v>
      </c>
      <c r="P7" s="16" t="s">
        <v>118</v>
      </c>
      <c r="Q7" s="39"/>
    </row>
    <row r="8" spans="1:17" x14ac:dyDescent="0.2">
      <c r="A8" s="22" t="s">
        <v>6</v>
      </c>
      <c r="B8" s="40" t="str">
        <f>IF(OR(G8="Yes", O8="Yes"),"Yes", "No")</f>
        <v>No</v>
      </c>
      <c r="C8" s="40" t="str">
        <f>IF(OR(D8="Yes", L8="Yes", M8="Yes"),"Yes", "No")</f>
        <v>No</v>
      </c>
      <c r="D8" s="29"/>
      <c r="E8" s="29"/>
      <c r="F8" s="29"/>
      <c r="G8" s="29"/>
      <c r="H8" s="29"/>
      <c r="I8" s="29"/>
      <c r="J8" s="16" t="s">
        <v>117</v>
      </c>
      <c r="K8" s="16" t="s">
        <v>118</v>
      </c>
      <c r="L8" s="16" t="s">
        <v>118</v>
      </c>
      <c r="M8" s="16" t="s">
        <v>118</v>
      </c>
      <c r="N8" s="16" t="s">
        <v>117</v>
      </c>
      <c r="O8" s="16" t="s">
        <v>118</v>
      </c>
      <c r="P8" s="16" t="s">
        <v>296</v>
      </c>
      <c r="Q8" s="39" t="s">
        <v>117</v>
      </c>
    </row>
    <row r="9" spans="1:17" x14ac:dyDescent="0.2">
      <c r="A9" s="22" t="s">
        <v>7</v>
      </c>
      <c r="B9" s="40" t="str">
        <f>IF(OR(G9="Yes", O9="Yes"),"Yes", "No")</f>
        <v>No</v>
      </c>
      <c r="C9" s="40" t="str">
        <f>IF(OR(D9="Yes", L9="Yes", M9="Yes"),"Yes", "No")</f>
        <v>No</v>
      </c>
      <c r="D9" s="29" t="s">
        <v>118</v>
      </c>
      <c r="E9" s="29">
        <v>2011</v>
      </c>
      <c r="F9" s="29" t="s">
        <v>163</v>
      </c>
      <c r="G9" s="29" t="s">
        <v>118</v>
      </c>
      <c r="H9" s="29">
        <v>2011</v>
      </c>
      <c r="I9" s="29" t="s">
        <v>163</v>
      </c>
      <c r="J9" s="16" t="s">
        <v>117</v>
      </c>
      <c r="K9" s="16" t="s">
        <v>117</v>
      </c>
      <c r="L9" s="16" t="s">
        <v>118</v>
      </c>
      <c r="M9" s="16" t="s">
        <v>118</v>
      </c>
      <c r="N9" s="16" t="s">
        <v>118</v>
      </c>
      <c r="O9" s="16" t="s">
        <v>118</v>
      </c>
      <c r="P9" s="16" t="s">
        <v>117</v>
      </c>
      <c r="Q9" s="39" t="s">
        <v>117</v>
      </c>
    </row>
    <row r="10" spans="1:17" x14ac:dyDescent="0.2">
      <c r="A10" s="22" t="s">
        <v>8</v>
      </c>
      <c r="B10" s="40" t="s">
        <v>154</v>
      </c>
      <c r="C10" s="40" t="s">
        <v>154</v>
      </c>
      <c r="D10" s="29"/>
      <c r="E10" s="29"/>
      <c r="F10" s="29"/>
      <c r="G10" s="29"/>
      <c r="H10" s="29"/>
      <c r="I10" s="29"/>
      <c r="J10" s="16" t="s">
        <v>117</v>
      </c>
      <c r="K10" s="16"/>
      <c r="L10" s="16"/>
      <c r="M10" s="16"/>
      <c r="N10" s="16"/>
      <c r="O10" s="16"/>
      <c r="P10" s="16"/>
      <c r="Q10" s="39"/>
    </row>
    <row r="11" spans="1:17" x14ac:dyDescent="0.2">
      <c r="A11" s="22" t="s">
        <v>9</v>
      </c>
      <c r="B11" s="40" t="str">
        <f>IF(OR(G11="Yes", O11="Yes"),"Yes", "No")</f>
        <v>No</v>
      </c>
      <c r="C11" s="40" t="str">
        <f>IF(OR(D11="Yes", L11="Yes", M11="Yes"),"Yes", "No")</f>
        <v>No</v>
      </c>
      <c r="D11" s="29"/>
      <c r="E11" s="29"/>
      <c r="F11" s="29"/>
      <c r="G11" s="29"/>
      <c r="H11" s="29"/>
      <c r="I11" s="29"/>
      <c r="J11" s="16" t="s">
        <v>118</v>
      </c>
      <c r="K11" s="16" t="s">
        <v>118</v>
      </c>
      <c r="L11" s="16" t="s">
        <v>118</v>
      </c>
      <c r="M11" s="16" t="s">
        <v>118</v>
      </c>
      <c r="N11" s="16" t="s">
        <v>118</v>
      </c>
      <c r="O11" s="16" t="s">
        <v>118</v>
      </c>
      <c r="P11" s="16" t="s">
        <v>118</v>
      </c>
      <c r="Q11" s="39" t="s">
        <v>117</v>
      </c>
    </row>
    <row r="12" spans="1:17" x14ac:dyDescent="0.2">
      <c r="A12" s="22" t="s">
        <v>10</v>
      </c>
      <c r="B12" s="40" t="s">
        <v>154</v>
      </c>
      <c r="C12" s="40" t="s">
        <v>154</v>
      </c>
      <c r="D12" s="29"/>
      <c r="E12" s="29"/>
      <c r="F12" s="29"/>
      <c r="G12" s="29"/>
      <c r="H12" s="29"/>
      <c r="I12" s="29"/>
      <c r="J12" s="16"/>
      <c r="K12" s="16"/>
      <c r="L12" s="16"/>
      <c r="M12" s="16"/>
      <c r="N12" s="16"/>
      <c r="O12" s="16"/>
      <c r="P12" s="16"/>
      <c r="Q12" s="39"/>
    </row>
    <row r="13" spans="1:17" x14ac:dyDescent="0.2">
      <c r="A13" s="22" t="s">
        <v>11</v>
      </c>
      <c r="B13" s="40" t="str">
        <f t="shared" ref="B13:B32" si="0">IF(OR(G13="Yes", O13="Yes"),"Yes", "No")</f>
        <v>No</v>
      </c>
      <c r="C13" s="40" t="str">
        <f t="shared" ref="C13:C32" si="1">IF(OR(D13="Yes", L13="Yes", M13="Yes"),"Yes", "No")</f>
        <v>No</v>
      </c>
      <c r="D13" s="29"/>
      <c r="E13" s="29"/>
      <c r="F13" s="29"/>
      <c r="G13" s="29"/>
      <c r="H13" s="29"/>
      <c r="I13" s="29"/>
      <c r="J13" s="16" t="s">
        <v>117</v>
      </c>
      <c r="K13" s="16" t="s">
        <v>118</v>
      </c>
      <c r="L13" s="16" t="s">
        <v>118</v>
      </c>
      <c r="M13" s="16" t="s">
        <v>118</v>
      </c>
      <c r="N13" s="16" t="s">
        <v>117</v>
      </c>
      <c r="O13" s="16" t="s">
        <v>118</v>
      </c>
      <c r="P13" s="16" t="s">
        <v>118</v>
      </c>
      <c r="Q13" s="39"/>
    </row>
    <row r="14" spans="1:17" x14ac:dyDescent="0.2">
      <c r="A14" s="22" t="s">
        <v>12</v>
      </c>
      <c r="B14" s="40" t="str">
        <f t="shared" si="0"/>
        <v>No</v>
      </c>
      <c r="C14" s="40" t="str">
        <f t="shared" si="1"/>
        <v>No</v>
      </c>
      <c r="D14" s="29"/>
      <c r="E14" s="29"/>
      <c r="F14" s="29"/>
      <c r="G14" s="29"/>
      <c r="H14" s="29"/>
      <c r="I14" s="29"/>
      <c r="J14" s="16" t="s">
        <v>117</v>
      </c>
      <c r="K14" s="16" t="s">
        <v>118</v>
      </c>
      <c r="L14" s="16" t="s">
        <v>118</v>
      </c>
      <c r="M14" s="16" t="s">
        <v>118</v>
      </c>
      <c r="N14" s="16" t="s">
        <v>118</v>
      </c>
      <c r="O14" s="16" t="s">
        <v>118</v>
      </c>
      <c r="P14" s="16" t="s">
        <v>118</v>
      </c>
      <c r="Q14" s="39"/>
    </row>
    <row r="15" spans="1:17" x14ac:dyDescent="0.2">
      <c r="A15" s="22" t="s">
        <v>13</v>
      </c>
      <c r="B15" s="40" t="str">
        <f t="shared" si="0"/>
        <v>No</v>
      </c>
      <c r="C15" s="40" t="str">
        <f t="shared" si="1"/>
        <v>Yes</v>
      </c>
      <c r="D15" s="29" t="s">
        <v>117</v>
      </c>
      <c r="E15" s="29">
        <v>2012</v>
      </c>
      <c r="F15" s="29" t="s">
        <v>163</v>
      </c>
      <c r="G15" s="29" t="s">
        <v>118</v>
      </c>
      <c r="H15" s="29">
        <v>2012</v>
      </c>
      <c r="I15" s="29" t="s">
        <v>163</v>
      </c>
      <c r="J15" s="16" t="s">
        <v>117</v>
      </c>
      <c r="K15" s="16" t="s">
        <v>117</v>
      </c>
      <c r="L15" s="16" t="s">
        <v>118</v>
      </c>
      <c r="M15" s="16" t="s">
        <v>118</v>
      </c>
      <c r="N15" s="16" t="s">
        <v>117</v>
      </c>
      <c r="O15" s="16" t="s">
        <v>118</v>
      </c>
      <c r="P15" s="16" t="s">
        <v>296</v>
      </c>
      <c r="Q15" s="39" t="s">
        <v>117</v>
      </c>
    </row>
    <row r="16" spans="1:17" x14ac:dyDescent="0.2">
      <c r="A16" s="22" t="s">
        <v>14</v>
      </c>
      <c r="B16" s="40" t="str">
        <f t="shared" si="0"/>
        <v>No</v>
      </c>
      <c r="C16" s="40" t="str">
        <f t="shared" si="1"/>
        <v>No</v>
      </c>
      <c r="D16" s="29"/>
      <c r="E16" s="29"/>
      <c r="F16" s="29"/>
      <c r="G16" s="29"/>
      <c r="H16" s="29"/>
      <c r="I16" s="29"/>
      <c r="J16" s="16" t="s">
        <v>117</v>
      </c>
      <c r="K16" s="16" t="s">
        <v>117</v>
      </c>
      <c r="L16" s="16" t="s">
        <v>118</v>
      </c>
      <c r="M16" s="16" t="s">
        <v>118</v>
      </c>
      <c r="N16" s="16" t="s">
        <v>118</v>
      </c>
      <c r="O16" s="16" t="s">
        <v>118</v>
      </c>
      <c r="P16" s="16" t="s">
        <v>118</v>
      </c>
      <c r="Q16" s="39"/>
    </row>
    <row r="17" spans="1:17" x14ac:dyDescent="0.2">
      <c r="A17" s="22" t="s">
        <v>15</v>
      </c>
      <c r="B17" s="40" t="str">
        <f t="shared" si="0"/>
        <v>No</v>
      </c>
      <c r="C17" s="40" t="str">
        <f t="shared" si="1"/>
        <v>No</v>
      </c>
      <c r="D17" s="29"/>
      <c r="E17" s="29"/>
      <c r="F17" s="29"/>
      <c r="G17" s="29"/>
      <c r="H17" s="29"/>
      <c r="I17" s="29"/>
      <c r="J17" s="16" t="s">
        <v>118</v>
      </c>
      <c r="K17" s="16" t="s">
        <v>118</v>
      </c>
      <c r="L17" s="16" t="s">
        <v>118</v>
      </c>
      <c r="M17" s="16" t="s">
        <v>118</v>
      </c>
      <c r="N17" s="16" t="s">
        <v>118</v>
      </c>
      <c r="O17" s="16" t="s">
        <v>118</v>
      </c>
      <c r="P17" s="16" t="s">
        <v>118</v>
      </c>
      <c r="Q17" s="39"/>
    </row>
    <row r="18" spans="1:17" x14ac:dyDescent="0.2">
      <c r="A18" s="22" t="s">
        <v>16</v>
      </c>
      <c r="B18" s="40" t="str">
        <f t="shared" si="0"/>
        <v>No</v>
      </c>
      <c r="C18" s="40" t="str">
        <f t="shared" si="1"/>
        <v>No</v>
      </c>
      <c r="D18" s="29"/>
      <c r="E18" s="29"/>
      <c r="F18" s="29"/>
      <c r="G18" s="29"/>
      <c r="H18" s="29"/>
      <c r="I18" s="29"/>
      <c r="J18" s="16" t="s">
        <v>118</v>
      </c>
      <c r="K18" s="16" t="s">
        <v>118</v>
      </c>
      <c r="L18" s="16" t="s">
        <v>118</v>
      </c>
      <c r="M18" s="16" t="s">
        <v>118</v>
      </c>
      <c r="N18" s="16" t="s">
        <v>118</v>
      </c>
      <c r="O18" s="16" t="s">
        <v>118</v>
      </c>
      <c r="P18" s="16" t="s">
        <v>118</v>
      </c>
      <c r="Q18" s="39"/>
    </row>
    <row r="19" spans="1:17" x14ac:dyDescent="0.2">
      <c r="A19" s="22" t="s">
        <v>17</v>
      </c>
      <c r="B19" s="40" t="str">
        <f t="shared" si="0"/>
        <v>No</v>
      </c>
      <c r="C19" s="40" t="str">
        <f t="shared" si="1"/>
        <v>Yes</v>
      </c>
      <c r="D19" s="29" t="s">
        <v>117</v>
      </c>
      <c r="E19" s="29">
        <v>2012</v>
      </c>
      <c r="F19" s="29" t="s">
        <v>163</v>
      </c>
      <c r="G19" s="29" t="s">
        <v>118</v>
      </c>
      <c r="H19" s="29">
        <v>2012</v>
      </c>
      <c r="I19" s="29" t="s">
        <v>163</v>
      </c>
      <c r="J19" s="16" t="s">
        <v>117</v>
      </c>
      <c r="K19" s="16" t="s">
        <v>118</v>
      </c>
      <c r="L19" s="16" t="s">
        <v>118</v>
      </c>
      <c r="M19" s="16" t="s">
        <v>118</v>
      </c>
      <c r="N19" s="16" t="s">
        <v>118</v>
      </c>
      <c r="O19" s="16" t="s">
        <v>118</v>
      </c>
      <c r="P19" s="16" t="s">
        <v>296</v>
      </c>
      <c r="Q19" s="39"/>
    </row>
    <row r="20" spans="1:17" x14ac:dyDescent="0.2">
      <c r="A20" s="22" t="s">
        <v>18</v>
      </c>
      <c r="B20" s="40" t="str">
        <f t="shared" si="0"/>
        <v>No</v>
      </c>
      <c r="C20" s="40" t="str">
        <f t="shared" si="1"/>
        <v>No</v>
      </c>
      <c r="D20" s="29"/>
      <c r="E20" s="29"/>
      <c r="F20" s="29"/>
      <c r="G20" s="29"/>
      <c r="H20" s="29"/>
      <c r="I20" s="29"/>
      <c r="J20" s="16" t="s">
        <v>117</v>
      </c>
      <c r="K20" s="16" t="s">
        <v>118</v>
      </c>
      <c r="L20" s="16" t="s">
        <v>118</v>
      </c>
      <c r="M20" s="16" t="s">
        <v>118</v>
      </c>
      <c r="N20" s="16" t="s">
        <v>118</v>
      </c>
      <c r="O20" s="16" t="s">
        <v>118</v>
      </c>
      <c r="P20" s="16" t="s">
        <v>118</v>
      </c>
      <c r="Q20" s="39"/>
    </row>
    <row r="21" spans="1:17" x14ac:dyDescent="0.2">
      <c r="A21" s="22" t="s">
        <v>19</v>
      </c>
      <c r="B21" s="40" t="str">
        <f t="shared" si="0"/>
        <v>No</v>
      </c>
      <c r="C21" s="40" t="str">
        <f t="shared" si="1"/>
        <v>No</v>
      </c>
      <c r="D21" s="29"/>
      <c r="E21" s="29"/>
      <c r="F21" s="29"/>
      <c r="G21" s="29"/>
      <c r="H21" s="29"/>
      <c r="I21" s="29"/>
      <c r="J21" s="16" t="s">
        <v>117</v>
      </c>
      <c r="K21" s="16" t="s">
        <v>118</v>
      </c>
      <c r="L21" s="16" t="s">
        <v>118</v>
      </c>
      <c r="M21" s="16" t="s">
        <v>118</v>
      </c>
      <c r="N21" s="16" t="s">
        <v>118</v>
      </c>
      <c r="O21" s="16" t="s">
        <v>118</v>
      </c>
      <c r="P21" s="16" t="s">
        <v>118</v>
      </c>
      <c r="Q21" s="39"/>
    </row>
    <row r="22" spans="1:17" x14ac:dyDescent="0.2">
      <c r="A22" s="22" t="s">
        <v>20</v>
      </c>
      <c r="B22" s="40" t="str">
        <f t="shared" si="0"/>
        <v>No</v>
      </c>
      <c r="C22" s="40" t="str">
        <f t="shared" si="1"/>
        <v>No</v>
      </c>
      <c r="D22" s="29"/>
      <c r="E22" s="29"/>
      <c r="F22" s="29"/>
      <c r="G22" s="29"/>
      <c r="H22" s="29"/>
      <c r="I22" s="29"/>
      <c r="J22" s="16" t="s">
        <v>117</v>
      </c>
      <c r="K22" s="16" t="s">
        <v>118</v>
      </c>
      <c r="L22" s="16" t="s">
        <v>118</v>
      </c>
      <c r="M22" s="16" t="s">
        <v>118</v>
      </c>
      <c r="N22" s="16" t="s">
        <v>117</v>
      </c>
      <c r="O22" s="16" t="s">
        <v>118</v>
      </c>
      <c r="P22" s="16" t="s">
        <v>118</v>
      </c>
      <c r="Q22" s="39"/>
    </row>
    <row r="23" spans="1:17" x14ac:dyDescent="0.2">
      <c r="A23" s="22" t="s">
        <v>21</v>
      </c>
      <c r="B23" s="40" t="str">
        <f t="shared" si="0"/>
        <v>No</v>
      </c>
      <c r="C23" s="40" t="str">
        <f t="shared" si="1"/>
        <v>No</v>
      </c>
      <c r="D23" s="29"/>
      <c r="E23" s="29"/>
      <c r="F23" s="29"/>
      <c r="G23" s="29"/>
      <c r="H23" s="29"/>
      <c r="I23" s="29"/>
      <c r="J23" s="16" t="s">
        <v>118</v>
      </c>
      <c r="K23" s="16" t="s">
        <v>118</v>
      </c>
      <c r="L23" s="16" t="s">
        <v>118</v>
      </c>
      <c r="M23" s="16" t="s">
        <v>118</v>
      </c>
      <c r="N23" s="16" t="s">
        <v>117</v>
      </c>
      <c r="O23" s="16" t="s">
        <v>118</v>
      </c>
      <c r="P23" s="16" t="s">
        <v>296</v>
      </c>
      <c r="Q23" s="39"/>
    </row>
    <row r="24" spans="1:17" x14ac:dyDescent="0.2">
      <c r="A24" s="22" t="s">
        <v>22</v>
      </c>
      <c r="B24" s="40" t="str">
        <f t="shared" si="0"/>
        <v>No</v>
      </c>
      <c r="C24" s="40" t="str">
        <f t="shared" si="1"/>
        <v>No</v>
      </c>
      <c r="D24" s="29"/>
      <c r="E24" s="29"/>
      <c r="F24" s="29"/>
      <c r="G24" s="29"/>
      <c r="H24" s="29"/>
      <c r="I24" s="29"/>
      <c r="J24" s="16" t="s">
        <v>117</v>
      </c>
      <c r="K24" s="16" t="s">
        <v>118</v>
      </c>
      <c r="L24" s="16" t="s">
        <v>118</v>
      </c>
      <c r="M24" s="16" t="s">
        <v>118</v>
      </c>
      <c r="N24" s="16" t="s">
        <v>118</v>
      </c>
      <c r="O24" s="16" t="s">
        <v>118</v>
      </c>
      <c r="P24" s="16" t="s">
        <v>118</v>
      </c>
      <c r="Q24" s="39"/>
    </row>
    <row r="25" spans="1:17" x14ac:dyDescent="0.2">
      <c r="A25" s="22" t="s">
        <v>23</v>
      </c>
      <c r="B25" s="40" t="str">
        <f t="shared" si="0"/>
        <v>No</v>
      </c>
      <c r="C25" s="40" t="str">
        <f t="shared" si="1"/>
        <v>No</v>
      </c>
      <c r="D25" s="29"/>
      <c r="E25" s="29"/>
      <c r="F25" s="29"/>
      <c r="G25" s="29"/>
      <c r="H25" s="29"/>
      <c r="I25" s="29"/>
      <c r="J25" s="16" t="s">
        <v>118</v>
      </c>
      <c r="K25" s="16" t="s">
        <v>118</v>
      </c>
      <c r="L25" s="16" t="s">
        <v>118</v>
      </c>
      <c r="M25" s="16" t="s">
        <v>118</v>
      </c>
      <c r="N25" s="16" t="s">
        <v>118</v>
      </c>
      <c r="O25" s="16" t="s">
        <v>118</v>
      </c>
      <c r="P25" s="16" t="s">
        <v>118</v>
      </c>
      <c r="Q25" s="39"/>
    </row>
    <row r="26" spans="1:17" x14ac:dyDescent="0.2">
      <c r="A26" s="22" t="s">
        <v>24</v>
      </c>
      <c r="B26" s="40" t="str">
        <f t="shared" si="0"/>
        <v>No</v>
      </c>
      <c r="C26" s="40" t="str">
        <f t="shared" si="1"/>
        <v>Yes</v>
      </c>
      <c r="D26" s="29"/>
      <c r="E26" s="29"/>
      <c r="F26" s="29"/>
      <c r="G26" s="29"/>
      <c r="H26" s="29"/>
      <c r="I26" s="29"/>
      <c r="J26" s="16" t="s">
        <v>118</v>
      </c>
      <c r="K26" s="16" t="s">
        <v>118</v>
      </c>
      <c r="L26" s="16" t="s">
        <v>117</v>
      </c>
      <c r="M26" s="16" t="s">
        <v>118</v>
      </c>
      <c r="N26" s="16" t="s">
        <v>118</v>
      </c>
      <c r="O26" s="16" t="s">
        <v>118</v>
      </c>
      <c r="P26" s="16" t="s">
        <v>118</v>
      </c>
      <c r="Q26" s="39" t="s">
        <v>117</v>
      </c>
    </row>
    <row r="27" spans="1:17" x14ac:dyDescent="0.2">
      <c r="A27" s="22" t="s">
        <v>25</v>
      </c>
      <c r="B27" s="40" t="str">
        <f t="shared" si="0"/>
        <v>No</v>
      </c>
      <c r="C27" s="40" t="str">
        <f t="shared" si="1"/>
        <v>No</v>
      </c>
      <c r="D27" s="29"/>
      <c r="E27" s="29"/>
      <c r="F27" s="29"/>
      <c r="G27" s="29"/>
      <c r="H27" s="29"/>
      <c r="I27" s="29"/>
      <c r="J27" s="16" t="s">
        <v>118</v>
      </c>
      <c r="K27" s="16" t="s">
        <v>118</v>
      </c>
      <c r="L27" s="16" t="s">
        <v>118</v>
      </c>
      <c r="M27" s="16" t="s">
        <v>118</v>
      </c>
      <c r="N27" s="16" t="s">
        <v>118</v>
      </c>
      <c r="O27" s="16" t="s">
        <v>118</v>
      </c>
      <c r="P27" s="16" t="s">
        <v>118</v>
      </c>
      <c r="Q27" s="39"/>
    </row>
    <row r="28" spans="1:17" x14ac:dyDescent="0.2">
      <c r="A28" s="22" t="s">
        <v>26</v>
      </c>
      <c r="B28" s="40" t="str">
        <f t="shared" si="0"/>
        <v>No</v>
      </c>
      <c r="C28" s="40" t="str">
        <f t="shared" si="1"/>
        <v>No</v>
      </c>
      <c r="D28" s="29"/>
      <c r="E28" s="29"/>
      <c r="F28" s="29"/>
      <c r="G28" s="29"/>
      <c r="H28" s="29"/>
      <c r="I28" s="29"/>
      <c r="J28" s="16" t="s">
        <v>117</v>
      </c>
      <c r="K28" s="16" t="s">
        <v>117</v>
      </c>
      <c r="L28" s="16" t="s">
        <v>118</v>
      </c>
      <c r="M28" s="16" t="s">
        <v>118</v>
      </c>
      <c r="N28" s="16" t="s">
        <v>118</v>
      </c>
      <c r="O28" s="16" t="s">
        <v>118</v>
      </c>
      <c r="P28" s="16" t="s">
        <v>118</v>
      </c>
      <c r="Q28" s="39"/>
    </row>
    <row r="29" spans="1:17" x14ac:dyDescent="0.2">
      <c r="A29" s="22" t="s">
        <v>27</v>
      </c>
      <c r="B29" s="40" t="str">
        <f t="shared" si="0"/>
        <v>No</v>
      </c>
      <c r="C29" s="40" t="str">
        <f t="shared" si="1"/>
        <v>Yes</v>
      </c>
      <c r="D29" s="29" t="s">
        <v>117</v>
      </c>
      <c r="E29" s="29">
        <v>2012</v>
      </c>
      <c r="F29" s="29" t="s">
        <v>163</v>
      </c>
      <c r="G29" s="29" t="s">
        <v>118</v>
      </c>
      <c r="H29" s="29">
        <v>2012</v>
      </c>
      <c r="I29" s="29" t="s">
        <v>163</v>
      </c>
      <c r="J29" s="16" t="s">
        <v>117</v>
      </c>
      <c r="K29" s="16" t="s">
        <v>296</v>
      </c>
      <c r="L29" s="16" t="s">
        <v>118</v>
      </c>
      <c r="M29" s="16" t="s">
        <v>118</v>
      </c>
      <c r="N29" s="16" t="s">
        <v>117</v>
      </c>
      <c r="O29" s="16" t="s">
        <v>118</v>
      </c>
      <c r="P29" s="16" t="s">
        <v>296</v>
      </c>
      <c r="Q29" s="39" t="s">
        <v>117</v>
      </c>
    </row>
    <row r="30" spans="1:17" x14ac:dyDescent="0.2">
      <c r="A30" s="22" t="s">
        <v>28</v>
      </c>
      <c r="B30" s="40" t="str">
        <f t="shared" si="0"/>
        <v>No</v>
      </c>
      <c r="C30" s="40" t="str">
        <f t="shared" si="1"/>
        <v>No</v>
      </c>
      <c r="D30" s="29"/>
      <c r="E30" s="29"/>
      <c r="F30" s="29"/>
      <c r="G30" s="29"/>
      <c r="H30" s="29"/>
      <c r="I30" s="29"/>
      <c r="J30" s="16" t="s">
        <v>118</v>
      </c>
      <c r="K30" s="16" t="s">
        <v>118</v>
      </c>
      <c r="L30" s="16" t="s">
        <v>118</v>
      </c>
      <c r="M30" s="16" t="s">
        <v>118</v>
      </c>
      <c r="N30" s="16" t="s">
        <v>118</v>
      </c>
      <c r="O30" s="16" t="s">
        <v>118</v>
      </c>
      <c r="P30" s="16" t="s">
        <v>118</v>
      </c>
      <c r="Q30" s="39"/>
    </row>
    <row r="31" spans="1:17" x14ac:dyDescent="0.2">
      <c r="A31" s="22" t="s">
        <v>29</v>
      </c>
      <c r="B31" s="40" t="str">
        <f t="shared" si="0"/>
        <v>No</v>
      </c>
      <c r="C31" s="40" t="str">
        <f t="shared" si="1"/>
        <v>No</v>
      </c>
      <c r="D31" s="29"/>
      <c r="E31" s="29"/>
      <c r="F31" s="29"/>
      <c r="G31" s="29"/>
      <c r="H31" s="29"/>
      <c r="I31" s="29"/>
      <c r="J31" s="16" t="s">
        <v>117</v>
      </c>
      <c r="K31" s="16" t="s">
        <v>117</v>
      </c>
      <c r="L31" s="16" t="s">
        <v>118</v>
      </c>
      <c r="M31" s="16" t="s">
        <v>118</v>
      </c>
      <c r="N31" s="16" t="s">
        <v>118</v>
      </c>
      <c r="O31" s="16" t="s">
        <v>118</v>
      </c>
      <c r="P31" s="16" t="s">
        <v>118</v>
      </c>
      <c r="Q31" s="39"/>
    </row>
    <row r="32" spans="1:17" x14ac:dyDescent="0.2">
      <c r="A32" s="22" t="s">
        <v>30</v>
      </c>
      <c r="B32" s="40" t="str">
        <f t="shared" si="0"/>
        <v>No</v>
      </c>
      <c r="C32" s="40" t="str">
        <f t="shared" si="1"/>
        <v>Yes</v>
      </c>
      <c r="D32" s="29" t="s">
        <v>117</v>
      </c>
      <c r="E32" s="29">
        <v>2012</v>
      </c>
      <c r="F32" s="29" t="s">
        <v>163</v>
      </c>
      <c r="G32" s="29" t="s">
        <v>118</v>
      </c>
      <c r="H32" s="29">
        <v>2012</v>
      </c>
      <c r="I32" s="29" t="s">
        <v>163</v>
      </c>
      <c r="J32" s="16" t="s">
        <v>117</v>
      </c>
      <c r="K32" s="16" t="s">
        <v>117</v>
      </c>
      <c r="L32" s="16" t="s">
        <v>117</v>
      </c>
      <c r="M32" s="16" t="s">
        <v>118</v>
      </c>
      <c r="N32" s="16" t="s">
        <v>118</v>
      </c>
      <c r="O32" s="16" t="s">
        <v>118</v>
      </c>
      <c r="P32" s="16" t="s">
        <v>296</v>
      </c>
      <c r="Q32" s="39" t="s">
        <v>117</v>
      </c>
    </row>
    <row r="33" spans="1:17" x14ac:dyDescent="0.2">
      <c r="A33" s="22" t="s">
        <v>31</v>
      </c>
      <c r="B33" s="40" t="s">
        <v>154</v>
      </c>
      <c r="C33" s="40" t="s">
        <v>154</v>
      </c>
      <c r="D33" s="29"/>
      <c r="E33" s="29"/>
      <c r="F33" s="29"/>
      <c r="G33" s="29"/>
      <c r="H33" s="29"/>
      <c r="I33" s="29"/>
      <c r="J33" s="16" t="s">
        <v>117</v>
      </c>
      <c r="K33" s="16"/>
      <c r="L33" s="16"/>
      <c r="M33" s="16"/>
      <c r="N33" s="16"/>
      <c r="O33" s="16"/>
      <c r="P33" s="16"/>
      <c r="Q33" s="39"/>
    </row>
    <row r="34" spans="1:17" x14ac:dyDescent="0.2">
      <c r="A34" s="22" t="s">
        <v>32</v>
      </c>
      <c r="B34" s="40" t="str">
        <f>IF(OR(G34="Yes", O34="Yes"),"Yes", "No")</f>
        <v>No</v>
      </c>
      <c r="C34" s="40" t="str">
        <f>IF(OR(D34="Yes", L34="Yes", M34="Yes"),"Yes", "No")</f>
        <v>No</v>
      </c>
      <c r="D34" s="29"/>
      <c r="E34" s="29"/>
      <c r="F34" s="29"/>
      <c r="G34" s="29"/>
      <c r="H34" s="29"/>
      <c r="I34" s="29"/>
      <c r="J34" s="16" t="s">
        <v>118</v>
      </c>
      <c r="K34" s="16" t="s">
        <v>118</v>
      </c>
      <c r="L34" s="16" t="s">
        <v>118</v>
      </c>
      <c r="M34" s="16" t="s">
        <v>118</v>
      </c>
      <c r="N34" s="16" t="s">
        <v>118</v>
      </c>
      <c r="O34" s="16" t="s">
        <v>118</v>
      </c>
      <c r="P34" s="16" t="s">
        <v>118</v>
      </c>
      <c r="Q34" s="39"/>
    </row>
    <row r="35" spans="1:17" x14ac:dyDescent="0.2">
      <c r="A35" s="22" t="s">
        <v>33</v>
      </c>
      <c r="B35" s="40" t="str">
        <f>IF(OR(G35="Yes", O35="Yes"),"Yes", "No")</f>
        <v>No</v>
      </c>
      <c r="C35" s="40" t="str">
        <f>IF(OR(D35="Yes", L35="Yes", M35="Yes"),"Yes", "No")</f>
        <v>No</v>
      </c>
      <c r="D35" s="29"/>
      <c r="E35" s="29"/>
      <c r="F35" s="29"/>
      <c r="G35" s="29"/>
      <c r="H35" s="29"/>
      <c r="I35" s="29"/>
      <c r="J35" s="16" t="s">
        <v>118</v>
      </c>
      <c r="K35" s="16" t="s">
        <v>118</v>
      </c>
      <c r="L35" s="16" t="s">
        <v>118</v>
      </c>
      <c r="M35" s="16" t="s">
        <v>118</v>
      </c>
      <c r="N35" s="16" t="s">
        <v>118</v>
      </c>
      <c r="O35" s="16" t="s">
        <v>118</v>
      </c>
      <c r="P35" s="16" t="s">
        <v>118</v>
      </c>
      <c r="Q35" s="39"/>
    </row>
    <row r="36" spans="1:17" x14ac:dyDescent="0.2">
      <c r="A36" s="22" t="s">
        <v>34</v>
      </c>
      <c r="B36" s="40" t="s">
        <v>154</v>
      </c>
      <c r="C36" s="40" t="s">
        <v>154</v>
      </c>
      <c r="D36" s="29"/>
      <c r="E36" s="29"/>
      <c r="F36" s="29"/>
      <c r="G36" s="29"/>
      <c r="H36" s="29"/>
      <c r="I36" s="29"/>
      <c r="J36" s="16"/>
      <c r="K36" s="16"/>
      <c r="L36" s="16"/>
      <c r="M36" s="16"/>
      <c r="N36" s="16"/>
      <c r="O36" s="16"/>
      <c r="P36" s="16"/>
      <c r="Q36" s="39"/>
    </row>
    <row r="37" spans="1:17" x14ac:dyDescent="0.2">
      <c r="A37" s="22" t="s">
        <v>35</v>
      </c>
      <c r="B37" s="40" t="str">
        <f t="shared" ref="B37:B79" si="2">IF(OR(G37="Yes", O37="Yes"),"Yes", "No")</f>
        <v>No</v>
      </c>
      <c r="C37" s="40" t="str">
        <f t="shared" ref="C37:C79" si="3">IF(OR(D37="Yes", L37="Yes", M37="Yes"),"Yes", "No")</f>
        <v>No</v>
      </c>
      <c r="D37" s="29"/>
      <c r="E37" s="29"/>
      <c r="F37" s="29"/>
      <c r="G37" s="29"/>
      <c r="H37" s="29"/>
      <c r="I37" s="29"/>
      <c r="J37" s="16" t="s">
        <v>118</v>
      </c>
      <c r="K37" s="16" t="s">
        <v>118</v>
      </c>
      <c r="L37" s="16" t="s">
        <v>118</v>
      </c>
      <c r="M37" s="16" t="s">
        <v>118</v>
      </c>
      <c r="N37" s="16" t="s">
        <v>118</v>
      </c>
      <c r="O37" s="16" t="s">
        <v>118</v>
      </c>
      <c r="P37" s="16" t="s">
        <v>296</v>
      </c>
      <c r="Q37" s="39"/>
    </row>
    <row r="38" spans="1:17" x14ac:dyDescent="0.2">
      <c r="A38" s="22" t="s">
        <v>36</v>
      </c>
      <c r="B38" s="40" t="str">
        <f t="shared" si="2"/>
        <v>No</v>
      </c>
      <c r="C38" s="40" t="str">
        <f t="shared" si="3"/>
        <v>No</v>
      </c>
      <c r="D38" s="29"/>
      <c r="E38" s="29"/>
      <c r="F38" s="29"/>
      <c r="G38" s="29"/>
      <c r="H38" s="29"/>
      <c r="I38" s="29"/>
      <c r="J38" s="16" t="s">
        <v>117</v>
      </c>
      <c r="K38" s="16" t="s">
        <v>118</v>
      </c>
      <c r="L38" s="16" t="s">
        <v>118</v>
      </c>
      <c r="M38" s="16" t="s">
        <v>296</v>
      </c>
      <c r="N38" s="16" t="s">
        <v>117</v>
      </c>
      <c r="O38" s="16" t="s">
        <v>118</v>
      </c>
      <c r="P38" s="16" t="s">
        <v>296</v>
      </c>
      <c r="Q38" s="39" t="s">
        <v>117</v>
      </c>
    </row>
    <row r="39" spans="1:17" x14ac:dyDescent="0.2">
      <c r="A39" s="22" t="s">
        <v>37</v>
      </c>
      <c r="B39" s="40" t="str">
        <f t="shared" si="2"/>
        <v>Yes</v>
      </c>
      <c r="C39" s="40" t="str">
        <f t="shared" si="3"/>
        <v>Yes</v>
      </c>
      <c r="D39" s="29" t="s">
        <v>117</v>
      </c>
      <c r="E39" s="29">
        <v>2011</v>
      </c>
      <c r="F39" s="29" t="s">
        <v>163</v>
      </c>
      <c r="G39" s="29" t="s">
        <v>117</v>
      </c>
      <c r="H39" s="29">
        <v>2011</v>
      </c>
      <c r="I39" s="29" t="s">
        <v>163</v>
      </c>
      <c r="J39" s="16" t="s">
        <v>117</v>
      </c>
      <c r="K39" s="16" t="s">
        <v>118</v>
      </c>
      <c r="L39" s="16" t="s">
        <v>118</v>
      </c>
      <c r="M39" s="16" t="s">
        <v>118</v>
      </c>
      <c r="N39" s="16" t="s">
        <v>118</v>
      </c>
      <c r="O39" s="16" t="s">
        <v>118</v>
      </c>
      <c r="P39" s="16" t="s">
        <v>118</v>
      </c>
      <c r="Q39" s="39"/>
    </row>
    <row r="40" spans="1:17" x14ac:dyDescent="0.2">
      <c r="A40" s="22" t="s">
        <v>38</v>
      </c>
      <c r="B40" s="40" t="str">
        <f t="shared" si="2"/>
        <v>No</v>
      </c>
      <c r="C40" s="40" t="str">
        <f t="shared" si="3"/>
        <v>Yes</v>
      </c>
      <c r="D40" s="29" t="s">
        <v>117</v>
      </c>
      <c r="E40" s="29">
        <v>2012</v>
      </c>
      <c r="F40" s="29" t="s">
        <v>163</v>
      </c>
      <c r="G40" s="29" t="s">
        <v>118</v>
      </c>
      <c r="H40" s="29">
        <v>2012</v>
      </c>
      <c r="I40" s="29" t="s">
        <v>163</v>
      </c>
      <c r="J40" s="16" t="s">
        <v>117</v>
      </c>
      <c r="K40" s="16" t="s">
        <v>117</v>
      </c>
      <c r="L40" s="16" t="s">
        <v>117</v>
      </c>
      <c r="M40" s="16" t="s">
        <v>118</v>
      </c>
      <c r="N40" s="16" t="s">
        <v>118</v>
      </c>
      <c r="O40" s="16" t="s">
        <v>118</v>
      </c>
      <c r="P40" s="16" t="s">
        <v>296</v>
      </c>
      <c r="Q40" s="39" t="s">
        <v>117</v>
      </c>
    </row>
    <row r="41" spans="1:17" x14ac:dyDescent="0.2">
      <c r="A41" s="22" t="s">
        <v>39</v>
      </c>
      <c r="B41" s="40" t="str">
        <f t="shared" si="2"/>
        <v>No</v>
      </c>
      <c r="C41" s="40" t="str">
        <f t="shared" si="3"/>
        <v>No</v>
      </c>
      <c r="D41" s="29"/>
      <c r="E41" s="29"/>
      <c r="F41" s="29"/>
      <c r="G41" s="29"/>
      <c r="H41" s="29"/>
      <c r="I41" s="29"/>
      <c r="J41" s="16" t="s">
        <v>117</v>
      </c>
      <c r="K41" s="16" t="s">
        <v>118</v>
      </c>
      <c r="L41" s="16" t="s">
        <v>118</v>
      </c>
      <c r="M41" s="16" t="s">
        <v>118</v>
      </c>
      <c r="N41" s="16" t="s">
        <v>118</v>
      </c>
      <c r="O41" s="16" t="s">
        <v>118</v>
      </c>
      <c r="P41" s="16" t="s">
        <v>118</v>
      </c>
      <c r="Q41" s="39"/>
    </row>
    <row r="42" spans="1:17" x14ac:dyDescent="0.2">
      <c r="A42" s="22" t="s">
        <v>40</v>
      </c>
      <c r="B42" s="40" t="str">
        <f t="shared" si="2"/>
        <v>No</v>
      </c>
      <c r="C42" s="40" t="str">
        <f t="shared" si="3"/>
        <v>No</v>
      </c>
      <c r="D42" s="29" t="s">
        <v>118</v>
      </c>
      <c r="E42" s="29">
        <v>2012</v>
      </c>
      <c r="F42" s="29" t="s">
        <v>163</v>
      </c>
      <c r="G42" s="29" t="s">
        <v>118</v>
      </c>
      <c r="H42" s="29">
        <v>2012</v>
      </c>
      <c r="I42" s="29" t="s">
        <v>163</v>
      </c>
      <c r="J42" s="16" t="s">
        <v>117</v>
      </c>
      <c r="K42" s="16" t="s">
        <v>117</v>
      </c>
      <c r="L42" s="16" t="s">
        <v>118</v>
      </c>
      <c r="M42" s="16" t="s">
        <v>118</v>
      </c>
      <c r="N42" s="16" t="s">
        <v>117</v>
      </c>
      <c r="O42" s="16" t="s">
        <v>118</v>
      </c>
      <c r="P42" s="16" t="s">
        <v>296</v>
      </c>
      <c r="Q42" s="39"/>
    </row>
    <row r="43" spans="1:17" x14ac:dyDescent="0.2">
      <c r="A43" s="22" t="s">
        <v>41</v>
      </c>
      <c r="B43" s="40" t="str">
        <f t="shared" si="2"/>
        <v>No</v>
      </c>
      <c r="C43" s="40" t="str">
        <f t="shared" si="3"/>
        <v>No</v>
      </c>
      <c r="D43" s="29"/>
      <c r="E43" s="29"/>
      <c r="F43" s="29"/>
      <c r="G43" s="29"/>
      <c r="H43" s="29"/>
      <c r="I43" s="29"/>
      <c r="J43" s="16" t="s">
        <v>117</v>
      </c>
      <c r="K43" s="16" t="s">
        <v>117</v>
      </c>
      <c r="L43" s="16" t="s">
        <v>118</v>
      </c>
      <c r="M43" s="16" t="s">
        <v>118</v>
      </c>
      <c r="N43" s="16" t="s">
        <v>118</v>
      </c>
      <c r="O43" s="16" t="s">
        <v>118</v>
      </c>
      <c r="P43" s="16" t="s">
        <v>118</v>
      </c>
      <c r="Q43" s="39"/>
    </row>
    <row r="44" spans="1:17" x14ac:dyDescent="0.2">
      <c r="A44" s="22" t="s">
        <v>42</v>
      </c>
      <c r="B44" s="40" t="str">
        <f t="shared" si="2"/>
        <v>No</v>
      </c>
      <c r="C44" s="40" t="str">
        <f t="shared" si="3"/>
        <v>No</v>
      </c>
      <c r="D44" s="29"/>
      <c r="E44" s="29"/>
      <c r="F44" s="29"/>
      <c r="G44" s="29"/>
      <c r="H44" s="29"/>
      <c r="I44" s="29"/>
      <c r="J44" s="16" t="s">
        <v>118</v>
      </c>
      <c r="K44" s="16" t="s">
        <v>118</v>
      </c>
      <c r="L44" s="16" t="s">
        <v>118</v>
      </c>
      <c r="M44" s="16" t="s">
        <v>118</v>
      </c>
      <c r="N44" s="16" t="s">
        <v>118</v>
      </c>
      <c r="O44" s="16" t="s">
        <v>118</v>
      </c>
      <c r="P44" s="16" t="s">
        <v>118</v>
      </c>
      <c r="Q44" s="39"/>
    </row>
    <row r="45" spans="1:17" x14ac:dyDescent="0.2">
      <c r="A45" s="22" t="s">
        <v>43</v>
      </c>
      <c r="B45" s="40" t="str">
        <f t="shared" si="2"/>
        <v>No</v>
      </c>
      <c r="C45" s="40" t="str">
        <f t="shared" si="3"/>
        <v>No</v>
      </c>
      <c r="D45" s="29"/>
      <c r="E45" s="29"/>
      <c r="F45" s="29"/>
      <c r="G45" s="29"/>
      <c r="H45" s="29"/>
      <c r="I45" s="29"/>
      <c r="J45" s="16" t="s">
        <v>118</v>
      </c>
      <c r="K45" s="16" t="s">
        <v>118</v>
      </c>
      <c r="L45" s="16" t="s">
        <v>118</v>
      </c>
      <c r="M45" s="16" t="s">
        <v>118</v>
      </c>
      <c r="N45" s="16" t="s">
        <v>118</v>
      </c>
      <c r="O45" s="16" t="s">
        <v>118</v>
      </c>
      <c r="P45" s="16" t="s">
        <v>118</v>
      </c>
      <c r="Q45" s="39"/>
    </row>
    <row r="46" spans="1:17" x14ac:dyDescent="0.2">
      <c r="A46" s="22" t="s">
        <v>44</v>
      </c>
      <c r="B46" s="40" t="str">
        <f t="shared" si="2"/>
        <v>Yes</v>
      </c>
      <c r="C46" s="40" t="str">
        <f t="shared" si="3"/>
        <v>Yes</v>
      </c>
      <c r="D46" s="29" t="s">
        <v>117</v>
      </c>
      <c r="E46" s="29">
        <v>2012</v>
      </c>
      <c r="F46" s="29" t="s">
        <v>163</v>
      </c>
      <c r="G46" s="29" t="s">
        <v>117</v>
      </c>
      <c r="H46" s="29">
        <v>2012</v>
      </c>
      <c r="I46" s="29" t="s">
        <v>163</v>
      </c>
      <c r="J46" s="16" t="s">
        <v>117</v>
      </c>
      <c r="K46" s="16" t="s">
        <v>118</v>
      </c>
      <c r="L46" s="16" t="s">
        <v>118</v>
      </c>
      <c r="M46" s="16" t="s">
        <v>118</v>
      </c>
      <c r="N46" s="16" t="s">
        <v>118</v>
      </c>
      <c r="O46" s="16" t="s">
        <v>118</v>
      </c>
      <c r="P46" s="16" t="s">
        <v>296</v>
      </c>
      <c r="Q46" s="39"/>
    </row>
    <row r="47" spans="1:17" x14ac:dyDescent="0.2">
      <c r="A47" s="22" t="s">
        <v>45</v>
      </c>
      <c r="B47" s="40" t="str">
        <f t="shared" si="2"/>
        <v>No</v>
      </c>
      <c r="C47" s="40" t="str">
        <f t="shared" si="3"/>
        <v>No</v>
      </c>
      <c r="D47" s="29" t="s">
        <v>118</v>
      </c>
      <c r="E47" s="29">
        <v>2011</v>
      </c>
      <c r="F47" s="29" t="s">
        <v>163</v>
      </c>
      <c r="G47" s="29" t="s">
        <v>118</v>
      </c>
      <c r="H47" s="29">
        <v>2011</v>
      </c>
      <c r="I47" s="29" t="s">
        <v>163</v>
      </c>
      <c r="J47" s="16" t="s">
        <v>117</v>
      </c>
      <c r="K47" s="16" t="s">
        <v>118</v>
      </c>
      <c r="L47" s="16" t="s">
        <v>118</v>
      </c>
      <c r="M47" s="16" t="s">
        <v>118</v>
      </c>
      <c r="N47" s="16" t="s">
        <v>118</v>
      </c>
      <c r="O47" s="16" t="s">
        <v>118</v>
      </c>
      <c r="P47" s="16" t="s">
        <v>117</v>
      </c>
      <c r="Q47" s="39" t="s">
        <v>117</v>
      </c>
    </row>
    <row r="48" spans="1:17" x14ac:dyDescent="0.2">
      <c r="A48" s="22" t="s">
        <v>46</v>
      </c>
      <c r="B48" s="40" t="str">
        <f t="shared" si="2"/>
        <v>No</v>
      </c>
      <c r="C48" s="40" t="str">
        <f t="shared" si="3"/>
        <v>No</v>
      </c>
      <c r="D48" s="29"/>
      <c r="E48" s="29"/>
      <c r="F48" s="29"/>
      <c r="G48" s="29"/>
      <c r="H48" s="29"/>
      <c r="I48" s="29"/>
      <c r="J48" s="16" t="s">
        <v>117</v>
      </c>
      <c r="K48" s="16" t="s">
        <v>117</v>
      </c>
      <c r="L48" s="16" t="s">
        <v>118</v>
      </c>
      <c r="M48" s="16" t="s">
        <v>118</v>
      </c>
      <c r="N48" s="16" t="s">
        <v>118</v>
      </c>
      <c r="O48" s="16" t="s">
        <v>118</v>
      </c>
      <c r="P48" s="16" t="s">
        <v>118</v>
      </c>
      <c r="Q48" s="39"/>
    </row>
    <row r="49" spans="1:17" x14ac:dyDescent="0.2">
      <c r="A49" s="22" t="s">
        <v>47</v>
      </c>
      <c r="B49" s="40" t="str">
        <f t="shared" si="2"/>
        <v>No</v>
      </c>
      <c r="C49" s="40" t="str">
        <f t="shared" si="3"/>
        <v>No</v>
      </c>
      <c r="D49" s="29"/>
      <c r="E49" s="29"/>
      <c r="F49" s="29"/>
      <c r="G49" s="29"/>
      <c r="H49" s="29"/>
      <c r="I49" s="29"/>
      <c r="J49" s="16" t="s">
        <v>117</v>
      </c>
      <c r="K49" s="16" t="s">
        <v>117</v>
      </c>
      <c r="L49" s="16" t="s">
        <v>118</v>
      </c>
      <c r="M49" s="16" t="s">
        <v>118</v>
      </c>
      <c r="N49" s="16" t="s">
        <v>118</v>
      </c>
      <c r="O49" s="16" t="s">
        <v>118</v>
      </c>
      <c r="P49" s="16" t="s">
        <v>118</v>
      </c>
      <c r="Q49" s="39"/>
    </row>
    <row r="50" spans="1:17" x14ac:dyDescent="0.2">
      <c r="A50" s="22" t="s">
        <v>48</v>
      </c>
      <c r="B50" s="40" t="str">
        <f t="shared" si="2"/>
        <v>No</v>
      </c>
      <c r="C50" s="40" t="str">
        <f t="shared" si="3"/>
        <v>No</v>
      </c>
      <c r="D50" s="29"/>
      <c r="E50" s="29"/>
      <c r="F50" s="29"/>
      <c r="G50" s="29"/>
      <c r="H50" s="29"/>
      <c r="I50" s="29"/>
      <c r="J50" s="16" t="s">
        <v>118</v>
      </c>
      <c r="K50" s="16" t="s">
        <v>118</v>
      </c>
      <c r="L50" s="16" t="s">
        <v>118</v>
      </c>
      <c r="M50" s="16" t="s">
        <v>118</v>
      </c>
      <c r="N50" s="16" t="s">
        <v>118</v>
      </c>
      <c r="O50" s="16" t="s">
        <v>118</v>
      </c>
      <c r="P50" s="16" t="s">
        <v>118</v>
      </c>
      <c r="Q50" s="39"/>
    </row>
    <row r="51" spans="1:17" x14ac:dyDescent="0.2">
      <c r="A51" s="22" t="s">
        <v>49</v>
      </c>
      <c r="B51" s="40" t="str">
        <f t="shared" si="2"/>
        <v>No</v>
      </c>
      <c r="C51" s="40" t="str">
        <f t="shared" si="3"/>
        <v>No</v>
      </c>
      <c r="D51" s="29" t="s">
        <v>118</v>
      </c>
      <c r="E51" s="29">
        <v>2012</v>
      </c>
      <c r="F51" s="29" t="s">
        <v>163</v>
      </c>
      <c r="G51" s="29" t="s">
        <v>118</v>
      </c>
      <c r="H51" s="29">
        <v>2012</v>
      </c>
      <c r="I51" s="29" t="s">
        <v>163</v>
      </c>
      <c r="J51" s="16" t="s">
        <v>117</v>
      </c>
      <c r="K51" s="16" t="s">
        <v>117</v>
      </c>
      <c r="L51" s="16" t="s">
        <v>118</v>
      </c>
      <c r="M51" s="16" t="s">
        <v>118</v>
      </c>
      <c r="N51" s="16" t="s">
        <v>118</v>
      </c>
      <c r="O51" s="16" t="s">
        <v>118</v>
      </c>
      <c r="P51" s="16" t="s">
        <v>296</v>
      </c>
      <c r="Q51" s="39" t="s">
        <v>117</v>
      </c>
    </row>
    <row r="52" spans="1:17" x14ac:dyDescent="0.2">
      <c r="A52" s="22" t="s">
        <v>50</v>
      </c>
      <c r="B52" s="40" t="str">
        <f t="shared" si="2"/>
        <v>No</v>
      </c>
      <c r="C52" s="40" t="str">
        <f t="shared" si="3"/>
        <v>No</v>
      </c>
      <c r="D52" s="29"/>
      <c r="E52" s="29"/>
      <c r="F52" s="29"/>
      <c r="G52" s="29"/>
      <c r="H52" s="29"/>
      <c r="I52" s="29"/>
      <c r="J52" s="16" t="s">
        <v>117</v>
      </c>
      <c r="K52" s="16" t="s">
        <v>118</v>
      </c>
      <c r="L52" s="16" t="s">
        <v>118</v>
      </c>
      <c r="M52" s="16" t="s">
        <v>118</v>
      </c>
      <c r="N52" s="16" t="s">
        <v>117</v>
      </c>
      <c r="O52" s="16" t="s">
        <v>118</v>
      </c>
      <c r="P52" s="16" t="s">
        <v>296</v>
      </c>
      <c r="Q52" s="39"/>
    </row>
    <row r="53" spans="1:17" x14ac:dyDescent="0.2">
      <c r="A53" s="22" t="s">
        <v>51</v>
      </c>
      <c r="B53" s="40" t="str">
        <f t="shared" si="2"/>
        <v>No</v>
      </c>
      <c r="C53" s="40" t="str">
        <f t="shared" si="3"/>
        <v>No</v>
      </c>
      <c r="D53" s="29"/>
      <c r="E53" s="29"/>
      <c r="F53" s="29"/>
      <c r="G53" s="29"/>
      <c r="H53" s="29"/>
      <c r="I53" s="29"/>
      <c r="J53" s="16" t="s">
        <v>118</v>
      </c>
      <c r="K53" s="16" t="s">
        <v>118</v>
      </c>
      <c r="L53" s="16" t="s">
        <v>118</v>
      </c>
      <c r="M53" s="16" t="s">
        <v>118</v>
      </c>
      <c r="N53" s="16" t="s">
        <v>117</v>
      </c>
      <c r="O53" s="16" t="s">
        <v>118</v>
      </c>
      <c r="P53" s="16" t="s">
        <v>296</v>
      </c>
      <c r="Q53" s="39"/>
    </row>
    <row r="54" spans="1:17" x14ac:dyDescent="0.2">
      <c r="A54" s="22" t="s">
        <v>52</v>
      </c>
      <c r="B54" s="40" t="str">
        <f t="shared" si="2"/>
        <v>No</v>
      </c>
      <c r="C54" s="40" t="str">
        <f t="shared" si="3"/>
        <v>No</v>
      </c>
      <c r="D54" s="29" t="s">
        <v>118</v>
      </c>
      <c r="E54" s="29">
        <v>2011</v>
      </c>
      <c r="F54" s="29" t="s">
        <v>163</v>
      </c>
      <c r="G54" s="29" t="s">
        <v>118</v>
      </c>
      <c r="H54" s="29">
        <v>2011</v>
      </c>
      <c r="I54" s="29" t="s">
        <v>163</v>
      </c>
      <c r="J54" s="16" t="s">
        <v>118</v>
      </c>
      <c r="K54" s="16" t="s">
        <v>118</v>
      </c>
      <c r="L54" s="16" t="s">
        <v>118</v>
      </c>
      <c r="M54" s="16" t="s">
        <v>118</v>
      </c>
      <c r="N54" s="16" t="s">
        <v>118</v>
      </c>
      <c r="O54" s="16" t="s">
        <v>118</v>
      </c>
      <c r="P54" s="16" t="s">
        <v>117</v>
      </c>
      <c r="Q54" s="39" t="s">
        <v>117</v>
      </c>
    </row>
    <row r="55" spans="1:17" x14ac:dyDescent="0.2">
      <c r="A55" s="22" t="s">
        <v>53</v>
      </c>
      <c r="B55" s="40" t="str">
        <f t="shared" si="2"/>
        <v>No</v>
      </c>
      <c r="C55" s="40" t="str">
        <f t="shared" si="3"/>
        <v>No</v>
      </c>
      <c r="D55" s="29"/>
      <c r="E55" s="29"/>
      <c r="F55" s="29"/>
      <c r="G55" s="29"/>
      <c r="H55" s="29"/>
      <c r="I55" s="29"/>
      <c r="J55" s="16" t="s">
        <v>296</v>
      </c>
      <c r="K55" s="16" t="s">
        <v>118</v>
      </c>
      <c r="L55" s="16" t="s">
        <v>118</v>
      </c>
      <c r="M55" s="16" t="s">
        <v>118</v>
      </c>
      <c r="N55" s="16" t="s">
        <v>118</v>
      </c>
      <c r="O55" s="16" t="s">
        <v>118</v>
      </c>
      <c r="P55" s="16" t="s">
        <v>118</v>
      </c>
      <c r="Q55" s="39"/>
    </row>
    <row r="56" spans="1:17" x14ac:dyDescent="0.2">
      <c r="A56" s="22" t="s">
        <v>54</v>
      </c>
      <c r="B56" s="40" t="str">
        <f t="shared" si="2"/>
        <v>No</v>
      </c>
      <c r="C56" s="40" t="str">
        <f t="shared" si="3"/>
        <v>No</v>
      </c>
      <c r="D56" s="29" t="s">
        <v>118</v>
      </c>
      <c r="E56" s="29">
        <v>2011</v>
      </c>
      <c r="F56" s="29" t="s">
        <v>163</v>
      </c>
      <c r="G56" s="29" t="s">
        <v>118</v>
      </c>
      <c r="H56" s="29">
        <v>2011</v>
      </c>
      <c r="I56" s="29" t="s">
        <v>163</v>
      </c>
      <c r="J56" s="16" t="s">
        <v>118</v>
      </c>
      <c r="K56" s="16" t="s">
        <v>118</v>
      </c>
      <c r="L56" s="16" t="s">
        <v>118</v>
      </c>
      <c r="M56" s="16" t="s">
        <v>118</v>
      </c>
      <c r="N56" s="16" t="s">
        <v>118</v>
      </c>
      <c r="O56" s="16" t="s">
        <v>118</v>
      </c>
      <c r="P56" s="16" t="s">
        <v>118</v>
      </c>
      <c r="Q56" s="39"/>
    </row>
    <row r="57" spans="1:17" x14ac:dyDescent="0.2">
      <c r="A57" s="22" t="s">
        <v>55</v>
      </c>
      <c r="B57" s="40" t="str">
        <f t="shared" si="2"/>
        <v>No</v>
      </c>
      <c r="C57" s="40" t="str">
        <f t="shared" si="3"/>
        <v>No</v>
      </c>
      <c r="D57" s="29" t="s">
        <v>118</v>
      </c>
      <c r="E57" s="29">
        <v>2012</v>
      </c>
      <c r="F57" s="29" t="s">
        <v>163</v>
      </c>
      <c r="G57" s="29" t="s">
        <v>118</v>
      </c>
      <c r="H57" s="29">
        <v>2012</v>
      </c>
      <c r="I57" s="29" t="s">
        <v>163</v>
      </c>
      <c r="J57" s="16" t="s">
        <v>118</v>
      </c>
      <c r="K57" s="16" t="s">
        <v>118</v>
      </c>
      <c r="L57" s="16" t="s">
        <v>118</v>
      </c>
      <c r="M57" s="16" t="s">
        <v>118</v>
      </c>
      <c r="N57" s="16" t="s">
        <v>118</v>
      </c>
      <c r="O57" s="16" t="s">
        <v>118</v>
      </c>
      <c r="P57" s="16" t="s">
        <v>296</v>
      </c>
      <c r="Q57" s="39"/>
    </row>
    <row r="58" spans="1:17" x14ac:dyDescent="0.2">
      <c r="A58" s="22" t="s">
        <v>56</v>
      </c>
      <c r="B58" s="40" t="str">
        <f t="shared" si="2"/>
        <v>No</v>
      </c>
      <c r="C58" s="40" t="str">
        <f t="shared" si="3"/>
        <v>No</v>
      </c>
      <c r="D58" s="29"/>
      <c r="E58" s="29"/>
      <c r="F58" s="29"/>
      <c r="G58" s="29"/>
      <c r="H58" s="29"/>
      <c r="I58" s="29"/>
      <c r="J58" s="16" t="s">
        <v>117</v>
      </c>
      <c r="K58" s="16" t="s">
        <v>117</v>
      </c>
      <c r="L58" s="16" t="s">
        <v>118</v>
      </c>
      <c r="M58" s="16" t="s">
        <v>118</v>
      </c>
      <c r="N58" s="16" t="s">
        <v>118</v>
      </c>
      <c r="O58" s="16" t="s">
        <v>118</v>
      </c>
      <c r="P58" s="16"/>
      <c r="Q58" s="39"/>
    </row>
    <row r="59" spans="1:17" x14ac:dyDescent="0.2">
      <c r="A59" s="22" t="s">
        <v>57</v>
      </c>
      <c r="B59" s="40" t="str">
        <f t="shared" si="2"/>
        <v>Yes</v>
      </c>
      <c r="C59" s="40" t="str">
        <f t="shared" si="3"/>
        <v>Yes</v>
      </c>
      <c r="D59" s="29" t="s">
        <v>117</v>
      </c>
      <c r="E59" s="29">
        <v>2012</v>
      </c>
      <c r="F59" s="29" t="s">
        <v>163</v>
      </c>
      <c r="G59" s="29" t="s">
        <v>118</v>
      </c>
      <c r="H59" s="29">
        <v>2012</v>
      </c>
      <c r="I59" s="29" t="s">
        <v>163</v>
      </c>
      <c r="J59" s="16" t="s">
        <v>117</v>
      </c>
      <c r="K59" s="16" t="s">
        <v>118</v>
      </c>
      <c r="L59" s="16" t="s">
        <v>118</v>
      </c>
      <c r="M59" s="16" t="s">
        <v>117</v>
      </c>
      <c r="N59" s="16" t="s">
        <v>118</v>
      </c>
      <c r="O59" s="16" t="s">
        <v>117</v>
      </c>
      <c r="P59" s="16" t="s">
        <v>296</v>
      </c>
      <c r="Q59" s="39" t="s">
        <v>117</v>
      </c>
    </row>
    <row r="60" spans="1:17" x14ac:dyDescent="0.2">
      <c r="A60" s="22" t="s">
        <v>58</v>
      </c>
      <c r="B60" s="40" t="str">
        <f t="shared" si="2"/>
        <v>No</v>
      </c>
      <c r="C60" s="40" t="str">
        <f t="shared" si="3"/>
        <v>Yes</v>
      </c>
      <c r="D60" s="29" t="s">
        <v>118</v>
      </c>
      <c r="E60" s="29">
        <v>2012</v>
      </c>
      <c r="F60" s="29" t="s">
        <v>163</v>
      </c>
      <c r="G60" s="29" t="s">
        <v>118</v>
      </c>
      <c r="H60" s="29">
        <v>2012</v>
      </c>
      <c r="I60" s="29" t="s">
        <v>163</v>
      </c>
      <c r="J60" s="16" t="s">
        <v>118</v>
      </c>
      <c r="K60" s="16" t="s">
        <v>118</v>
      </c>
      <c r="L60" s="16" t="s">
        <v>117</v>
      </c>
      <c r="M60" s="16" t="s">
        <v>118</v>
      </c>
      <c r="N60" s="16" t="s">
        <v>118</v>
      </c>
      <c r="O60" s="16" t="s">
        <v>118</v>
      </c>
      <c r="P60" s="16" t="s">
        <v>296</v>
      </c>
      <c r="Q60" s="39" t="s">
        <v>117</v>
      </c>
    </row>
    <row r="61" spans="1:17" x14ac:dyDescent="0.2">
      <c r="A61" s="22" t="s">
        <v>59</v>
      </c>
      <c r="B61" s="40" t="str">
        <f t="shared" si="2"/>
        <v>No</v>
      </c>
      <c r="C61" s="40" t="str">
        <f t="shared" si="3"/>
        <v>No</v>
      </c>
      <c r="D61" s="29"/>
      <c r="E61" s="29"/>
      <c r="F61" s="29"/>
      <c r="G61" s="29"/>
      <c r="H61" s="29"/>
      <c r="I61" s="29"/>
      <c r="J61" s="16" t="s">
        <v>118</v>
      </c>
      <c r="K61" s="16" t="s">
        <v>118</v>
      </c>
      <c r="L61" s="16"/>
      <c r="M61" s="16" t="s">
        <v>118</v>
      </c>
      <c r="N61" s="16" t="s">
        <v>118</v>
      </c>
      <c r="O61" s="16" t="s">
        <v>118</v>
      </c>
      <c r="P61" s="16" t="s">
        <v>118</v>
      </c>
      <c r="Q61" s="39"/>
    </row>
    <row r="62" spans="1:17" x14ac:dyDescent="0.2">
      <c r="A62" s="22" t="s">
        <v>60</v>
      </c>
      <c r="B62" s="40" t="str">
        <f t="shared" si="2"/>
        <v>No</v>
      </c>
      <c r="C62" s="40" t="str">
        <f t="shared" si="3"/>
        <v>Yes</v>
      </c>
      <c r="D62" s="29" t="s">
        <v>118</v>
      </c>
      <c r="E62" s="29">
        <v>2011</v>
      </c>
      <c r="F62" s="29" t="s">
        <v>163</v>
      </c>
      <c r="G62" s="29" t="s">
        <v>118</v>
      </c>
      <c r="H62" s="29">
        <v>2011</v>
      </c>
      <c r="I62" s="29" t="s">
        <v>163</v>
      </c>
      <c r="J62" s="16" t="s">
        <v>117</v>
      </c>
      <c r="K62" s="16" t="s">
        <v>118</v>
      </c>
      <c r="L62" s="16" t="s">
        <v>117</v>
      </c>
      <c r="M62" s="16" t="s">
        <v>118</v>
      </c>
      <c r="N62" s="16" t="s">
        <v>118</v>
      </c>
      <c r="O62" s="16" t="s">
        <v>118</v>
      </c>
      <c r="P62" s="16" t="s">
        <v>117</v>
      </c>
      <c r="Q62" s="39" t="s">
        <v>117</v>
      </c>
    </row>
    <row r="63" spans="1:17" x14ac:dyDescent="0.2">
      <c r="A63" s="22" t="s">
        <v>61</v>
      </c>
      <c r="B63" s="40" t="str">
        <f t="shared" si="2"/>
        <v>No</v>
      </c>
      <c r="C63" s="40" t="str">
        <f t="shared" si="3"/>
        <v>Yes</v>
      </c>
      <c r="D63" s="29" t="s">
        <v>117</v>
      </c>
      <c r="E63" s="29">
        <v>2011</v>
      </c>
      <c r="F63" s="29" t="s">
        <v>163</v>
      </c>
      <c r="G63" s="29"/>
      <c r="H63" s="29"/>
      <c r="I63" s="29"/>
      <c r="J63" s="16" t="s">
        <v>117</v>
      </c>
      <c r="K63" s="16" t="s">
        <v>117</v>
      </c>
      <c r="L63" s="16"/>
      <c r="M63" s="16" t="s">
        <v>118</v>
      </c>
      <c r="N63" s="16" t="s">
        <v>118</v>
      </c>
      <c r="O63" s="16" t="s">
        <v>118</v>
      </c>
      <c r="P63" s="16" t="s">
        <v>118</v>
      </c>
      <c r="Q63" s="39" t="s">
        <v>117</v>
      </c>
    </row>
    <row r="64" spans="1:17" x14ac:dyDescent="0.2">
      <c r="A64" s="22" t="s">
        <v>62</v>
      </c>
      <c r="B64" s="40" t="str">
        <f t="shared" si="2"/>
        <v>No</v>
      </c>
      <c r="C64" s="40" t="str">
        <f t="shared" si="3"/>
        <v>No</v>
      </c>
      <c r="D64" s="29"/>
      <c r="E64" s="29"/>
      <c r="F64" s="29"/>
      <c r="G64" s="29"/>
      <c r="H64" s="29"/>
      <c r="I64" s="29"/>
      <c r="J64" s="16" t="s">
        <v>117</v>
      </c>
      <c r="K64" s="16" t="s">
        <v>118</v>
      </c>
      <c r="L64" s="16" t="s">
        <v>118</v>
      </c>
      <c r="M64" s="16" t="s">
        <v>118</v>
      </c>
      <c r="N64" s="16" t="s">
        <v>117</v>
      </c>
      <c r="O64" s="16" t="s">
        <v>118</v>
      </c>
      <c r="P64" s="16" t="s">
        <v>118</v>
      </c>
      <c r="Q64" s="39"/>
    </row>
    <row r="65" spans="1:17" x14ac:dyDescent="0.2">
      <c r="A65" s="22" t="s">
        <v>63</v>
      </c>
      <c r="B65" s="40" t="str">
        <f t="shared" si="2"/>
        <v>No</v>
      </c>
      <c r="C65" s="40" t="str">
        <f t="shared" si="3"/>
        <v>No</v>
      </c>
      <c r="D65" s="29"/>
      <c r="E65" s="29"/>
      <c r="F65" s="29"/>
      <c r="G65" s="29"/>
      <c r="H65" s="29"/>
      <c r="I65" s="29"/>
      <c r="J65" s="16" t="s">
        <v>118</v>
      </c>
      <c r="K65" s="16" t="s">
        <v>118</v>
      </c>
      <c r="L65" s="16" t="s">
        <v>118</v>
      </c>
      <c r="M65" s="16" t="s">
        <v>118</v>
      </c>
      <c r="N65" s="16" t="s">
        <v>118</v>
      </c>
      <c r="O65" s="16" t="s">
        <v>118</v>
      </c>
      <c r="P65" s="16" t="s">
        <v>118</v>
      </c>
      <c r="Q65" s="39"/>
    </row>
    <row r="66" spans="1:17" x14ac:dyDescent="0.2">
      <c r="A66" s="22" t="s">
        <v>64</v>
      </c>
      <c r="B66" s="40" t="str">
        <f t="shared" si="2"/>
        <v>Yes</v>
      </c>
      <c r="C66" s="40" t="str">
        <f t="shared" si="3"/>
        <v>No</v>
      </c>
      <c r="D66" s="29"/>
      <c r="E66" s="29"/>
      <c r="F66" s="29"/>
      <c r="G66" s="29"/>
      <c r="H66" s="29"/>
      <c r="I66" s="29"/>
      <c r="J66" s="16" t="s">
        <v>117</v>
      </c>
      <c r="K66" s="16" t="s">
        <v>118</v>
      </c>
      <c r="L66" s="16" t="s">
        <v>118</v>
      </c>
      <c r="M66" s="16" t="s">
        <v>118</v>
      </c>
      <c r="N66" s="16" t="s">
        <v>118</v>
      </c>
      <c r="O66" s="16" t="s">
        <v>117</v>
      </c>
      <c r="P66" s="16" t="s">
        <v>118</v>
      </c>
      <c r="Q66" s="39" t="s">
        <v>117</v>
      </c>
    </row>
    <row r="67" spans="1:17" x14ac:dyDescent="0.2">
      <c r="A67" s="22" t="s">
        <v>65</v>
      </c>
      <c r="B67" s="40" t="str">
        <f t="shared" si="2"/>
        <v>No</v>
      </c>
      <c r="C67" s="40" t="str">
        <f t="shared" si="3"/>
        <v>No</v>
      </c>
      <c r="D67" s="29"/>
      <c r="E67" s="29"/>
      <c r="F67" s="29"/>
      <c r="G67" s="29"/>
      <c r="H67" s="29"/>
      <c r="I67" s="29"/>
      <c r="J67" s="16" t="s">
        <v>118</v>
      </c>
      <c r="K67" s="16" t="s">
        <v>118</v>
      </c>
      <c r="L67" s="16" t="s">
        <v>118</v>
      </c>
      <c r="M67" s="16" t="s">
        <v>118</v>
      </c>
      <c r="N67" s="16" t="s">
        <v>118</v>
      </c>
      <c r="O67" s="16" t="s">
        <v>118</v>
      </c>
      <c r="P67" s="16" t="s">
        <v>118</v>
      </c>
      <c r="Q67" s="39"/>
    </row>
    <row r="68" spans="1:17" x14ac:dyDescent="0.2">
      <c r="A68" s="22" t="s">
        <v>66</v>
      </c>
      <c r="B68" s="40" t="str">
        <f t="shared" si="2"/>
        <v>Yes</v>
      </c>
      <c r="C68" s="40" t="str">
        <f t="shared" si="3"/>
        <v>Yes</v>
      </c>
      <c r="D68" s="29" t="s">
        <v>117</v>
      </c>
      <c r="E68" s="29">
        <v>2011</v>
      </c>
      <c r="F68" s="29" t="s">
        <v>163</v>
      </c>
      <c r="G68" s="29" t="s">
        <v>117</v>
      </c>
      <c r="H68" s="29">
        <v>2011</v>
      </c>
      <c r="I68" s="29" t="s">
        <v>163</v>
      </c>
      <c r="J68" s="16" t="s">
        <v>117</v>
      </c>
      <c r="K68" s="16" t="s">
        <v>117</v>
      </c>
      <c r="L68" s="16" t="s">
        <v>117</v>
      </c>
      <c r="M68" s="16" t="s">
        <v>118</v>
      </c>
      <c r="N68" s="16" t="s">
        <v>118</v>
      </c>
      <c r="O68" s="16" t="s">
        <v>118</v>
      </c>
      <c r="P68" s="16" t="s">
        <v>118</v>
      </c>
      <c r="Q68" s="39"/>
    </row>
    <row r="69" spans="1:17" x14ac:dyDescent="0.2">
      <c r="A69" s="22" t="s">
        <v>67</v>
      </c>
      <c r="B69" s="40" t="str">
        <f t="shared" si="2"/>
        <v>No</v>
      </c>
      <c r="C69" s="40" t="str">
        <f t="shared" si="3"/>
        <v>No</v>
      </c>
      <c r="D69" s="29"/>
      <c r="E69" s="29"/>
      <c r="F69" s="29"/>
      <c r="G69" s="29"/>
      <c r="H69" s="29"/>
      <c r="I69" s="29"/>
      <c r="J69" s="16" t="s">
        <v>117</v>
      </c>
      <c r="K69" s="16" t="s">
        <v>296</v>
      </c>
      <c r="L69" s="16" t="s">
        <v>118</v>
      </c>
      <c r="M69" s="16" t="s">
        <v>118</v>
      </c>
      <c r="N69" s="16" t="s">
        <v>118</v>
      </c>
      <c r="O69" s="16" t="s">
        <v>118</v>
      </c>
      <c r="P69" s="16" t="s">
        <v>118</v>
      </c>
      <c r="Q69" s="39"/>
    </row>
    <row r="70" spans="1:17" x14ac:dyDescent="0.2">
      <c r="A70" s="22" t="s">
        <v>68</v>
      </c>
      <c r="B70" s="40" t="str">
        <f t="shared" si="2"/>
        <v>No</v>
      </c>
      <c r="C70" s="40" t="str">
        <f t="shared" si="3"/>
        <v>No</v>
      </c>
      <c r="D70" s="29"/>
      <c r="E70" s="29"/>
      <c r="F70" s="29"/>
      <c r="G70" s="29"/>
      <c r="H70" s="29"/>
      <c r="I70" s="29"/>
      <c r="J70" s="16" t="s">
        <v>117</v>
      </c>
      <c r="K70" s="16" t="s">
        <v>118</v>
      </c>
      <c r="L70" s="16" t="s">
        <v>118</v>
      </c>
      <c r="M70" s="16" t="s">
        <v>118</v>
      </c>
      <c r="N70" s="16" t="s">
        <v>118</v>
      </c>
      <c r="O70" s="16" t="s">
        <v>118</v>
      </c>
      <c r="P70" s="16" t="s">
        <v>118</v>
      </c>
      <c r="Q70" s="39"/>
    </row>
    <row r="71" spans="1:17" x14ac:dyDescent="0.2">
      <c r="A71" s="22" t="s">
        <v>70</v>
      </c>
      <c r="B71" s="40" t="str">
        <f t="shared" si="2"/>
        <v>No</v>
      </c>
      <c r="C71" s="40" t="str">
        <f t="shared" si="3"/>
        <v>No</v>
      </c>
      <c r="D71" s="29" t="s">
        <v>118</v>
      </c>
      <c r="E71" s="29">
        <v>2011</v>
      </c>
      <c r="F71" s="29" t="s">
        <v>163</v>
      </c>
      <c r="G71" s="29" t="s">
        <v>118</v>
      </c>
      <c r="H71" s="29">
        <v>2011</v>
      </c>
      <c r="I71" s="29" t="s">
        <v>163</v>
      </c>
      <c r="J71" s="16" t="s">
        <v>118</v>
      </c>
      <c r="K71" s="16" t="s">
        <v>118</v>
      </c>
      <c r="L71" s="16" t="s">
        <v>118</v>
      </c>
      <c r="M71" s="16" t="s">
        <v>118</v>
      </c>
      <c r="N71" s="16" t="s">
        <v>118</v>
      </c>
      <c r="O71" s="16" t="s">
        <v>118</v>
      </c>
      <c r="P71" s="16" t="s">
        <v>117</v>
      </c>
      <c r="Q71" s="39"/>
    </row>
    <row r="72" spans="1:17" x14ac:dyDescent="0.2">
      <c r="A72" s="22" t="s">
        <v>71</v>
      </c>
      <c r="B72" s="40" t="str">
        <f t="shared" si="2"/>
        <v>No</v>
      </c>
      <c r="C72" s="40" t="str">
        <f t="shared" si="3"/>
        <v>No</v>
      </c>
      <c r="D72" s="29"/>
      <c r="E72" s="29"/>
      <c r="F72" s="29"/>
      <c r="G72" s="29"/>
      <c r="H72" s="29"/>
      <c r="I72" s="29"/>
      <c r="J72" s="16" t="s">
        <v>118</v>
      </c>
      <c r="K72" s="16" t="s">
        <v>118</v>
      </c>
      <c r="L72" s="16" t="s">
        <v>118</v>
      </c>
      <c r="M72" s="16" t="s">
        <v>118</v>
      </c>
      <c r="N72" s="16" t="s">
        <v>118</v>
      </c>
      <c r="O72" s="16" t="s">
        <v>118</v>
      </c>
      <c r="P72" s="16" t="s">
        <v>118</v>
      </c>
      <c r="Q72" s="39"/>
    </row>
    <row r="73" spans="1:17" x14ac:dyDescent="0.2">
      <c r="A73" s="22" t="s">
        <v>72</v>
      </c>
      <c r="B73" s="40" t="str">
        <f t="shared" si="2"/>
        <v>No</v>
      </c>
      <c r="C73" s="40" t="str">
        <f t="shared" si="3"/>
        <v>Yes</v>
      </c>
      <c r="D73" s="29" t="s">
        <v>117</v>
      </c>
      <c r="E73" s="29">
        <v>2012</v>
      </c>
      <c r="F73" s="29" t="s">
        <v>163</v>
      </c>
      <c r="G73" s="29" t="s">
        <v>118</v>
      </c>
      <c r="H73" s="29">
        <v>2012</v>
      </c>
      <c r="I73" s="29" t="s">
        <v>163</v>
      </c>
      <c r="J73" s="16" t="s">
        <v>117</v>
      </c>
      <c r="K73" s="16" t="s">
        <v>117</v>
      </c>
      <c r="L73" s="16" t="s">
        <v>118</v>
      </c>
      <c r="M73" s="16" t="s">
        <v>118</v>
      </c>
      <c r="N73" s="16" t="s">
        <v>117</v>
      </c>
      <c r="O73" s="16" t="s">
        <v>118</v>
      </c>
      <c r="P73" s="16" t="s">
        <v>296</v>
      </c>
      <c r="Q73" s="39"/>
    </row>
    <row r="74" spans="1:17" x14ac:dyDescent="0.2">
      <c r="A74" s="22" t="s">
        <v>69</v>
      </c>
      <c r="B74" s="40" t="str">
        <f t="shared" si="2"/>
        <v>No</v>
      </c>
      <c r="C74" s="40" t="str">
        <f t="shared" si="3"/>
        <v>No</v>
      </c>
      <c r="D74" s="29" t="s">
        <v>118</v>
      </c>
      <c r="E74" s="29">
        <v>2012</v>
      </c>
      <c r="F74" s="29" t="s">
        <v>163</v>
      </c>
      <c r="G74" s="29" t="s">
        <v>118</v>
      </c>
      <c r="H74" s="29">
        <v>2012</v>
      </c>
      <c r="I74" s="29" t="s">
        <v>163</v>
      </c>
      <c r="J74" s="16" t="s">
        <v>117</v>
      </c>
      <c r="K74" s="16" t="s">
        <v>118</v>
      </c>
      <c r="L74" s="16" t="s">
        <v>118</v>
      </c>
      <c r="M74" s="16" t="s">
        <v>118</v>
      </c>
      <c r="N74" s="16" t="s">
        <v>118</v>
      </c>
      <c r="O74" s="16" t="s">
        <v>118</v>
      </c>
      <c r="P74" s="16" t="s">
        <v>296</v>
      </c>
      <c r="Q74" s="39" t="s">
        <v>117</v>
      </c>
    </row>
    <row r="75" spans="1:17" x14ac:dyDescent="0.2">
      <c r="A75" s="22" t="s">
        <v>73</v>
      </c>
      <c r="B75" s="40" t="str">
        <f t="shared" si="2"/>
        <v>No</v>
      </c>
      <c r="C75" s="40" t="str">
        <f t="shared" si="3"/>
        <v>No</v>
      </c>
      <c r="D75" s="29"/>
      <c r="E75" s="29"/>
      <c r="F75" s="29"/>
      <c r="G75" s="29"/>
      <c r="H75" s="29"/>
      <c r="I75" s="29"/>
      <c r="J75" s="16" t="s">
        <v>118</v>
      </c>
      <c r="K75" s="16" t="s">
        <v>118</v>
      </c>
      <c r="L75" s="16" t="s">
        <v>118</v>
      </c>
      <c r="M75" s="16" t="s">
        <v>118</v>
      </c>
      <c r="N75" s="16"/>
      <c r="O75" s="16" t="s">
        <v>118</v>
      </c>
      <c r="P75" s="16" t="s">
        <v>118</v>
      </c>
      <c r="Q75" s="39"/>
    </row>
    <row r="76" spans="1:17" x14ac:dyDescent="0.2">
      <c r="A76" s="22" t="s">
        <v>74</v>
      </c>
      <c r="B76" s="40" t="str">
        <f t="shared" si="2"/>
        <v>No</v>
      </c>
      <c r="C76" s="40" t="str">
        <f t="shared" si="3"/>
        <v>No</v>
      </c>
      <c r="D76" s="29"/>
      <c r="E76" s="29"/>
      <c r="F76" s="29"/>
      <c r="G76" s="29"/>
      <c r="H76" s="29"/>
      <c r="I76" s="29"/>
      <c r="J76" s="16" t="s">
        <v>117</v>
      </c>
      <c r="K76" s="16" t="s">
        <v>117</v>
      </c>
      <c r="L76" s="16" t="s">
        <v>118</v>
      </c>
      <c r="M76" s="16" t="s">
        <v>118</v>
      </c>
      <c r="N76" s="16" t="s">
        <v>117</v>
      </c>
      <c r="O76" s="16" t="s">
        <v>118</v>
      </c>
      <c r="P76" s="16" t="s">
        <v>296</v>
      </c>
      <c r="Q76" s="39"/>
    </row>
    <row r="77" spans="1:17" x14ac:dyDescent="0.2">
      <c r="A77" s="22" t="s">
        <v>75</v>
      </c>
      <c r="B77" s="40" t="str">
        <f t="shared" si="2"/>
        <v>No</v>
      </c>
      <c r="C77" s="40" t="str">
        <f t="shared" si="3"/>
        <v>Yes</v>
      </c>
      <c r="D77" s="29" t="s">
        <v>117</v>
      </c>
      <c r="E77" s="29">
        <v>2011</v>
      </c>
      <c r="F77" s="29" t="s">
        <v>163</v>
      </c>
      <c r="G77" s="29" t="s">
        <v>118</v>
      </c>
      <c r="H77" s="29">
        <v>2011</v>
      </c>
      <c r="I77" s="29" t="s">
        <v>163</v>
      </c>
      <c r="J77" s="16" t="s">
        <v>117</v>
      </c>
      <c r="K77" s="16" t="s">
        <v>117</v>
      </c>
      <c r="L77" s="16" t="s">
        <v>118</v>
      </c>
      <c r="M77" s="16" t="s">
        <v>118</v>
      </c>
      <c r="N77" s="16" t="s">
        <v>118</v>
      </c>
      <c r="O77" s="16" t="s">
        <v>118</v>
      </c>
      <c r="P77" s="16" t="s">
        <v>118</v>
      </c>
      <c r="Q77" s="39"/>
    </row>
    <row r="78" spans="1:17" x14ac:dyDescent="0.2">
      <c r="A78" s="22" t="s">
        <v>76</v>
      </c>
      <c r="B78" s="40" t="str">
        <f t="shared" si="2"/>
        <v>No</v>
      </c>
      <c r="C78" s="40" t="str">
        <f t="shared" si="3"/>
        <v>Yes</v>
      </c>
      <c r="D78" s="29" t="s">
        <v>117</v>
      </c>
      <c r="E78" s="29">
        <v>2012</v>
      </c>
      <c r="F78" s="29" t="s">
        <v>163</v>
      </c>
      <c r="G78" s="29" t="s">
        <v>118</v>
      </c>
      <c r="H78" s="29">
        <v>2012</v>
      </c>
      <c r="I78" s="29" t="s">
        <v>163</v>
      </c>
      <c r="J78" s="16" t="s">
        <v>117</v>
      </c>
      <c r="K78" s="16" t="s">
        <v>117</v>
      </c>
      <c r="L78" s="16" t="s">
        <v>118</v>
      </c>
      <c r="M78" s="16" t="s">
        <v>118</v>
      </c>
      <c r="N78" s="16" t="s">
        <v>118</v>
      </c>
      <c r="O78" s="16" t="s">
        <v>118</v>
      </c>
      <c r="P78" s="16" t="s">
        <v>296</v>
      </c>
      <c r="Q78" s="39"/>
    </row>
    <row r="79" spans="1:17" x14ac:dyDescent="0.2">
      <c r="A79" s="23" t="s">
        <v>77</v>
      </c>
      <c r="B79" s="40" t="str">
        <f t="shared" si="2"/>
        <v>Yes</v>
      </c>
      <c r="C79" s="40" t="str">
        <f t="shared" si="3"/>
        <v>No</v>
      </c>
      <c r="D79" s="41" t="s">
        <v>118</v>
      </c>
      <c r="E79" s="41">
        <v>2012</v>
      </c>
      <c r="F79" s="41" t="s">
        <v>163</v>
      </c>
      <c r="G79" s="41" t="s">
        <v>117</v>
      </c>
      <c r="H79" s="41">
        <v>2012</v>
      </c>
      <c r="I79" s="41" t="s">
        <v>163</v>
      </c>
      <c r="J79" s="42" t="s">
        <v>118</v>
      </c>
      <c r="K79" s="42" t="s">
        <v>118</v>
      </c>
      <c r="L79" s="42" t="s">
        <v>118</v>
      </c>
      <c r="M79" s="42" t="s">
        <v>118</v>
      </c>
      <c r="N79" s="42" t="s">
        <v>118</v>
      </c>
      <c r="O79" s="42" t="s">
        <v>118</v>
      </c>
      <c r="P79" s="42" t="s">
        <v>296</v>
      </c>
      <c r="Q79" s="43"/>
    </row>
    <row r="80" spans="1:17" x14ac:dyDescent="0.2">
      <c r="A80" s="44" t="s">
        <v>255</v>
      </c>
      <c r="B80" s="44">
        <f>COUNTIF(B5:B79,"Yes")</f>
        <v>6</v>
      </c>
      <c r="C80" s="44">
        <f>COUNTIF(C5:C79,"Yes")</f>
        <v>16</v>
      </c>
      <c r="D80" s="19"/>
      <c r="E80" s="19"/>
      <c r="F80" s="19"/>
      <c r="G80" s="19"/>
      <c r="H80" s="19"/>
      <c r="I80" s="19"/>
      <c r="J80" s="19"/>
      <c r="K80" s="19"/>
      <c r="L80" s="19"/>
      <c r="M80" s="19"/>
      <c r="N80" s="19"/>
      <c r="O80" s="19"/>
      <c r="P80" s="19"/>
      <c r="Q80" s="19"/>
    </row>
    <row r="81" spans="1:17" x14ac:dyDescent="0.2">
      <c r="A81" s="44" t="s">
        <v>256</v>
      </c>
      <c r="B81" s="44">
        <f>COUNTIF(B5:B79,"No")</f>
        <v>65</v>
      </c>
      <c r="C81" s="44">
        <f>COUNTIF(C5:C79,"No")</f>
        <v>55</v>
      </c>
      <c r="D81" s="19"/>
      <c r="E81" s="19"/>
      <c r="F81" s="19"/>
      <c r="G81" s="19"/>
      <c r="H81" s="19"/>
      <c r="I81" s="19"/>
      <c r="J81" s="19"/>
      <c r="K81" s="19"/>
      <c r="L81" s="19"/>
      <c r="M81" s="19"/>
      <c r="N81" s="19"/>
      <c r="O81" s="19"/>
      <c r="P81" s="19"/>
      <c r="Q81" s="19"/>
    </row>
    <row r="82" spans="1:17" x14ac:dyDescent="0.2">
      <c r="A82" s="44" t="s">
        <v>298</v>
      </c>
      <c r="B82" s="44">
        <f>COUNTIF(B5:B79,"No data")</f>
        <v>4</v>
      </c>
      <c r="C82" s="44">
        <f>COUNTIF(C5:C79,"No data")</f>
        <v>4</v>
      </c>
      <c r="D82" s="19"/>
      <c r="E82" s="19"/>
      <c r="F82" s="19"/>
      <c r="G82" s="19"/>
      <c r="H82" s="19"/>
      <c r="I82" s="19"/>
      <c r="J82" s="19"/>
      <c r="K82" s="19"/>
      <c r="L82" s="19"/>
      <c r="M82" s="19"/>
      <c r="N82" s="19"/>
      <c r="O82" s="19"/>
      <c r="P82" s="19"/>
      <c r="Q82" s="19"/>
    </row>
  </sheetData>
  <mergeCells count="3">
    <mergeCell ref="D3:F3"/>
    <mergeCell ref="G3:I3"/>
    <mergeCell ref="J3:Q3"/>
  </mergeCells>
  <pageMargins left="0.23622047244094491" right="0.23622047244094491" top="0.74803149606299213" bottom="0.74803149606299213" header="0.31496062992125984" footer="0.31496062992125984"/>
  <pageSetup paperSize="9" scale="77" orientation="portrait"/>
  <colBreaks count="2" manualBreakCount="2">
    <brk id="3" max="1048575" man="1"/>
    <brk id="9" max="1048575" man="1"/>
  </colBreaks>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K23" sqref="K23"/>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7" width="9.140625" style="2" bestFit="1" customWidth="1"/>
    <col min="8" max="8" width="8" style="2" bestFit="1" customWidth="1"/>
    <col min="9" max="9" width="9.7109375" style="2" bestFit="1" customWidth="1"/>
    <col min="10" max="16384" width="8.85546875" style="1"/>
  </cols>
  <sheetData>
    <row r="1" spans="1:9" x14ac:dyDescent="0.2">
      <c r="A1" s="4" t="s">
        <v>365</v>
      </c>
    </row>
    <row r="2" spans="1:9" x14ac:dyDescent="0.2">
      <c r="A2" s="1" t="s">
        <v>134</v>
      </c>
    </row>
    <row r="3" spans="1:9" ht="39.75" customHeight="1" x14ac:dyDescent="0.2">
      <c r="A3" s="45"/>
      <c r="B3" s="76"/>
      <c r="C3" s="74" t="s">
        <v>149</v>
      </c>
      <c r="D3" s="228" t="s">
        <v>150</v>
      </c>
      <c r="E3" s="223"/>
      <c r="F3" s="48"/>
      <c r="G3" s="229" t="s">
        <v>244</v>
      </c>
      <c r="H3" s="229"/>
      <c r="I3" s="229"/>
    </row>
    <row r="4" spans="1:9" x14ac:dyDescent="0.2">
      <c r="A4" s="74" t="s">
        <v>0</v>
      </c>
      <c r="B4" s="70" t="s">
        <v>2</v>
      </c>
      <c r="C4" s="70" t="s">
        <v>122</v>
      </c>
      <c r="D4" s="70" t="s">
        <v>120</v>
      </c>
      <c r="E4" s="70" t="s">
        <v>124</v>
      </c>
      <c r="F4" s="70" t="s">
        <v>172</v>
      </c>
      <c r="G4" s="71" t="s">
        <v>241</v>
      </c>
      <c r="H4" s="71" t="s">
        <v>242</v>
      </c>
      <c r="I4" s="71" t="s">
        <v>243</v>
      </c>
    </row>
    <row r="5" spans="1:9" x14ac:dyDescent="0.2">
      <c r="A5" s="10" t="s">
        <v>3</v>
      </c>
      <c r="B5" s="14" t="str">
        <f>IF(OR(C5="Yes", G5="Yes"), "Yes", "No")</f>
        <v>No</v>
      </c>
      <c r="C5" s="32" t="s">
        <v>118</v>
      </c>
      <c r="D5" s="32"/>
      <c r="E5" s="32"/>
      <c r="F5" s="32" t="s">
        <v>152</v>
      </c>
      <c r="G5" s="29" t="s">
        <v>118</v>
      </c>
      <c r="H5" s="29">
        <v>2011</v>
      </c>
      <c r="I5" s="29" t="s">
        <v>163</v>
      </c>
    </row>
    <row r="6" spans="1:9" x14ac:dyDescent="0.2">
      <c r="A6" s="10" t="s">
        <v>4</v>
      </c>
      <c r="B6" s="14" t="s">
        <v>154</v>
      </c>
      <c r="C6" s="32"/>
      <c r="D6" s="32"/>
      <c r="E6" s="32"/>
      <c r="F6" s="32"/>
      <c r="G6" s="29"/>
      <c r="H6" s="29"/>
      <c r="I6" s="29"/>
    </row>
    <row r="7" spans="1:9" x14ac:dyDescent="0.2">
      <c r="A7" s="10" t="s">
        <v>5</v>
      </c>
      <c r="B7" s="14" t="str">
        <f>IF(OR(C7="Yes", G7="Yes"), "Yes", "No")</f>
        <v>Yes</v>
      </c>
      <c r="C7" s="32" t="s">
        <v>117</v>
      </c>
      <c r="D7" s="32" t="s">
        <v>151</v>
      </c>
      <c r="E7" s="32">
        <v>2005</v>
      </c>
      <c r="F7" s="32" t="s">
        <v>152</v>
      </c>
      <c r="G7" s="29"/>
      <c r="H7" s="29"/>
      <c r="I7" s="29"/>
    </row>
    <row r="8" spans="1:9" x14ac:dyDescent="0.2">
      <c r="A8" s="10" t="s">
        <v>6</v>
      </c>
      <c r="B8" s="14" t="str">
        <f>IF(OR(C8="Yes", G8="Yes"), "Yes", "No")</f>
        <v>No</v>
      </c>
      <c r="C8" s="32" t="s">
        <v>118</v>
      </c>
      <c r="D8" s="32"/>
      <c r="E8" s="32"/>
      <c r="F8" s="32" t="s">
        <v>152</v>
      </c>
      <c r="G8" s="29"/>
      <c r="H8" s="29"/>
      <c r="I8" s="29"/>
    </row>
    <row r="9" spans="1:9" x14ac:dyDescent="0.2">
      <c r="A9" s="10" t="s">
        <v>7</v>
      </c>
      <c r="B9" s="14" t="str">
        <f>IF(OR(C9="Yes", G9="Yes"), "Yes", "No")</f>
        <v>No</v>
      </c>
      <c r="C9" s="32" t="s">
        <v>118</v>
      </c>
      <c r="D9" s="32"/>
      <c r="E9" s="32"/>
      <c r="F9" s="32" t="s">
        <v>152</v>
      </c>
      <c r="G9" s="29"/>
      <c r="H9" s="29"/>
      <c r="I9" s="29"/>
    </row>
    <row r="10" spans="1:9" x14ac:dyDescent="0.2">
      <c r="A10" s="10" t="s">
        <v>8</v>
      </c>
      <c r="B10" s="14" t="s">
        <v>154</v>
      </c>
      <c r="C10" s="32"/>
      <c r="D10" s="32"/>
      <c r="E10" s="32"/>
      <c r="F10" s="32"/>
      <c r="G10" s="29"/>
      <c r="H10" s="29"/>
      <c r="I10" s="29"/>
    </row>
    <row r="11" spans="1:9" x14ac:dyDescent="0.2">
      <c r="A11" s="10" t="s">
        <v>9</v>
      </c>
      <c r="B11" s="14" t="str">
        <f>IF(OR(C11="Yes", G11="Yes"), "Yes", "No")</f>
        <v>Yes</v>
      </c>
      <c r="C11" s="32" t="s">
        <v>117</v>
      </c>
      <c r="D11" s="32" t="s">
        <v>151</v>
      </c>
      <c r="E11" s="32">
        <v>2003</v>
      </c>
      <c r="F11" s="32" t="s">
        <v>152</v>
      </c>
      <c r="G11" s="29"/>
      <c r="H11" s="29"/>
      <c r="I11" s="29"/>
    </row>
    <row r="12" spans="1:9" x14ac:dyDescent="0.2">
      <c r="A12" s="10" t="s">
        <v>10</v>
      </c>
      <c r="B12" s="14" t="s">
        <v>154</v>
      </c>
      <c r="C12" s="32" t="s">
        <v>153</v>
      </c>
      <c r="D12" s="32"/>
      <c r="E12" s="32"/>
      <c r="F12" s="32" t="s">
        <v>152</v>
      </c>
      <c r="G12" s="29"/>
      <c r="H12" s="29"/>
      <c r="I12" s="29"/>
    </row>
    <row r="13" spans="1:9" x14ac:dyDescent="0.2">
      <c r="A13" s="10" t="s">
        <v>11</v>
      </c>
      <c r="B13" s="14" t="str">
        <f>IF(OR(C13="Yes", G13="Yes"), "Yes", "No")</f>
        <v>No</v>
      </c>
      <c r="C13" s="32" t="s">
        <v>118</v>
      </c>
      <c r="D13" s="32"/>
      <c r="E13" s="32"/>
      <c r="F13" s="32" t="s">
        <v>152</v>
      </c>
      <c r="G13" s="29"/>
      <c r="H13" s="29"/>
      <c r="I13" s="29"/>
    </row>
    <row r="14" spans="1:9" x14ac:dyDescent="0.2">
      <c r="A14" s="10" t="s">
        <v>12</v>
      </c>
      <c r="B14" s="14" t="str">
        <f>IF(OR(C14="Yes", G14="Yes"), "Yes", "No")</f>
        <v>Yes</v>
      </c>
      <c r="C14" s="32" t="s">
        <v>117</v>
      </c>
      <c r="D14" s="32" t="s">
        <v>151</v>
      </c>
      <c r="E14" s="32">
        <v>2007</v>
      </c>
      <c r="F14" s="32" t="s">
        <v>152</v>
      </c>
      <c r="G14" s="29"/>
      <c r="H14" s="29"/>
      <c r="I14" s="29"/>
    </row>
    <row r="15" spans="1:9" x14ac:dyDescent="0.2">
      <c r="A15" s="10" t="s">
        <v>13</v>
      </c>
      <c r="B15" s="14" t="str">
        <f>IF(OR(C15="Yes", G15="Yes"), "Yes", "No")</f>
        <v>No</v>
      </c>
      <c r="C15" s="32" t="s">
        <v>118</v>
      </c>
      <c r="D15" s="32"/>
      <c r="E15" s="32"/>
      <c r="F15" s="32" t="s">
        <v>152</v>
      </c>
      <c r="G15" s="29" t="s">
        <v>118</v>
      </c>
      <c r="H15" s="29">
        <v>2012</v>
      </c>
      <c r="I15" s="29" t="s">
        <v>163</v>
      </c>
    </row>
    <row r="16" spans="1:9" x14ac:dyDescent="0.2">
      <c r="A16" s="10" t="s">
        <v>14</v>
      </c>
      <c r="B16" s="14" t="str">
        <f>IF(OR(C16="Yes", G16="Yes"), "Yes", "No")</f>
        <v>No</v>
      </c>
      <c r="C16" s="32" t="s">
        <v>118</v>
      </c>
      <c r="D16" s="32"/>
      <c r="E16" s="32"/>
      <c r="F16" s="32" t="s">
        <v>152</v>
      </c>
      <c r="G16" s="29"/>
      <c r="H16" s="29"/>
      <c r="I16" s="29"/>
    </row>
    <row r="17" spans="1:9" x14ac:dyDescent="0.2">
      <c r="A17" s="10" t="s">
        <v>15</v>
      </c>
      <c r="B17" s="14" t="s">
        <v>154</v>
      </c>
      <c r="C17" s="32"/>
      <c r="D17" s="32"/>
      <c r="E17" s="32"/>
      <c r="F17" s="32"/>
      <c r="G17" s="29"/>
      <c r="H17" s="29"/>
      <c r="I17" s="29"/>
    </row>
    <row r="18" spans="1:9" x14ac:dyDescent="0.2">
      <c r="A18" s="10" t="s">
        <v>16</v>
      </c>
      <c r="B18" s="14" t="str">
        <f>IF(OR(C18="Yes", G18="Yes"), "Yes", "No")</f>
        <v>No</v>
      </c>
      <c r="C18" s="32" t="s">
        <v>118</v>
      </c>
      <c r="D18" s="32"/>
      <c r="E18" s="32"/>
      <c r="F18" s="32" t="s">
        <v>152</v>
      </c>
      <c r="G18" s="29"/>
      <c r="H18" s="29"/>
      <c r="I18" s="29"/>
    </row>
    <row r="19" spans="1:9" x14ac:dyDescent="0.2">
      <c r="A19" s="10" t="s">
        <v>17</v>
      </c>
      <c r="B19" s="14" t="str">
        <f>IF(OR(C19="Yes", G19="Yes"), "Yes", "No")</f>
        <v>Yes</v>
      </c>
      <c r="C19" s="32" t="s">
        <v>117</v>
      </c>
      <c r="D19" s="32" t="s">
        <v>151</v>
      </c>
      <c r="E19" s="32">
        <v>2003</v>
      </c>
      <c r="F19" s="32" t="s">
        <v>152</v>
      </c>
      <c r="G19" s="29" t="s">
        <v>117</v>
      </c>
      <c r="H19" s="29">
        <v>2012</v>
      </c>
      <c r="I19" s="29" t="s">
        <v>163</v>
      </c>
    </row>
    <row r="20" spans="1:9" x14ac:dyDescent="0.2">
      <c r="A20" s="10" t="s">
        <v>18</v>
      </c>
      <c r="B20" s="14" t="str">
        <f>IF(OR(C20="Yes", G20="Yes"), "Yes", "No")</f>
        <v>No</v>
      </c>
      <c r="C20" s="32" t="s">
        <v>118</v>
      </c>
      <c r="D20" s="32"/>
      <c r="E20" s="32"/>
      <c r="F20" s="32" t="s">
        <v>152</v>
      </c>
      <c r="G20" s="29"/>
      <c r="H20" s="29"/>
      <c r="I20" s="29"/>
    </row>
    <row r="21" spans="1:9" x14ac:dyDescent="0.2">
      <c r="A21" s="10" t="s">
        <v>19</v>
      </c>
      <c r="B21" s="14" t="str">
        <f>IF(OR(C21="Yes", G21="Yes"), "Yes", "No")</f>
        <v>No</v>
      </c>
      <c r="C21" s="32" t="s">
        <v>118</v>
      </c>
      <c r="D21" s="32"/>
      <c r="E21" s="32"/>
      <c r="F21" s="32" t="s">
        <v>152</v>
      </c>
      <c r="G21" s="29"/>
      <c r="H21" s="29"/>
      <c r="I21" s="29"/>
    </row>
    <row r="22" spans="1:9" x14ac:dyDescent="0.2">
      <c r="A22" s="10" t="s">
        <v>20</v>
      </c>
      <c r="B22" s="14" t="s">
        <v>154</v>
      </c>
      <c r="C22" s="32"/>
      <c r="D22" s="32"/>
      <c r="E22" s="32"/>
      <c r="F22" s="32"/>
      <c r="G22" s="29"/>
      <c r="H22" s="29"/>
      <c r="I22" s="29"/>
    </row>
    <row r="23" spans="1:9" x14ac:dyDescent="0.2">
      <c r="A23" s="10" t="s">
        <v>21</v>
      </c>
      <c r="B23" s="14" t="str">
        <f>IF(OR(C23="Yes", G23="Yes"), "Yes", "No")</f>
        <v>Yes</v>
      </c>
      <c r="C23" s="32" t="s">
        <v>117</v>
      </c>
      <c r="D23" s="32" t="s">
        <v>151</v>
      </c>
      <c r="E23" s="32">
        <v>2007</v>
      </c>
      <c r="F23" s="32" t="s">
        <v>152</v>
      </c>
      <c r="G23" s="29"/>
      <c r="H23" s="29"/>
      <c r="I23" s="29"/>
    </row>
    <row r="24" spans="1:9" x14ac:dyDescent="0.2">
      <c r="A24" s="10" t="s">
        <v>22</v>
      </c>
      <c r="B24" s="14" t="s">
        <v>154</v>
      </c>
      <c r="C24" s="32"/>
      <c r="D24" s="32"/>
      <c r="E24" s="32"/>
      <c r="F24" s="32"/>
      <c r="G24" s="29"/>
      <c r="H24" s="29"/>
      <c r="I24" s="29"/>
    </row>
    <row r="25" spans="1:9" x14ac:dyDescent="0.2">
      <c r="A25" s="10" t="s">
        <v>23</v>
      </c>
      <c r="B25" s="14" t="s">
        <v>154</v>
      </c>
      <c r="C25" s="32"/>
      <c r="D25" s="32"/>
      <c r="E25" s="32"/>
      <c r="F25" s="32"/>
      <c r="G25" s="29"/>
      <c r="H25" s="29"/>
      <c r="I25" s="29"/>
    </row>
    <row r="26" spans="1:9" x14ac:dyDescent="0.2">
      <c r="A26" s="10" t="s">
        <v>24</v>
      </c>
      <c r="B26" s="14" t="str">
        <f>IF(OR(C26="Yes", G26="Yes"), "Yes", "No")</f>
        <v>Yes</v>
      </c>
      <c r="C26" s="32" t="s">
        <v>117</v>
      </c>
      <c r="D26" s="32" t="s">
        <v>151</v>
      </c>
      <c r="E26" s="32">
        <v>2006</v>
      </c>
      <c r="F26" s="32" t="s">
        <v>152</v>
      </c>
      <c r="G26" s="29"/>
      <c r="H26" s="29"/>
      <c r="I26" s="29"/>
    </row>
    <row r="27" spans="1:9" x14ac:dyDescent="0.2">
      <c r="A27" s="10" t="s">
        <v>25</v>
      </c>
      <c r="B27" s="14" t="s">
        <v>154</v>
      </c>
      <c r="C27" s="32"/>
      <c r="D27" s="32"/>
      <c r="E27" s="32"/>
      <c r="F27" s="32"/>
      <c r="G27" s="29"/>
      <c r="H27" s="29"/>
      <c r="I27" s="29"/>
    </row>
    <row r="28" spans="1:9" x14ac:dyDescent="0.2">
      <c r="A28" s="10" t="s">
        <v>26</v>
      </c>
      <c r="B28" s="14" t="str">
        <f>IF(OR(C28="Yes", G28="Yes"), "Yes", "No")</f>
        <v>No</v>
      </c>
      <c r="C28" s="32" t="s">
        <v>118</v>
      </c>
      <c r="D28" s="32"/>
      <c r="E28" s="32"/>
      <c r="F28" s="32" t="s">
        <v>152</v>
      </c>
      <c r="G28" s="29"/>
      <c r="H28" s="29"/>
      <c r="I28" s="29"/>
    </row>
    <row r="29" spans="1:9" x14ac:dyDescent="0.2">
      <c r="A29" s="10" t="s">
        <v>27</v>
      </c>
      <c r="B29" s="14" t="str">
        <f>IF(OR(C29="Yes", G29="Yes"), "Yes", "No")</f>
        <v>Yes</v>
      </c>
      <c r="C29" s="32" t="s">
        <v>118</v>
      </c>
      <c r="D29" s="32"/>
      <c r="E29" s="32"/>
      <c r="F29" s="32" t="s">
        <v>152</v>
      </c>
      <c r="G29" s="29" t="s">
        <v>117</v>
      </c>
      <c r="H29" s="29">
        <v>2012</v>
      </c>
      <c r="I29" s="29" t="s">
        <v>163</v>
      </c>
    </row>
    <row r="30" spans="1:9" x14ac:dyDescent="0.2">
      <c r="A30" s="10" t="s">
        <v>28</v>
      </c>
      <c r="B30" s="14" t="s">
        <v>154</v>
      </c>
      <c r="C30" s="32"/>
      <c r="D30" s="32"/>
      <c r="E30" s="32"/>
      <c r="F30" s="32"/>
      <c r="G30" s="29"/>
      <c r="H30" s="29"/>
      <c r="I30" s="29"/>
    </row>
    <row r="31" spans="1:9" x14ac:dyDescent="0.2">
      <c r="A31" s="10" t="s">
        <v>29</v>
      </c>
      <c r="B31" s="14" t="str">
        <f>IF(OR(C31="Yes", G31="Yes"), "Yes", "No")</f>
        <v>No</v>
      </c>
      <c r="C31" s="32" t="s">
        <v>118</v>
      </c>
      <c r="D31" s="32"/>
      <c r="E31" s="32"/>
      <c r="F31" s="32" t="s">
        <v>152</v>
      </c>
      <c r="G31" s="29"/>
      <c r="H31" s="29"/>
      <c r="I31" s="29"/>
    </row>
    <row r="32" spans="1:9" x14ac:dyDescent="0.2">
      <c r="A32" s="10" t="s">
        <v>30</v>
      </c>
      <c r="B32" s="14" t="str">
        <f>IF(OR(C32="Yes", G32="Yes"), "Yes", "No")</f>
        <v>Yes</v>
      </c>
      <c r="C32" s="32" t="s">
        <v>117</v>
      </c>
      <c r="D32" s="32" t="s">
        <v>151</v>
      </c>
      <c r="E32" s="32">
        <v>2003</v>
      </c>
      <c r="F32" s="32" t="s">
        <v>152</v>
      </c>
      <c r="G32" s="29" t="s">
        <v>117</v>
      </c>
      <c r="H32" s="29">
        <v>2012</v>
      </c>
      <c r="I32" s="29" t="s">
        <v>163</v>
      </c>
    </row>
    <row r="33" spans="1:9" x14ac:dyDescent="0.2">
      <c r="A33" s="10" t="s">
        <v>31</v>
      </c>
      <c r="B33" s="14" t="s">
        <v>154</v>
      </c>
      <c r="C33" s="32"/>
      <c r="D33" s="32"/>
      <c r="E33" s="32"/>
      <c r="F33" s="32"/>
      <c r="G33" s="29"/>
      <c r="H33" s="29"/>
      <c r="I33" s="29"/>
    </row>
    <row r="34" spans="1:9" x14ac:dyDescent="0.2">
      <c r="A34" s="10" t="s">
        <v>32</v>
      </c>
      <c r="B34" s="14" t="s">
        <v>154</v>
      </c>
      <c r="C34" s="32"/>
      <c r="D34" s="32"/>
      <c r="E34" s="32"/>
      <c r="F34" s="32"/>
      <c r="G34" s="29"/>
      <c r="H34" s="29"/>
      <c r="I34" s="29"/>
    </row>
    <row r="35" spans="1:9" x14ac:dyDescent="0.2">
      <c r="A35" s="10" t="s">
        <v>33</v>
      </c>
      <c r="B35" s="14" t="str">
        <f>IF(OR(C35="Yes", G35="Yes"), "Yes", "No")</f>
        <v>No</v>
      </c>
      <c r="C35" s="32" t="s">
        <v>118</v>
      </c>
      <c r="D35" s="32"/>
      <c r="E35" s="32"/>
      <c r="F35" s="32" t="s">
        <v>152</v>
      </c>
      <c r="G35" s="29"/>
      <c r="H35" s="29"/>
      <c r="I35" s="29"/>
    </row>
    <row r="36" spans="1:9" x14ac:dyDescent="0.2">
      <c r="A36" s="10" t="s">
        <v>34</v>
      </c>
      <c r="B36" s="14" t="s">
        <v>154</v>
      </c>
      <c r="C36" s="32"/>
      <c r="D36" s="32"/>
      <c r="E36" s="32"/>
      <c r="F36" s="32"/>
      <c r="G36" s="29"/>
      <c r="H36" s="29"/>
      <c r="I36" s="29"/>
    </row>
    <row r="37" spans="1:9" x14ac:dyDescent="0.2">
      <c r="A37" s="10" t="s">
        <v>35</v>
      </c>
      <c r="B37" s="14" t="str">
        <f t="shared" ref="B37:B51" si="0">IF(OR(C37="Yes", G37="Yes"), "Yes", "No")</f>
        <v>Yes</v>
      </c>
      <c r="C37" s="32" t="s">
        <v>117</v>
      </c>
      <c r="D37" s="32" t="s">
        <v>151</v>
      </c>
      <c r="E37" s="32">
        <v>2006</v>
      </c>
      <c r="F37" s="32" t="s">
        <v>152</v>
      </c>
      <c r="G37" s="29"/>
      <c r="H37" s="29"/>
      <c r="I37" s="29"/>
    </row>
    <row r="38" spans="1:9" x14ac:dyDescent="0.2">
      <c r="A38" s="10" t="s">
        <v>36</v>
      </c>
      <c r="B38" s="14" t="str">
        <f t="shared" si="0"/>
        <v>Yes</v>
      </c>
      <c r="C38" s="32" t="s">
        <v>117</v>
      </c>
      <c r="D38" s="32" t="s">
        <v>117</v>
      </c>
      <c r="E38" s="32">
        <v>2003</v>
      </c>
      <c r="F38" s="32" t="s">
        <v>152</v>
      </c>
      <c r="G38" s="29"/>
      <c r="H38" s="29"/>
      <c r="I38" s="29"/>
    </row>
    <row r="39" spans="1:9" x14ac:dyDescent="0.2">
      <c r="A39" s="10" t="s">
        <v>37</v>
      </c>
      <c r="B39" s="14" t="str">
        <f t="shared" si="0"/>
        <v>Yes</v>
      </c>
      <c r="C39" s="32"/>
      <c r="D39" s="32"/>
      <c r="E39" s="32"/>
      <c r="F39" s="32"/>
      <c r="G39" s="29" t="s">
        <v>117</v>
      </c>
      <c r="H39" s="29">
        <v>2011</v>
      </c>
      <c r="I39" s="29" t="s">
        <v>163</v>
      </c>
    </row>
    <row r="40" spans="1:9" x14ac:dyDescent="0.2">
      <c r="A40" s="10" t="s">
        <v>38</v>
      </c>
      <c r="B40" s="14" t="str">
        <f t="shared" si="0"/>
        <v>Yes</v>
      </c>
      <c r="C40" s="32"/>
      <c r="D40" s="32"/>
      <c r="E40" s="32"/>
      <c r="F40" s="32"/>
      <c r="G40" s="29" t="s">
        <v>117</v>
      </c>
      <c r="H40" s="29">
        <v>2012</v>
      </c>
      <c r="I40" s="29" t="s">
        <v>163</v>
      </c>
    </row>
    <row r="41" spans="1:9" x14ac:dyDescent="0.2">
      <c r="A41" s="10" t="s">
        <v>39</v>
      </c>
      <c r="B41" s="14" t="str">
        <f t="shared" si="0"/>
        <v>Yes</v>
      </c>
      <c r="C41" s="32" t="s">
        <v>117</v>
      </c>
      <c r="D41" s="32" t="s">
        <v>151</v>
      </c>
      <c r="E41" s="32">
        <v>2002</v>
      </c>
      <c r="F41" s="32" t="s">
        <v>152</v>
      </c>
      <c r="G41" s="29"/>
      <c r="H41" s="29"/>
      <c r="I41" s="29"/>
    </row>
    <row r="42" spans="1:9" x14ac:dyDescent="0.2">
      <c r="A42" s="10" t="s">
        <v>40</v>
      </c>
      <c r="B42" s="14" t="str">
        <f t="shared" si="0"/>
        <v>Yes</v>
      </c>
      <c r="C42" s="32" t="s">
        <v>118</v>
      </c>
      <c r="D42" s="32"/>
      <c r="E42" s="32"/>
      <c r="F42" s="32" t="s">
        <v>152</v>
      </c>
      <c r="G42" s="29" t="s">
        <v>117</v>
      </c>
      <c r="H42" s="29">
        <v>2012</v>
      </c>
      <c r="I42" s="29" t="s">
        <v>163</v>
      </c>
    </row>
    <row r="43" spans="1:9" x14ac:dyDescent="0.2">
      <c r="A43" s="10" t="s">
        <v>41</v>
      </c>
      <c r="B43" s="14" t="str">
        <f t="shared" si="0"/>
        <v>No</v>
      </c>
      <c r="C43" s="32" t="s">
        <v>118</v>
      </c>
      <c r="D43" s="32"/>
      <c r="E43" s="32"/>
      <c r="F43" s="32" t="s">
        <v>152</v>
      </c>
      <c r="G43" s="29"/>
      <c r="H43" s="29"/>
      <c r="I43" s="29"/>
    </row>
    <row r="44" spans="1:9" x14ac:dyDescent="0.2">
      <c r="A44" s="10" t="s">
        <v>42</v>
      </c>
      <c r="B44" s="14" t="str">
        <f t="shared" si="0"/>
        <v>No</v>
      </c>
      <c r="C44" s="32" t="s">
        <v>118</v>
      </c>
      <c r="D44" s="32"/>
      <c r="E44" s="32"/>
      <c r="F44" s="32" t="s">
        <v>152</v>
      </c>
      <c r="G44" s="29"/>
      <c r="H44" s="29"/>
      <c r="I44" s="29"/>
    </row>
    <row r="45" spans="1:9" x14ac:dyDescent="0.2">
      <c r="A45" s="10" t="s">
        <v>43</v>
      </c>
      <c r="B45" s="14" t="str">
        <f t="shared" si="0"/>
        <v>No</v>
      </c>
      <c r="C45" s="32" t="s">
        <v>118</v>
      </c>
      <c r="D45" s="32"/>
      <c r="E45" s="32"/>
      <c r="F45" s="32" t="s">
        <v>152</v>
      </c>
      <c r="G45" s="29"/>
      <c r="H45" s="29"/>
      <c r="I45" s="29"/>
    </row>
    <row r="46" spans="1:9" x14ac:dyDescent="0.2">
      <c r="A46" s="10" t="s">
        <v>44</v>
      </c>
      <c r="B46" s="14" t="str">
        <f t="shared" si="0"/>
        <v>No</v>
      </c>
      <c r="C46" s="32"/>
      <c r="D46" s="32"/>
      <c r="E46" s="32"/>
      <c r="F46" s="32"/>
      <c r="G46" s="29" t="s">
        <v>118</v>
      </c>
      <c r="H46" s="29">
        <v>2012</v>
      </c>
      <c r="I46" s="29" t="s">
        <v>163</v>
      </c>
    </row>
    <row r="47" spans="1:9" x14ac:dyDescent="0.2">
      <c r="A47" s="10" t="s">
        <v>45</v>
      </c>
      <c r="B47" s="14" t="str">
        <f t="shared" si="0"/>
        <v>Yes</v>
      </c>
      <c r="C47" s="32" t="s">
        <v>117</v>
      </c>
      <c r="D47" s="32" t="s">
        <v>151</v>
      </c>
      <c r="E47" s="32" t="s">
        <v>154</v>
      </c>
      <c r="F47" s="32" t="s">
        <v>152</v>
      </c>
      <c r="G47" s="29"/>
      <c r="H47" s="29"/>
      <c r="I47" s="29"/>
    </row>
    <row r="48" spans="1:9" x14ac:dyDescent="0.2">
      <c r="A48" s="10" t="s">
        <v>46</v>
      </c>
      <c r="B48" s="14" t="str">
        <f t="shared" si="0"/>
        <v>No</v>
      </c>
      <c r="C48" s="32" t="s">
        <v>118</v>
      </c>
      <c r="D48" s="32"/>
      <c r="E48" s="32"/>
      <c r="F48" s="32" t="s">
        <v>152</v>
      </c>
      <c r="G48" s="29"/>
      <c r="H48" s="29"/>
      <c r="I48" s="29"/>
    </row>
    <row r="49" spans="1:9" x14ac:dyDescent="0.2">
      <c r="A49" s="10" t="s">
        <v>47</v>
      </c>
      <c r="B49" s="14" t="str">
        <f t="shared" si="0"/>
        <v>No</v>
      </c>
      <c r="C49" s="32" t="s">
        <v>118</v>
      </c>
      <c r="D49" s="32"/>
      <c r="E49" s="32"/>
      <c r="F49" s="32" t="s">
        <v>152</v>
      </c>
      <c r="G49" s="29"/>
      <c r="H49" s="29"/>
      <c r="I49" s="29"/>
    </row>
    <row r="50" spans="1:9" x14ac:dyDescent="0.2">
      <c r="A50" s="10" t="s">
        <v>48</v>
      </c>
      <c r="B50" s="14" t="str">
        <f t="shared" si="0"/>
        <v>Yes</v>
      </c>
      <c r="C50" s="32" t="s">
        <v>117</v>
      </c>
      <c r="D50" s="32" t="s">
        <v>151</v>
      </c>
      <c r="E50" s="32">
        <v>2004</v>
      </c>
      <c r="F50" s="32" t="s">
        <v>152</v>
      </c>
      <c r="G50" s="29"/>
      <c r="H50" s="29"/>
      <c r="I50" s="29"/>
    </row>
    <row r="51" spans="1:9" x14ac:dyDescent="0.2">
      <c r="A51" s="10" t="s">
        <v>49</v>
      </c>
      <c r="B51" s="14" t="str">
        <f t="shared" si="0"/>
        <v>No</v>
      </c>
      <c r="C51" s="32" t="s">
        <v>118</v>
      </c>
      <c r="D51" s="32"/>
      <c r="E51" s="32"/>
      <c r="F51" s="32" t="s">
        <v>152</v>
      </c>
      <c r="G51" s="29" t="s">
        <v>118</v>
      </c>
      <c r="H51" s="29">
        <v>2012</v>
      </c>
      <c r="I51" s="29" t="s">
        <v>163</v>
      </c>
    </row>
    <row r="52" spans="1:9" x14ac:dyDescent="0.2">
      <c r="A52" s="10" t="s">
        <v>50</v>
      </c>
      <c r="B52" s="14" t="s">
        <v>154</v>
      </c>
      <c r="C52" s="32"/>
      <c r="D52" s="32"/>
      <c r="E52" s="32"/>
      <c r="F52" s="32"/>
      <c r="G52" s="29"/>
      <c r="H52" s="29"/>
      <c r="I52" s="29"/>
    </row>
    <row r="53" spans="1:9" x14ac:dyDescent="0.2">
      <c r="A53" s="10" t="s">
        <v>51</v>
      </c>
      <c r="B53" s="14" t="str">
        <f t="shared" ref="B53:B59" si="1">IF(OR(C53="Yes", G53="Yes"), "Yes", "No")</f>
        <v>No</v>
      </c>
      <c r="C53" s="32" t="s">
        <v>118</v>
      </c>
      <c r="D53" s="32"/>
      <c r="E53" s="32"/>
      <c r="F53" s="32" t="s">
        <v>152</v>
      </c>
      <c r="G53" s="29"/>
      <c r="H53" s="29"/>
      <c r="I53" s="29"/>
    </row>
    <row r="54" spans="1:9" x14ac:dyDescent="0.2">
      <c r="A54" s="10" t="s">
        <v>52</v>
      </c>
      <c r="B54" s="14" t="str">
        <f t="shared" si="1"/>
        <v>No</v>
      </c>
      <c r="C54" s="32" t="s">
        <v>118</v>
      </c>
      <c r="D54" s="32"/>
      <c r="E54" s="32"/>
      <c r="F54" s="32" t="s">
        <v>152</v>
      </c>
      <c r="G54" s="29"/>
      <c r="H54" s="29"/>
      <c r="I54" s="29"/>
    </row>
    <row r="55" spans="1:9" x14ac:dyDescent="0.2">
      <c r="A55" s="10" t="s">
        <v>53</v>
      </c>
      <c r="B55" s="14" t="str">
        <f t="shared" si="1"/>
        <v>No</v>
      </c>
      <c r="C55" s="32" t="s">
        <v>118</v>
      </c>
      <c r="D55" s="32"/>
      <c r="E55" s="32"/>
      <c r="F55" s="32" t="s">
        <v>152</v>
      </c>
      <c r="G55" s="29"/>
      <c r="H55" s="29"/>
      <c r="I55" s="29"/>
    </row>
    <row r="56" spans="1:9" x14ac:dyDescent="0.2">
      <c r="A56" s="10" t="s">
        <v>54</v>
      </c>
      <c r="B56" s="14" t="str">
        <f t="shared" si="1"/>
        <v>No</v>
      </c>
      <c r="C56" s="32" t="s">
        <v>118</v>
      </c>
      <c r="D56" s="32"/>
      <c r="E56" s="32"/>
      <c r="F56" s="32" t="s">
        <v>152</v>
      </c>
      <c r="G56" s="29" t="s">
        <v>118</v>
      </c>
      <c r="H56" s="29">
        <v>2011</v>
      </c>
      <c r="I56" s="29" t="s">
        <v>163</v>
      </c>
    </row>
    <row r="57" spans="1:9" x14ac:dyDescent="0.2">
      <c r="A57" s="10" t="s">
        <v>55</v>
      </c>
      <c r="B57" s="14" t="str">
        <f t="shared" si="1"/>
        <v>Yes</v>
      </c>
      <c r="C57" s="32"/>
      <c r="D57" s="32"/>
      <c r="E57" s="32"/>
      <c r="F57" s="32"/>
      <c r="G57" s="29" t="s">
        <v>117</v>
      </c>
      <c r="H57" s="29">
        <v>2012</v>
      </c>
      <c r="I57" s="29" t="s">
        <v>163</v>
      </c>
    </row>
    <row r="58" spans="1:9" x14ac:dyDescent="0.2">
      <c r="A58" s="10" t="s">
        <v>56</v>
      </c>
      <c r="B58" s="14" t="str">
        <f t="shared" si="1"/>
        <v>Yes</v>
      </c>
      <c r="C58" s="32" t="s">
        <v>117</v>
      </c>
      <c r="D58" s="32" t="s">
        <v>151</v>
      </c>
      <c r="E58" s="32">
        <v>2005</v>
      </c>
      <c r="F58" s="32" t="s">
        <v>152</v>
      </c>
      <c r="G58" s="29"/>
      <c r="H58" s="29"/>
      <c r="I58" s="29"/>
    </row>
    <row r="59" spans="1:9" x14ac:dyDescent="0.2">
      <c r="A59" s="10" t="s">
        <v>57</v>
      </c>
      <c r="B59" s="14" t="str">
        <f t="shared" si="1"/>
        <v>Yes</v>
      </c>
      <c r="C59" s="32" t="s">
        <v>118</v>
      </c>
      <c r="D59" s="32"/>
      <c r="E59" s="32"/>
      <c r="F59" s="32" t="s">
        <v>152</v>
      </c>
      <c r="G59" s="29" t="s">
        <v>117</v>
      </c>
      <c r="H59" s="29">
        <v>2012</v>
      </c>
      <c r="I59" s="29" t="s">
        <v>163</v>
      </c>
    </row>
    <row r="60" spans="1:9" x14ac:dyDescent="0.2">
      <c r="A60" s="10" t="s">
        <v>58</v>
      </c>
      <c r="B60" s="14" t="s">
        <v>154</v>
      </c>
      <c r="C60" s="32"/>
      <c r="D60" s="32"/>
      <c r="E60" s="32"/>
      <c r="F60" s="32"/>
      <c r="G60" s="29"/>
      <c r="H60" s="29"/>
      <c r="I60" s="29"/>
    </row>
    <row r="61" spans="1:9" x14ac:dyDescent="0.2">
      <c r="A61" s="10" t="s">
        <v>59</v>
      </c>
      <c r="B61" s="14" t="str">
        <f>IF(OR(C61="Yes", G61="Yes"), "Yes", "No")</f>
        <v>No</v>
      </c>
      <c r="C61" s="32" t="s">
        <v>118</v>
      </c>
      <c r="D61" s="32"/>
      <c r="E61" s="32"/>
      <c r="F61" s="32" t="s">
        <v>152</v>
      </c>
      <c r="G61" s="29"/>
      <c r="H61" s="29"/>
      <c r="I61" s="29"/>
    </row>
    <row r="62" spans="1:9" x14ac:dyDescent="0.2">
      <c r="A62" s="10" t="s">
        <v>60</v>
      </c>
      <c r="B62" s="14" t="str">
        <f>IF(OR(C62="Yes", G62="Yes"), "Yes", "No")</f>
        <v>No</v>
      </c>
      <c r="C62" s="32" t="s">
        <v>118</v>
      </c>
      <c r="D62" s="32"/>
      <c r="E62" s="32"/>
      <c r="F62" s="32" t="s">
        <v>152</v>
      </c>
      <c r="G62" s="29"/>
      <c r="H62" s="29"/>
      <c r="I62" s="29"/>
    </row>
    <row r="63" spans="1:9" x14ac:dyDescent="0.2">
      <c r="A63" s="10" t="s">
        <v>61</v>
      </c>
      <c r="B63" s="14" t="str">
        <f>IF(OR(C63="Yes", G63="Yes"), "Yes", "No")</f>
        <v>No</v>
      </c>
      <c r="C63" s="32" t="s">
        <v>118</v>
      </c>
      <c r="D63" s="32"/>
      <c r="E63" s="32"/>
      <c r="F63" s="32" t="s">
        <v>152</v>
      </c>
      <c r="G63" s="29"/>
      <c r="H63" s="29"/>
      <c r="I63" s="29"/>
    </row>
    <row r="64" spans="1:9" x14ac:dyDescent="0.2">
      <c r="A64" s="10" t="s">
        <v>62</v>
      </c>
      <c r="B64" s="14" t="s">
        <v>154</v>
      </c>
      <c r="C64" s="32"/>
      <c r="D64" s="32"/>
      <c r="E64" s="32"/>
      <c r="F64" s="32"/>
      <c r="G64" s="29"/>
      <c r="H64" s="29"/>
      <c r="I64" s="29"/>
    </row>
    <row r="65" spans="1:9" x14ac:dyDescent="0.2">
      <c r="A65" s="10" t="s">
        <v>63</v>
      </c>
      <c r="B65" s="14" t="s">
        <v>154</v>
      </c>
      <c r="C65" s="32"/>
      <c r="D65" s="32"/>
      <c r="E65" s="32"/>
      <c r="F65" s="32"/>
      <c r="G65" s="29"/>
      <c r="H65" s="29"/>
      <c r="I65" s="29"/>
    </row>
    <row r="66" spans="1:9" x14ac:dyDescent="0.2">
      <c r="A66" s="10" t="s">
        <v>64</v>
      </c>
      <c r="B66" s="14" t="s">
        <v>154</v>
      </c>
      <c r="C66" s="32"/>
      <c r="D66" s="32"/>
      <c r="E66" s="32"/>
      <c r="F66" s="32"/>
      <c r="G66" s="29"/>
      <c r="H66" s="29"/>
      <c r="I66" s="29"/>
    </row>
    <row r="67" spans="1:9" x14ac:dyDescent="0.2">
      <c r="A67" s="10" t="s">
        <v>65</v>
      </c>
      <c r="B67" s="14" t="str">
        <f>IF(OR(C67="Yes", G67="Yes"), "Yes", "No")</f>
        <v>No</v>
      </c>
      <c r="C67" s="32"/>
      <c r="D67" s="32"/>
      <c r="E67" s="32"/>
      <c r="F67" s="32"/>
      <c r="G67" s="29" t="s">
        <v>118</v>
      </c>
      <c r="H67" s="29">
        <v>2011</v>
      </c>
      <c r="I67" s="29" t="s">
        <v>163</v>
      </c>
    </row>
    <row r="68" spans="1:9" x14ac:dyDescent="0.2">
      <c r="A68" s="10" t="s">
        <v>66</v>
      </c>
      <c r="B68" s="14" t="str">
        <f>IF(OR(C68="Yes", G68="Yes"), "Yes", "No")</f>
        <v>Yes</v>
      </c>
      <c r="C68" s="32" t="s">
        <v>117</v>
      </c>
      <c r="D68" s="32" t="s">
        <v>151</v>
      </c>
      <c r="E68" s="32">
        <v>2005</v>
      </c>
      <c r="F68" s="32" t="s">
        <v>152</v>
      </c>
      <c r="G68" s="29" t="s">
        <v>117</v>
      </c>
      <c r="H68" s="29">
        <v>2011</v>
      </c>
      <c r="I68" s="29" t="s">
        <v>163</v>
      </c>
    </row>
    <row r="69" spans="1:9" x14ac:dyDescent="0.2">
      <c r="A69" s="10" t="s">
        <v>67</v>
      </c>
      <c r="B69" s="14" t="s">
        <v>154</v>
      </c>
      <c r="C69" s="32" t="s">
        <v>154</v>
      </c>
      <c r="D69" s="32" t="s">
        <v>154</v>
      </c>
      <c r="E69" s="32" t="s">
        <v>154</v>
      </c>
      <c r="F69" s="32" t="s">
        <v>152</v>
      </c>
      <c r="G69" s="29"/>
      <c r="H69" s="29"/>
      <c r="I69" s="29"/>
    </row>
    <row r="70" spans="1:9" x14ac:dyDescent="0.2">
      <c r="A70" s="10" t="s">
        <v>68</v>
      </c>
      <c r="B70" s="14" t="s">
        <v>154</v>
      </c>
      <c r="C70" s="32"/>
      <c r="D70" s="32"/>
      <c r="E70" s="32"/>
      <c r="F70" s="32"/>
      <c r="G70" s="29"/>
      <c r="H70" s="29"/>
      <c r="I70" s="29"/>
    </row>
    <row r="71" spans="1:9" x14ac:dyDescent="0.2">
      <c r="A71" s="10" t="s">
        <v>70</v>
      </c>
      <c r="B71" s="14" t="str">
        <f t="shared" ref="B71:B79" si="2">IF(OR(C71="Yes", G71="Yes"), "Yes", "No")</f>
        <v>No</v>
      </c>
      <c r="C71" s="32" t="s">
        <v>118</v>
      </c>
      <c r="D71" s="32"/>
      <c r="E71" s="32"/>
      <c r="F71" s="32" t="s">
        <v>152</v>
      </c>
      <c r="G71" s="29"/>
      <c r="H71" s="29"/>
      <c r="I71" s="29"/>
    </row>
    <row r="72" spans="1:9" x14ac:dyDescent="0.2">
      <c r="A72" s="10" t="s">
        <v>71</v>
      </c>
      <c r="B72" s="14" t="str">
        <f t="shared" si="2"/>
        <v>Yes</v>
      </c>
      <c r="C72" s="32" t="s">
        <v>117</v>
      </c>
      <c r="D72" s="32" t="s">
        <v>151</v>
      </c>
      <c r="E72" s="32">
        <v>2006</v>
      </c>
      <c r="F72" s="32" t="s">
        <v>152</v>
      </c>
      <c r="G72" s="29"/>
      <c r="H72" s="29"/>
      <c r="I72" s="29"/>
    </row>
    <row r="73" spans="1:9" x14ac:dyDescent="0.2">
      <c r="A73" s="10" t="s">
        <v>72</v>
      </c>
      <c r="B73" s="14" t="str">
        <f t="shared" si="2"/>
        <v>No</v>
      </c>
      <c r="C73" s="32"/>
      <c r="D73" s="32"/>
      <c r="E73" s="32"/>
      <c r="F73" s="32"/>
      <c r="G73" s="29" t="s">
        <v>118</v>
      </c>
      <c r="H73" s="29">
        <v>2012</v>
      </c>
      <c r="I73" s="29" t="s">
        <v>163</v>
      </c>
    </row>
    <row r="74" spans="1:9" x14ac:dyDescent="0.2">
      <c r="A74" s="10" t="s">
        <v>69</v>
      </c>
      <c r="B74" s="14" t="str">
        <f t="shared" si="2"/>
        <v>No</v>
      </c>
      <c r="C74" s="32"/>
      <c r="D74" s="32"/>
      <c r="E74" s="32"/>
      <c r="F74" s="32"/>
      <c r="G74" s="29" t="s">
        <v>118</v>
      </c>
      <c r="H74" s="29">
        <v>2012</v>
      </c>
      <c r="I74" s="29" t="s">
        <v>163</v>
      </c>
    </row>
    <row r="75" spans="1:9" x14ac:dyDescent="0.2">
      <c r="A75" s="10" t="s">
        <v>73</v>
      </c>
      <c r="B75" s="14" t="str">
        <f t="shared" si="2"/>
        <v>Yes</v>
      </c>
      <c r="C75" s="32" t="s">
        <v>117</v>
      </c>
      <c r="D75" s="32" t="s">
        <v>151</v>
      </c>
      <c r="E75" s="32">
        <v>2009</v>
      </c>
      <c r="F75" s="32" t="s">
        <v>152</v>
      </c>
      <c r="G75" s="29"/>
      <c r="H75" s="29"/>
      <c r="I75" s="29"/>
    </row>
    <row r="76" spans="1:9" x14ac:dyDescent="0.2">
      <c r="A76" s="10" t="s">
        <v>74</v>
      </c>
      <c r="B76" s="14" t="str">
        <f t="shared" si="2"/>
        <v>Yes</v>
      </c>
      <c r="C76" s="32" t="s">
        <v>117</v>
      </c>
      <c r="D76" s="32" t="s">
        <v>151</v>
      </c>
      <c r="E76" s="32">
        <v>2004</v>
      </c>
      <c r="F76" s="32" t="s">
        <v>152</v>
      </c>
      <c r="G76" s="29" t="s">
        <v>117</v>
      </c>
      <c r="H76" s="29">
        <v>2012</v>
      </c>
      <c r="I76" s="29" t="s">
        <v>163</v>
      </c>
    </row>
    <row r="77" spans="1:9" x14ac:dyDescent="0.2">
      <c r="A77" s="10" t="s">
        <v>75</v>
      </c>
      <c r="B77" s="14" t="str">
        <f t="shared" si="2"/>
        <v>No</v>
      </c>
      <c r="C77" s="32" t="s">
        <v>118</v>
      </c>
      <c r="D77" s="32"/>
      <c r="E77" s="32"/>
      <c r="F77" s="32" t="s">
        <v>152</v>
      </c>
      <c r="G77" s="29" t="s">
        <v>118</v>
      </c>
      <c r="H77" s="29">
        <v>2011</v>
      </c>
      <c r="I77" s="29" t="s">
        <v>163</v>
      </c>
    </row>
    <row r="78" spans="1:9" x14ac:dyDescent="0.2">
      <c r="A78" s="10" t="s">
        <v>76</v>
      </c>
      <c r="B78" s="14" t="str">
        <f t="shared" si="2"/>
        <v>Yes</v>
      </c>
      <c r="C78" s="32" t="s">
        <v>154</v>
      </c>
      <c r="D78" s="32" t="s">
        <v>154</v>
      </c>
      <c r="E78" s="32" t="s">
        <v>154</v>
      </c>
      <c r="F78" s="32" t="s">
        <v>152</v>
      </c>
      <c r="G78" s="29" t="s">
        <v>117</v>
      </c>
      <c r="H78" s="29">
        <v>2012</v>
      </c>
      <c r="I78" s="29" t="s">
        <v>163</v>
      </c>
    </row>
    <row r="79" spans="1:9" x14ac:dyDescent="0.2">
      <c r="A79" s="10" t="s">
        <v>77</v>
      </c>
      <c r="B79" s="14" t="str">
        <f t="shared" si="2"/>
        <v>Yes</v>
      </c>
      <c r="C79" s="32" t="s">
        <v>118</v>
      </c>
      <c r="D79" s="32"/>
      <c r="E79" s="32"/>
      <c r="F79" s="32" t="s">
        <v>152</v>
      </c>
      <c r="G79" s="29" t="s">
        <v>117</v>
      </c>
      <c r="H79" s="29">
        <v>2012</v>
      </c>
      <c r="I79" s="29" t="s">
        <v>163</v>
      </c>
    </row>
    <row r="80" spans="1:9" x14ac:dyDescent="0.2">
      <c r="A80" s="44" t="s">
        <v>255</v>
      </c>
      <c r="B80" s="44">
        <f>COUNTIF(Table126[Yes/No], "Yes")</f>
        <v>25</v>
      </c>
      <c r="C80" s="19"/>
      <c r="D80" s="19"/>
      <c r="E80" s="19"/>
      <c r="F80" s="19"/>
      <c r="G80" s="51"/>
      <c r="H80" s="51"/>
      <c r="I80" s="51"/>
    </row>
    <row r="81" spans="1:9" x14ac:dyDescent="0.2">
      <c r="A81" s="44" t="s">
        <v>256</v>
      </c>
      <c r="B81" s="44">
        <f>COUNTIF(Table126[Yes/No], "No")</f>
        <v>31</v>
      </c>
      <c r="C81" s="19"/>
      <c r="D81" s="19"/>
      <c r="E81" s="19"/>
      <c r="F81" s="19"/>
      <c r="G81" s="51"/>
      <c r="H81" s="51"/>
      <c r="I81" s="51"/>
    </row>
    <row r="82" spans="1:9" x14ac:dyDescent="0.2">
      <c r="A82" s="44" t="s">
        <v>299</v>
      </c>
      <c r="B82" s="44">
        <f>COUNTIF(Table126[Yes/No], "No data")</f>
        <v>19</v>
      </c>
      <c r="C82" s="19"/>
      <c r="D82" s="19"/>
      <c r="E82" s="19"/>
      <c r="F82" s="19"/>
      <c r="G82" s="51"/>
      <c r="H82" s="51"/>
      <c r="I82" s="51"/>
    </row>
  </sheetData>
  <mergeCells count="2">
    <mergeCell ref="D3:E3"/>
    <mergeCell ref="G3:I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82"/>
  <sheetViews>
    <sheetView workbookViewId="0">
      <selection activeCell="B7" sqref="B7"/>
    </sheetView>
  </sheetViews>
  <sheetFormatPr defaultColWidth="8.85546875" defaultRowHeight="12" x14ac:dyDescent="0.2"/>
  <cols>
    <col min="1" max="1" width="31.7109375" style="1" bestFit="1" customWidth="1"/>
    <col min="2" max="2" width="8.42578125" style="1" customWidth="1"/>
    <col min="3" max="3" width="12.7109375" style="1" customWidth="1"/>
    <col min="4" max="4" width="15.7109375" style="1" customWidth="1"/>
    <col min="5" max="5" width="17.140625" style="1" customWidth="1"/>
    <col min="6" max="6" width="15" style="1" customWidth="1"/>
    <col min="7" max="7" width="14.28515625" style="1" customWidth="1"/>
    <col min="8" max="8" width="17.7109375" style="1" bestFit="1" customWidth="1"/>
    <col min="9" max="9" width="16.7109375" style="1" bestFit="1" customWidth="1"/>
    <col min="10" max="10" width="7.7109375" style="1" bestFit="1" customWidth="1"/>
    <col min="11" max="11" width="9.28515625" style="1" bestFit="1" customWidth="1"/>
    <col min="12" max="13" width="15.7109375" style="1" hidden="1" customWidth="1"/>
    <col min="14" max="16384" width="8.85546875" style="1"/>
  </cols>
  <sheetData>
    <row r="1" spans="1:13" x14ac:dyDescent="0.2">
      <c r="A1" s="209" t="s">
        <v>367</v>
      </c>
      <c r="B1" s="209"/>
      <c r="C1" s="209"/>
      <c r="D1" s="209"/>
      <c r="E1" s="209"/>
    </row>
    <row r="2" spans="1:13" ht="38.25" customHeight="1" x14ac:dyDescent="0.2">
      <c r="A2" s="205" t="s">
        <v>179</v>
      </c>
      <c r="B2" s="210"/>
      <c r="C2" s="210"/>
      <c r="D2" s="210"/>
      <c r="E2" s="210"/>
    </row>
    <row r="3" spans="1:13" ht="27" customHeight="1" x14ac:dyDescent="0.2">
      <c r="A3" s="75"/>
      <c r="B3" s="76"/>
      <c r="C3" s="215" t="s">
        <v>236</v>
      </c>
      <c r="D3" s="215"/>
      <c r="E3" s="215"/>
      <c r="F3" s="215"/>
      <c r="G3" s="230"/>
      <c r="H3" s="215" t="s">
        <v>245</v>
      </c>
      <c r="I3" s="215"/>
      <c r="J3" s="215"/>
      <c r="K3" s="215"/>
      <c r="L3" s="230"/>
      <c r="M3" s="5"/>
    </row>
    <row r="4" spans="1:13" ht="112.5" x14ac:dyDescent="0.2">
      <c r="A4" s="74" t="s">
        <v>0</v>
      </c>
      <c r="B4" s="74" t="s">
        <v>2</v>
      </c>
      <c r="C4" s="74" t="s">
        <v>182</v>
      </c>
      <c r="D4" s="74" t="s">
        <v>210</v>
      </c>
      <c r="E4" s="74" t="s">
        <v>240</v>
      </c>
      <c r="F4" s="74" t="s">
        <v>211</v>
      </c>
      <c r="G4" s="74" t="s">
        <v>119</v>
      </c>
      <c r="H4" s="74" t="s">
        <v>247</v>
      </c>
      <c r="I4" s="74" t="s">
        <v>246</v>
      </c>
      <c r="J4" s="74" t="s">
        <v>124</v>
      </c>
      <c r="K4" s="74" t="s">
        <v>121</v>
      </c>
      <c r="L4" s="74" t="s">
        <v>359</v>
      </c>
      <c r="M4" s="8" t="s">
        <v>360</v>
      </c>
    </row>
    <row r="5" spans="1:13" ht="33.75" x14ac:dyDescent="0.2">
      <c r="A5" s="32" t="s">
        <v>3</v>
      </c>
      <c r="B5" s="14" t="s">
        <v>118</v>
      </c>
      <c r="C5" s="29" t="s">
        <v>118</v>
      </c>
      <c r="D5" s="29" t="s">
        <v>183</v>
      </c>
      <c r="E5" s="29"/>
      <c r="F5" s="58"/>
      <c r="G5" s="29" t="s">
        <v>181</v>
      </c>
      <c r="H5" s="32"/>
      <c r="I5" s="32"/>
      <c r="J5" s="32"/>
      <c r="K5" s="32"/>
      <c r="L5" s="51"/>
      <c r="M5" s="7"/>
    </row>
    <row r="6" spans="1:13" ht="22.5" x14ac:dyDescent="0.2">
      <c r="A6" s="32" t="s">
        <v>4</v>
      </c>
      <c r="B6" s="14" t="s">
        <v>118</v>
      </c>
      <c r="C6" s="29" t="s">
        <v>118</v>
      </c>
      <c r="D6" s="29" t="s">
        <v>118</v>
      </c>
      <c r="E6" s="29"/>
      <c r="F6" s="58"/>
      <c r="G6" s="29" t="s">
        <v>181</v>
      </c>
      <c r="H6" s="32"/>
      <c r="I6" s="32"/>
      <c r="J6" s="32"/>
      <c r="K6" s="32"/>
      <c r="L6" s="51"/>
      <c r="M6" s="7"/>
    </row>
    <row r="7" spans="1:13" ht="22.5" x14ac:dyDescent="0.2">
      <c r="A7" s="32" t="s">
        <v>5</v>
      </c>
      <c r="B7" s="14" t="s">
        <v>118</v>
      </c>
      <c r="C7" s="29" t="s">
        <v>118</v>
      </c>
      <c r="D7" s="29" t="s">
        <v>118</v>
      </c>
      <c r="E7" s="29"/>
      <c r="F7" s="58"/>
      <c r="G7" s="29" t="s">
        <v>181</v>
      </c>
      <c r="H7" s="32"/>
      <c r="I7" s="32"/>
      <c r="J7" s="32"/>
      <c r="K7" s="32"/>
      <c r="L7" s="51"/>
      <c r="M7" s="7"/>
    </row>
    <row r="8" spans="1:13" ht="158.25" customHeight="1" x14ac:dyDescent="0.2">
      <c r="A8" s="32" t="s">
        <v>6</v>
      </c>
      <c r="B8" s="14" t="s">
        <v>117</v>
      </c>
      <c r="C8" s="29" t="s">
        <v>118</v>
      </c>
      <c r="D8" s="29" t="s">
        <v>186</v>
      </c>
      <c r="E8" s="29"/>
      <c r="F8" s="58"/>
      <c r="G8" s="29" t="s">
        <v>181</v>
      </c>
      <c r="H8" s="32"/>
      <c r="I8" s="32"/>
      <c r="J8" s="32"/>
      <c r="K8" s="32"/>
      <c r="L8" s="51"/>
      <c r="M8" s="7"/>
    </row>
    <row r="9" spans="1:13" ht="56.25" x14ac:dyDescent="0.2">
      <c r="A9" s="32" t="s">
        <v>7</v>
      </c>
      <c r="B9" s="14" t="s">
        <v>117</v>
      </c>
      <c r="C9" s="29" t="s">
        <v>117</v>
      </c>
      <c r="D9" s="29" t="s">
        <v>187</v>
      </c>
      <c r="E9" s="29" t="s">
        <v>213</v>
      </c>
      <c r="F9" s="58">
        <v>40269</v>
      </c>
      <c r="G9" s="29" t="s">
        <v>181</v>
      </c>
      <c r="H9" s="32" t="s">
        <v>117</v>
      </c>
      <c r="I9" s="32"/>
      <c r="J9" s="32"/>
      <c r="K9" s="32"/>
      <c r="L9" s="51">
        <v>2011</v>
      </c>
      <c r="M9" s="7" t="s">
        <v>163</v>
      </c>
    </row>
    <row r="10" spans="1:13" ht="22.5" x14ac:dyDescent="0.2">
      <c r="A10" s="32" t="s">
        <v>8</v>
      </c>
      <c r="B10" s="14" t="s">
        <v>118</v>
      </c>
      <c r="C10" s="29" t="s">
        <v>118</v>
      </c>
      <c r="D10" s="29" t="s">
        <v>118</v>
      </c>
      <c r="E10" s="29"/>
      <c r="F10" s="58"/>
      <c r="G10" s="29" t="s">
        <v>181</v>
      </c>
      <c r="H10" s="32"/>
      <c r="I10" s="32"/>
      <c r="J10" s="32"/>
      <c r="K10" s="32"/>
      <c r="L10" s="51"/>
      <c r="M10" s="7"/>
    </row>
    <row r="11" spans="1:13" ht="22.5" x14ac:dyDescent="0.2">
      <c r="A11" s="32" t="s">
        <v>9</v>
      </c>
      <c r="B11" s="14" t="s">
        <v>118</v>
      </c>
      <c r="C11" s="29" t="s">
        <v>118</v>
      </c>
      <c r="D11" s="29" t="s">
        <v>118</v>
      </c>
      <c r="E11" s="29"/>
      <c r="F11" s="58"/>
      <c r="G11" s="29" t="s">
        <v>181</v>
      </c>
      <c r="H11" s="32"/>
      <c r="I11" s="32"/>
      <c r="J11" s="32"/>
      <c r="K11" s="32"/>
      <c r="L11" s="51"/>
      <c r="M11" s="7"/>
    </row>
    <row r="12" spans="1:13" ht="22.5" x14ac:dyDescent="0.2">
      <c r="A12" s="32" t="s">
        <v>10</v>
      </c>
      <c r="B12" s="14" t="s">
        <v>118</v>
      </c>
      <c r="C12" s="29" t="s">
        <v>118</v>
      </c>
      <c r="D12" s="29" t="s">
        <v>118</v>
      </c>
      <c r="E12" s="29"/>
      <c r="F12" s="58"/>
      <c r="G12" s="29" t="s">
        <v>181</v>
      </c>
      <c r="H12" s="32"/>
      <c r="I12" s="32"/>
      <c r="J12" s="32"/>
      <c r="K12" s="32"/>
      <c r="L12" s="51"/>
      <c r="M12" s="7"/>
    </row>
    <row r="13" spans="1:13" ht="56.25" x14ac:dyDescent="0.2">
      <c r="A13" s="32" t="s">
        <v>11</v>
      </c>
      <c r="B13" s="14" t="s">
        <v>117</v>
      </c>
      <c r="C13" s="29" t="s">
        <v>117</v>
      </c>
      <c r="D13" s="29" t="s">
        <v>188</v>
      </c>
      <c r="E13" s="29" t="s">
        <v>212</v>
      </c>
      <c r="F13" s="58">
        <v>37712</v>
      </c>
      <c r="G13" s="29" t="s">
        <v>181</v>
      </c>
      <c r="H13" s="32"/>
      <c r="I13" s="32"/>
      <c r="J13" s="32"/>
      <c r="K13" s="32"/>
      <c r="L13" s="51"/>
      <c r="M13" s="7"/>
    </row>
    <row r="14" spans="1:13" ht="22.5" x14ac:dyDescent="0.2">
      <c r="A14" s="32" t="s">
        <v>12</v>
      </c>
      <c r="B14" s="14" t="s">
        <v>118</v>
      </c>
      <c r="C14" s="29" t="s">
        <v>117</v>
      </c>
      <c r="D14" s="29" t="s">
        <v>118</v>
      </c>
      <c r="E14" s="29"/>
      <c r="F14" s="58"/>
      <c r="G14" s="29" t="s">
        <v>181</v>
      </c>
      <c r="H14" s="32"/>
      <c r="I14" s="32"/>
      <c r="J14" s="32"/>
      <c r="K14" s="32"/>
      <c r="L14" s="51"/>
      <c r="M14" s="7"/>
    </row>
    <row r="15" spans="1:13" ht="157.5" x14ac:dyDescent="0.2">
      <c r="A15" s="32" t="s">
        <v>13</v>
      </c>
      <c r="B15" s="14" t="s">
        <v>117</v>
      </c>
      <c r="C15" s="29" t="s">
        <v>117</v>
      </c>
      <c r="D15" s="29" t="s">
        <v>219</v>
      </c>
      <c r="E15" s="29" t="s">
        <v>191</v>
      </c>
      <c r="F15" s="58"/>
      <c r="G15" s="29" t="s">
        <v>181</v>
      </c>
      <c r="H15" s="29" t="s">
        <v>307</v>
      </c>
      <c r="I15" s="29" t="s">
        <v>117</v>
      </c>
      <c r="J15" s="32">
        <v>2012</v>
      </c>
      <c r="K15" s="29" t="s">
        <v>163</v>
      </c>
      <c r="L15" s="51">
        <v>2012</v>
      </c>
      <c r="M15" s="7" t="s">
        <v>163</v>
      </c>
    </row>
    <row r="16" spans="1:13" ht="22.5" x14ac:dyDescent="0.2">
      <c r="A16" s="32" t="s">
        <v>14</v>
      </c>
      <c r="B16" s="14" t="s">
        <v>118</v>
      </c>
      <c r="C16" s="29" t="s">
        <v>117</v>
      </c>
      <c r="D16" s="29" t="s">
        <v>118</v>
      </c>
      <c r="E16" s="29"/>
      <c r="F16" s="58"/>
      <c r="G16" s="29" t="s">
        <v>181</v>
      </c>
      <c r="H16" s="32"/>
      <c r="I16" s="32"/>
      <c r="J16" s="32"/>
      <c r="K16" s="32"/>
      <c r="L16" s="51"/>
      <c r="M16" s="7"/>
    </row>
    <row r="17" spans="1:13" ht="22.5" x14ac:dyDescent="0.2">
      <c r="A17" s="32" t="s">
        <v>15</v>
      </c>
      <c r="B17" s="14" t="s">
        <v>118</v>
      </c>
      <c r="C17" s="29" t="s">
        <v>118</v>
      </c>
      <c r="D17" s="29" t="s">
        <v>118</v>
      </c>
      <c r="E17" s="29"/>
      <c r="F17" s="58"/>
      <c r="G17" s="29" t="s">
        <v>181</v>
      </c>
      <c r="H17" s="32"/>
      <c r="I17" s="32"/>
      <c r="J17" s="32"/>
      <c r="K17" s="32"/>
      <c r="L17" s="51"/>
      <c r="M17" s="7"/>
    </row>
    <row r="18" spans="1:13" ht="22.5" x14ac:dyDescent="0.2">
      <c r="A18" s="32" t="s">
        <v>16</v>
      </c>
      <c r="B18" s="14" t="s">
        <v>154</v>
      </c>
      <c r="C18" s="29" t="s">
        <v>117</v>
      </c>
      <c r="D18" s="29" t="s">
        <v>118</v>
      </c>
      <c r="E18" s="29"/>
      <c r="F18" s="58"/>
      <c r="G18" s="29" t="s">
        <v>181</v>
      </c>
      <c r="H18" s="32"/>
      <c r="I18" s="32"/>
      <c r="J18" s="32"/>
      <c r="K18" s="32"/>
      <c r="L18" s="51"/>
      <c r="M18" s="7"/>
    </row>
    <row r="19" spans="1:13" ht="90" x14ac:dyDescent="0.2">
      <c r="A19" s="32" t="s">
        <v>17</v>
      </c>
      <c r="B19" s="14" t="s">
        <v>117</v>
      </c>
      <c r="C19" s="29" t="s">
        <v>118</v>
      </c>
      <c r="D19" s="29" t="s">
        <v>118</v>
      </c>
      <c r="E19" s="29"/>
      <c r="F19" s="58"/>
      <c r="G19" s="29" t="s">
        <v>181</v>
      </c>
      <c r="H19" s="29" t="s">
        <v>306</v>
      </c>
      <c r="I19" s="32" t="s">
        <v>117</v>
      </c>
      <c r="J19" s="32">
        <v>2012</v>
      </c>
      <c r="K19" s="32" t="s">
        <v>163</v>
      </c>
      <c r="L19" s="51">
        <v>2012</v>
      </c>
      <c r="M19" s="7" t="s">
        <v>163</v>
      </c>
    </row>
    <row r="20" spans="1:13" ht="22.5" x14ac:dyDescent="0.2">
      <c r="A20" s="32" t="s">
        <v>18</v>
      </c>
      <c r="B20" s="14" t="s">
        <v>118</v>
      </c>
      <c r="C20" s="29" t="s">
        <v>118</v>
      </c>
      <c r="D20" s="29" t="s">
        <v>118</v>
      </c>
      <c r="E20" s="29"/>
      <c r="F20" s="58"/>
      <c r="G20" s="29" t="s">
        <v>181</v>
      </c>
      <c r="H20" s="32"/>
      <c r="I20" s="32"/>
      <c r="J20" s="32"/>
      <c r="K20" s="32"/>
      <c r="L20" s="51"/>
      <c r="M20" s="7"/>
    </row>
    <row r="21" spans="1:13" ht="22.5" x14ac:dyDescent="0.2">
      <c r="A21" s="32" t="s">
        <v>19</v>
      </c>
      <c r="B21" s="14" t="s">
        <v>118</v>
      </c>
      <c r="C21" s="29" t="s">
        <v>118</v>
      </c>
      <c r="D21" s="29" t="s">
        <v>118</v>
      </c>
      <c r="E21" s="29"/>
      <c r="F21" s="58"/>
      <c r="G21" s="29" t="s">
        <v>181</v>
      </c>
      <c r="H21" s="32"/>
      <c r="I21" s="32"/>
      <c r="J21" s="32"/>
      <c r="K21" s="32"/>
      <c r="L21" s="51"/>
      <c r="M21" s="7"/>
    </row>
    <row r="22" spans="1:13" ht="22.5" x14ac:dyDescent="0.2">
      <c r="A22" s="32" t="s">
        <v>20</v>
      </c>
      <c r="B22" s="14" t="s">
        <v>118</v>
      </c>
      <c r="C22" s="29" t="s">
        <v>117</v>
      </c>
      <c r="D22" s="29" t="s">
        <v>118</v>
      </c>
      <c r="E22" s="29"/>
      <c r="F22" s="58"/>
      <c r="G22" s="29" t="s">
        <v>181</v>
      </c>
      <c r="H22" s="32"/>
      <c r="I22" s="32"/>
      <c r="J22" s="32"/>
      <c r="K22" s="32"/>
      <c r="L22" s="51"/>
      <c r="M22" s="7"/>
    </row>
    <row r="23" spans="1:13" ht="22.5" x14ac:dyDescent="0.2">
      <c r="A23" s="32" t="s">
        <v>21</v>
      </c>
      <c r="B23" s="14" t="s">
        <v>118</v>
      </c>
      <c r="C23" s="29" t="s">
        <v>118</v>
      </c>
      <c r="D23" s="29" t="s">
        <v>118</v>
      </c>
      <c r="E23" s="29"/>
      <c r="F23" s="58"/>
      <c r="G23" s="29" t="s">
        <v>181</v>
      </c>
      <c r="H23" s="32"/>
      <c r="I23" s="32"/>
      <c r="J23" s="32"/>
      <c r="K23" s="32"/>
      <c r="L23" s="51"/>
      <c r="M23" s="7"/>
    </row>
    <row r="24" spans="1:13" ht="78.75" x14ac:dyDescent="0.2">
      <c r="A24" s="32" t="s">
        <v>22</v>
      </c>
      <c r="B24" s="14" t="s">
        <v>117</v>
      </c>
      <c r="C24" s="29" t="s">
        <v>117</v>
      </c>
      <c r="D24" s="29" t="s">
        <v>118</v>
      </c>
      <c r="E24" s="29" t="s">
        <v>217</v>
      </c>
      <c r="F24" s="58">
        <v>39965</v>
      </c>
      <c r="G24" s="29" t="s">
        <v>181</v>
      </c>
      <c r="H24" s="32"/>
      <c r="I24" s="32"/>
      <c r="J24" s="32"/>
      <c r="K24" s="32"/>
      <c r="L24" s="51"/>
      <c r="M24" s="7"/>
    </row>
    <row r="25" spans="1:13" ht="22.5" x14ac:dyDescent="0.2">
      <c r="A25" s="32" t="s">
        <v>23</v>
      </c>
      <c r="B25" s="14" t="s">
        <v>118</v>
      </c>
      <c r="C25" s="29" t="s">
        <v>117</v>
      </c>
      <c r="D25" s="29" t="s">
        <v>118</v>
      </c>
      <c r="E25" s="29"/>
      <c r="F25" s="58"/>
      <c r="G25" s="29" t="s">
        <v>181</v>
      </c>
      <c r="H25" s="32"/>
      <c r="I25" s="32"/>
      <c r="J25" s="32"/>
      <c r="K25" s="32"/>
      <c r="L25" s="51"/>
      <c r="M25" s="7"/>
    </row>
    <row r="26" spans="1:13" ht="22.5" x14ac:dyDescent="0.2">
      <c r="A26" s="32" t="s">
        <v>24</v>
      </c>
      <c r="B26" s="14" t="s">
        <v>118</v>
      </c>
      <c r="C26" s="29" t="s">
        <v>118</v>
      </c>
      <c r="D26" s="29" t="s">
        <v>118</v>
      </c>
      <c r="E26" s="29"/>
      <c r="F26" s="58"/>
      <c r="G26" s="29" t="s">
        <v>181</v>
      </c>
      <c r="H26" s="32"/>
      <c r="I26" s="32"/>
      <c r="J26" s="32"/>
      <c r="K26" s="32"/>
      <c r="L26" s="51"/>
      <c r="M26" s="7"/>
    </row>
    <row r="27" spans="1:13" ht="22.5" x14ac:dyDescent="0.2">
      <c r="A27" s="32" t="s">
        <v>25</v>
      </c>
      <c r="B27" s="14" t="s">
        <v>118</v>
      </c>
      <c r="C27" s="29" t="s">
        <v>118</v>
      </c>
      <c r="D27" s="29" t="s">
        <v>118</v>
      </c>
      <c r="E27" s="29"/>
      <c r="F27" s="58"/>
      <c r="G27" s="29" t="s">
        <v>181</v>
      </c>
      <c r="H27" s="32"/>
      <c r="I27" s="32"/>
      <c r="J27" s="32"/>
      <c r="K27" s="32"/>
      <c r="L27" s="51"/>
      <c r="M27" s="7"/>
    </row>
    <row r="28" spans="1:13" ht="22.5" x14ac:dyDescent="0.2">
      <c r="A28" s="32" t="s">
        <v>26</v>
      </c>
      <c r="B28" s="14" t="s">
        <v>118</v>
      </c>
      <c r="C28" s="29" t="s">
        <v>118</v>
      </c>
      <c r="D28" s="29" t="s">
        <v>118</v>
      </c>
      <c r="E28" s="29"/>
      <c r="F28" s="58"/>
      <c r="G28" s="29" t="s">
        <v>181</v>
      </c>
      <c r="H28" s="32"/>
      <c r="I28" s="32"/>
      <c r="J28" s="32"/>
      <c r="K28" s="32"/>
      <c r="L28" s="51"/>
      <c r="M28" s="7"/>
    </row>
    <row r="29" spans="1:13" ht="157.5" x14ac:dyDescent="0.2">
      <c r="A29" s="32" t="s">
        <v>27</v>
      </c>
      <c r="B29" s="14" t="s">
        <v>117</v>
      </c>
      <c r="C29" s="29" t="s">
        <v>117</v>
      </c>
      <c r="D29" s="29" t="s">
        <v>188</v>
      </c>
      <c r="E29" s="29" t="s">
        <v>224</v>
      </c>
      <c r="F29" s="58">
        <v>39661</v>
      </c>
      <c r="G29" s="29" t="s">
        <v>181</v>
      </c>
      <c r="H29" s="29" t="s">
        <v>249</v>
      </c>
      <c r="I29" s="29" t="s">
        <v>248</v>
      </c>
      <c r="J29" s="29">
        <v>2012</v>
      </c>
      <c r="K29" s="29" t="s">
        <v>163</v>
      </c>
      <c r="L29" s="51">
        <v>2012</v>
      </c>
      <c r="M29" s="7" t="s">
        <v>163</v>
      </c>
    </row>
    <row r="30" spans="1:13" ht="22.5" x14ac:dyDescent="0.2">
      <c r="A30" s="32" t="s">
        <v>28</v>
      </c>
      <c r="B30" s="14" t="s">
        <v>118</v>
      </c>
      <c r="C30" s="29" t="s">
        <v>118</v>
      </c>
      <c r="D30" s="29" t="s">
        <v>118</v>
      </c>
      <c r="E30" s="29"/>
      <c r="F30" s="58"/>
      <c r="G30" s="29" t="s">
        <v>181</v>
      </c>
      <c r="H30" s="29"/>
      <c r="I30" s="29"/>
      <c r="J30" s="29"/>
      <c r="K30" s="29"/>
      <c r="L30" s="51"/>
      <c r="M30" s="7"/>
    </row>
    <row r="31" spans="1:13" ht="22.5" x14ac:dyDescent="0.2">
      <c r="A31" s="32" t="s">
        <v>29</v>
      </c>
      <c r="B31" s="14" t="s">
        <v>118</v>
      </c>
      <c r="C31" s="29" t="s">
        <v>118</v>
      </c>
      <c r="D31" s="29" t="s">
        <v>118</v>
      </c>
      <c r="E31" s="29"/>
      <c r="F31" s="58"/>
      <c r="G31" s="29" t="s">
        <v>181</v>
      </c>
      <c r="H31" s="29"/>
      <c r="I31" s="29"/>
      <c r="J31" s="29"/>
      <c r="K31" s="29"/>
      <c r="L31" s="51"/>
      <c r="M31" s="7"/>
    </row>
    <row r="32" spans="1:13" ht="67.5" x14ac:dyDescent="0.2">
      <c r="A32" s="32" t="s">
        <v>30</v>
      </c>
      <c r="B32" s="14" t="s">
        <v>117</v>
      </c>
      <c r="C32" s="29" t="s">
        <v>194</v>
      </c>
      <c r="D32" s="29" t="s">
        <v>188</v>
      </c>
      <c r="E32" s="29"/>
      <c r="F32" s="58"/>
      <c r="G32" s="29" t="s">
        <v>181</v>
      </c>
      <c r="H32" s="29" t="s">
        <v>249</v>
      </c>
      <c r="I32" s="29" t="s">
        <v>250</v>
      </c>
      <c r="J32" s="29">
        <v>2012</v>
      </c>
      <c r="K32" s="29" t="s">
        <v>163</v>
      </c>
      <c r="L32" s="51">
        <v>2012</v>
      </c>
      <c r="M32" s="7" t="s">
        <v>163</v>
      </c>
    </row>
    <row r="33" spans="1:13" ht="22.5" x14ac:dyDescent="0.2">
      <c r="A33" s="32" t="s">
        <v>31</v>
      </c>
      <c r="B33" s="14" t="s">
        <v>118</v>
      </c>
      <c r="C33" s="29" t="s">
        <v>118</v>
      </c>
      <c r="D33" s="29" t="s">
        <v>118</v>
      </c>
      <c r="E33" s="29"/>
      <c r="F33" s="58"/>
      <c r="G33" s="29" t="s">
        <v>181</v>
      </c>
      <c r="H33" s="29"/>
      <c r="I33" s="29"/>
      <c r="J33" s="29"/>
      <c r="K33" s="29"/>
      <c r="L33" s="51"/>
      <c r="M33" s="7"/>
    </row>
    <row r="34" spans="1:13" ht="22.5" x14ac:dyDescent="0.2">
      <c r="A34" s="32" t="s">
        <v>32</v>
      </c>
      <c r="B34" s="14" t="s">
        <v>118</v>
      </c>
      <c r="C34" s="29" t="s">
        <v>117</v>
      </c>
      <c r="D34" s="29" t="s">
        <v>118</v>
      </c>
      <c r="E34" s="29"/>
      <c r="F34" s="58"/>
      <c r="G34" s="29" t="s">
        <v>181</v>
      </c>
      <c r="H34" s="29"/>
      <c r="I34" s="29"/>
      <c r="J34" s="29"/>
      <c r="K34" s="29"/>
      <c r="L34" s="51"/>
      <c r="M34" s="7"/>
    </row>
    <row r="35" spans="1:13" ht="22.5" x14ac:dyDescent="0.2">
      <c r="A35" s="32" t="s">
        <v>33</v>
      </c>
      <c r="B35" s="14" t="s">
        <v>118</v>
      </c>
      <c r="C35" s="29" t="s">
        <v>118</v>
      </c>
      <c r="D35" s="29" t="s">
        <v>118</v>
      </c>
      <c r="E35" s="29"/>
      <c r="F35" s="58"/>
      <c r="G35" s="29" t="s">
        <v>181</v>
      </c>
      <c r="H35" s="29"/>
      <c r="I35" s="29"/>
      <c r="J35" s="29"/>
      <c r="K35" s="29"/>
      <c r="L35" s="51"/>
      <c r="M35" s="7"/>
    </row>
    <row r="36" spans="1:13" ht="22.5" x14ac:dyDescent="0.2">
      <c r="A36" s="32" t="s">
        <v>34</v>
      </c>
      <c r="B36" s="14" t="s">
        <v>118</v>
      </c>
      <c r="C36" s="29" t="s">
        <v>118</v>
      </c>
      <c r="D36" s="29" t="s">
        <v>118</v>
      </c>
      <c r="E36" s="29"/>
      <c r="F36" s="58"/>
      <c r="G36" s="29" t="s">
        <v>181</v>
      </c>
      <c r="H36" s="29"/>
      <c r="I36" s="29"/>
      <c r="J36" s="29"/>
      <c r="K36" s="29"/>
      <c r="L36" s="51"/>
      <c r="M36" s="7"/>
    </row>
    <row r="37" spans="1:13" ht="22.5" x14ac:dyDescent="0.2">
      <c r="A37" s="32" t="s">
        <v>35</v>
      </c>
      <c r="B37" s="14" t="s">
        <v>118</v>
      </c>
      <c r="C37" s="29" t="s">
        <v>118</v>
      </c>
      <c r="D37" s="29" t="s">
        <v>118</v>
      </c>
      <c r="E37" s="29"/>
      <c r="F37" s="58"/>
      <c r="G37" s="29" t="s">
        <v>181</v>
      </c>
      <c r="H37" s="29"/>
      <c r="I37" s="29"/>
      <c r="J37" s="29"/>
      <c r="K37" s="29"/>
      <c r="L37" s="51"/>
      <c r="M37" s="7"/>
    </row>
    <row r="38" spans="1:13" ht="22.5" x14ac:dyDescent="0.2">
      <c r="A38" s="32" t="s">
        <v>36</v>
      </c>
      <c r="B38" s="14" t="s">
        <v>118</v>
      </c>
      <c r="C38" s="29" t="s">
        <v>118</v>
      </c>
      <c r="D38" s="29" t="s">
        <v>118</v>
      </c>
      <c r="E38" s="29"/>
      <c r="F38" s="58"/>
      <c r="G38" s="29" t="s">
        <v>181</v>
      </c>
      <c r="H38" s="29"/>
      <c r="I38" s="29"/>
      <c r="J38" s="29"/>
      <c r="K38" s="29"/>
      <c r="L38" s="51"/>
      <c r="M38" s="7"/>
    </row>
    <row r="39" spans="1:13" ht="22.5" x14ac:dyDescent="0.2">
      <c r="A39" s="32" t="s">
        <v>37</v>
      </c>
      <c r="B39" s="14" t="s">
        <v>118</v>
      </c>
      <c r="C39" s="29" t="s">
        <v>118</v>
      </c>
      <c r="D39" s="29" t="s">
        <v>118</v>
      </c>
      <c r="E39" s="32"/>
      <c r="F39" s="58"/>
      <c r="G39" s="29" t="s">
        <v>181</v>
      </c>
      <c r="H39" s="29"/>
      <c r="I39" s="29"/>
      <c r="J39" s="29"/>
      <c r="K39" s="29"/>
      <c r="L39" s="51"/>
      <c r="M39" s="7"/>
    </row>
    <row r="40" spans="1:13" ht="56.25" x14ac:dyDescent="0.2">
      <c r="A40" s="32" t="s">
        <v>38</v>
      </c>
      <c r="B40" s="14" t="s">
        <v>117</v>
      </c>
      <c r="C40" s="29" t="s">
        <v>117</v>
      </c>
      <c r="D40" s="29" t="s">
        <v>118</v>
      </c>
      <c r="E40" s="29" t="s">
        <v>218</v>
      </c>
      <c r="F40" s="58">
        <v>39295</v>
      </c>
      <c r="G40" s="29" t="s">
        <v>181</v>
      </c>
      <c r="H40" s="29" t="s">
        <v>253</v>
      </c>
      <c r="I40" s="29" t="s">
        <v>248</v>
      </c>
      <c r="J40" s="29">
        <v>2012</v>
      </c>
      <c r="K40" s="29" t="s">
        <v>163</v>
      </c>
      <c r="L40" s="51">
        <v>2012</v>
      </c>
      <c r="M40" s="7" t="s">
        <v>163</v>
      </c>
    </row>
    <row r="41" spans="1:13" ht="22.5" x14ac:dyDescent="0.2">
      <c r="A41" s="32" t="s">
        <v>39</v>
      </c>
      <c r="B41" s="14" t="s">
        <v>117</v>
      </c>
      <c r="C41" s="29" t="s">
        <v>118</v>
      </c>
      <c r="D41" s="29" t="s">
        <v>188</v>
      </c>
      <c r="E41" s="29"/>
      <c r="F41" s="58"/>
      <c r="G41" s="29" t="s">
        <v>181</v>
      </c>
      <c r="H41" s="29"/>
      <c r="I41" s="29"/>
      <c r="J41" s="29"/>
      <c r="K41" s="29"/>
      <c r="L41" s="51"/>
      <c r="M41" s="7"/>
    </row>
    <row r="42" spans="1:13" ht="56.25" x14ac:dyDescent="0.2">
      <c r="A42" s="32" t="s">
        <v>40</v>
      </c>
      <c r="B42" s="14" t="s">
        <v>117</v>
      </c>
      <c r="C42" s="29" t="s">
        <v>118</v>
      </c>
      <c r="D42" s="29" t="s">
        <v>188</v>
      </c>
      <c r="E42" s="29"/>
      <c r="F42" s="58"/>
      <c r="G42" s="29" t="s">
        <v>181</v>
      </c>
      <c r="H42" s="29" t="s">
        <v>305</v>
      </c>
      <c r="I42" s="29" t="s">
        <v>118</v>
      </c>
      <c r="J42" s="29">
        <v>2012</v>
      </c>
      <c r="K42" s="29" t="s">
        <v>163</v>
      </c>
      <c r="L42" s="51">
        <v>2012</v>
      </c>
      <c r="M42" s="7" t="s">
        <v>163</v>
      </c>
    </row>
    <row r="43" spans="1:13" ht="22.5" x14ac:dyDescent="0.2">
      <c r="A43" s="32" t="s">
        <v>41</v>
      </c>
      <c r="B43" s="14" t="s">
        <v>117</v>
      </c>
      <c r="C43" s="29" t="s">
        <v>118</v>
      </c>
      <c r="D43" s="29" t="s">
        <v>188</v>
      </c>
      <c r="E43" s="29"/>
      <c r="F43" s="58"/>
      <c r="G43" s="29" t="s">
        <v>181</v>
      </c>
      <c r="H43" s="29"/>
      <c r="I43" s="29"/>
      <c r="J43" s="29"/>
      <c r="K43" s="29"/>
      <c r="L43" s="51"/>
      <c r="M43" s="7"/>
    </row>
    <row r="44" spans="1:13" ht="22.5" x14ac:dyDescent="0.2">
      <c r="A44" s="32" t="s">
        <v>42</v>
      </c>
      <c r="B44" s="14" t="s">
        <v>118</v>
      </c>
      <c r="C44" s="29" t="s">
        <v>118</v>
      </c>
      <c r="D44" s="29" t="s">
        <v>118</v>
      </c>
      <c r="E44" s="29"/>
      <c r="F44" s="58"/>
      <c r="G44" s="29" t="s">
        <v>181</v>
      </c>
      <c r="H44" s="29"/>
      <c r="I44" s="29"/>
      <c r="J44" s="29"/>
      <c r="K44" s="29"/>
      <c r="L44" s="51"/>
      <c r="M44" s="7"/>
    </row>
    <row r="45" spans="1:13" ht="22.5" x14ac:dyDescent="0.2">
      <c r="A45" s="32" t="s">
        <v>43</v>
      </c>
      <c r="B45" s="14" t="s">
        <v>117</v>
      </c>
      <c r="C45" s="29" t="s">
        <v>117</v>
      </c>
      <c r="D45" s="29" t="s">
        <v>188</v>
      </c>
      <c r="E45" s="29"/>
      <c r="F45" s="58"/>
      <c r="G45" s="29" t="s">
        <v>181</v>
      </c>
      <c r="H45" s="29"/>
      <c r="I45" s="29"/>
      <c r="J45" s="29"/>
      <c r="K45" s="29"/>
      <c r="L45" s="51"/>
      <c r="M45" s="7"/>
    </row>
    <row r="46" spans="1:13" ht="45" x14ac:dyDescent="0.2">
      <c r="A46" s="32" t="s">
        <v>44</v>
      </c>
      <c r="B46" s="14" t="s">
        <v>117</v>
      </c>
      <c r="C46" s="29" t="s">
        <v>118</v>
      </c>
      <c r="D46" s="29" t="s">
        <v>188</v>
      </c>
      <c r="E46" s="29"/>
      <c r="F46" s="58"/>
      <c r="G46" s="29" t="s">
        <v>181</v>
      </c>
      <c r="H46" s="29" t="s">
        <v>254</v>
      </c>
      <c r="I46" s="29" t="s">
        <v>251</v>
      </c>
      <c r="J46" s="29">
        <v>2012</v>
      </c>
      <c r="K46" s="29" t="s">
        <v>163</v>
      </c>
      <c r="L46" s="51">
        <v>2012</v>
      </c>
      <c r="M46" s="7" t="s">
        <v>163</v>
      </c>
    </row>
    <row r="47" spans="1:13" ht="67.5" x14ac:dyDescent="0.2">
      <c r="A47" s="32" t="s">
        <v>45</v>
      </c>
      <c r="B47" s="14" t="s">
        <v>117</v>
      </c>
      <c r="C47" s="29" t="s">
        <v>117</v>
      </c>
      <c r="D47" s="29" t="s">
        <v>188</v>
      </c>
      <c r="E47" s="29" t="s">
        <v>223</v>
      </c>
      <c r="F47" s="58">
        <v>39873</v>
      </c>
      <c r="G47" s="29" t="s">
        <v>181</v>
      </c>
      <c r="H47" s="29" t="s">
        <v>117</v>
      </c>
      <c r="I47" s="29"/>
      <c r="J47" s="29"/>
      <c r="K47" s="29"/>
      <c r="L47" s="51">
        <v>2011</v>
      </c>
      <c r="M47" s="7" t="s">
        <v>163</v>
      </c>
    </row>
    <row r="48" spans="1:13" ht="22.5" x14ac:dyDescent="0.2">
      <c r="A48" s="32" t="s">
        <v>46</v>
      </c>
      <c r="B48" s="14" t="s">
        <v>117</v>
      </c>
      <c r="C48" s="29" t="s">
        <v>117</v>
      </c>
      <c r="D48" s="29" t="s">
        <v>188</v>
      </c>
      <c r="E48" s="29"/>
      <c r="F48" s="58"/>
      <c r="G48" s="29" t="s">
        <v>181</v>
      </c>
      <c r="H48" s="29"/>
      <c r="I48" s="29"/>
      <c r="J48" s="29"/>
      <c r="K48" s="29"/>
      <c r="L48" s="51"/>
      <c r="M48" s="7"/>
    </row>
    <row r="49" spans="1:13" ht="22.5" x14ac:dyDescent="0.2">
      <c r="A49" s="32" t="s">
        <v>47</v>
      </c>
      <c r="B49" s="14" t="s">
        <v>118</v>
      </c>
      <c r="C49" s="29" t="s">
        <v>118</v>
      </c>
      <c r="D49" s="29" t="s">
        <v>118</v>
      </c>
      <c r="E49" s="29"/>
      <c r="F49" s="58"/>
      <c r="G49" s="29" t="s">
        <v>181</v>
      </c>
      <c r="H49" s="29"/>
      <c r="I49" s="29"/>
      <c r="J49" s="29"/>
      <c r="K49" s="29"/>
      <c r="L49" s="51"/>
      <c r="M49" s="7"/>
    </row>
    <row r="50" spans="1:13" ht="22.5" x14ac:dyDescent="0.2">
      <c r="A50" s="32" t="s">
        <v>48</v>
      </c>
      <c r="B50" s="14" t="s">
        <v>118</v>
      </c>
      <c r="C50" s="29" t="s">
        <v>118</v>
      </c>
      <c r="D50" s="29" t="s">
        <v>118</v>
      </c>
      <c r="E50" s="29"/>
      <c r="F50" s="58"/>
      <c r="G50" s="29" t="s">
        <v>181</v>
      </c>
      <c r="H50" s="29"/>
      <c r="I50" s="29"/>
      <c r="J50" s="29"/>
      <c r="K50" s="29"/>
      <c r="L50" s="51"/>
      <c r="M50" s="7"/>
    </row>
    <row r="51" spans="1:13" ht="67.5" x14ac:dyDescent="0.2">
      <c r="A51" s="32" t="s">
        <v>49</v>
      </c>
      <c r="B51" s="14" t="s">
        <v>117</v>
      </c>
      <c r="C51" s="29" t="s">
        <v>117</v>
      </c>
      <c r="D51" s="29" t="s">
        <v>188</v>
      </c>
      <c r="E51" s="29" t="s">
        <v>222</v>
      </c>
      <c r="F51" s="58">
        <v>39692</v>
      </c>
      <c r="G51" s="29" t="s">
        <v>181</v>
      </c>
      <c r="H51" s="29" t="s">
        <v>249</v>
      </c>
      <c r="I51" s="29" t="s">
        <v>250</v>
      </c>
      <c r="J51" s="29">
        <v>2012</v>
      </c>
      <c r="K51" s="29" t="s">
        <v>163</v>
      </c>
      <c r="L51" s="51">
        <v>2012</v>
      </c>
      <c r="M51" s="7" t="s">
        <v>163</v>
      </c>
    </row>
    <row r="52" spans="1:13" ht="22.5" x14ac:dyDescent="0.2">
      <c r="A52" s="32" t="s">
        <v>50</v>
      </c>
      <c r="B52" s="14" t="s">
        <v>118</v>
      </c>
      <c r="C52" s="29" t="s">
        <v>118</v>
      </c>
      <c r="D52" s="29" t="s">
        <v>118</v>
      </c>
      <c r="E52" s="29"/>
      <c r="F52" s="58"/>
      <c r="G52" s="29" t="s">
        <v>181</v>
      </c>
      <c r="H52" s="29"/>
      <c r="I52" s="29"/>
      <c r="J52" s="29"/>
      <c r="K52" s="29"/>
      <c r="L52" s="51"/>
      <c r="M52" s="7"/>
    </row>
    <row r="53" spans="1:13" ht="78.75" x14ac:dyDescent="0.2">
      <c r="A53" s="32" t="s">
        <v>51</v>
      </c>
      <c r="B53" s="14" t="s">
        <v>117</v>
      </c>
      <c r="C53" s="29" t="s">
        <v>117</v>
      </c>
      <c r="D53" s="29" t="s">
        <v>188</v>
      </c>
      <c r="E53" s="29" t="s">
        <v>220</v>
      </c>
      <c r="F53" s="58">
        <v>39845</v>
      </c>
      <c r="G53" s="29" t="s">
        <v>181</v>
      </c>
      <c r="H53" s="29"/>
      <c r="I53" s="29"/>
      <c r="J53" s="29"/>
      <c r="K53" s="29"/>
      <c r="L53" s="51"/>
      <c r="M53" s="7"/>
    </row>
    <row r="54" spans="1:13" ht="22.5" x14ac:dyDescent="0.2">
      <c r="A54" s="32" t="s">
        <v>52</v>
      </c>
      <c r="B54" s="14" t="s">
        <v>117</v>
      </c>
      <c r="C54" s="29" t="s">
        <v>117</v>
      </c>
      <c r="D54" s="29" t="s">
        <v>188</v>
      </c>
      <c r="E54" s="29" t="s">
        <v>225</v>
      </c>
      <c r="F54" s="58"/>
      <c r="G54" s="29" t="s">
        <v>181</v>
      </c>
      <c r="H54" s="29" t="s">
        <v>117</v>
      </c>
      <c r="I54" s="29"/>
      <c r="J54" s="29"/>
      <c r="K54" s="29"/>
      <c r="L54" s="51">
        <v>2011</v>
      </c>
      <c r="M54" s="7" t="s">
        <v>163</v>
      </c>
    </row>
    <row r="55" spans="1:13" ht="22.5" x14ac:dyDescent="0.2">
      <c r="A55" s="32" t="s">
        <v>53</v>
      </c>
      <c r="B55" s="14" t="s">
        <v>118</v>
      </c>
      <c r="C55" s="29" t="s">
        <v>117</v>
      </c>
      <c r="D55" s="29" t="s">
        <v>118</v>
      </c>
      <c r="E55" s="29"/>
      <c r="F55" s="58"/>
      <c r="G55" s="29" t="s">
        <v>181</v>
      </c>
      <c r="H55" s="29"/>
      <c r="I55" s="29"/>
      <c r="J55" s="29"/>
      <c r="K55" s="29"/>
      <c r="L55" s="51"/>
      <c r="M55" s="7"/>
    </row>
    <row r="56" spans="1:13" ht="22.5" x14ac:dyDescent="0.2">
      <c r="A56" s="32" t="s">
        <v>54</v>
      </c>
      <c r="B56" s="14" t="s">
        <v>118</v>
      </c>
      <c r="C56" s="29" t="s">
        <v>117</v>
      </c>
      <c r="D56" s="29" t="s">
        <v>118</v>
      </c>
      <c r="E56" s="29"/>
      <c r="F56" s="58"/>
      <c r="G56" s="29" t="s">
        <v>181</v>
      </c>
      <c r="H56" s="29"/>
      <c r="I56" s="29"/>
      <c r="J56" s="29"/>
      <c r="K56" s="29"/>
      <c r="L56" s="51"/>
      <c r="M56" s="7"/>
    </row>
    <row r="57" spans="1:13" ht="33.75" x14ac:dyDescent="0.2">
      <c r="A57" s="32" t="s">
        <v>55</v>
      </c>
      <c r="B57" s="14" t="s">
        <v>117</v>
      </c>
      <c r="C57" s="29" t="s">
        <v>118</v>
      </c>
      <c r="D57" s="29" t="s">
        <v>202</v>
      </c>
      <c r="E57" s="29"/>
      <c r="F57" s="58"/>
      <c r="G57" s="29" t="s">
        <v>181</v>
      </c>
      <c r="H57" s="29" t="s">
        <v>303</v>
      </c>
      <c r="I57" s="29" t="s">
        <v>304</v>
      </c>
      <c r="J57" s="29">
        <v>2012</v>
      </c>
      <c r="K57" s="29" t="s">
        <v>163</v>
      </c>
      <c r="L57" s="51">
        <v>2012</v>
      </c>
      <c r="M57" s="7" t="s">
        <v>163</v>
      </c>
    </row>
    <row r="58" spans="1:13" ht="22.5" x14ac:dyDescent="0.2">
      <c r="A58" s="32" t="s">
        <v>56</v>
      </c>
      <c r="B58" s="14" t="s">
        <v>118</v>
      </c>
      <c r="C58" s="29" t="s">
        <v>118</v>
      </c>
      <c r="D58" s="29" t="s">
        <v>118</v>
      </c>
      <c r="E58" s="29"/>
      <c r="F58" s="58"/>
      <c r="G58" s="29" t="s">
        <v>181</v>
      </c>
      <c r="H58" s="29"/>
      <c r="I58" s="29"/>
      <c r="J58" s="29"/>
      <c r="K58" s="29"/>
      <c r="L58" s="51"/>
      <c r="M58" s="7"/>
    </row>
    <row r="59" spans="1:13" ht="33.75" x14ac:dyDescent="0.2">
      <c r="A59" s="32" t="s">
        <v>57</v>
      </c>
      <c r="B59" s="14" t="s">
        <v>118</v>
      </c>
      <c r="C59" s="29" t="s">
        <v>118</v>
      </c>
      <c r="D59" s="29" t="s">
        <v>118</v>
      </c>
      <c r="E59" s="29"/>
      <c r="F59" s="58"/>
      <c r="G59" s="29" t="s">
        <v>181</v>
      </c>
      <c r="H59" s="29" t="s">
        <v>302</v>
      </c>
      <c r="I59" s="29"/>
      <c r="J59" s="29"/>
      <c r="K59" s="29"/>
      <c r="L59" s="51">
        <v>2012</v>
      </c>
      <c r="M59" s="7" t="s">
        <v>163</v>
      </c>
    </row>
    <row r="60" spans="1:13" ht="67.5" x14ac:dyDescent="0.2">
      <c r="A60" s="32" t="s">
        <v>58</v>
      </c>
      <c r="B60" s="14" t="s">
        <v>117</v>
      </c>
      <c r="C60" s="29" t="s">
        <v>117</v>
      </c>
      <c r="D60" s="29" t="s">
        <v>188</v>
      </c>
      <c r="E60" s="29" t="s">
        <v>204</v>
      </c>
      <c r="F60" s="58"/>
      <c r="G60" s="29" t="s">
        <v>181</v>
      </c>
      <c r="H60" s="29" t="s">
        <v>249</v>
      </c>
      <c r="I60" s="29" t="s">
        <v>250</v>
      </c>
      <c r="J60" s="29">
        <v>2012</v>
      </c>
      <c r="K60" s="29" t="s">
        <v>163</v>
      </c>
      <c r="L60" s="51">
        <v>2012</v>
      </c>
      <c r="M60" s="7" t="s">
        <v>163</v>
      </c>
    </row>
    <row r="61" spans="1:13" ht="22.5" x14ac:dyDescent="0.2">
      <c r="A61" s="32" t="s">
        <v>59</v>
      </c>
      <c r="B61" s="14" t="s">
        <v>118</v>
      </c>
      <c r="C61" s="29" t="s">
        <v>118</v>
      </c>
      <c r="D61" s="29" t="s">
        <v>118</v>
      </c>
      <c r="E61" s="29"/>
      <c r="F61" s="58"/>
      <c r="G61" s="29" t="s">
        <v>181</v>
      </c>
      <c r="H61" s="29"/>
      <c r="I61" s="29"/>
      <c r="J61" s="29"/>
      <c r="K61" s="29"/>
      <c r="L61" s="51"/>
      <c r="M61" s="7"/>
    </row>
    <row r="62" spans="1:13" ht="22.5" x14ac:dyDescent="0.2">
      <c r="A62" s="32" t="s">
        <v>60</v>
      </c>
      <c r="B62" s="14" t="s">
        <v>117</v>
      </c>
      <c r="C62" s="29" t="s">
        <v>117</v>
      </c>
      <c r="D62" s="29" t="s">
        <v>188</v>
      </c>
      <c r="E62" s="29"/>
      <c r="F62" s="58"/>
      <c r="G62" s="29" t="s">
        <v>181</v>
      </c>
      <c r="H62" s="29" t="s">
        <v>117</v>
      </c>
      <c r="I62" s="29"/>
      <c r="J62" s="29"/>
      <c r="K62" s="29"/>
      <c r="L62" s="51">
        <v>2011</v>
      </c>
      <c r="M62" s="7" t="s">
        <v>163</v>
      </c>
    </row>
    <row r="63" spans="1:13" ht="22.5" x14ac:dyDescent="0.2">
      <c r="A63" s="32" t="s">
        <v>61</v>
      </c>
      <c r="B63" s="14" t="s">
        <v>117</v>
      </c>
      <c r="C63" s="29" t="s">
        <v>117</v>
      </c>
      <c r="D63" s="29" t="s">
        <v>118</v>
      </c>
      <c r="E63" s="29" t="s">
        <v>221</v>
      </c>
      <c r="F63" s="58">
        <v>40878</v>
      </c>
      <c r="G63" s="29" t="s">
        <v>181</v>
      </c>
      <c r="H63" s="29"/>
      <c r="I63" s="29"/>
      <c r="J63" s="29"/>
      <c r="K63" s="29"/>
      <c r="L63" s="51"/>
      <c r="M63" s="7"/>
    </row>
    <row r="64" spans="1:13" ht="22.5" x14ac:dyDescent="0.2">
      <c r="A64" s="32" t="s">
        <v>62</v>
      </c>
      <c r="B64" s="14" t="s">
        <v>118</v>
      </c>
      <c r="C64" s="29" t="s">
        <v>118</v>
      </c>
      <c r="D64" s="29" t="s">
        <v>118</v>
      </c>
      <c r="E64" s="29"/>
      <c r="F64" s="58"/>
      <c r="G64" s="29" t="s">
        <v>181</v>
      </c>
      <c r="H64" s="29"/>
      <c r="I64" s="29"/>
      <c r="J64" s="29"/>
      <c r="K64" s="29"/>
      <c r="L64" s="51"/>
      <c r="M64" s="7"/>
    </row>
    <row r="65" spans="1:13" ht="22.5" x14ac:dyDescent="0.2">
      <c r="A65" s="32" t="s">
        <v>63</v>
      </c>
      <c r="B65" s="14" t="s">
        <v>118</v>
      </c>
      <c r="C65" s="29" t="s">
        <v>118</v>
      </c>
      <c r="D65" s="29" t="s">
        <v>118</v>
      </c>
      <c r="E65" s="29"/>
      <c r="F65" s="58"/>
      <c r="G65" s="29" t="s">
        <v>181</v>
      </c>
      <c r="H65" s="29"/>
      <c r="I65" s="29"/>
      <c r="J65" s="29"/>
      <c r="K65" s="29"/>
      <c r="L65" s="51"/>
      <c r="M65" s="7"/>
    </row>
    <row r="66" spans="1:13" ht="22.5" x14ac:dyDescent="0.2">
      <c r="A66" s="32" t="s">
        <v>64</v>
      </c>
      <c r="B66" s="14" t="s">
        <v>118</v>
      </c>
      <c r="C66" s="29" t="s">
        <v>118</v>
      </c>
      <c r="D66" s="29" t="s">
        <v>118</v>
      </c>
      <c r="E66" s="29"/>
      <c r="F66" s="58"/>
      <c r="G66" s="29" t="s">
        <v>181</v>
      </c>
      <c r="H66" s="29"/>
      <c r="I66" s="29"/>
      <c r="J66" s="29"/>
      <c r="K66" s="29"/>
      <c r="L66" s="51"/>
      <c r="M66" s="7"/>
    </row>
    <row r="67" spans="1:13" ht="22.5" x14ac:dyDescent="0.2">
      <c r="A67" s="32" t="s">
        <v>65</v>
      </c>
      <c r="B67" s="14" t="s">
        <v>154</v>
      </c>
      <c r="C67" s="29" t="s">
        <v>118</v>
      </c>
      <c r="D67" s="29" t="s">
        <v>185</v>
      </c>
      <c r="E67" s="29"/>
      <c r="F67" s="58"/>
      <c r="G67" s="29" t="s">
        <v>181</v>
      </c>
      <c r="H67" s="29"/>
      <c r="I67" s="29"/>
      <c r="J67" s="29"/>
      <c r="K67" s="29"/>
      <c r="L67" s="51"/>
      <c r="M67" s="7"/>
    </row>
    <row r="68" spans="1:13" ht="22.5" x14ac:dyDescent="0.2">
      <c r="A68" s="32" t="s">
        <v>66</v>
      </c>
      <c r="B68" s="14" t="s">
        <v>117</v>
      </c>
      <c r="C68" s="29" t="s">
        <v>117</v>
      </c>
      <c r="D68" s="29" t="s">
        <v>188</v>
      </c>
      <c r="E68" s="29"/>
      <c r="F68" s="58"/>
      <c r="G68" s="29" t="s">
        <v>181</v>
      </c>
      <c r="H68" s="29"/>
      <c r="I68" s="29"/>
      <c r="J68" s="29"/>
      <c r="K68" s="29"/>
      <c r="L68" s="51"/>
      <c r="M68" s="7"/>
    </row>
    <row r="69" spans="1:13" ht="22.5" x14ac:dyDescent="0.2">
      <c r="A69" s="32" t="s">
        <v>67</v>
      </c>
      <c r="B69" s="14" t="s">
        <v>118</v>
      </c>
      <c r="C69" s="29" t="s">
        <v>118</v>
      </c>
      <c r="D69" s="29" t="s">
        <v>118</v>
      </c>
      <c r="E69" s="29"/>
      <c r="F69" s="58"/>
      <c r="G69" s="29" t="s">
        <v>181</v>
      </c>
      <c r="H69" s="29"/>
      <c r="I69" s="29"/>
      <c r="J69" s="29"/>
      <c r="K69" s="29"/>
      <c r="L69" s="51"/>
      <c r="M69" s="7"/>
    </row>
    <row r="70" spans="1:13" ht="90" x14ac:dyDescent="0.2">
      <c r="A70" s="32" t="s">
        <v>68</v>
      </c>
      <c r="B70" s="14" t="s">
        <v>117</v>
      </c>
      <c r="C70" s="29" t="s">
        <v>118</v>
      </c>
      <c r="D70" s="29" t="s">
        <v>226</v>
      </c>
      <c r="E70" s="29"/>
      <c r="F70" s="58"/>
      <c r="G70" s="29" t="s">
        <v>181</v>
      </c>
      <c r="H70" s="29"/>
      <c r="I70" s="29"/>
      <c r="J70" s="29"/>
      <c r="K70" s="29"/>
      <c r="L70" s="51"/>
      <c r="M70" s="7"/>
    </row>
    <row r="71" spans="1:13" ht="22.5" x14ac:dyDescent="0.2">
      <c r="A71" s="32" t="s">
        <v>70</v>
      </c>
      <c r="B71" s="14" t="s">
        <v>117</v>
      </c>
      <c r="C71" s="29" t="s">
        <v>117</v>
      </c>
      <c r="D71" s="29" t="s">
        <v>118</v>
      </c>
      <c r="E71" s="29"/>
      <c r="F71" s="58" t="s">
        <v>207</v>
      </c>
      <c r="G71" s="29" t="s">
        <v>181</v>
      </c>
      <c r="H71" s="29" t="s">
        <v>117</v>
      </c>
      <c r="I71" s="29"/>
      <c r="J71" s="29"/>
      <c r="K71" s="29"/>
      <c r="L71" s="51">
        <v>2011</v>
      </c>
      <c r="M71" s="7" t="s">
        <v>163</v>
      </c>
    </row>
    <row r="72" spans="1:13" ht="22.5" x14ac:dyDescent="0.2">
      <c r="A72" s="32" t="s">
        <v>71</v>
      </c>
      <c r="B72" s="14" t="s">
        <v>118</v>
      </c>
      <c r="C72" s="29" t="s">
        <v>118</v>
      </c>
      <c r="D72" s="29" t="s">
        <v>118</v>
      </c>
      <c r="E72" s="32"/>
      <c r="F72" s="32" t="s">
        <v>189</v>
      </c>
      <c r="G72" s="29" t="s">
        <v>181</v>
      </c>
      <c r="H72" s="29"/>
      <c r="I72" s="29"/>
      <c r="J72" s="29"/>
      <c r="K72" s="29"/>
      <c r="L72" s="51"/>
      <c r="M72" s="7"/>
    </row>
    <row r="73" spans="1:13" ht="78.75" x14ac:dyDescent="0.2">
      <c r="A73" s="32" t="s">
        <v>72</v>
      </c>
      <c r="B73" s="14" t="s">
        <v>117</v>
      </c>
      <c r="C73" s="29" t="s">
        <v>117</v>
      </c>
      <c r="D73" s="29" t="s">
        <v>188</v>
      </c>
      <c r="E73" s="29" t="s">
        <v>215</v>
      </c>
      <c r="F73" s="58">
        <v>38657</v>
      </c>
      <c r="G73" s="29" t="s">
        <v>181</v>
      </c>
      <c r="H73" s="29" t="s">
        <v>249</v>
      </c>
      <c r="I73" s="29" t="s">
        <v>251</v>
      </c>
      <c r="J73" s="29">
        <v>2012</v>
      </c>
      <c r="K73" s="29" t="s">
        <v>163</v>
      </c>
      <c r="L73" s="51">
        <v>2012</v>
      </c>
      <c r="M73" s="7" t="s">
        <v>163</v>
      </c>
    </row>
    <row r="74" spans="1:13" ht="56.25" x14ac:dyDescent="0.2">
      <c r="A74" s="32" t="s">
        <v>69</v>
      </c>
      <c r="B74" s="14" t="s">
        <v>117</v>
      </c>
      <c r="C74" s="29" t="s">
        <v>118</v>
      </c>
      <c r="D74" s="29" t="s">
        <v>188</v>
      </c>
      <c r="E74" s="32"/>
      <c r="F74" s="32" t="s">
        <v>192</v>
      </c>
      <c r="G74" s="32"/>
      <c r="H74" s="29" t="s">
        <v>253</v>
      </c>
      <c r="I74" s="29" t="s">
        <v>248</v>
      </c>
      <c r="J74" s="29">
        <v>2012</v>
      </c>
      <c r="K74" s="29" t="s">
        <v>163</v>
      </c>
      <c r="L74" s="51">
        <v>2012</v>
      </c>
      <c r="M74" s="7" t="s">
        <v>163</v>
      </c>
    </row>
    <row r="75" spans="1:13" ht="22.5" x14ac:dyDescent="0.2">
      <c r="A75" s="32" t="s">
        <v>73</v>
      </c>
      <c r="B75" s="14" t="s">
        <v>117</v>
      </c>
      <c r="C75" s="29" t="s">
        <v>118</v>
      </c>
      <c r="D75" s="29" t="s">
        <v>188</v>
      </c>
      <c r="E75" s="29"/>
      <c r="F75" s="58"/>
      <c r="G75" s="29" t="s">
        <v>181</v>
      </c>
      <c r="H75" s="29"/>
      <c r="I75" s="29"/>
      <c r="J75" s="29"/>
      <c r="K75" s="29"/>
      <c r="L75" s="51"/>
      <c r="M75" s="7"/>
    </row>
    <row r="76" spans="1:13" ht="67.5" x14ac:dyDescent="0.2">
      <c r="A76" s="32" t="s">
        <v>74</v>
      </c>
      <c r="B76" s="14" t="s">
        <v>117</v>
      </c>
      <c r="C76" s="29" t="s">
        <v>117</v>
      </c>
      <c r="D76" s="29" t="s">
        <v>209</v>
      </c>
      <c r="E76" s="29" t="s">
        <v>214</v>
      </c>
      <c r="F76" s="58">
        <v>39873</v>
      </c>
      <c r="G76" s="29" t="s">
        <v>181</v>
      </c>
      <c r="H76" s="29" t="s">
        <v>300</v>
      </c>
      <c r="I76" s="29" t="s">
        <v>301</v>
      </c>
      <c r="J76" s="29">
        <v>2012</v>
      </c>
      <c r="K76" s="29" t="s">
        <v>163</v>
      </c>
      <c r="L76" s="51">
        <v>2012</v>
      </c>
      <c r="M76" s="7" t="s">
        <v>163</v>
      </c>
    </row>
    <row r="77" spans="1:13" ht="22.5" x14ac:dyDescent="0.2">
      <c r="A77" s="32" t="s">
        <v>75</v>
      </c>
      <c r="B77" s="14" t="s">
        <v>118</v>
      </c>
      <c r="C77" s="29" t="s">
        <v>118</v>
      </c>
      <c r="D77" s="29" t="s">
        <v>118</v>
      </c>
      <c r="E77" s="29"/>
      <c r="F77" s="58"/>
      <c r="G77" s="29" t="s">
        <v>181</v>
      </c>
      <c r="H77" s="29"/>
      <c r="I77" s="29"/>
      <c r="J77" s="29"/>
      <c r="K77" s="29"/>
      <c r="L77" s="51"/>
      <c r="M77" s="7"/>
    </row>
    <row r="78" spans="1:13" ht="90" x14ac:dyDescent="0.2">
      <c r="A78" s="32" t="s">
        <v>76</v>
      </c>
      <c r="B78" s="14" t="s">
        <v>117</v>
      </c>
      <c r="C78" s="29" t="s">
        <v>117</v>
      </c>
      <c r="D78" s="29" t="s">
        <v>188</v>
      </c>
      <c r="E78" s="29" t="s">
        <v>216</v>
      </c>
      <c r="F78" s="58">
        <v>38808</v>
      </c>
      <c r="G78" s="29" t="s">
        <v>181</v>
      </c>
      <c r="H78" s="29" t="s">
        <v>252</v>
      </c>
      <c r="I78" s="29" t="s">
        <v>248</v>
      </c>
      <c r="J78" s="29">
        <v>2012</v>
      </c>
      <c r="K78" s="29" t="s">
        <v>163</v>
      </c>
      <c r="L78" s="51">
        <v>2012</v>
      </c>
      <c r="M78" s="7" t="s">
        <v>163</v>
      </c>
    </row>
    <row r="79" spans="1:13" ht="56.25" x14ac:dyDescent="0.2">
      <c r="A79" s="32" t="s">
        <v>77</v>
      </c>
      <c r="B79" s="14" t="s">
        <v>118</v>
      </c>
      <c r="C79" s="29" t="s">
        <v>118</v>
      </c>
      <c r="D79" s="29" t="s">
        <v>118</v>
      </c>
      <c r="E79" s="29"/>
      <c r="F79" s="58"/>
      <c r="G79" s="29" t="s">
        <v>181</v>
      </c>
      <c r="H79" s="29" t="s">
        <v>252</v>
      </c>
      <c r="I79" s="29" t="s">
        <v>248</v>
      </c>
      <c r="J79" s="29">
        <v>2012</v>
      </c>
      <c r="K79" s="29" t="s">
        <v>163</v>
      </c>
      <c r="L79" s="51">
        <v>2012</v>
      </c>
      <c r="M79" s="7" t="s">
        <v>163</v>
      </c>
    </row>
    <row r="80" spans="1:13" x14ac:dyDescent="0.2">
      <c r="A80" s="44" t="s">
        <v>255</v>
      </c>
      <c r="B80" s="44">
        <f>COUNTIF(Table1527[Yes/No], "Yes")</f>
        <v>31</v>
      </c>
      <c r="C80" s="19"/>
      <c r="D80" s="19"/>
      <c r="E80" s="19"/>
      <c r="F80" s="19"/>
      <c r="G80" s="19"/>
      <c r="H80" s="19"/>
      <c r="I80" s="19"/>
      <c r="J80" s="19"/>
      <c r="K80" s="19"/>
      <c r="L80" s="19"/>
    </row>
    <row r="81" spans="1:12" x14ac:dyDescent="0.2">
      <c r="A81" s="44" t="s">
        <v>256</v>
      </c>
      <c r="B81" s="44">
        <f>COUNTIF(Table1527[Yes/No], "No")</f>
        <v>42</v>
      </c>
      <c r="C81" s="19"/>
      <c r="D81" s="19"/>
      <c r="E81" s="19"/>
      <c r="F81" s="19"/>
      <c r="G81" s="19"/>
      <c r="H81" s="19"/>
      <c r="I81" s="19"/>
      <c r="J81" s="19"/>
      <c r="K81" s="19"/>
      <c r="L81" s="19"/>
    </row>
    <row r="82" spans="1:12" x14ac:dyDescent="0.2">
      <c r="A82" s="44" t="s">
        <v>257</v>
      </c>
      <c r="B82" s="44">
        <f>COUNTIF(Table1527[Yes/No], "No data")</f>
        <v>2</v>
      </c>
      <c r="C82" s="19"/>
      <c r="D82" s="19"/>
      <c r="E82" s="19"/>
      <c r="F82" s="19"/>
      <c r="G82" s="19"/>
      <c r="H82" s="19"/>
      <c r="I82" s="19"/>
      <c r="J82" s="19"/>
      <c r="K82" s="19"/>
      <c r="L82" s="19"/>
    </row>
  </sheetData>
  <mergeCells count="4">
    <mergeCell ref="A1:E1"/>
    <mergeCell ref="A2:E2"/>
    <mergeCell ref="C3:G3"/>
    <mergeCell ref="H3:L3"/>
  </mergeCells>
  <pageMargins left="0.23622047244094491" right="0.23622047244094491" top="0.74803149606299213" bottom="0.74803149606299213" header="0.31496062992125984" footer="0.31496062992125984"/>
  <pageSetup paperSize="9" scale="68" orientation="portrait"/>
  <colBreaks count="1" manualBreakCount="1">
    <brk id="7" max="1048575" man="1"/>
  </colBreaks>
  <tableParts count="1">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G82"/>
  <sheetViews>
    <sheetView workbookViewId="0">
      <selection activeCell="J10" sqref="J10"/>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8.42578125" style="1" bestFit="1" customWidth="1"/>
    <col min="6" max="6" width="7.7109375" style="1" bestFit="1" customWidth="1"/>
    <col min="7" max="7" width="34.85546875" style="1" bestFit="1" customWidth="1"/>
    <col min="8" max="16384" width="8.85546875" style="1"/>
  </cols>
  <sheetData>
    <row r="1" spans="1:7" x14ac:dyDescent="0.2">
      <c r="A1" s="209" t="s">
        <v>366</v>
      </c>
      <c r="B1" s="209"/>
      <c r="C1" s="209"/>
      <c r="D1" s="209"/>
      <c r="E1" s="209"/>
    </row>
    <row r="2" spans="1:7" x14ac:dyDescent="0.2">
      <c r="A2" s="210" t="s">
        <v>135</v>
      </c>
      <c r="B2" s="210"/>
      <c r="C2" s="210"/>
      <c r="D2" s="210"/>
      <c r="E2" s="210"/>
    </row>
    <row r="3" spans="1:7" x14ac:dyDescent="0.2">
      <c r="A3" s="76"/>
      <c r="B3" s="76"/>
      <c r="C3" s="231" t="s">
        <v>175</v>
      </c>
      <c r="D3" s="231"/>
      <c r="E3" s="231"/>
      <c r="F3" s="231"/>
      <c r="G3" s="231"/>
    </row>
    <row r="4" spans="1:7" ht="45" x14ac:dyDescent="0.2">
      <c r="A4" s="74" t="s">
        <v>0</v>
      </c>
      <c r="B4" s="81" t="s">
        <v>405</v>
      </c>
      <c r="C4" s="74" t="s">
        <v>122</v>
      </c>
      <c r="D4" s="74" t="s">
        <v>123</v>
      </c>
      <c r="E4" s="63" t="s">
        <v>120</v>
      </c>
      <c r="F4" s="63" t="s">
        <v>124</v>
      </c>
      <c r="G4" s="74" t="s">
        <v>173</v>
      </c>
    </row>
    <row r="5" spans="1:7" x14ac:dyDescent="0.2">
      <c r="A5" s="10" t="s">
        <v>3</v>
      </c>
      <c r="B5" s="14"/>
      <c r="C5" s="32">
        <v>34</v>
      </c>
      <c r="D5" s="32">
        <v>2009</v>
      </c>
      <c r="E5" s="32">
        <v>38</v>
      </c>
      <c r="F5" s="32">
        <v>2010</v>
      </c>
      <c r="G5" s="32" t="s">
        <v>174</v>
      </c>
    </row>
    <row r="6" spans="1:7" x14ac:dyDescent="0.2">
      <c r="A6" s="10" t="s">
        <v>4</v>
      </c>
      <c r="B6" s="14"/>
      <c r="C6" s="32">
        <v>201</v>
      </c>
      <c r="D6" s="32">
        <v>2009</v>
      </c>
      <c r="E6" s="32">
        <v>123</v>
      </c>
      <c r="F6" s="32">
        <v>2010</v>
      </c>
      <c r="G6" s="32" t="s">
        <v>174</v>
      </c>
    </row>
    <row r="7" spans="1:7" x14ac:dyDescent="0.2">
      <c r="A7" s="10" t="s">
        <v>5</v>
      </c>
      <c r="B7" s="14"/>
      <c r="C7" s="32">
        <v>283</v>
      </c>
      <c r="D7" s="32">
        <v>2009</v>
      </c>
      <c r="E7" s="32">
        <v>332</v>
      </c>
      <c r="F7" s="32">
        <v>2010</v>
      </c>
      <c r="G7" s="32" t="s">
        <v>174</v>
      </c>
    </row>
    <row r="8" spans="1:7" x14ac:dyDescent="0.2">
      <c r="A8" s="10" t="s">
        <v>6</v>
      </c>
      <c r="B8" s="14"/>
      <c r="C8" s="15"/>
      <c r="D8" s="15"/>
      <c r="E8" s="15"/>
      <c r="F8" s="15"/>
      <c r="G8" s="15"/>
    </row>
    <row r="9" spans="1:7" x14ac:dyDescent="0.2">
      <c r="A9" s="10" t="s">
        <v>7</v>
      </c>
      <c r="B9" s="14"/>
      <c r="C9" s="32">
        <v>34</v>
      </c>
      <c r="D9" s="32">
        <v>2009</v>
      </c>
      <c r="E9" s="32">
        <v>31</v>
      </c>
      <c r="F9" s="32">
        <v>2010</v>
      </c>
      <c r="G9" s="32" t="s">
        <v>174</v>
      </c>
    </row>
    <row r="10" spans="1:7" x14ac:dyDescent="0.2">
      <c r="A10" s="10" t="s">
        <v>8</v>
      </c>
      <c r="B10" s="14"/>
      <c r="C10" s="32">
        <v>90</v>
      </c>
      <c r="D10" s="32">
        <v>2009</v>
      </c>
      <c r="E10" s="32">
        <v>97</v>
      </c>
      <c r="F10" s="32">
        <v>2010</v>
      </c>
      <c r="G10" s="32" t="s">
        <v>174</v>
      </c>
    </row>
    <row r="11" spans="1:7" x14ac:dyDescent="0.2">
      <c r="A11" s="10" t="s">
        <v>9</v>
      </c>
      <c r="B11" s="14"/>
      <c r="C11" s="32">
        <v>581</v>
      </c>
      <c r="D11" s="32">
        <v>2009</v>
      </c>
      <c r="E11" s="32">
        <v>615</v>
      </c>
      <c r="F11" s="32">
        <v>2010</v>
      </c>
      <c r="G11" s="32" t="s">
        <v>174</v>
      </c>
    </row>
    <row r="12" spans="1:7" x14ac:dyDescent="0.2">
      <c r="A12" s="10" t="s">
        <v>10</v>
      </c>
      <c r="B12" s="14"/>
      <c r="C12" s="32">
        <v>734</v>
      </c>
      <c r="D12" s="32">
        <v>2009</v>
      </c>
      <c r="E12" s="32">
        <v>990</v>
      </c>
      <c r="F12" s="32">
        <v>2010</v>
      </c>
      <c r="G12" s="32" t="s">
        <v>174</v>
      </c>
    </row>
    <row r="13" spans="1:7" x14ac:dyDescent="0.2">
      <c r="A13" s="10" t="s">
        <v>11</v>
      </c>
      <c r="B13" s="14"/>
      <c r="C13" s="32">
        <v>39</v>
      </c>
      <c r="D13" s="32">
        <v>2009</v>
      </c>
      <c r="E13" s="32">
        <v>40</v>
      </c>
      <c r="F13" s="32">
        <v>2010</v>
      </c>
      <c r="G13" s="32" t="s">
        <v>174</v>
      </c>
    </row>
    <row r="14" spans="1:7" x14ac:dyDescent="0.2">
      <c r="A14" s="10" t="s">
        <v>12</v>
      </c>
      <c r="B14" s="14"/>
      <c r="C14" s="32">
        <v>19</v>
      </c>
      <c r="D14" s="32">
        <v>2009</v>
      </c>
      <c r="E14" s="32">
        <v>21</v>
      </c>
      <c r="F14" s="32">
        <v>2010</v>
      </c>
      <c r="G14" s="32" t="s">
        <v>174</v>
      </c>
    </row>
    <row r="15" spans="1:7" x14ac:dyDescent="0.2">
      <c r="A15" s="10" t="s">
        <v>13</v>
      </c>
      <c r="B15" s="14"/>
      <c r="C15" s="32">
        <v>41</v>
      </c>
      <c r="D15" s="32">
        <v>2009</v>
      </c>
      <c r="E15" s="32">
        <v>45</v>
      </c>
      <c r="F15" s="32">
        <v>2010</v>
      </c>
      <c r="G15" s="32" t="s">
        <v>174</v>
      </c>
    </row>
    <row r="16" spans="1:7" x14ac:dyDescent="0.2">
      <c r="A16" s="10" t="s">
        <v>14</v>
      </c>
      <c r="B16" s="14"/>
      <c r="C16" s="32">
        <v>60</v>
      </c>
      <c r="D16" s="32">
        <v>2009</v>
      </c>
      <c r="E16" s="32">
        <v>61</v>
      </c>
      <c r="F16" s="32">
        <v>2010</v>
      </c>
      <c r="G16" s="32" t="s">
        <v>174</v>
      </c>
    </row>
    <row r="17" spans="1:7" x14ac:dyDescent="0.2">
      <c r="A17" s="10" t="s">
        <v>15</v>
      </c>
      <c r="B17" s="14"/>
      <c r="C17" s="32">
        <v>18</v>
      </c>
      <c r="D17" s="32">
        <v>2009</v>
      </c>
      <c r="E17" s="32">
        <v>18</v>
      </c>
      <c r="F17" s="32">
        <v>2010</v>
      </c>
      <c r="G17" s="32" t="s">
        <v>174</v>
      </c>
    </row>
    <row r="18" spans="1:7" x14ac:dyDescent="0.2">
      <c r="A18" s="10" t="s">
        <v>16</v>
      </c>
      <c r="B18" s="14"/>
      <c r="C18" s="32">
        <v>28</v>
      </c>
      <c r="D18" s="32">
        <v>2009</v>
      </c>
      <c r="E18" s="32">
        <v>31</v>
      </c>
      <c r="F18" s="32">
        <v>2010</v>
      </c>
      <c r="G18" s="32" t="s">
        <v>174</v>
      </c>
    </row>
    <row r="19" spans="1:7" x14ac:dyDescent="0.2">
      <c r="A19" s="10" t="s">
        <v>17</v>
      </c>
      <c r="B19" s="14"/>
      <c r="C19" s="32">
        <v>191</v>
      </c>
      <c r="D19" s="32">
        <v>2009</v>
      </c>
      <c r="E19" s="32">
        <v>221</v>
      </c>
      <c r="F19" s="32">
        <v>2010</v>
      </c>
      <c r="G19" s="32" t="s">
        <v>174</v>
      </c>
    </row>
    <row r="20" spans="1:7" x14ac:dyDescent="0.2">
      <c r="A20" s="10" t="s">
        <v>18</v>
      </c>
      <c r="B20" s="14"/>
      <c r="C20" s="32">
        <v>24</v>
      </c>
      <c r="D20" s="32">
        <v>2009</v>
      </c>
      <c r="E20" s="32">
        <v>33</v>
      </c>
      <c r="F20" s="32">
        <v>2010</v>
      </c>
      <c r="G20" s="32" t="s">
        <v>174</v>
      </c>
    </row>
    <row r="21" spans="1:7" x14ac:dyDescent="0.2">
      <c r="A21" s="10" t="s">
        <v>19</v>
      </c>
      <c r="B21" s="14"/>
      <c r="C21" s="32">
        <v>67</v>
      </c>
      <c r="D21" s="32">
        <v>2009</v>
      </c>
      <c r="E21" s="32">
        <v>72</v>
      </c>
      <c r="F21" s="32">
        <v>2010</v>
      </c>
      <c r="G21" s="32" t="s">
        <v>174</v>
      </c>
    </row>
    <row r="22" spans="1:7" x14ac:dyDescent="0.2">
      <c r="A22" s="10" t="s">
        <v>20</v>
      </c>
      <c r="B22" s="14"/>
      <c r="C22" s="32">
        <v>61</v>
      </c>
      <c r="D22" s="32">
        <v>2009</v>
      </c>
      <c r="E22" s="32">
        <v>60</v>
      </c>
      <c r="F22" s="32">
        <v>2010</v>
      </c>
      <c r="G22" s="32" t="s">
        <v>174</v>
      </c>
    </row>
    <row r="23" spans="1:7" x14ac:dyDescent="0.2">
      <c r="A23" s="10" t="s">
        <v>21</v>
      </c>
      <c r="B23" s="14"/>
      <c r="C23" s="15"/>
      <c r="D23" s="15"/>
      <c r="E23" s="15"/>
      <c r="F23" s="15"/>
      <c r="G23" s="15"/>
    </row>
    <row r="24" spans="1:7" x14ac:dyDescent="0.2">
      <c r="A24" s="10" t="s">
        <v>22</v>
      </c>
      <c r="B24" s="14"/>
      <c r="C24" s="32">
        <v>17</v>
      </c>
      <c r="D24" s="32">
        <v>2009</v>
      </c>
      <c r="E24" s="32">
        <v>16</v>
      </c>
      <c r="F24" s="32">
        <v>2010</v>
      </c>
      <c r="G24" s="32" t="s">
        <v>174</v>
      </c>
    </row>
    <row r="25" spans="1:7" x14ac:dyDescent="0.2">
      <c r="A25" s="10" t="s">
        <v>23</v>
      </c>
      <c r="B25" s="14"/>
      <c r="C25" s="32">
        <v>94</v>
      </c>
      <c r="D25" s="32">
        <v>2009</v>
      </c>
      <c r="E25" s="32">
        <v>92</v>
      </c>
      <c r="F25" s="32">
        <v>2010</v>
      </c>
      <c r="G25" s="32" t="s">
        <v>174</v>
      </c>
    </row>
    <row r="26" spans="1:7" x14ac:dyDescent="0.2">
      <c r="A26" s="10" t="s">
        <v>24</v>
      </c>
      <c r="B26" s="14"/>
      <c r="C26" s="32">
        <v>114</v>
      </c>
      <c r="D26" s="32">
        <v>2009</v>
      </c>
      <c r="E26" s="32">
        <v>123</v>
      </c>
      <c r="F26" s="32">
        <v>2010</v>
      </c>
      <c r="G26" s="32" t="s">
        <v>174</v>
      </c>
    </row>
    <row r="27" spans="1:7" x14ac:dyDescent="0.2">
      <c r="A27" s="10" t="s">
        <v>25</v>
      </c>
      <c r="B27" s="14"/>
      <c r="C27" s="32">
        <v>804</v>
      </c>
      <c r="D27" s="32">
        <v>2009</v>
      </c>
      <c r="E27" s="32">
        <v>896</v>
      </c>
      <c r="F27" s="32">
        <v>2010</v>
      </c>
      <c r="G27" s="32" t="s">
        <v>174</v>
      </c>
    </row>
    <row r="28" spans="1:7" x14ac:dyDescent="0.2">
      <c r="A28" s="10" t="s">
        <v>26</v>
      </c>
      <c r="B28" s="14"/>
      <c r="C28" s="32">
        <v>11</v>
      </c>
      <c r="D28" s="32">
        <v>2009</v>
      </c>
      <c r="E28" s="32">
        <v>12</v>
      </c>
      <c r="F28" s="32">
        <v>2010</v>
      </c>
      <c r="G28" s="32" t="s">
        <v>174</v>
      </c>
    </row>
    <row r="29" spans="1:7" x14ac:dyDescent="0.2">
      <c r="A29" s="10" t="s">
        <v>27</v>
      </c>
      <c r="B29" s="14"/>
      <c r="C29" s="32">
        <v>16</v>
      </c>
      <c r="D29" s="32">
        <v>2009</v>
      </c>
      <c r="E29" s="32">
        <v>16</v>
      </c>
      <c r="F29" s="32">
        <v>2010</v>
      </c>
      <c r="G29" s="32" t="s">
        <v>174</v>
      </c>
    </row>
    <row r="30" spans="1:7" x14ac:dyDescent="0.2">
      <c r="A30" s="10" t="s">
        <v>28</v>
      </c>
      <c r="B30" s="14"/>
      <c r="C30" s="32">
        <v>266</v>
      </c>
      <c r="D30" s="32">
        <v>2009</v>
      </c>
      <c r="E30" s="32">
        <v>302</v>
      </c>
      <c r="F30" s="32">
        <v>2010</v>
      </c>
      <c r="G30" s="32" t="s">
        <v>174</v>
      </c>
    </row>
    <row r="31" spans="1:7" x14ac:dyDescent="0.2">
      <c r="A31" s="10" t="s">
        <v>29</v>
      </c>
      <c r="B31" s="14"/>
      <c r="C31" s="32">
        <v>27</v>
      </c>
      <c r="D31" s="32">
        <v>2009</v>
      </c>
      <c r="E31" s="32">
        <v>26</v>
      </c>
      <c r="F31" s="32">
        <v>2010</v>
      </c>
      <c r="G31" s="32" t="s">
        <v>174</v>
      </c>
    </row>
    <row r="32" spans="1:7" x14ac:dyDescent="0.2">
      <c r="A32" s="10" t="s">
        <v>30</v>
      </c>
      <c r="B32" s="14"/>
      <c r="C32" s="32">
        <v>54</v>
      </c>
      <c r="D32" s="32">
        <v>2009</v>
      </c>
      <c r="E32" s="32">
        <v>67</v>
      </c>
      <c r="F32" s="32">
        <v>2010</v>
      </c>
      <c r="G32" s="32" t="s">
        <v>174</v>
      </c>
    </row>
    <row r="33" spans="1:7" x14ac:dyDescent="0.2">
      <c r="A33" s="10" t="s">
        <v>31</v>
      </c>
      <c r="B33" s="14"/>
      <c r="C33" s="32">
        <v>184</v>
      </c>
      <c r="D33" s="32">
        <v>2009</v>
      </c>
      <c r="E33" s="32">
        <v>196</v>
      </c>
      <c r="F33" s="32">
        <v>2010</v>
      </c>
      <c r="G33" s="32" t="s">
        <v>174</v>
      </c>
    </row>
    <row r="34" spans="1:7" x14ac:dyDescent="0.2">
      <c r="A34" s="10" t="s">
        <v>32</v>
      </c>
      <c r="B34" s="14"/>
      <c r="C34" s="32">
        <v>25</v>
      </c>
      <c r="D34" s="32">
        <v>2009</v>
      </c>
      <c r="E34" s="32">
        <v>23</v>
      </c>
      <c r="F34" s="32">
        <v>2010</v>
      </c>
      <c r="G34" s="32" t="s">
        <v>174</v>
      </c>
    </row>
    <row r="35" spans="1:7" x14ac:dyDescent="0.2">
      <c r="A35" s="10" t="s">
        <v>33</v>
      </c>
      <c r="B35" s="14"/>
      <c r="C35" s="32">
        <v>48</v>
      </c>
      <c r="D35" s="32">
        <v>2009</v>
      </c>
      <c r="E35" s="32">
        <v>47</v>
      </c>
      <c r="F35" s="32">
        <v>2010</v>
      </c>
      <c r="G35" s="32" t="s">
        <v>174</v>
      </c>
    </row>
    <row r="36" spans="1:7" x14ac:dyDescent="0.2">
      <c r="A36" s="10" t="s">
        <v>34</v>
      </c>
      <c r="B36" s="14"/>
      <c r="C36" s="32">
        <v>40</v>
      </c>
      <c r="D36" s="32">
        <v>2009</v>
      </c>
      <c r="E36" s="32">
        <v>46</v>
      </c>
      <c r="F36" s="32">
        <v>2010</v>
      </c>
      <c r="G36" s="32" t="s">
        <v>174</v>
      </c>
    </row>
    <row r="37" spans="1:7" x14ac:dyDescent="0.2">
      <c r="A37" s="10" t="s">
        <v>35</v>
      </c>
      <c r="B37" s="14"/>
      <c r="C37" s="32">
        <v>44</v>
      </c>
      <c r="D37" s="32">
        <v>2009</v>
      </c>
      <c r="E37" s="32">
        <v>54</v>
      </c>
      <c r="F37" s="32">
        <v>2010</v>
      </c>
      <c r="G37" s="32" t="s">
        <v>174</v>
      </c>
    </row>
    <row r="38" spans="1:7" x14ac:dyDescent="0.2">
      <c r="A38" s="10" t="s">
        <v>36</v>
      </c>
      <c r="B38" s="14"/>
      <c r="C38" s="32">
        <v>56</v>
      </c>
      <c r="D38" s="32">
        <v>2009</v>
      </c>
      <c r="E38" s="32">
        <v>77</v>
      </c>
      <c r="F38" s="32">
        <v>2010</v>
      </c>
      <c r="G38" s="32" t="s">
        <v>174</v>
      </c>
    </row>
    <row r="39" spans="1:7" x14ac:dyDescent="0.2">
      <c r="A39" s="10" t="s">
        <v>37</v>
      </c>
      <c r="B39" s="14"/>
      <c r="C39" s="32">
        <v>200</v>
      </c>
      <c r="D39" s="32">
        <v>2009</v>
      </c>
      <c r="E39" s="32">
        <v>247</v>
      </c>
      <c r="F39" s="32">
        <v>2010</v>
      </c>
      <c r="G39" s="32" t="s">
        <v>174</v>
      </c>
    </row>
    <row r="40" spans="1:7" x14ac:dyDescent="0.2">
      <c r="A40" s="10" t="s">
        <v>38</v>
      </c>
      <c r="B40" s="14"/>
      <c r="C40" s="32">
        <v>36</v>
      </c>
      <c r="D40" s="32">
        <v>2009</v>
      </c>
      <c r="E40" s="32">
        <v>37</v>
      </c>
      <c r="F40" s="32">
        <v>2010</v>
      </c>
      <c r="G40" s="32" t="s">
        <v>174</v>
      </c>
    </row>
    <row r="41" spans="1:7" x14ac:dyDescent="0.2">
      <c r="A41" s="10" t="s">
        <v>39</v>
      </c>
      <c r="B41" s="14"/>
      <c r="C41" s="32">
        <v>57</v>
      </c>
      <c r="D41" s="32">
        <v>2009</v>
      </c>
      <c r="E41" s="32">
        <v>53</v>
      </c>
      <c r="F41" s="32">
        <v>2010</v>
      </c>
      <c r="G41" s="32" t="s">
        <v>174</v>
      </c>
    </row>
    <row r="42" spans="1:7" x14ac:dyDescent="0.2">
      <c r="A42" s="10" t="s">
        <v>40</v>
      </c>
      <c r="B42" s="14"/>
      <c r="C42" s="32">
        <v>39</v>
      </c>
      <c r="D42" s="32">
        <v>2009</v>
      </c>
      <c r="E42" s="32">
        <v>46</v>
      </c>
      <c r="F42" s="32">
        <v>2010</v>
      </c>
      <c r="G42" s="32" t="s">
        <v>174</v>
      </c>
    </row>
    <row r="43" spans="1:7" x14ac:dyDescent="0.2">
      <c r="A43" s="10" t="s">
        <v>41</v>
      </c>
      <c r="B43" s="14"/>
      <c r="C43" s="32">
        <v>75</v>
      </c>
      <c r="D43" s="32">
        <v>2009</v>
      </c>
      <c r="E43" s="32">
        <v>109</v>
      </c>
      <c r="F43" s="32">
        <v>2010</v>
      </c>
      <c r="G43" s="32" t="s">
        <v>174</v>
      </c>
    </row>
    <row r="44" spans="1:7" x14ac:dyDescent="0.2">
      <c r="A44" s="10" t="s">
        <v>42</v>
      </c>
      <c r="B44" s="14"/>
      <c r="C44" s="32">
        <v>28</v>
      </c>
      <c r="D44" s="32">
        <v>2009</v>
      </c>
      <c r="E44" s="32">
        <v>29</v>
      </c>
      <c r="F44" s="32">
        <v>2010</v>
      </c>
      <c r="G44" s="32" t="s">
        <v>174</v>
      </c>
    </row>
    <row r="45" spans="1:7" x14ac:dyDescent="0.2">
      <c r="A45" s="10" t="s">
        <v>43</v>
      </c>
      <c r="B45" s="14"/>
      <c r="C45" s="32">
        <v>18</v>
      </c>
      <c r="D45" s="32">
        <v>2009</v>
      </c>
      <c r="E45" s="32">
        <v>16</v>
      </c>
      <c r="F45" s="32">
        <v>2010</v>
      </c>
      <c r="G45" s="32" t="s">
        <v>174</v>
      </c>
    </row>
    <row r="46" spans="1:7" x14ac:dyDescent="0.2">
      <c r="A46" s="10" t="s">
        <v>44</v>
      </c>
      <c r="B46" s="14"/>
      <c r="C46" s="32">
        <v>25</v>
      </c>
      <c r="D46" s="32">
        <v>2009</v>
      </c>
      <c r="E46" s="32">
        <v>26</v>
      </c>
      <c r="F46" s="32">
        <v>2010</v>
      </c>
      <c r="G46" s="32" t="s">
        <v>174</v>
      </c>
    </row>
    <row r="47" spans="1:7" x14ac:dyDescent="0.2">
      <c r="A47" s="10" t="s">
        <v>45</v>
      </c>
      <c r="B47" s="14"/>
      <c r="C47" s="32">
        <v>33</v>
      </c>
      <c r="D47" s="32">
        <v>2009</v>
      </c>
      <c r="E47" s="32">
        <v>32</v>
      </c>
      <c r="F47" s="32">
        <v>2010</v>
      </c>
      <c r="G47" s="32" t="s">
        <v>174</v>
      </c>
    </row>
    <row r="48" spans="1:7" x14ac:dyDescent="0.2">
      <c r="A48" s="10" t="s">
        <v>46</v>
      </c>
      <c r="B48" s="14"/>
      <c r="C48" s="32">
        <v>38</v>
      </c>
      <c r="D48" s="32">
        <v>2009</v>
      </c>
      <c r="E48" s="32">
        <v>43</v>
      </c>
      <c r="F48" s="32">
        <v>2010</v>
      </c>
      <c r="G48" s="32" t="s">
        <v>174</v>
      </c>
    </row>
    <row r="49" spans="1:7" x14ac:dyDescent="0.2">
      <c r="A49" s="10" t="s">
        <v>47</v>
      </c>
      <c r="B49" s="14"/>
      <c r="C49" s="15">
        <v>524</v>
      </c>
      <c r="D49" s="15">
        <v>2009</v>
      </c>
      <c r="E49" s="15"/>
      <c r="F49" s="15"/>
      <c r="G49" s="15" t="s">
        <v>174</v>
      </c>
    </row>
    <row r="50" spans="1:7" x14ac:dyDescent="0.2">
      <c r="A50" s="10" t="s">
        <v>48</v>
      </c>
      <c r="B50" s="14"/>
      <c r="C50" s="32">
        <v>152</v>
      </c>
      <c r="D50" s="32">
        <v>2009</v>
      </c>
      <c r="E50" s="32">
        <v>148</v>
      </c>
      <c r="F50" s="32">
        <v>2010</v>
      </c>
      <c r="G50" s="32" t="s">
        <v>174</v>
      </c>
    </row>
    <row r="51" spans="1:7" x14ac:dyDescent="0.2">
      <c r="A51" s="10" t="s">
        <v>49</v>
      </c>
      <c r="B51" s="14"/>
      <c r="C51" s="32">
        <v>23</v>
      </c>
      <c r="D51" s="32">
        <v>2009</v>
      </c>
      <c r="E51" s="32">
        <v>21</v>
      </c>
      <c r="F51" s="32">
        <v>2010</v>
      </c>
      <c r="G51" s="32" t="s">
        <v>174</v>
      </c>
    </row>
    <row r="52" spans="1:7" x14ac:dyDescent="0.2">
      <c r="A52" s="10" t="s">
        <v>50</v>
      </c>
      <c r="B52" s="14"/>
      <c r="C52" s="32">
        <v>14</v>
      </c>
      <c r="D52" s="32">
        <v>2009</v>
      </c>
      <c r="E52" s="32">
        <v>17</v>
      </c>
      <c r="F52" s="32">
        <v>2010</v>
      </c>
      <c r="G52" s="32" t="s">
        <v>174</v>
      </c>
    </row>
    <row r="53" spans="1:7" x14ac:dyDescent="0.2">
      <c r="A53" s="10" t="s">
        <v>51</v>
      </c>
      <c r="B53" s="14"/>
      <c r="C53" s="15"/>
      <c r="D53" s="15"/>
      <c r="E53" s="15"/>
      <c r="F53" s="15"/>
      <c r="G53" s="15"/>
    </row>
    <row r="54" spans="1:7" x14ac:dyDescent="0.2">
      <c r="A54" s="10" t="s">
        <v>52</v>
      </c>
      <c r="B54" s="14"/>
      <c r="C54" s="32">
        <v>19</v>
      </c>
      <c r="D54" s="32">
        <v>2009</v>
      </c>
      <c r="E54" s="32">
        <v>18</v>
      </c>
      <c r="F54" s="32">
        <v>2010</v>
      </c>
      <c r="G54" s="32" t="s">
        <v>174</v>
      </c>
    </row>
    <row r="55" spans="1:7" x14ac:dyDescent="0.2">
      <c r="A55" s="10" t="s">
        <v>53</v>
      </c>
      <c r="B55" s="14"/>
      <c r="C55" s="32">
        <v>67</v>
      </c>
      <c r="D55" s="32">
        <v>2009</v>
      </c>
      <c r="E55" s="32">
        <v>63</v>
      </c>
      <c r="F55" s="32">
        <v>2010</v>
      </c>
      <c r="G55" s="32" t="s">
        <v>174</v>
      </c>
    </row>
    <row r="56" spans="1:7" x14ac:dyDescent="0.2">
      <c r="A56" s="10" t="s">
        <v>54</v>
      </c>
      <c r="B56" s="14"/>
      <c r="C56" s="32">
        <v>20</v>
      </c>
      <c r="D56" s="32">
        <v>2009</v>
      </c>
      <c r="E56" s="32">
        <v>22</v>
      </c>
      <c r="F56" s="32">
        <v>2010</v>
      </c>
      <c r="G56" s="32" t="s">
        <v>174</v>
      </c>
    </row>
    <row r="57" spans="1:7" x14ac:dyDescent="0.2">
      <c r="A57" s="10" t="s">
        <v>55</v>
      </c>
      <c r="B57" s="14"/>
      <c r="C57" s="32">
        <v>44</v>
      </c>
      <c r="D57" s="32">
        <v>2009</v>
      </c>
      <c r="E57" s="32">
        <v>49</v>
      </c>
      <c r="F57" s="32">
        <v>2010</v>
      </c>
      <c r="G57" s="32" t="s">
        <v>174</v>
      </c>
    </row>
    <row r="58" spans="1:7" x14ac:dyDescent="0.2">
      <c r="A58" s="10" t="s">
        <v>56</v>
      </c>
      <c r="B58" s="14"/>
      <c r="C58" s="32">
        <v>236</v>
      </c>
      <c r="D58" s="32">
        <v>2009</v>
      </c>
      <c r="E58" s="32">
        <v>269</v>
      </c>
      <c r="F58" s="32">
        <v>2010</v>
      </c>
      <c r="G58" s="32" t="s">
        <v>174</v>
      </c>
    </row>
    <row r="59" spans="1:7" x14ac:dyDescent="0.2">
      <c r="A59" s="10" t="s">
        <v>57</v>
      </c>
      <c r="B59" s="14"/>
      <c r="C59" s="32">
        <v>66</v>
      </c>
      <c r="D59" s="32">
        <v>2009</v>
      </c>
      <c r="E59" s="32">
        <v>77</v>
      </c>
      <c r="F59" s="32">
        <v>2010</v>
      </c>
      <c r="G59" s="32" t="s">
        <v>174</v>
      </c>
    </row>
    <row r="60" spans="1:7" x14ac:dyDescent="0.2">
      <c r="A60" s="10" t="s">
        <v>58</v>
      </c>
      <c r="B60" s="14"/>
      <c r="C60" s="32">
        <v>53</v>
      </c>
      <c r="D60" s="32">
        <v>2009</v>
      </c>
      <c r="E60" s="32">
        <v>56</v>
      </c>
      <c r="F60" s="32">
        <v>2010</v>
      </c>
      <c r="G60" s="32" t="s">
        <v>174</v>
      </c>
    </row>
    <row r="61" spans="1:7" x14ac:dyDescent="0.2">
      <c r="A61" s="10" t="s">
        <v>59</v>
      </c>
      <c r="B61" s="14"/>
      <c r="C61" s="32">
        <v>93</v>
      </c>
      <c r="D61" s="32">
        <v>2009</v>
      </c>
      <c r="E61" s="32">
        <v>90</v>
      </c>
      <c r="F61" s="32">
        <v>2010</v>
      </c>
      <c r="G61" s="32" t="s">
        <v>174</v>
      </c>
    </row>
    <row r="62" spans="1:7" x14ac:dyDescent="0.2">
      <c r="A62" s="10" t="s">
        <v>60</v>
      </c>
      <c r="B62" s="14"/>
      <c r="C62" s="32">
        <v>60</v>
      </c>
      <c r="D62" s="32">
        <v>2009</v>
      </c>
      <c r="E62" s="32">
        <v>59</v>
      </c>
      <c r="F62" s="32">
        <v>2010</v>
      </c>
      <c r="G62" s="32" t="s">
        <v>174</v>
      </c>
    </row>
    <row r="63" spans="1:7" x14ac:dyDescent="0.2">
      <c r="A63" s="10" t="s">
        <v>61</v>
      </c>
      <c r="B63" s="14"/>
      <c r="C63" s="32">
        <v>45</v>
      </c>
      <c r="D63" s="32">
        <v>2009</v>
      </c>
      <c r="E63" s="32">
        <v>43</v>
      </c>
      <c r="F63" s="32">
        <v>2010</v>
      </c>
      <c r="G63" s="32" t="s">
        <v>174</v>
      </c>
    </row>
    <row r="64" spans="1:7" x14ac:dyDescent="0.2">
      <c r="A64" s="10" t="s">
        <v>62</v>
      </c>
      <c r="B64" s="14"/>
      <c r="C64" s="32">
        <v>102</v>
      </c>
      <c r="D64" s="32">
        <v>2009</v>
      </c>
      <c r="E64" s="32">
        <v>107</v>
      </c>
      <c r="F64" s="32">
        <v>2010</v>
      </c>
      <c r="G64" s="32" t="s">
        <v>174</v>
      </c>
    </row>
    <row r="65" spans="1:7" x14ac:dyDescent="0.2">
      <c r="A65" s="10" t="s">
        <v>63</v>
      </c>
      <c r="B65" s="14"/>
      <c r="C65" s="15"/>
      <c r="D65" s="15"/>
      <c r="E65" s="15"/>
      <c r="F65" s="15"/>
      <c r="G65" s="15"/>
    </row>
    <row r="66" spans="1:7" x14ac:dyDescent="0.2">
      <c r="A66" s="10" t="s">
        <v>64</v>
      </c>
      <c r="B66" s="14"/>
      <c r="C66" s="32">
        <v>521</v>
      </c>
      <c r="D66" s="32">
        <v>2009</v>
      </c>
      <c r="E66" s="32">
        <v>649</v>
      </c>
      <c r="F66" s="32">
        <v>2010</v>
      </c>
      <c r="G66" s="32" t="s">
        <v>174</v>
      </c>
    </row>
    <row r="67" spans="1:7" x14ac:dyDescent="0.2">
      <c r="A67" s="10" t="s">
        <v>65</v>
      </c>
      <c r="B67" s="14"/>
      <c r="C67" s="15"/>
      <c r="D67" s="15"/>
      <c r="E67" s="15"/>
      <c r="F67" s="15"/>
      <c r="G67" s="15"/>
    </row>
    <row r="68" spans="1:7" x14ac:dyDescent="0.2">
      <c r="A68" s="10" t="s">
        <v>66</v>
      </c>
      <c r="B68" s="14"/>
      <c r="C68" s="32">
        <v>94</v>
      </c>
      <c r="D68" s="32">
        <v>2009</v>
      </c>
      <c r="E68" s="32">
        <v>84</v>
      </c>
      <c r="F68" s="32">
        <v>2010</v>
      </c>
      <c r="G68" s="32" t="s">
        <v>174</v>
      </c>
    </row>
    <row r="69" spans="1:7" x14ac:dyDescent="0.2">
      <c r="A69" s="10" t="s">
        <v>67</v>
      </c>
      <c r="B69" s="14"/>
      <c r="C69" s="32">
        <v>169</v>
      </c>
      <c r="D69" s="32">
        <v>2009</v>
      </c>
      <c r="E69" s="32">
        <v>203</v>
      </c>
      <c r="F69" s="32">
        <v>2010</v>
      </c>
      <c r="G69" s="32" t="s">
        <v>174</v>
      </c>
    </row>
    <row r="70" spans="1:7" x14ac:dyDescent="0.2">
      <c r="A70" s="10" t="s">
        <v>68</v>
      </c>
      <c r="B70" s="14"/>
      <c r="C70" s="32">
        <v>44</v>
      </c>
      <c r="D70" s="32">
        <v>2009</v>
      </c>
      <c r="E70" s="32">
        <v>49</v>
      </c>
      <c r="F70" s="32">
        <v>2010</v>
      </c>
      <c r="G70" s="32" t="s">
        <v>174</v>
      </c>
    </row>
    <row r="71" spans="1:7" x14ac:dyDescent="0.2">
      <c r="A71" s="10" t="s">
        <v>70</v>
      </c>
      <c r="B71" s="14"/>
      <c r="C71" s="32">
        <v>41</v>
      </c>
      <c r="D71" s="32">
        <v>2009</v>
      </c>
      <c r="E71" s="32">
        <v>41</v>
      </c>
      <c r="F71" s="32">
        <v>2010</v>
      </c>
      <c r="G71" s="32" t="s">
        <v>174</v>
      </c>
    </row>
    <row r="72" spans="1:7" x14ac:dyDescent="0.2">
      <c r="A72" s="10" t="s">
        <v>71</v>
      </c>
      <c r="B72" s="14"/>
      <c r="C72" s="32">
        <v>92</v>
      </c>
      <c r="D72" s="32">
        <v>2009</v>
      </c>
      <c r="E72" s="32">
        <v>106</v>
      </c>
      <c r="F72" s="32">
        <v>2010</v>
      </c>
      <c r="G72" s="32" t="s">
        <v>174</v>
      </c>
    </row>
    <row r="73" spans="1:7" x14ac:dyDescent="0.2">
      <c r="A73" s="10" t="s">
        <v>72</v>
      </c>
      <c r="B73" s="14"/>
      <c r="C73" s="32">
        <v>44</v>
      </c>
      <c r="D73" s="32">
        <v>2009</v>
      </c>
      <c r="E73" s="32">
        <v>47</v>
      </c>
      <c r="F73" s="32">
        <v>2010</v>
      </c>
      <c r="G73" s="32" t="s">
        <v>174</v>
      </c>
    </row>
    <row r="74" spans="1:7" x14ac:dyDescent="0.2">
      <c r="A74" s="10" t="s">
        <v>69</v>
      </c>
      <c r="B74" s="14"/>
      <c r="C74" s="32">
        <v>37</v>
      </c>
      <c r="D74" s="32">
        <v>2009</v>
      </c>
      <c r="E74" s="32">
        <v>31</v>
      </c>
      <c r="F74" s="32">
        <v>2010</v>
      </c>
      <c r="G74" s="32" t="s">
        <v>174</v>
      </c>
    </row>
    <row r="75" spans="1:7" x14ac:dyDescent="0.2">
      <c r="A75" s="10" t="s">
        <v>73</v>
      </c>
      <c r="B75" s="14"/>
      <c r="C75" s="32">
        <v>73</v>
      </c>
      <c r="D75" s="32">
        <v>2009</v>
      </c>
      <c r="E75" s="32">
        <v>82</v>
      </c>
      <c r="F75" s="32">
        <v>2010</v>
      </c>
      <c r="G75" s="32" t="s">
        <v>174</v>
      </c>
    </row>
    <row r="76" spans="1:7" x14ac:dyDescent="0.2">
      <c r="A76" s="10" t="s">
        <v>74</v>
      </c>
      <c r="B76" s="14"/>
      <c r="C76" s="32">
        <v>77</v>
      </c>
      <c r="D76" s="32">
        <v>2009</v>
      </c>
      <c r="E76" s="32">
        <v>83</v>
      </c>
      <c r="F76" s="32">
        <v>2010</v>
      </c>
      <c r="G76" s="32" t="s">
        <v>174</v>
      </c>
    </row>
    <row r="77" spans="1:7" x14ac:dyDescent="0.2">
      <c r="A77" s="10" t="s">
        <v>75</v>
      </c>
      <c r="B77" s="14"/>
      <c r="C77" s="32">
        <v>63</v>
      </c>
      <c r="D77" s="32">
        <v>2009</v>
      </c>
      <c r="E77" s="32">
        <v>63</v>
      </c>
      <c r="F77" s="32">
        <v>2010</v>
      </c>
      <c r="G77" s="32" t="s">
        <v>174</v>
      </c>
    </row>
    <row r="78" spans="1:7" x14ac:dyDescent="0.2">
      <c r="A78" s="10" t="s">
        <v>76</v>
      </c>
      <c r="B78" s="14"/>
      <c r="C78" s="32">
        <v>63</v>
      </c>
      <c r="D78" s="32">
        <v>2009</v>
      </c>
      <c r="E78" s="32">
        <v>73</v>
      </c>
      <c r="F78" s="32">
        <v>2010</v>
      </c>
      <c r="G78" s="32" t="s">
        <v>174</v>
      </c>
    </row>
    <row r="79" spans="1:7" x14ac:dyDescent="0.2">
      <c r="A79" s="10" t="s">
        <v>77</v>
      </c>
      <c r="B79" s="14"/>
      <c r="C79" s="15"/>
      <c r="D79" s="15"/>
      <c r="E79" s="15"/>
      <c r="F79" s="15"/>
      <c r="G79" s="15"/>
    </row>
    <row r="80" spans="1:7" x14ac:dyDescent="0.2">
      <c r="A80" s="44" t="s">
        <v>255</v>
      </c>
      <c r="B80" s="44">
        <f>COUNTIF(Table1128[Tracked by financing source (Yes/No)], "Yes")</f>
        <v>0</v>
      </c>
      <c r="C80" s="19"/>
      <c r="D80" s="19"/>
      <c r="E80" s="19"/>
      <c r="F80" s="19"/>
      <c r="G80" s="19"/>
    </row>
    <row r="81" spans="1:7" x14ac:dyDescent="0.2">
      <c r="A81" s="44" t="s">
        <v>256</v>
      </c>
      <c r="B81" s="44">
        <f>COUNTIF(Table1128[Tracked by financing source (Yes/No)], "No")</f>
        <v>0</v>
      </c>
      <c r="C81" s="19"/>
      <c r="D81" s="19"/>
      <c r="E81" s="19"/>
      <c r="F81" s="19"/>
      <c r="G81" s="19"/>
    </row>
    <row r="82" spans="1:7" x14ac:dyDescent="0.2">
      <c r="A82" s="44" t="s">
        <v>257</v>
      </c>
      <c r="B82" s="44">
        <f>COUNTIF(Table1128[Tracked by financing source (Yes/No)], "No data")</f>
        <v>0</v>
      </c>
      <c r="C82" s="19"/>
      <c r="D82" s="19"/>
      <c r="E82" s="19"/>
      <c r="F82" s="19"/>
      <c r="G82" s="19"/>
    </row>
  </sheetData>
  <mergeCells count="3">
    <mergeCell ref="A1:E1"/>
    <mergeCell ref="A2:E2"/>
    <mergeCell ref="C3:G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V82"/>
  <sheetViews>
    <sheetView workbookViewId="0">
      <pane xSplit="1" ySplit="4" topLeftCell="B63" activePane="bottomRight" state="frozen"/>
      <selection pane="topRight" activeCell="B1" sqref="B1"/>
      <selection pane="bottomLeft" activeCell="A5" sqref="A5"/>
      <selection pane="bottomRight" activeCell="G5" sqref="G5:I79"/>
    </sheetView>
  </sheetViews>
  <sheetFormatPr defaultColWidth="8.85546875" defaultRowHeight="12" x14ac:dyDescent="0.2"/>
  <cols>
    <col min="1" max="1" width="31.7109375" style="1" bestFit="1" customWidth="1"/>
    <col min="2" max="4" width="8.42578125" style="1" customWidth="1"/>
    <col min="5" max="5" width="13.42578125" style="1" customWidth="1"/>
    <col min="6" max="6" width="19.42578125" style="1" customWidth="1"/>
    <col min="7" max="9" width="8.42578125" style="1" customWidth="1"/>
    <col min="10" max="10" width="13.42578125" style="1" customWidth="1"/>
    <col min="11" max="11" width="18.42578125" style="1" customWidth="1"/>
    <col min="12" max="17" width="8.42578125" style="1" customWidth="1"/>
    <col min="18" max="18" width="17.42578125" style="1" customWidth="1"/>
    <col min="19" max="21" width="8.42578125" style="1" customWidth="1"/>
    <col min="22" max="22" width="17.42578125" style="1" customWidth="1"/>
    <col min="23" max="16384" width="8.85546875" style="1"/>
  </cols>
  <sheetData>
    <row r="1" spans="1:22" x14ac:dyDescent="0.2">
      <c r="A1" s="9" t="s">
        <v>364</v>
      </c>
      <c r="B1" s="3"/>
      <c r="C1" s="3"/>
      <c r="D1" s="3"/>
      <c r="E1" s="3"/>
      <c r="S1" s="85"/>
      <c r="T1" s="85"/>
      <c r="U1" s="85"/>
      <c r="V1" s="85"/>
    </row>
    <row r="2" spans="1:22" s="77" customFormat="1" ht="25.5" customHeight="1" x14ac:dyDescent="0.2">
      <c r="M2" s="135"/>
      <c r="O2" s="135"/>
      <c r="Q2" s="135"/>
    </row>
    <row r="3" spans="1:22" ht="24.75" customHeight="1" x14ac:dyDescent="0.2">
      <c r="A3" s="48"/>
      <c r="B3" s="184" t="s">
        <v>357</v>
      </c>
      <c r="C3" s="185"/>
      <c r="D3" s="186"/>
      <c r="E3" s="75" t="s">
        <v>799</v>
      </c>
      <c r="F3" s="75"/>
      <c r="G3" s="76" t="s">
        <v>358</v>
      </c>
      <c r="H3" s="76"/>
      <c r="I3" s="76"/>
      <c r="J3" s="76" t="s">
        <v>800</v>
      </c>
      <c r="K3" s="76"/>
      <c r="L3" s="76" t="s">
        <v>145</v>
      </c>
      <c r="M3" s="76"/>
      <c r="N3" s="76"/>
      <c r="O3" s="76"/>
      <c r="P3" s="76"/>
      <c r="Q3" s="76"/>
      <c r="R3" s="76"/>
      <c r="S3" s="76" t="s">
        <v>375</v>
      </c>
      <c r="T3" s="76"/>
      <c r="U3" s="76"/>
      <c r="V3" s="76"/>
    </row>
    <row r="4" spans="1:22" ht="24" customHeight="1" x14ac:dyDescent="0.2">
      <c r="A4" s="74" t="s">
        <v>0</v>
      </c>
      <c r="B4" s="74" t="s">
        <v>376</v>
      </c>
      <c r="C4" s="74" t="s">
        <v>377</v>
      </c>
      <c r="D4" s="74" t="s">
        <v>708</v>
      </c>
      <c r="E4" s="130" t="s">
        <v>283</v>
      </c>
      <c r="F4" s="81" t="s">
        <v>119</v>
      </c>
      <c r="G4" s="74" t="s">
        <v>378</v>
      </c>
      <c r="H4" s="74" t="s">
        <v>379</v>
      </c>
      <c r="I4" s="74" t="s">
        <v>603</v>
      </c>
      <c r="J4" s="130" t="s">
        <v>284</v>
      </c>
      <c r="K4" s="81" t="s">
        <v>121</v>
      </c>
      <c r="L4" s="74" t="s">
        <v>380</v>
      </c>
      <c r="M4" s="136" t="s">
        <v>229</v>
      </c>
      <c r="N4" s="74" t="s">
        <v>381</v>
      </c>
      <c r="O4" s="136" t="s">
        <v>344</v>
      </c>
      <c r="P4" s="74" t="s">
        <v>382</v>
      </c>
      <c r="Q4" s="136" t="s">
        <v>797</v>
      </c>
      <c r="R4" s="81" t="s">
        <v>243</v>
      </c>
      <c r="S4" s="74" t="s">
        <v>383</v>
      </c>
      <c r="T4" s="74" t="s">
        <v>384</v>
      </c>
      <c r="U4" s="74" t="s">
        <v>605</v>
      </c>
      <c r="V4" s="81" t="s">
        <v>243</v>
      </c>
    </row>
    <row r="5" spans="1:22" ht="12.75" x14ac:dyDescent="0.2">
      <c r="A5" s="19" t="s">
        <v>3</v>
      </c>
      <c r="B5" s="119" t="s">
        <v>606</v>
      </c>
      <c r="C5" s="119" t="s">
        <v>607</v>
      </c>
      <c r="D5" s="119" t="s">
        <v>608</v>
      </c>
      <c r="E5" s="131">
        <v>300</v>
      </c>
      <c r="F5" s="54"/>
      <c r="G5" s="237">
        <v>179.1</v>
      </c>
      <c r="H5" s="237">
        <v>135.6</v>
      </c>
      <c r="I5" s="237">
        <v>97.3</v>
      </c>
      <c r="J5" s="131">
        <v>59</v>
      </c>
      <c r="K5" s="54"/>
      <c r="L5" s="119">
        <v>53.2</v>
      </c>
      <c r="M5" s="119">
        <v>1997</v>
      </c>
      <c r="N5" s="119" t="s">
        <v>154</v>
      </c>
      <c r="O5" s="119" t="s">
        <v>154</v>
      </c>
      <c r="P5" s="119">
        <v>59.3</v>
      </c>
      <c r="Q5" s="119">
        <v>2004</v>
      </c>
      <c r="R5" s="32"/>
      <c r="S5" s="237">
        <v>51.4</v>
      </c>
      <c r="T5" s="237">
        <v>44.2</v>
      </c>
      <c r="U5" s="237">
        <v>36.299999999999997</v>
      </c>
      <c r="V5" s="15"/>
    </row>
    <row r="6" spans="1:22" ht="12.75" x14ac:dyDescent="0.2">
      <c r="A6" s="19" t="s">
        <v>4</v>
      </c>
      <c r="B6" s="119" t="s">
        <v>609</v>
      </c>
      <c r="C6" s="119" t="s">
        <v>607</v>
      </c>
      <c r="D6" s="119" t="s">
        <v>610</v>
      </c>
      <c r="E6" s="131">
        <v>350</v>
      </c>
      <c r="F6" s="54"/>
      <c r="G6" s="237">
        <v>226</v>
      </c>
      <c r="H6" s="237">
        <v>217</v>
      </c>
      <c r="I6" s="237">
        <v>167</v>
      </c>
      <c r="J6" s="131">
        <v>71</v>
      </c>
      <c r="K6" s="54"/>
      <c r="L6" s="119">
        <v>61.7</v>
      </c>
      <c r="M6" s="119">
        <v>1996</v>
      </c>
      <c r="N6" s="119" t="s">
        <v>154</v>
      </c>
      <c r="O6" s="119" t="s">
        <v>154</v>
      </c>
      <c r="P6" s="119">
        <v>29.2</v>
      </c>
      <c r="Q6" s="119">
        <v>2007</v>
      </c>
      <c r="R6" s="32"/>
      <c r="S6" s="237">
        <v>54</v>
      </c>
      <c r="T6" s="237">
        <v>53</v>
      </c>
      <c r="U6" s="237">
        <v>47</v>
      </c>
      <c r="V6" s="15"/>
    </row>
    <row r="7" spans="1:22" ht="12.75" x14ac:dyDescent="0.2">
      <c r="A7" s="19" t="s">
        <v>5</v>
      </c>
      <c r="B7" s="119" t="s">
        <v>611</v>
      </c>
      <c r="C7" s="119" t="s">
        <v>612</v>
      </c>
      <c r="D7" s="119" t="s">
        <v>564</v>
      </c>
      <c r="E7" s="131">
        <v>15</v>
      </c>
      <c r="F7" s="54"/>
      <c r="G7" s="237">
        <v>95</v>
      </c>
      <c r="H7" s="237">
        <v>74</v>
      </c>
      <c r="I7" s="237">
        <v>34</v>
      </c>
      <c r="J7" s="131">
        <v>31</v>
      </c>
      <c r="K7" s="54"/>
      <c r="L7" s="119">
        <v>28</v>
      </c>
      <c r="M7" s="119">
        <v>1996</v>
      </c>
      <c r="N7" s="119">
        <v>24.1</v>
      </c>
      <c r="O7" s="119">
        <v>2000</v>
      </c>
      <c r="P7" s="119">
        <v>26.8</v>
      </c>
      <c r="Q7" s="119">
        <v>2006</v>
      </c>
      <c r="R7" s="32"/>
      <c r="S7" s="237">
        <v>32</v>
      </c>
      <c r="T7" s="237">
        <v>28</v>
      </c>
      <c r="U7" s="237">
        <v>16</v>
      </c>
      <c r="V7" s="15"/>
    </row>
    <row r="8" spans="1:22" ht="12.75" x14ac:dyDescent="0.2">
      <c r="A8" s="19" t="s">
        <v>6</v>
      </c>
      <c r="B8" s="119" t="s">
        <v>613</v>
      </c>
      <c r="C8" s="119" t="s">
        <v>614</v>
      </c>
      <c r="D8" s="119" t="s">
        <v>615</v>
      </c>
      <c r="E8" s="131">
        <v>140</v>
      </c>
      <c r="F8" s="54"/>
      <c r="G8" s="237">
        <v>143.69999999999999</v>
      </c>
      <c r="H8" s="237">
        <v>88.1</v>
      </c>
      <c r="I8" s="237">
        <v>41.1</v>
      </c>
      <c r="J8" s="131">
        <v>48</v>
      </c>
      <c r="K8" s="54"/>
      <c r="L8" s="119">
        <v>63.4</v>
      </c>
      <c r="M8" s="119">
        <v>1990</v>
      </c>
      <c r="N8" s="119">
        <v>50.8</v>
      </c>
      <c r="O8" s="119">
        <v>2000</v>
      </c>
      <c r="P8" s="119">
        <v>41.4</v>
      </c>
      <c r="Q8" s="119">
        <v>2011</v>
      </c>
      <c r="R8" s="32"/>
      <c r="S8" s="237">
        <v>54.8</v>
      </c>
      <c r="T8" s="237">
        <v>41</v>
      </c>
      <c r="U8" s="237">
        <v>24.2</v>
      </c>
      <c r="V8" s="32"/>
    </row>
    <row r="9" spans="1:22" ht="12.75" x14ac:dyDescent="0.2">
      <c r="A9" s="19" t="s">
        <v>7</v>
      </c>
      <c r="B9" s="119" t="s">
        <v>616</v>
      </c>
      <c r="C9" s="119" t="s">
        <v>617</v>
      </c>
      <c r="D9" s="119" t="s">
        <v>614</v>
      </c>
      <c r="E9" s="131">
        <v>150</v>
      </c>
      <c r="F9" s="54"/>
      <c r="G9" s="237">
        <v>179.4</v>
      </c>
      <c r="H9" s="237">
        <v>146</v>
      </c>
      <c r="I9" s="237">
        <v>85.3</v>
      </c>
      <c r="J9" s="131">
        <v>60</v>
      </c>
      <c r="K9" s="54"/>
      <c r="L9" s="119">
        <v>39.1</v>
      </c>
      <c r="M9" s="119">
        <v>1996</v>
      </c>
      <c r="N9" s="119">
        <v>39.1</v>
      </c>
      <c r="O9" s="119">
        <v>2001</v>
      </c>
      <c r="P9" s="119">
        <v>44.7</v>
      </c>
      <c r="Q9" s="119">
        <v>2006</v>
      </c>
      <c r="R9" s="32"/>
      <c r="S9" s="237">
        <v>41.4</v>
      </c>
      <c r="T9" s="237">
        <v>37</v>
      </c>
      <c r="U9" s="237">
        <v>26.9</v>
      </c>
      <c r="V9" s="32"/>
    </row>
    <row r="10" spans="1:22" ht="12.75" x14ac:dyDescent="0.2">
      <c r="A10" s="19" t="s">
        <v>8</v>
      </c>
      <c r="B10" s="119" t="s">
        <v>618</v>
      </c>
      <c r="C10" s="119" t="s">
        <v>487</v>
      </c>
      <c r="D10" s="119" t="s">
        <v>619</v>
      </c>
      <c r="E10" s="131">
        <v>130</v>
      </c>
      <c r="F10" s="54"/>
      <c r="G10" s="237">
        <v>38.4</v>
      </c>
      <c r="H10" s="237">
        <v>28.9</v>
      </c>
      <c r="I10" s="237">
        <v>17.899999999999999</v>
      </c>
      <c r="J10" s="131">
        <v>41</v>
      </c>
      <c r="K10" s="54"/>
      <c r="L10" s="119">
        <v>44</v>
      </c>
      <c r="M10" s="119">
        <v>1989</v>
      </c>
      <c r="N10" s="119">
        <v>33.1</v>
      </c>
      <c r="O10" s="119">
        <v>1998</v>
      </c>
      <c r="P10" s="119">
        <v>27.2</v>
      </c>
      <c r="Q10" s="119">
        <v>2008</v>
      </c>
      <c r="R10" s="32"/>
      <c r="S10" s="237">
        <v>84.6</v>
      </c>
      <c r="T10" s="237">
        <v>57</v>
      </c>
      <c r="U10" s="237">
        <v>31.2</v>
      </c>
      <c r="V10" s="32"/>
    </row>
    <row r="11" spans="1:22" ht="12.75" x14ac:dyDescent="0.2">
      <c r="A11" s="19" t="s">
        <v>9</v>
      </c>
      <c r="B11" s="119" t="s">
        <v>620</v>
      </c>
      <c r="C11" s="119" t="s">
        <v>621</v>
      </c>
      <c r="D11" s="119" t="s">
        <v>615</v>
      </c>
      <c r="E11" s="131">
        <v>90</v>
      </c>
      <c r="F11" s="54"/>
      <c r="G11" s="237">
        <v>49.5</v>
      </c>
      <c r="H11" s="237">
        <v>85.1</v>
      </c>
      <c r="I11" s="237">
        <v>46.6</v>
      </c>
      <c r="J11" s="131">
        <v>16</v>
      </c>
      <c r="K11" s="54"/>
      <c r="L11" s="119">
        <v>35.1</v>
      </c>
      <c r="M11" s="119">
        <v>1996</v>
      </c>
      <c r="N11" s="119">
        <v>29.1</v>
      </c>
      <c r="O11" s="119">
        <v>2000</v>
      </c>
      <c r="P11" s="119">
        <v>31.4</v>
      </c>
      <c r="Q11" s="119">
        <v>2007</v>
      </c>
      <c r="R11" s="32"/>
      <c r="S11" s="237">
        <v>24.8</v>
      </c>
      <c r="T11" s="237">
        <v>21.9</v>
      </c>
      <c r="U11" s="237">
        <v>24.9</v>
      </c>
      <c r="V11" s="32"/>
    </row>
    <row r="12" spans="1:22" ht="12.75" x14ac:dyDescent="0.2">
      <c r="A12" s="19" t="s">
        <v>10</v>
      </c>
      <c r="B12" s="119" t="s">
        <v>622</v>
      </c>
      <c r="C12" s="119" t="s">
        <v>623</v>
      </c>
      <c r="D12" s="119" t="s">
        <v>624</v>
      </c>
      <c r="E12" s="131">
        <v>30</v>
      </c>
      <c r="F12" s="54"/>
      <c r="G12" s="237">
        <v>61.5</v>
      </c>
      <c r="H12" s="237">
        <v>32.9</v>
      </c>
      <c r="I12" s="237">
        <v>13.7</v>
      </c>
      <c r="J12" s="131">
        <v>21</v>
      </c>
      <c r="K12" s="54"/>
      <c r="L12" s="119">
        <v>19.399999999999999</v>
      </c>
      <c r="M12" s="119">
        <v>1989</v>
      </c>
      <c r="N12" s="119">
        <v>13.5</v>
      </c>
      <c r="O12" s="119">
        <v>1996</v>
      </c>
      <c r="P12" s="119">
        <v>7.1</v>
      </c>
      <c r="Q12" s="119">
        <v>2007</v>
      </c>
      <c r="R12" s="32"/>
      <c r="S12" s="237">
        <v>27.8</v>
      </c>
      <c r="T12" s="237">
        <v>17.600000000000001</v>
      </c>
      <c r="U12" s="237">
        <v>8.4</v>
      </c>
      <c r="V12" s="32"/>
    </row>
    <row r="13" spans="1:22" ht="12.75" x14ac:dyDescent="0.2">
      <c r="A13" s="19" t="s">
        <v>11</v>
      </c>
      <c r="B13" s="119" t="s">
        <v>625</v>
      </c>
      <c r="C13" s="119" t="s">
        <v>626</v>
      </c>
      <c r="D13" s="119" t="s">
        <v>608</v>
      </c>
      <c r="E13" s="131">
        <v>190</v>
      </c>
      <c r="F13" s="54"/>
      <c r="G13" s="237">
        <v>202.2</v>
      </c>
      <c r="H13" s="237">
        <v>185.8</v>
      </c>
      <c r="I13" s="237">
        <v>97.6</v>
      </c>
      <c r="J13" s="131">
        <v>67</v>
      </c>
      <c r="K13" s="54"/>
      <c r="L13" s="119">
        <v>40.700000000000003</v>
      </c>
      <c r="M13" s="119">
        <v>1993</v>
      </c>
      <c r="N13" s="119">
        <v>45.5</v>
      </c>
      <c r="O13" s="119">
        <v>1999</v>
      </c>
      <c r="P13" s="119">
        <v>32.9</v>
      </c>
      <c r="Q13" s="119">
        <v>2012</v>
      </c>
      <c r="R13" s="32"/>
      <c r="S13" s="237">
        <v>40.4</v>
      </c>
      <c r="T13" s="237">
        <v>38.700000000000003</v>
      </c>
      <c r="U13" s="237">
        <v>26.9</v>
      </c>
      <c r="V13" s="32"/>
    </row>
    <row r="14" spans="1:22" ht="12.75" x14ac:dyDescent="0.2">
      <c r="A14" s="19" t="s">
        <v>12</v>
      </c>
      <c r="B14" s="119" t="s">
        <v>627</v>
      </c>
      <c r="C14" s="119" t="s">
        <v>628</v>
      </c>
      <c r="D14" s="119" t="s">
        <v>629</v>
      </c>
      <c r="E14" s="131">
        <v>330</v>
      </c>
      <c r="F14" s="54"/>
      <c r="G14" s="237">
        <v>170.8</v>
      </c>
      <c r="H14" s="237">
        <v>148.9</v>
      </c>
      <c r="I14" s="237">
        <v>82.9</v>
      </c>
      <c r="J14" s="131">
        <v>55</v>
      </c>
      <c r="K14" s="54"/>
      <c r="L14" s="119">
        <v>56.2</v>
      </c>
      <c r="M14" s="119">
        <v>1987</v>
      </c>
      <c r="N14" s="119">
        <v>63.1</v>
      </c>
      <c r="O14" s="119">
        <v>2000</v>
      </c>
      <c r="P14" s="119">
        <v>57.5</v>
      </c>
      <c r="Q14" s="119">
        <v>2010</v>
      </c>
      <c r="R14" s="32"/>
      <c r="S14" s="237">
        <v>45.5</v>
      </c>
      <c r="T14" s="237">
        <v>42.3</v>
      </c>
      <c r="U14" s="237">
        <v>29.8</v>
      </c>
      <c r="V14" s="32"/>
    </row>
    <row r="15" spans="1:22" ht="12.75" x14ac:dyDescent="0.2">
      <c r="A15" s="19" t="s">
        <v>13</v>
      </c>
      <c r="B15" s="119" t="s">
        <v>606</v>
      </c>
      <c r="C15" s="119" t="s">
        <v>630</v>
      </c>
      <c r="D15" s="119" t="s">
        <v>615</v>
      </c>
      <c r="E15" s="131">
        <v>300</v>
      </c>
      <c r="F15" s="54"/>
      <c r="G15" s="237">
        <v>117.5</v>
      </c>
      <c r="H15" s="237">
        <v>110.5</v>
      </c>
      <c r="I15" s="237">
        <v>37.9</v>
      </c>
      <c r="J15" s="131">
        <v>39</v>
      </c>
      <c r="K15" s="54"/>
      <c r="L15" s="119">
        <v>58.6</v>
      </c>
      <c r="M15" s="119">
        <v>1996</v>
      </c>
      <c r="N15" s="119">
        <v>49.2</v>
      </c>
      <c r="O15" s="119">
        <v>2000</v>
      </c>
      <c r="P15" s="119">
        <v>40.9</v>
      </c>
      <c r="Q15" s="119">
        <v>2010</v>
      </c>
      <c r="R15" s="32"/>
      <c r="S15" s="237">
        <v>37.700000000000003</v>
      </c>
      <c r="T15" s="237">
        <v>36.299999999999997</v>
      </c>
      <c r="U15" s="237">
        <v>17.600000000000001</v>
      </c>
      <c r="V15" s="32"/>
    </row>
    <row r="16" spans="1:22" ht="12.75" x14ac:dyDescent="0.2">
      <c r="A16" s="19" t="s">
        <v>14</v>
      </c>
      <c r="B16" s="119" t="s">
        <v>631</v>
      </c>
      <c r="C16" s="119" t="s">
        <v>629</v>
      </c>
      <c r="D16" s="119" t="s">
        <v>632</v>
      </c>
      <c r="E16" s="131">
        <v>180</v>
      </c>
      <c r="F16" s="54"/>
      <c r="G16" s="237">
        <v>136.4</v>
      </c>
      <c r="H16" s="237">
        <v>151.19999999999999</v>
      </c>
      <c r="I16" s="237">
        <v>94.5</v>
      </c>
      <c r="J16" s="131">
        <v>45</v>
      </c>
      <c r="K16" s="54"/>
      <c r="L16" s="119">
        <v>36.299999999999997</v>
      </c>
      <c r="M16" s="119">
        <v>1991</v>
      </c>
      <c r="N16" s="119">
        <v>38.200000000000003</v>
      </c>
      <c r="O16" s="119">
        <v>1998</v>
      </c>
      <c r="P16" s="119">
        <v>32.6</v>
      </c>
      <c r="Q16" s="119">
        <v>2011</v>
      </c>
      <c r="R16" s="32"/>
      <c r="S16" s="237">
        <v>35.200000000000003</v>
      </c>
      <c r="T16" s="237">
        <v>36.5</v>
      </c>
      <c r="U16" s="237">
        <v>28.2</v>
      </c>
      <c r="V16" s="32"/>
    </row>
    <row r="17" spans="1:22" ht="12.75" x14ac:dyDescent="0.2">
      <c r="A17" s="19" t="s">
        <v>15</v>
      </c>
      <c r="B17" s="119" t="s">
        <v>606</v>
      </c>
      <c r="C17" s="119" t="s">
        <v>606</v>
      </c>
      <c r="D17" s="119" t="s">
        <v>633</v>
      </c>
      <c r="E17" s="131">
        <v>300</v>
      </c>
      <c r="F17" s="54"/>
      <c r="G17" s="237">
        <v>176.9</v>
      </c>
      <c r="H17" s="237">
        <v>174.1</v>
      </c>
      <c r="I17" s="237">
        <v>139.19999999999999</v>
      </c>
      <c r="J17" s="131">
        <v>57</v>
      </c>
      <c r="K17" s="54"/>
      <c r="L17" s="119">
        <v>41.5</v>
      </c>
      <c r="M17" s="119">
        <v>1994</v>
      </c>
      <c r="N17" s="119">
        <v>44.6</v>
      </c>
      <c r="O17" s="119">
        <v>2000</v>
      </c>
      <c r="P17" s="119">
        <v>40.700000000000003</v>
      </c>
      <c r="Q17" s="119">
        <v>2010</v>
      </c>
      <c r="R17" s="32"/>
      <c r="S17" s="237">
        <v>48.3</v>
      </c>
      <c r="T17" s="237">
        <v>47.4</v>
      </c>
      <c r="U17" s="237">
        <v>43</v>
      </c>
      <c r="V17" s="32"/>
    </row>
    <row r="18" spans="1:22" ht="12.75" x14ac:dyDescent="0.2">
      <c r="A18" s="19" t="s">
        <v>16</v>
      </c>
      <c r="B18" s="119" t="s">
        <v>634</v>
      </c>
      <c r="C18" s="119" t="s">
        <v>635</v>
      </c>
      <c r="D18" s="119" t="s">
        <v>636</v>
      </c>
      <c r="E18" s="131">
        <v>430</v>
      </c>
      <c r="F18" s="54"/>
      <c r="G18" s="237">
        <v>214.7</v>
      </c>
      <c r="H18" s="237">
        <v>190.7</v>
      </c>
      <c r="I18" s="237">
        <v>147.5</v>
      </c>
      <c r="J18" s="131">
        <v>70</v>
      </c>
      <c r="K18" s="54"/>
      <c r="L18" s="119">
        <v>45</v>
      </c>
      <c r="M18" s="119">
        <v>1997</v>
      </c>
      <c r="N18" s="119">
        <v>39.299999999999997</v>
      </c>
      <c r="O18" s="119">
        <v>2000</v>
      </c>
      <c r="P18" s="119">
        <v>38.700000000000003</v>
      </c>
      <c r="Q18" s="119">
        <v>2010</v>
      </c>
      <c r="R18" s="32"/>
      <c r="S18" s="237">
        <v>48.4</v>
      </c>
      <c r="T18" s="237">
        <v>45.6</v>
      </c>
      <c r="U18" s="237">
        <v>39.799999999999997</v>
      </c>
      <c r="V18" s="32"/>
    </row>
    <row r="19" spans="1:22" ht="15" x14ac:dyDescent="0.2">
      <c r="A19" s="19" t="s">
        <v>17</v>
      </c>
      <c r="B19" s="119" t="s">
        <v>637</v>
      </c>
      <c r="C19" s="119" t="s">
        <v>638</v>
      </c>
      <c r="D19" s="119" t="s">
        <v>639</v>
      </c>
      <c r="E19" s="131">
        <v>24</v>
      </c>
      <c r="F19" s="54"/>
      <c r="G19" s="238">
        <v>54</v>
      </c>
      <c r="H19" s="237">
        <v>37</v>
      </c>
      <c r="I19" s="237">
        <v>13</v>
      </c>
      <c r="J19" s="131">
        <v>18</v>
      </c>
      <c r="K19" s="54"/>
      <c r="L19" s="119">
        <v>32.299999999999997</v>
      </c>
      <c r="M19" s="119">
        <v>1990</v>
      </c>
      <c r="N19" s="119">
        <v>17.8</v>
      </c>
      <c r="O19" s="119">
        <v>2000</v>
      </c>
      <c r="P19" s="119">
        <v>9.4</v>
      </c>
      <c r="Q19" s="119">
        <v>2010</v>
      </c>
      <c r="R19" s="32"/>
      <c r="S19" s="237">
        <v>25</v>
      </c>
      <c r="T19" s="237">
        <v>19</v>
      </c>
      <c r="U19" s="237">
        <v>8</v>
      </c>
      <c r="V19" s="32"/>
    </row>
    <row r="20" spans="1:22" ht="12.75" x14ac:dyDescent="0.2">
      <c r="A20" s="19" t="s">
        <v>18</v>
      </c>
      <c r="B20" s="119" t="s">
        <v>640</v>
      </c>
      <c r="C20" s="119" t="s">
        <v>641</v>
      </c>
      <c r="D20" s="119" t="s">
        <v>642</v>
      </c>
      <c r="E20" s="127">
        <v>160</v>
      </c>
      <c r="F20" s="150"/>
      <c r="G20" s="237">
        <v>125.4</v>
      </c>
      <c r="H20" s="237">
        <v>101.3</v>
      </c>
      <c r="I20" s="237">
        <v>77.900000000000006</v>
      </c>
      <c r="J20" s="127">
        <v>41</v>
      </c>
      <c r="K20" s="150"/>
      <c r="L20" s="119">
        <v>38.5</v>
      </c>
      <c r="M20" s="119">
        <v>1992</v>
      </c>
      <c r="N20" s="119">
        <v>46.9</v>
      </c>
      <c r="O20" s="119">
        <v>2000</v>
      </c>
      <c r="P20" s="119">
        <v>32.1</v>
      </c>
      <c r="Q20" s="119">
        <v>2012</v>
      </c>
      <c r="R20" s="15"/>
      <c r="S20" s="237">
        <v>41.2</v>
      </c>
      <c r="T20" s="237">
        <v>36.299999999999997</v>
      </c>
      <c r="U20" s="237">
        <v>30.8</v>
      </c>
      <c r="V20" s="15"/>
    </row>
    <row r="21" spans="1:22" ht="12.75" x14ac:dyDescent="0.2">
      <c r="A21" s="19" t="s">
        <v>19</v>
      </c>
      <c r="B21" s="119" t="s">
        <v>643</v>
      </c>
      <c r="C21" s="119" t="s">
        <v>644</v>
      </c>
      <c r="D21" s="119" t="s">
        <v>645</v>
      </c>
      <c r="E21" s="127">
        <v>170</v>
      </c>
      <c r="F21" s="150"/>
      <c r="G21" s="237">
        <v>92.2</v>
      </c>
      <c r="H21" s="237">
        <v>121.4</v>
      </c>
      <c r="I21" s="237">
        <v>49.1</v>
      </c>
      <c r="J21" s="127">
        <v>33</v>
      </c>
      <c r="K21" s="150"/>
      <c r="L21" s="119">
        <v>30.1</v>
      </c>
      <c r="M21" s="119">
        <v>1987</v>
      </c>
      <c r="N21" s="119">
        <v>31.2</v>
      </c>
      <c r="O21" s="119">
        <v>2005</v>
      </c>
      <c r="P21" s="119">
        <v>25</v>
      </c>
      <c r="Q21" s="119">
        <v>2011</v>
      </c>
      <c r="R21" s="15"/>
      <c r="S21" s="237">
        <v>29.7</v>
      </c>
      <c r="T21" s="237">
        <v>35</v>
      </c>
      <c r="U21" s="237">
        <v>19.399999999999999</v>
      </c>
      <c r="V21" s="15"/>
    </row>
    <row r="22" spans="1:22" ht="12.75" x14ac:dyDescent="0.2">
      <c r="A22" s="19" t="s">
        <v>20</v>
      </c>
      <c r="B22" s="119" t="s">
        <v>629</v>
      </c>
      <c r="C22" s="119" t="s">
        <v>643</v>
      </c>
      <c r="D22" s="119" t="s">
        <v>631</v>
      </c>
      <c r="E22" s="127">
        <v>190</v>
      </c>
      <c r="F22" s="150"/>
      <c r="G22" s="237">
        <v>151.6</v>
      </c>
      <c r="H22" s="237">
        <v>146.1</v>
      </c>
      <c r="I22" s="237">
        <v>100</v>
      </c>
      <c r="J22" s="127">
        <v>51</v>
      </c>
      <c r="K22" s="150"/>
      <c r="L22" s="119">
        <v>34.200000000000003</v>
      </c>
      <c r="M22" s="119">
        <v>1994</v>
      </c>
      <c r="N22" s="119">
        <v>31.5</v>
      </c>
      <c r="O22" s="119">
        <v>1998</v>
      </c>
      <c r="P22" s="119">
        <v>29.6</v>
      </c>
      <c r="Q22" s="119">
        <v>2012</v>
      </c>
      <c r="R22" s="15"/>
      <c r="S22" s="237">
        <v>47.8</v>
      </c>
      <c r="T22" s="237">
        <v>46</v>
      </c>
      <c r="U22" s="237">
        <v>37.5</v>
      </c>
      <c r="V22" s="15"/>
    </row>
    <row r="23" spans="1:22" ht="12.75" x14ac:dyDescent="0.2">
      <c r="A23" s="19" t="s">
        <v>21</v>
      </c>
      <c r="B23" s="119" t="s">
        <v>623</v>
      </c>
      <c r="C23" s="119" t="s">
        <v>622</v>
      </c>
      <c r="D23" s="119" t="s">
        <v>646</v>
      </c>
      <c r="E23" s="127">
        <v>21</v>
      </c>
      <c r="F23" s="150"/>
      <c r="G23" s="237">
        <v>43.4</v>
      </c>
      <c r="H23" s="237">
        <v>60</v>
      </c>
      <c r="I23" s="237">
        <v>27.4</v>
      </c>
      <c r="J23" s="127">
        <v>15</v>
      </c>
      <c r="K23" s="150"/>
      <c r="L23" s="119" t="s">
        <v>154</v>
      </c>
      <c r="M23" s="119" t="s">
        <v>154</v>
      </c>
      <c r="N23" s="119">
        <v>51</v>
      </c>
      <c r="O23" s="119">
        <v>2000</v>
      </c>
      <c r="P23" s="119">
        <v>27.9</v>
      </c>
      <c r="Q23" s="119">
        <v>2012</v>
      </c>
      <c r="R23" s="15"/>
      <c r="S23" s="237">
        <v>21.3</v>
      </c>
      <c r="T23" s="237">
        <v>26.8</v>
      </c>
      <c r="U23" s="237">
        <v>14.9</v>
      </c>
      <c r="V23" s="15"/>
    </row>
    <row r="24" spans="1:22" ht="12.75" x14ac:dyDescent="0.2">
      <c r="A24" s="19" t="s">
        <v>22</v>
      </c>
      <c r="B24" s="119" t="s">
        <v>628</v>
      </c>
      <c r="C24" s="119" t="s">
        <v>607</v>
      </c>
      <c r="D24" s="119" t="s">
        <v>647</v>
      </c>
      <c r="E24" s="127">
        <v>250</v>
      </c>
      <c r="F24" s="150"/>
      <c r="G24" s="237">
        <v>176</v>
      </c>
      <c r="H24" s="237">
        <v>175.9</v>
      </c>
      <c r="I24" s="237">
        <v>118.5</v>
      </c>
      <c r="J24" s="127">
        <v>57</v>
      </c>
      <c r="K24" s="150"/>
      <c r="L24" s="119">
        <v>51</v>
      </c>
      <c r="M24" s="119">
        <v>1995</v>
      </c>
      <c r="N24" s="119">
        <v>44.4</v>
      </c>
      <c r="O24" s="119">
        <v>2001</v>
      </c>
      <c r="P24" s="119">
        <v>43.5</v>
      </c>
      <c r="Q24" s="119">
        <v>2010</v>
      </c>
      <c r="R24" s="15"/>
      <c r="S24" s="237">
        <v>47.6</v>
      </c>
      <c r="T24" s="237">
        <v>47.5</v>
      </c>
      <c r="U24" s="237">
        <v>38.200000000000003</v>
      </c>
      <c r="V24" s="15"/>
    </row>
    <row r="25" spans="1:22" ht="12.75" x14ac:dyDescent="0.2">
      <c r="A25" s="19" t="s">
        <v>23</v>
      </c>
      <c r="B25" s="119" t="s">
        <v>608</v>
      </c>
      <c r="C25" s="119" t="s">
        <v>620</v>
      </c>
      <c r="D25" s="119" t="s">
        <v>648</v>
      </c>
      <c r="E25" s="127">
        <v>100</v>
      </c>
      <c r="F25" s="150"/>
      <c r="G25" s="237">
        <v>118.6</v>
      </c>
      <c r="H25" s="237">
        <v>100.7</v>
      </c>
      <c r="I25" s="237">
        <v>69.599999999999994</v>
      </c>
      <c r="J25" s="127">
        <v>40</v>
      </c>
      <c r="K25" s="150"/>
      <c r="L25" s="119">
        <v>28</v>
      </c>
      <c r="M25" s="119">
        <v>1989</v>
      </c>
      <c r="N25" s="119">
        <v>26.5</v>
      </c>
      <c r="O25" s="119">
        <v>2002</v>
      </c>
      <c r="P25" s="119">
        <v>33.5</v>
      </c>
      <c r="Q25" s="119">
        <v>2012</v>
      </c>
      <c r="R25" s="15"/>
      <c r="S25" s="237">
        <v>43.6</v>
      </c>
      <c r="T25" s="237">
        <v>39.5</v>
      </c>
      <c r="U25" s="237">
        <v>31.2</v>
      </c>
      <c r="V25" s="15"/>
    </row>
    <row r="26" spans="1:22" ht="12.75" x14ac:dyDescent="0.2">
      <c r="A26" s="19" t="s">
        <v>24</v>
      </c>
      <c r="B26" s="119" t="s">
        <v>622</v>
      </c>
      <c r="C26" s="119" t="s">
        <v>649</v>
      </c>
      <c r="D26" s="119" t="s">
        <v>543</v>
      </c>
      <c r="E26" s="127">
        <v>30</v>
      </c>
      <c r="F26" s="150"/>
      <c r="G26" s="237">
        <v>85.1</v>
      </c>
      <c r="H26" s="237">
        <v>44.8</v>
      </c>
      <c r="I26" s="237">
        <v>21.8</v>
      </c>
      <c r="J26" s="127">
        <v>29</v>
      </c>
      <c r="K26" s="150"/>
      <c r="L26" s="119">
        <v>34.9</v>
      </c>
      <c r="M26" s="119">
        <v>1991</v>
      </c>
      <c r="N26" s="119">
        <v>24.6</v>
      </c>
      <c r="O26" s="119">
        <v>2000</v>
      </c>
      <c r="P26" s="119">
        <v>30.7</v>
      </c>
      <c r="Q26" s="119">
        <v>2008</v>
      </c>
      <c r="R26" s="15"/>
      <c r="S26" s="237">
        <v>32.200000000000003</v>
      </c>
      <c r="T26" s="237">
        <v>20.7</v>
      </c>
      <c r="U26" s="237">
        <v>11.8</v>
      </c>
      <c r="V26" s="15"/>
    </row>
    <row r="27" spans="1:22" ht="12.75" x14ac:dyDescent="0.2">
      <c r="A27" s="19" t="s">
        <v>25</v>
      </c>
      <c r="B27" s="119" t="s">
        <v>650</v>
      </c>
      <c r="C27" s="119" t="s">
        <v>651</v>
      </c>
      <c r="D27" s="119" t="s">
        <v>652</v>
      </c>
      <c r="E27" s="127">
        <v>400</v>
      </c>
      <c r="F27" s="150"/>
      <c r="G27" s="237">
        <v>184</v>
      </c>
      <c r="H27" s="237">
        <v>142.4</v>
      </c>
      <c r="I27" s="237">
        <v>95.8</v>
      </c>
      <c r="J27" s="127">
        <v>61</v>
      </c>
      <c r="K27" s="150"/>
      <c r="L27" s="119" t="s">
        <v>154</v>
      </c>
      <c r="M27" s="119" t="s">
        <v>154</v>
      </c>
      <c r="N27" s="119">
        <v>42.6</v>
      </c>
      <c r="O27" s="119">
        <v>2000</v>
      </c>
      <c r="P27" s="119">
        <v>26.2</v>
      </c>
      <c r="Q27" s="119">
        <v>2010</v>
      </c>
      <c r="R27" s="15"/>
      <c r="S27" s="237">
        <v>48.1</v>
      </c>
      <c r="T27" s="237">
        <v>41.9</v>
      </c>
      <c r="U27" s="237">
        <v>33.200000000000003</v>
      </c>
      <c r="V27" s="15"/>
    </row>
    <row r="28" spans="1:22" ht="12.75" x14ac:dyDescent="0.2">
      <c r="A28" s="19" t="s">
        <v>26</v>
      </c>
      <c r="B28" s="119" t="s">
        <v>634</v>
      </c>
      <c r="C28" s="119" t="s">
        <v>643</v>
      </c>
      <c r="D28" s="119" t="s">
        <v>653</v>
      </c>
      <c r="E28" s="127">
        <v>430</v>
      </c>
      <c r="F28" s="150"/>
      <c r="G28" s="237">
        <v>150.6</v>
      </c>
      <c r="H28" s="237">
        <v>89.3</v>
      </c>
      <c r="I28" s="237">
        <v>49.9</v>
      </c>
      <c r="J28" s="127">
        <v>50</v>
      </c>
      <c r="K28" s="150"/>
      <c r="L28" s="119">
        <v>69.599999999999994</v>
      </c>
      <c r="M28" s="119">
        <v>1993</v>
      </c>
      <c r="N28" s="119">
        <v>43.7</v>
      </c>
      <c r="O28" s="119">
        <v>2002</v>
      </c>
      <c r="P28" s="119">
        <v>50.3</v>
      </c>
      <c r="Q28" s="119">
        <v>2010</v>
      </c>
      <c r="R28" s="15"/>
      <c r="S28" s="237">
        <v>35.700000000000003</v>
      </c>
      <c r="T28" s="237">
        <v>26.2</v>
      </c>
      <c r="U28" s="237">
        <v>17.7</v>
      </c>
      <c r="V28" s="15"/>
    </row>
    <row r="29" spans="1:22" ht="12.75" x14ac:dyDescent="0.2">
      <c r="A29" s="19" t="s">
        <v>27</v>
      </c>
      <c r="B29" s="119" t="s">
        <v>609</v>
      </c>
      <c r="C29" s="119" t="s">
        <v>654</v>
      </c>
      <c r="D29" s="119" t="s">
        <v>655</v>
      </c>
      <c r="E29" s="127">
        <v>350</v>
      </c>
      <c r="F29" s="150"/>
      <c r="G29" s="237">
        <v>205</v>
      </c>
      <c r="H29" s="237">
        <v>145.5</v>
      </c>
      <c r="I29" s="237">
        <v>64.400000000000006</v>
      </c>
      <c r="J29" s="127">
        <v>68</v>
      </c>
      <c r="K29" s="150"/>
      <c r="L29" s="119">
        <v>66.900000000000006</v>
      </c>
      <c r="M29" s="119">
        <v>1992</v>
      </c>
      <c r="N29" s="119">
        <v>57.4</v>
      </c>
      <c r="O29" s="119">
        <v>2000</v>
      </c>
      <c r="P29" s="119">
        <v>44.2</v>
      </c>
      <c r="Q29" s="119">
        <v>2011</v>
      </c>
      <c r="R29" s="15"/>
      <c r="S29" s="237">
        <v>54.6</v>
      </c>
      <c r="T29" s="237">
        <v>45.5</v>
      </c>
      <c r="U29" s="237">
        <v>27.5</v>
      </c>
      <c r="V29" s="15"/>
    </row>
    <row r="30" spans="1:22" ht="15" x14ac:dyDescent="0.25">
      <c r="A30" s="19" t="s">
        <v>28</v>
      </c>
      <c r="B30" s="119" t="s">
        <v>653</v>
      </c>
      <c r="C30" s="119" t="s">
        <v>487</v>
      </c>
      <c r="D30" s="119" t="s">
        <v>656</v>
      </c>
      <c r="E30" s="127">
        <v>95</v>
      </c>
      <c r="F30" s="150"/>
      <c r="G30" s="237">
        <v>92.7</v>
      </c>
      <c r="H30" s="237">
        <v>84.6</v>
      </c>
      <c r="I30" s="237">
        <v>56.1</v>
      </c>
      <c r="J30" s="127">
        <v>31</v>
      </c>
      <c r="K30" s="151"/>
      <c r="L30" s="119" t="s">
        <v>154</v>
      </c>
      <c r="M30" s="119" t="s">
        <v>154</v>
      </c>
      <c r="N30" s="119">
        <v>26.3</v>
      </c>
      <c r="O30" s="119">
        <v>2000</v>
      </c>
      <c r="P30" s="119">
        <v>17.5</v>
      </c>
      <c r="Q30" s="119">
        <v>2012</v>
      </c>
      <c r="R30" s="15"/>
      <c r="S30" s="237">
        <v>33</v>
      </c>
      <c r="T30" s="237">
        <v>30</v>
      </c>
      <c r="U30" s="237">
        <v>22.8</v>
      </c>
      <c r="V30" s="15"/>
    </row>
    <row r="31" spans="1:22" ht="12.75" x14ac:dyDescent="0.2">
      <c r="A31" s="19" t="s">
        <v>29</v>
      </c>
      <c r="B31" s="119" t="s">
        <v>657</v>
      </c>
      <c r="C31" s="119" t="s">
        <v>626</v>
      </c>
      <c r="D31" s="119" t="s">
        <v>658</v>
      </c>
      <c r="E31" s="127">
        <v>180</v>
      </c>
      <c r="F31" s="150"/>
      <c r="G31" s="237">
        <v>169.8</v>
      </c>
      <c r="H31" s="237">
        <v>119</v>
      </c>
      <c r="I31" s="237">
        <v>73.8</v>
      </c>
      <c r="J31" s="127">
        <v>57</v>
      </c>
      <c r="K31" s="150"/>
      <c r="L31" s="119">
        <v>36.1</v>
      </c>
      <c r="M31" s="119">
        <v>1996</v>
      </c>
      <c r="N31" s="119">
        <v>24.1</v>
      </c>
      <c r="O31" s="119">
        <v>2000</v>
      </c>
      <c r="P31" s="119">
        <v>23.4</v>
      </c>
      <c r="Q31" s="119">
        <v>2010</v>
      </c>
      <c r="R31" s="15"/>
      <c r="S31" s="237">
        <v>46.1</v>
      </c>
      <c r="T31" s="237">
        <v>37.799999999999997</v>
      </c>
      <c r="U31" s="237">
        <v>28.1</v>
      </c>
      <c r="V31" s="15"/>
    </row>
    <row r="32" spans="1:22" ht="12.75" x14ac:dyDescent="0.2">
      <c r="A32" s="19" t="s">
        <v>30</v>
      </c>
      <c r="B32" s="119" t="s">
        <v>659</v>
      </c>
      <c r="C32" s="119" t="s">
        <v>660</v>
      </c>
      <c r="D32" s="119" t="s">
        <v>653</v>
      </c>
      <c r="E32" s="127">
        <v>190</v>
      </c>
      <c r="F32" s="150"/>
      <c r="G32" s="237">
        <v>128</v>
      </c>
      <c r="H32" s="237">
        <v>101</v>
      </c>
      <c r="I32" s="237">
        <v>78</v>
      </c>
      <c r="J32" s="127">
        <v>43</v>
      </c>
      <c r="K32" s="150"/>
      <c r="L32" s="119">
        <v>42.6</v>
      </c>
      <c r="M32" s="119">
        <v>1988</v>
      </c>
      <c r="N32" s="119">
        <v>31.3</v>
      </c>
      <c r="O32" s="119">
        <v>1999</v>
      </c>
      <c r="P32" s="119">
        <v>22.7</v>
      </c>
      <c r="Q32" s="119">
        <v>2011</v>
      </c>
      <c r="R32" s="15"/>
      <c r="S32" s="237">
        <v>40</v>
      </c>
      <c r="T32" s="237">
        <v>34</v>
      </c>
      <c r="U32" s="237">
        <v>29</v>
      </c>
      <c r="V32" s="15"/>
    </row>
    <row r="33" spans="1:22" ht="12.75" x14ac:dyDescent="0.2">
      <c r="A33" s="19" t="s">
        <v>31</v>
      </c>
      <c r="B33" s="119" t="s">
        <v>661</v>
      </c>
      <c r="C33" s="119" t="s">
        <v>662</v>
      </c>
      <c r="D33" s="119" t="s">
        <v>663</v>
      </c>
      <c r="E33" s="127">
        <v>68</v>
      </c>
      <c r="F33" s="150"/>
      <c r="G33" s="237">
        <v>80.599999999999994</v>
      </c>
      <c r="H33" s="237">
        <v>50.7</v>
      </c>
      <c r="I33" s="237">
        <v>31</v>
      </c>
      <c r="J33" s="127">
        <v>27</v>
      </c>
      <c r="K33" s="150"/>
      <c r="L33" s="119">
        <v>66.2</v>
      </c>
      <c r="M33" s="119">
        <v>1987</v>
      </c>
      <c r="N33" s="119">
        <v>50</v>
      </c>
      <c r="O33" s="119">
        <v>2000</v>
      </c>
      <c r="P33" s="119">
        <v>48</v>
      </c>
      <c r="Q33" s="119">
        <v>2009</v>
      </c>
      <c r="R33" s="15"/>
      <c r="S33" s="237">
        <v>29.3</v>
      </c>
      <c r="T33" s="237">
        <v>21.4</v>
      </c>
      <c r="U33" s="237">
        <v>14.8</v>
      </c>
      <c r="V33" s="15"/>
    </row>
    <row r="34" spans="1:22" ht="12.75" x14ac:dyDescent="0.2">
      <c r="A34" s="19" t="s">
        <v>32</v>
      </c>
      <c r="B34" s="119" t="s">
        <v>607</v>
      </c>
      <c r="C34" s="119" t="s">
        <v>664</v>
      </c>
      <c r="D34" s="119" t="s">
        <v>665</v>
      </c>
      <c r="E34" s="127">
        <v>280</v>
      </c>
      <c r="F34" s="150"/>
      <c r="G34" s="237">
        <v>237.6</v>
      </c>
      <c r="H34" s="237">
        <v>170.2</v>
      </c>
      <c r="I34" s="237">
        <v>100.7</v>
      </c>
      <c r="J34" s="127">
        <v>80</v>
      </c>
      <c r="K34" s="150"/>
      <c r="L34" s="119">
        <v>35.299999999999997</v>
      </c>
      <c r="M34" s="119">
        <v>1994</v>
      </c>
      <c r="N34" s="119">
        <v>46.9</v>
      </c>
      <c r="O34" s="119">
        <v>2000</v>
      </c>
      <c r="P34" s="119">
        <v>31.3</v>
      </c>
      <c r="Q34" s="119">
        <v>2012</v>
      </c>
      <c r="R34" s="15"/>
      <c r="S34" s="237">
        <v>52.5</v>
      </c>
      <c r="T34" s="237">
        <v>44.3</v>
      </c>
      <c r="U34" s="237">
        <v>32.799999999999997</v>
      </c>
      <c r="V34" s="15"/>
    </row>
    <row r="35" spans="1:22" ht="12.75" x14ac:dyDescent="0.2">
      <c r="A35" s="19" t="s">
        <v>33</v>
      </c>
      <c r="B35" s="119" t="s">
        <v>666</v>
      </c>
      <c r="C35" s="119" t="s">
        <v>667</v>
      </c>
      <c r="D35" s="119" t="s">
        <v>668</v>
      </c>
      <c r="E35" s="127">
        <v>230</v>
      </c>
      <c r="F35" s="150"/>
      <c r="G35" s="237">
        <v>224.8</v>
      </c>
      <c r="H35" s="237">
        <v>180.8</v>
      </c>
      <c r="I35" s="237">
        <v>123.9</v>
      </c>
      <c r="J35" s="127">
        <v>69</v>
      </c>
      <c r="K35" s="150"/>
      <c r="L35" s="119" t="s">
        <v>154</v>
      </c>
      <c r="M35" s="119" t="s">
        <v>154</v>
      </c>
      <c r="N35" s="119">
        <v>36.1</v>
      </c>
      <c r="O35" s="119">
        <v>2000</v>
      </c>
      <c r="P35" s="119">
        <v>32.200000000000003</v>
      </c>
      <c r="Q35" s="119">
        <v>2010</v>
      </c>
      <c r="R35" s="15"/>
      <c r="S35" s="237">
        <v>60.6</v>
      </c>
      <c r="T35" s="237">
        <v>54.2</v>
      </c>
      <c r="U35" s="237">
        <v>44</v>
      </c>
      <c r="V35" s="15"/>
    </row>
    <row r="36" spans="1:22" ht="12.75" x14ac:dyDescent="0.2">
      <c r="A36" s="19" t="s">
        <v>34</v>
      </c>
      <c r="B36" s="119" t="s">
        <v>643</v>
      </c>
      <c r="C36" s="119" t="s">
        <v>618</v>
      </c>
      <c r="D36" s="119" t="s">
        <v>653</v>
      </c>
      <c r="E36" s="131">
        <v>170</v>
      </c>
      <c r="F36" s="54"/>
      <c r="G36" s="237">
        <v>144.6</v>
      </c>
      <c r="H36" s="237">
        <v>104.4</v>
      </c>
      <c r="I36" s="237">
        <v>72.8</v>
      </c>
      <c r="J36" s="131">
        <v>48</v>
      </c>
      <c r="K36" s="54"/>
      <c r="L36" s="119">
        <v>40.1</v>
      </c>
      <c r="M36" s="119">
        <v>1990</v>
      </c>
      <c r="N36" s="119">
        <v>28.3</v>
      </c>
      <c r="O36" s="119">
        <v>2000</v>
      </c>
      <c r="P36" s="119">
        <v>21.9</v>
      </c>
      <c r="Q36" s="119">
        <v>2012</v>
      </c>
      <c r="R36" s="32"/>
      <c r="S36" s="237">
        <v>37.799999999999997</v>
      </c>
      <c r="T36" s="237">
        <v>31.3</v>
      </c>
      <c r="U36" s="237">
        <v>24.9</v>
      </c>
      <c r="V36" s="32"/>
    </row>
    <row r="37" spans="1:22" ht="12.75" x14ac:dyDescent="0.2">
      <c r="A37" s="19" t="s">
        <v>35</v>
      </c>
      <c r="B37" s="119" t="s">
        <v>668</v>
      </c>
      <c r="C37" s="119" t="s">
        <v>669</v>
      </c>
      <c r="D37" s="119" t="s">
        <v>514</v>
      </c>
      <c r="E37" s="131">
        <v>140</v>
      </c>
      <c r="F37" s="54"/>
      <c r="G37" s="237">
        <v>125.9</v>
      </c>
      <c r="H37" s="237">
        <v>91.4</v>
      </c>
      <c r="I37" s="237">
        <v>52.7</v>
      </c>
      <c r="J37" s="131">
        <v>42</v>
      </c>
      <c r="K37" s="54"/>
      <c r="L37" s="119">
        <v>62.7</v>
      </c>
      <c r="M37" s="119">
        <v>1989</v>
      </c>
      <c r="N37" s="119">
        <v>54.2</v>
      </c>
      <c r="O37" s="119">
        <v>1999</v>
      </c>
      <c r="P37" s="119">
        <v>47.9</v>
      </c>
      <c r="Q37" s="119">
        <v>2006</v>
      </c>
      <c r="R37" s="32"/>
      <c r="S37" s="237">
        <v>51.1</v>
      </c>
      <c r="T37" s="237">
        <v>42.1</v>
      </c>
      <c r="U37" s="237">
        <v>29.2</v>
      </c>
      <c r="V37" s="32"/>
    </row>
    <row r="38" spans="1:22" ht="12.75" x14ac:dyDescent="0.2">
      <c r="A38" s="19" t="s">
        <v>36</v>
      </c>
      <c r="B38" s="119" t="s">
        <v>658</v>
      </c>
      <c r="C38" s="119" t="s">
        <v>670</v>
      </c>
      <c r="D38" s="119" t="s">
        <v>514</v>
      </c>
      <c r="E38" s="131">
        <v>110</v>
      </c>
      <c r="F38" s="54"/>
      <c r="G38" s="237">
        <v>84.3</v>
      </c>
      <c r="H38" s="237">
        <v>52.2</v>
      </c>
      <c r="I38" s="237">
        <v>29.3</v>
      </c>
      <c r="J38" s="131">
        <v>28</v>
      </c>
      <c r="K38" s="54"/>
      <c r="L38" s="119">
        <v>48.1</v>
      </c>
      <c r="M38" s="119">
        <v>1995</v>
      </c>
      <c r="N38" s="119">
        <v>42.4</v>
      </c>
      <c r="O38" s="119">
        <v>2000</v>
      </c>
      <c r="P38" s="119">
        <v>36.4</v>
      </c>
      <c r="Q38" s="119">
        <v>2013</v>
      </c>
      <c r="R38" s="32"/>
      <c r="S38" s="237">
        <v>30.8</v>
      </c>
      <c r="T38" s="237">
        <v>22.3</v>
      </c>
      <c r="U38" s="237">
        <v>14.4</v>
      </c>
      <c r="V38" s="32"/>
    </row>
    <row r="39" spans="1:22" ht="12.75" x14ac:dyDescent="0.2">
      <c r="A39" s="19" t="s">
        <v>37</v>
      </c>
      <c r="B39" s="119" t="s">
        <v>671</v>
      </c>
      <c r="C39" s="119" t="s">
        <v>672</v>
      </c>
      <c r="D39" s="119" t="s">
        <v>673</v>
      </c>
      <c r="E39" s="131">
        <v>28</v>
      </c>
      <c r="F39" s="54"/>
      <c r="G39" s="237">
        <v>53</v>
      </c>
      <c r="H39" s="237">
        <v>45</v>
      </c>
      <c r="I39" s="237">
        <v>34</v>
      </c>
      <c r="J39" s="131">
        <v>18</v>
      </c>
      <c r="K39" s="54"/>
      <c r="L39" s="119">
        <v>27.6</v>
      </c>
      <c r="M39" s="119">
        <v>1991</v>
      </c>
      <c r="N39" s="119">
        <v>28.3</v>
      </c>
      <c r="O39" s="119">
        <v>2000</v>
      </c>
      <c r="P39" s="119">
        <v>22.6</v>
      </c>
      <c r="Q39" s="119">
        <v>2011</v>
      </c>
      <c r="R39" s="32"/>
      <c r="S39" s="237">
        <v>26</v>
      </c>
      <c r="T39" s="237">
        <v>23</v>
      </c>
      <c r="U39" s="237">
        <v>19</v>
      </c>
      <c r="V39" s="32"/>
    </row>
    <row r="40" spans="1:22" ht="12.75" x14ac:dyDescent="0.2">
      <c r="A40" s="19" t="s">
        <v>38</v>
      </c>
      <c r="B40" s="119" t="s">
        <v>617</v>
      </c>
      <c r="C40" s="119" t="s">
        <v>660</v>
      </c>
      <c r="D40" s="119" t="s">
        <v>608</v>
      </c>
      <c r="E40" s="131">
        <v>120</v>
      </c>
      <c r="F40" s="54"/>
      <c r="G40" s="237">
        <v>98.7</v>
      </c>
      <c r="H40" s="237">
        <v>110.9</v>
      </c>
      <c r="I40" s="237">
        <v>70.7</v>
      </c>
      <c r="J40" s="131">
        <v>33</v>
      </c>
      <c r="K40" s="54"/>
      <c r="L40" s="119">
        <v>37</v>
      </c>
      <c r="M40" s="119">
        <v>1987</v>
      </c>
      <c r="N40" s="119">
        <v>41</v>
      </c>
      <c r="O40" s="119">
        <v>2000</v>
      </c>
      <c r="P40" s="119">
        <v>35.200000000000003</v>
      </c>
      <c r="Q40" s="119">
        <v>2009</v>
      </c>
      <c r="R40" s="32"/>
      <c r="S40" s="237">
        <v>32.799999999999997</v>
      </c>
      <c r="T40" s="237">
        <v>32.700000000000003</v>
      </c>
      <c r="U40" s="237">
        <v>26.3</v>
      </c>
      <c r="V40" s="32"/>
    </row>
    <row r="41" spans="1:22" ht="12.75" x14ac:dyDescent="0.2">
      <c r="A41" s="19" t="s">
        <v>39</v>
      </c>
      <c r="B41" s="119" t="s">
        <v>623</v>
      </c>
      <c r="C41" s="119" t="s">
        <v>674</v>
      </c>
      <c r="D41" s="119" t="s">
        <v>649</v>
      </c>
      <c r="E41" s="131">
        <v>21</v>
      </c>
      <c r="F41" s="54"/>
      <c r="G41" s="237">
        <v>65.7</v>
      </c>
      <c r="H41" s="237">
        <v>49.2</v>
      </c>
      <c r="I41" s="237">
        <v>24.2</v>
      </c>
      <c r="J41" s="131">
        <v>24</v>
      </c>
      <c r="K41" s="54"/>
      <c r="L41" s="119">
        <v>36.200000000000003</v>
      </c>
      <c r="M41" s="119">
        <v>1997</v>
      </c>
      <c r="N41" s="119">
        <v>18.100000000000001</v>
      </c>
      <c r="O41" s="119">
        <v>2006</v>
      </c>
      <c r="P41" s="119">
        <v>17.8</v>
      </c>
      <c r="Q41" s="119">
        <v>2012</v>
      </c>
      <c r="R41" s="32"/>
      <c r="S41" s="237">
        <v>28.2</v>
      </c>
      <c r="T41" s="237">
        <v>23.1</v>
      </c>
      <c r="U41" s="237">
        <v>13.3</v>
      </c>
      <c r="V41" s="32"/>
    </row>
    <row r="42" spans="1:22" ht="12.75" x14ac:dyDescent="0.2">
      <c r="A42" s="19" t="s">
        <v>40</v>
      </c>
      <c r="B42" s="119" t="s">
        <v>607</v>
      </c>
      <c r="C42" s="119" t="s">
        <v>616</v>
      </c>
      <c r="D42" s="119" t="s">
        <v>675</v>
      </c>
      <c r="E42" s="131">
        <v>280</v>
      </c>
      <c r="F42" s="54"/>
      <c r="G42" s="237">
        <v>162</v>
      </c>
      <c r="H42" s="237">
        <v>117</v>
      </c>
      <c r="I42" s="237">
        <v>71</v>
      </c>
      <c r="J42" s="131">
        <v>54</v>
      </c>
      <c r="K42" s="54"/>
      <c r="L42" s="119">
        <v>53.6</v>
      </c>
      <c r="M42" s="119">
        <v>1993</v>
      </c>
      <c r="N42" s="119">
        <v>48.2</v>
      </c>
      <c r="O42" s="119">
        <v>2000</v>
      </c>
      <c r="P42" s="119">
        <v>43.8</v>
      </c>
      <c r="Q42" s="119">
        <v>2011</v>
      </c>
      <c r="R42" s="32"/>
      <c r="S42" s="237">
        <v>48</v>
      </c>
      <c r="T42" s="237">
        <v>40</v>
      </c>
      <c r="U42" s="237">
        <v>29</v>
      </c>
      <c r="V42" s="32"/>
    </row>
    <row r="43" spans="1:22" ht="12.75" x14ac:dyDescent="0.2">
      <c r="A43" s="19" t="s">
        <v>41</v>
      </c>
      <c r="B43" s="119" t="s">
        <v>631</v>
      </c>
      <c r="C43" s="119" t="s">
        <v>676</v>
      </c>
      <c r="D43" s="119" t="s">
        <v>617</v>
      </c>
      <c r="E43" s="131">
        <v>180</v>
      </c>
      <c r="F43" s="54"/>
      <c r="G43" s="237">
        <v>86.3</v>
      </c>
      <c r="H43" s="237">
        <v>114.6</v>
      </c>
      <c r="I43" s="237">
        <v>98</v>
      </c>
      <c r="J43" s="131">
        <v>28</v>
      </c>
      <c r="K43" s="54"/>
      <c r="L43" s="119">
        <v>39.200000000000003</v>
      </c>
      <c r="M43" s="119">
        <v>1992</v>
      </c>
      <c r="N43" s="119">
        <v>53</v>
      </c>
      <c r="O43" s="119">
        <v>2000</v>
      </c>
      <c r="P43" s="119">
        <v>41.8</v>
      </c>
      <c r="Q43" s="119">
        <v>2010</v>
      </c>
      <c r="R43" s="32"/>
      <c r="S43" s="237">
        <v>44.6</v>
      </c>
      <c r="T43" s="237">
        <v>40.700000000000003</v>
      </c>
      <c r="U43" s="237">
        <v>43.9</v>
      </c>
      <c r="V43" s="32"/>
    </row>
    <row r="44" spans="1:22" ht="12.75" x14ac:dyDescent="0.2">
      <c r="A44" s="19" t="s">
        <v>42</v>
      </c>
      <c r="B44" s="119" t="s">
        <v>606</v>
      </c>
      <c r="C44" s="119" t="s">
        <v>607</v>
      </c>
      <c r="D44" s="119" t="s">
        <v>677</v>
      </c>
      <c r="E44" s="131">
        <v>300</v>
      </c>
      <c r="F44" s="54"/>
      <c r="G44" s="237">
        <v>248</v>
      </c>
      <c r="H44" s="237">
        <v>175.2</v>
      </c>
      <c r="I44" s="237">
        <v>71.099999999999994</v>
      </c>
      <c r="J44" s="131">
        <v>83</v>
      </c>
      <c r="K44" s="54"/>
      <c r="L44" s="119" t="s">
        <v>154</v>
      </c>
      <c r="M44" s="119" t="s">
        <v>154</v>
      </c>
      <c r="N44" s="119">
        <v>45.3</v>
      </c>
      <c r="O44" s="119">
        <v>2000</v>
      </c>
      <c r="P44" s="119">
        <v>39.4</v>
      </c>
      <c r="Q44" s="119">
        <v>2007</v>
      </c>
      <c r="R44" s="32"/>
      <c r="S44" s="237">
        <v>52.1</v>
      </c>
      <c r="T44" s="237">
        <v>43.8</v>
      </c>
      <c r="U44" s="237">
        <v>25.6</v>
      </c>
      <c r="V44" s="32"/>
    </row>
    <row r="45" spans="1:22" ht="12.75" x14ac:dyDescent="0.2">
      <c r="A45" s="19" t="s">
        <v>43</v>
      </c>
      <c r="B45" s="119" t="s">
        <v>629</v>
      </c>
      <c r="C45" s="119" t="s">
        <v>613</v>
      </c>
      <c r="D45" s="119" t="s">
        <v>678</v>
      </c>
      <c r="E45" s="131">
        <v>190</v>
      </c>
      <c r="F45" s="54"/>
      <c r="G45" s="237">
        <v>160.80000000000001</v>
      </c>
      <c r="H45" s="237">
        <v>110.6</v>
      </c>
      <c r="I45" s="237">
        <v>56</v>
      </c>
      <c r="J45" s="131">
        <v>53</v>
      </c>
      <c r="K45" s="54"/>
      <c r="L45" s="119">
        <v>60.9</v>
      </c>
      <c r="M45" s="119">
        <v>1992</v>
      </c>
      <c r="N45" s="119">
        <v>58.2</v>
      </c>
      <c r="O45" s="119">
        <v>1997</v>
      </c>
      <c r="P45" s="119">
        <v>49.2</v>
      </c>
      <c r="Q45" s="119">
        <v>2009</v>
      </c>
      <c r="R45" s="32"/>
      <c r="S45" s="237">
        <v>41.2</v>
      </c>
      <c r="T45" s="237">
        <v>33.299999999999997</v>
      </c>
      <c r="U45" s="237">
        <v>21.4</v>
      </c>
      <c r="V45" s="32"/>
    </row>
    <row r="46" spans="1:22" ht="12.75" x14ac:dyDescent="0.2">
      <c r="A46" s="19" t="s">
        <v>44</v>
      </c>
      <c r="B46" s="119" t="s">
        <v>607</v>
      </c>
      <c r="C46" s="119" t="s">
        <v>679</v>
      </c>
      <c r="D46" s="119" t="s">
        <v>618</v>
      </c>
      <c r="E46" s="131">
        <v>280</v>
      </c>
      <c r="F46" s="54"/>
      <c r="G46" s="237">
        <v>245.3</v>
      </c>
      <c r="H46" s="237">
        <v>174.2</v>
      </c>
      <c r="I46" s="237">
        <v>67.900000000000006</v>
      </c>
      <c r="J46" s="131">
        <v>81</v>
      </c>
      <c r="K46" s="54"/>
      <c r="L46" s="119">
        <v>55.8</v>
      </c>
      <c r="M46" s="119">
        <v>1992</v>
      </c>
      <c r="N46" s="119">
        <v>54.6</v>
      </c>
      <c r="O46" s="119">
        <v>2000</v>
      </c>
      <c r="P46" s="119">
        <v>47.8</v>
      </c>
      <c r="Q46" s="119">
        <v>2010</v>
      </c>
      <c r="R46" s="32"/>
      <c r="S46" s="237">
        <v>50</v>
      </c>
      <c r="T46" s="237">
        <v>40.1</v>
      </c>
      <c r="U46" s="237">
        <v>23.2</v>
      </c>
      <c r="V46" s="32"/>
    </row>
    <row r="47" spans="1:22" ht="12.75" x14ac:dyDescent="0.2">
      <c r="A47" s="19" t="s">
        <v>45</v>
      </c>
      <c r="B47" s="119" t="s">
        <v>607</v>
      </c>
      <c r="C47" s="119" t="s">
        <v>680</v>
      </c>
      <c r="D47" s="119" t="s">
        <v>613</v>
      </c>
      <c r="E47" s="131">
        <v>280</v>
      </c>
      <c r="F47" s="54"/>
      <c r="G47" s="237">
        <v>254.2</v>
      </c>
      <c r="H47" s="237">
        <v>219.9</v>
      </c>
      <c r="I47" s="237">
        <v>122.7</v>
      </c>
      <c r="J47" s="131">
        <v>84</v>
      </c>
      <c r="K47" s="54"/>
      <c r="L47" s="119">
        <v>35.799999999999997</v>
      </c>
      <c r="M47" s="119">
        <v>1987</v>
      </c>
      <c r="N47" s="119">
        <v>42.7</v>
      </c>
      <c r="O47" s="119">
        <v>2001</v>
      </c>
      <c r="P47" s="119">
        <v>38.5</v>
      </c>
      <c r="Q47" s="119">
        <v>2006</v>
      </c>
      <c r="R47" s="32"/>
      <c r="S47" s="237">
        <v>58.9</v>
      </c>
      <c r="T47" s="237">
        <v>54.9</v>
      </c>
      <c r="U47" s="237">
        <v>40.200000000000003</v>
      </c>
      <c r="V47" s="32"/>
    </row>
    <row r="48" spans="1:22" ht="12.75" x14ac:dyDescent="0.2">
      <c r="A48" s="19" t="s">
        <v>46</v>
      </c>
      <c r="B48" s="119" t="s">
        <v>640</v>
      </c>
      <c r="C48" s="119" t="s">
        <v>641</v>
      </c>
      <c r="D48" s="119" t="s">
        <v>681</v>
      </c>
      <c r="E48" s="131">
        <v>160</v>
      </c>
      <c r="F48" s="54"/>
      <c r="G48" s="237">
        <v>118</v>
      </c>
      <c r="H48" s="237">
        <v>113</v>
      </c>
      <c r="I48" s="237">
        <v>90</v>
      </c>
      <c r="J48" s="131">
        <v>43</v>
      </c>
      <c r="K48" s="54"/>
      <c r="L48" s="119">
        <v>54.8</v>
      </c>
      <c r="M48" s="119">
        <v>1990</v>
      </c>
      <c r="N48" s="119">
        <v>39.5</v>
      </c>
      <c r="O48" s="119">
        <v>2000</v>
      </c>
      <c r="P48" s="119">
        <v>22</v>
      </c>
      <c r="Q48" s="119">
        <v>2012</v>
      </c>
      <c r="R48" s="32"/>
      <c r="S48" s="237">
        <v>41</v>
      </c>
      <c r="T48" s="237">
        <v>40</v>
      </c>
      <c r="U48" s="237">
        <v>35</v>
      </c>
      <c r="V48" s="32"/>
    </row>
    <row r="49" spans="1:22" ht="12.75" x14ac:dyDescent="0.2">
      <c r="A49" s="19" t="s">
        <v>47</v>
      </c>
      <c r="B49" s="119" t="s">
        <v>682</v>
      </c>
      <c r="C49" s="119" t="s">
        <v>673</v>
      </c>
      <c r="D49" s="119" t="s">
        <v>683</v>
      </c>
      <c r="E49" s="131">
        <v>22</v>
      </c>
      <c r="F49" s="54"/>
      <c r="G49" s="237">
        <v>46.4</v>
      </c>
      <c r="H49" s="237">
        <v>25.6</v>
      </c>
      <c r="I49" s="237">
        <v>14.5</v>
      </c>
      <c r="J49" s="131">
        <v>15</v>
      </c>
      <c r="K49" s="54"/>
      <c r="L49" s="119">
        <v>26</v>
      </c>
      <c r="M49" s="119">
        <v>1989</v>
      </c>
      <c r="N49" s="119">
        <v>21.7</v>
      </c>
      <c r="O49" s="119">
        <v>1998</v>
      </c>
      <c r="P49" s="119">
        <v>13.6</v>
      </c>
      <c r="Q49" s="119">
        <v>2012</v>
      </c>
      <c r="R49" s="32"/>
      <c r="S49" s="237">
        <v>16.899999999999999</v>
      </c>
      <c r="T49" s="237">
        <v>10.7</v>
      </c>
      <c r="U49" s="237">
        <v>6.5</v>
      </c>
      <c r="V49" s="32"/>
    </row>
    <row r="50" spans="1:22" ht="12.75" x14ac:dyDescent="0.2">
      <c r="A50" s="19" t="s">
        <v>48</v>
      </c>
      <c r="B50" s="119" t="s">
        <v>670</v>
      </c>
      <c r="C50" s="119" t="s">
        <v>619</v>
      </c>
      <c r="D50" s="119" t="s">
        <v>622</v>
      </c>
      <c r="E50" s="131">
        <v>78</v>
      </c>
      <c r="F50" s="54"/>
      <c r="G50" s="237">
        <v>80.7</v>
      </c>
      <c r="H50" s="237">
        <v>50.8</v>
      </c>
      <c r="I50" s="237">
        <v>30.4</v>
      </c>
      <c r="J50" s="131">
        <v>27</v>
      </c>
      <c r="K50" s="54"/>
      <c r="L50" s="119">
        <v>34.5</v>
      </c>
      <c r="M50" s="119">
        <v>1987</v>
      </c>
      <c r="N50" s="119">
        <v>23.1</v>
      </c>
      <c r="O50" s="119">
        <v>2003</v>
      </c>
      <c r="P50" s="119">
        <v>14.9</v>
      </c>
      <c r="Q50" s="119">
        <v>2011</v>
      </c>
      <c r="R50" s="32"/>
      <c r="S50" s="237">
        <v>36.1</v>
      </c>
      <c r="T50" s="237">
        <v>26.3</v>
      </c>
      <c r="U50" s="237">
        <v>17.899999999999999</v>
      </c>
      <c r="V50" s="32"/>
    </row>
    <row r="51" spans="1:22" ht="12.75" x14ac:dyDescent="0.2">
      <c r="A51" s="19" t="s">
        <v>49</v>
      </c>
      <c r="B51" s="119" t="s">
        <v>627</v>
      </c>
      <c r="C51" s="119" t="s">
        <v>684</v>
      </c>
      <c r="D51" s="119" t="s">
        <v>641</v>
      </c>
      <c r="E51" s="131">
        <v>330</v>
      </c>
      <c r="F51" s="54"/>
      <c r="G51" s="237">
        <v>237</v>
      </c>
      <c r="H51" s="237">
        <v>168.5</v>
      </c>
      <c r="I51" s="237">
        <v>87.2</v>
      </c>
      <c r="J51" s="131">
        <v>78</v>
      </c>
      <c r="K51" s="54"/>
      <c r="L51" s="119">
        <v>59.9</v>
      </c>
      <c r="M51" s="119">
        <v>1995</v>
      </c>
      <c r="N51" s="119">
        <v>49.6</v>
      </c>
      <c r="O51" s="119">
        <v>2001</v>
      </c>
      <c r="P51" s="119">
        <v>43.1</v>
      </c>
      <c r="Q51" s="119">
        <v>2011</v>
      </c>
      <c r="R51" s="32"/>
      <c r="S51" s="237">
        <v>56.4</v>
      </c>
      <c r="T51" s="237">
        <v>45.7</v>
      </c>
      <c r="U51" s="237">
        <v>30.4</v>
      </c>
      <c r="V51" s="32"/>
    </row>
    <row r="52" spans="1:22" ht="12.75" x14ac:dyDescent="0.2">
      <c r="A52" s="19" t="s">
        <v>50</v>
      </c>
      <c r="B52" s="119" t="s">
        <v>626</v>
      </c>
      <c r="C52" s="119" t="s">
        <v>620</v>
      </c>
      <c r="D52" s="119" t="s">
        <v>619</v>
      </c>
      <c r="E52" s="131">
        <v>150</v>
      </c>
      <c r="F52" s="54"/>
      <c r="G52" s="237">
        <v>108.6</v>
      </c>
      <c r="H52" s="237">
        <v>79.5</v>
      </c>
      <c r="I52" s="237">
        <v>50.5</v>
      </c>
      <c r="J52" s="131">
        <v>35</v>
      </c>
      <c r="K52" s="54"/>
      <c r="L52" s="119">
        <v>53.6</v>
      </c>
      <c r="M52" s="119">
        <v>1991</v>
      </c>
      <c r="N52" s="119">
        <v>40.799999999999997</v>
      </c>
      <c r="O52" s="119">
        <v>2000</v>
      </c>
      <c r="P52" s="119">
        <v>35.1</v>
      </c>
      <c r="Q52" s="119">
        <v>2009</v>
      </c>
      <c r="R52" s="32"/>
      <c r="S52" s="237">
        <v>42.2</v>
      </c>
      <c r="T52" s="237">
        <v>34.799999999999997</v>
      </c>
      <c r="U52" s="237">
        <v>25.5</v>
      </c>
      <c r="V52" s="32"/>
    </row>
    <row r="53" spans="1:22" ht="12.75" x14ac:dyDescent="0.2">
      <c r="A53" s="19" t="s">
        <v>51</v>
      </c>
      <c r="B53" s="119" t="s">
        <v>651</v>
      </c>
      <c r="C53" s="119" t="s">
        <v>658</v>
      </c>
      <c r="D53" s="119" t="s">
        <v>514</v>
      </c>
      <c r="E53" s="131">
        <v>200</v>
      </c>
      <c r="F53" s="54"/>
      <c r="G53" s="237">
        <v>142.30000000000001</v>
      </c>
      <c r="H53" s="237">
        <v>81.900000000000006</v>
      </c>
      <c r="I53" s="237">
        <v>39.700000000000003</v>
      </c>
      <c r="J53" s="131">
        <v>47</v>
      </c>
      <c r="K53" s="54"/>
      <c r="L53" s="119">
        <v>68.2</v>
      </c>
      <c r="M53" s="119">
        <v>1995</v>
      </c>
      <c r="N53" s="119">
        <v>57.1</v>
      </c>
      <c r="O53" s="119">
        <v>2001</v>
      </c>
      <c r="P53" s="119">
        <v>40.5</v>
      </c>
      <c r="Q53" s="119">
        <v>2011</v>
      </c>
      <c r="R53" s="32"/>
      <c r="S53" s="237">
        <v>53.2</v>
      </c>
      <c r="T53" s="237">
        <v>38.1</v>
      </c>
      <c r="U53" s="237">
        <v>23</v>
      </c>
      <c r="V53" s="32"/>
    </row>
    <row r="54" spans="1:22" ht="12.75" x14ac:dyDescent="0.2">
      <c r="A54" s="19" t="s">
        <v>52</v>
      </c>
      <c r="B54" s="119" t="s">
        <v>628</v>
      </c>
      <c r="C54" s="119" t="s">
        <v>685</v>
      </c>
      <c r="D54" s="119" t="s">
        <v>640</v>
      </c>
      <c r="E54" s="131">
        <v>250</v>
      </c>
      <c r="F54" s="54"/>
      <c r="G54" s="237">
        <v>327.3</v>
      </c>
      <c r="H54" s="237">
        <v>226.9</v>
      </c>
      <c r="I54" s="237">
        <v>104.2</v>
      </c>
      <c r="J54" s="131">
        <v>109</v>
      </c>
      <c r="K54" s="54"/>
      <c r="L54" s="119">
        <v>48.3</v>
      </c>
      <c r="M54" s="119">
        <v>1992</v>
      </c>
      <c r="N54" s="119">
        <v>54.2</v>
      </c>
      <c r="O54" s="119">
        <v>2000</v>
      </c>
      <c r="P54" s="119">
        <v>43</v>
      </c>
      <c r="Q54" s="119">
        <v>2012</v>
      </c>
      <c r="R54" s="32"/>
      <c r="S54" s="237">
        <v>49.8</v>
      </c>
      <c r="T54" s="237">
        <v>42</v>
      </c>
      <c r="U54" s="237">
        <v>27.5</v>
      </c>
      <c r="V54" s="32"/>
    </row>
    <row r="55" spans="1:22" ht="12.75" x14ac:dyDescent="0.2">
      <c r="A55" s="19" t="s">
        <v>53</v>
      </c>
      <c r="B55" s="119" t="s">
        <v>606</v>
      </c>
      <c r="C55" s="119" t="s">
        <v>664</v>
      </c>
      <c r="D55" s="119" t="s">
        <v>668</v>
      </c>
      <c r="E55" s="131">
        <v>300</v>
      </c>
      <c r="F55" s="54"/>
      <c r="G55" s="237">
        <v>213.2</v>
      </c>
      <c r="H55" s="237">
        <v>187.7</v>
      </c>
      <c r="I55" s="237">
        <v>117.4</v>
      </c>
      <c r="J55" s="131">
        <v>71</v>
      </c>
      <c r="K55" s="54"/>
      <c r="L55" s="119">
        <v>50.5</v>
      </c>
      <c r="M55" s="119">
        <v>1990</v>
      </c>
      <c r="N55" s="119">
        <v>43</v>
      </c>
      <c r="O55" s="119">
        <v>2003</v>
      </c>
      <c r="P55" s="119">
        <v>36.4</v>
      </c>
      <c r="Q55" s="119">
        <v>2013</v>
      </c>
      <c r="R55" s="32"/>
      <c r="S55" s="237">
        <v>51.7</v>
      </c>
      <c r="T55" s="237">
        <v>48.5</v>
      </c>
      <c r="U55" s="237">
        <v>37.4</v>
      </c>
      <c r="V55" s="32"/>
    </row>
    <row r="56" spans="1:22" ht="12.75" x14ac:dyDescent="0.2">
      <c r="A56" s="19" t="s">
        <v>54</v>
      </c>
      <c r="B56" s="119" t="s">
        <v>608</v>
      </c>
      <c r="C56" s="119" t="s">
        <v>686</v>
      </c>
      <c r="D56" s="119" t="s">
        <v>615</v>
      </c>
      <c r="E56" s="131">
        <v>100</v>
      </c>
      <c r="F56" s="54"/>
      <c r="G56" s="237">
        <v>138.6</v>
      </c>
      <c r="H56" s="237">
        <v>112.6</v>
      </c>
      <c r="I56" s="237">
        <v>85.5</v>
      </c>
      <c r="J56" s="131">
        <v>46</v>
      </c>
      <c r="K56" s="54"/>
      <c r="L56" s="119">
        <v>54.5</v>
      </c>
      <c r="M56" s="119">
        <v>1991</v>
      </c>
      <c r="N56" s="119">
        <v>41.5</v>
      </c>
      <c r="O56" s="119">
        <v>2001</v>
      </c>
      <c r="P56" s="119">
        <v>45</v>
      </c>
      <c r="Q56" s="119">
        <v>2012</v>
      </c>
      <c r="R56" s="32"/>
      <c r="S56" s="237">
        <v>56.1</v>
      </c>
      <c r="T56" s="237">
        <v>49.8</v>
      </c>
      <c r="U56" s="237">
        <v>42</v>
      </c>
      <c r="V56" s="32"/>
    </row>
    <row r="57" spans="1:22" ht="12.75" x14ac:dyDescent="0.2">
      <c r="A57" s="19" t="s">
        <v>55</v>
      </c>
      <c r="B57" s="119" t="s">
        <v>687</v>
      </c>
      <c r="C57" s="119" t="s">
        <v>614</v>
      </c>
      <c r="D57" s="119" t="s">
        <v>675</v>
      </c>
      <c r="E57" s="131">
        <v>120</v>
      </c>
      <c r="F57" s="54"/>
      <c r="G57" s="237">
        <v>89.1</v>
      </c>
      <c r="H57" s="237">
        <v>78.400000000000006</v>
      </c>
      <c r="I57" s="237">
        <v>61.4</v>
      </c>
      <c r="J57" s="131">
        <v>30</v>
      </c>
      <c r="K57" s="54"/>
      <c r="L57" s="119">
        <v>46</v>
      </c>
      <c r="M57" s="119">
        <v>1983</v>
      </c>
      <c r="N57" s="119">
        <v>43.9</v>
      </c>
      <c r="O57" s="119">
        <v>2005</v>
      </c>
      <c r="P57" s="119">
        <v>49.5</v>
      </c>
      <c r="Q57" s="119">
        <v>2009</v>
      </c>
      <c r="R57" s="32"/>
      <c r="S57" s="237">
        <v>30.6</v>
      </c>
      <c r="T57" s="237">
        <v>28.2</v>
      </c>
      <c r="U57" s="237">
        <v>24</v>
      </c>
      <c r="V57" s="32"/>
    </row>
    <row r="58" spans="1:22" ht="12.75" x14ac:dyDescent="0.2">
      <c r="A58" s="19" t="s">
        <v>56</v>
      </c>
      <c r="B58" s="119" t="s">
        <v>688</v>
      </c>
      <c r="C58" s="119" t="s">
        <v>662</v>
      </c>
      <c r="D58" s="119" t="s">
        <v>689</v>
      </c>
      <c r="E58" s="131">
        <v>63</v>
      </c>
      <c r="F58" s="54"/>
      <c r="G58" s="237">
        <v>80</v>
      </c>
      <c r="H58" s="237">
        <v>39.799999999999997</v>
      </c>
      <c r="I58" s="237">
        <v>16.7</v>
      </c>
      <c r="J58" s="131">
        <v>26</v>
      </c>
      <c r="K58" s="54"/>
      <c r="L58" s="119">
        <v>37.299999999999997</v>
      </c>
      <c r="M58" s="119">
        <v>1991</v>
      </c>
      <c r="N58" s="119">
        <v>31.3</v>
      </c>
      <c r="O58" s="119">
        <v>2000</v>
      </c>
      <c r="P58" s="119">
        <v>18.399999999999999</v>
      </c>
      <c r="Q58" s="119">
        <v>2012</v>
      </c>
      <c r="R58" s="32"/>
      <c r="S58" s="237">
        <v>26.4</v>
      </c>
      <c r="T58" s="237">
        <v>16.2</v>
      </c>
      <c r="U58" s="237">
        <v>8</v>
      </c>
      <c r="V58" s="32"/>
    </row>
    <row r="59" spans="1:22" ht="12.75" x14ac:dyDescent="0.2">
      <c r="A59" s="19" t="s">
        <v>57</v>
      </c>
      <c r="B59" s="119" t="s">
        <v>671</v>
      </c>
      <c r="C59" s="119" t="s">
        <v>622</v>
      </c>
      <c r="D59" s="119" t="s">
        <v>622</v>
      </c>
      <c r="E59" s="131">
        <v>28</v>
      </c>
      <c r="F59" s="54"/>
      <c r="G59" s="237">
        <v>58.6</v>
      </c>
      <c r="H59" s="237">
        <v>39.9</v>
      </c>
      <c r="I59" s="237">
        <v>29.9</v>
      </c>
      <c r="J59" s="131">
        <v>20</v>
      </c>
      <c r="K59" s="54"/>
      <c r="L59" s="119">
        <v>43.3</v>
      </c>
      <c r="M59" s="119">
        <v>1990</v>
      </c>
      <c r="N59" s="119">
        <v>33.799999999999997</v>
      </c>
      <c r="O59" s="119">
        <v>2003</v>
      </c>
      <c r="P59" s="119">
        <v>30.3</v>
      </c>
      <c r="Q59" s="119">
        <v>2013</v>
      </c>
      <c r="R59" s="32"/>
      <c r="S59" s="237">
        <v>22.6</v>
      </c>
      <c r="T59" s="237">
        <v>17.100000000000001</v>
      </c>
      <c r="U59" s="237">
        <v>13.7</v>
      </c>
      <c r="V59" s="32"/>
    </row>
    <row r="60" spans="1:22" ht="12.75" x14ac:dyDescent="0.2">
      <c r="A60" s="19" t="s">
        <v>58</v>
      </c>
      <c r="B60" s="119" t="s">
        <v>609</v>
      </c>
      <c r="C60" s="119" t="s">
        <v>628</v>
      </c>
      <c r="D60" s="119" t="s">
        <v>681</v>
      </c>
      <c r="E60" s="131">
        <v>350</v>
      </c>
      <c r="F60" s="54"/>
      <c r="G60" s="237">
        <v>151.80000000000001</v>
      </c>
      <c r="H60" s="237">
        <v>181.9</v>
      </c>
      <c r="I60" s="237">
        <v>52</v>
      </c>
      <c r="J60" s="131">
        <v>50</v>
      </c>
      <c r="K60" s="54"/>
      <c r="L60" s="119">
        <v>56.8</v>
      </c>
      <c r="M60" s="119">
        <v>1992</v>
      </c>
      <c r="N60" s="119">
        <v>48.3</v>
      </c>
      <c r="O60" s="119">
        <v>2000</v>
      </c>
      <c r="P60" s="119">
        <v>44.3</v>
      </c>
      <c r="Q60" s="119">
        <v>2010</v>
      </c>
      <c r="R60" s="32"/>
      <c r="S60" s="237">
        <v>38.5</v>
      </c>
      <c r="T60" s="237">
        <v>42.7</v>
      </c>
      <c r="U60" s="237">
        <v>20.100000000000001</v>
      </c>
      <c r="V60" s="32"/>
    </row>
    <row r="61" spans="1:22" ht="12.75" x14ac:dyDescent="0.2">
      <c r="A61" s="19" t="s">
        <v>59</v>
      </c>
      <c r="B61" s="119" t="s">
        <v>645</v>
      </c>
      <c r="C61" s="119" t="s">
        <v>690</v>
      </c>
      <c r="D61" s="119" t="s">
        <v>691</v>
      </c>
      <c r="E61" s="127">
        <v>100</v>
      </c>
      <c r="F61" s="150"/>
      <c r="G61" s="237">
        <v>110.4</v>
      </c>
      <c r="H61" s="237">
        <v>89.3</v>
      </c>
      <c r="I61" s="237">
        <v>51</v>
      </c>
      <c r="J61" s="131">
        <v>35</v>
      </c>
      <c r="K61" s="54"/>
      <c r="L61" s="119">
        <v>32</v>
      </c>
      <c r="M61" s="119">
        <v>1986</v>
      </c>
      <c r="N61" s="119">
        <v>35.200000000000003</v>
      </c>
      <c r="O61" s="119">
        <v>2000</v>
      </c>
      <c r="P61" s="119">
        <v>31.6</v>
      </c>
      <c r="Q61" s="119">
        <v>2008</v>
      </c>
      <c r="R61" s="32"/>
      <c r="S61" s="237">
        <v>32.200000000000003</v>
      </c>
      <c r="T61" s="237">
        <v>28.3</v>
      </c>
      <c r="U61" s="237">
        <v>19.399999999999999</v>
      </c>
      <c r="V61" s="32"/>
    </row>
    <row r="62" spans="1:22" ht="12.75" x14ac:dyDescent="0.2">
      <c r="A62" s="19" t="s">
        <v>60</v>
      </c>
      <c r="B62" s="119" t="s">
        <v>496</v>
      </c>
      <c r="C62" s="119" t="s">
        <v>641</v>
      </c>
      <c r="D62" s="119" t="s">
        <v>681</v>
      </c>
      <c r="E62" s="127">
        <v>130</v>
      </c>
      <c r="F62" s="150"/>
      <c r="G62" s="237">
        <v>141</v>
      </c>
      <c r="H62" s="237">
        <v>137</v>
      </c>
      <c r="I62" s="237">
        <v>55</v>
      </c>
      <c r="J62" s="131">
        <v>47</v>
      </c>
      <c r="K62" s="54"/>
      <c r="L62" s="119">
        <v>34.4</v>
      </c>
      <c r="M62" s="119">
        <v>1992</v>
      </c>
      <c r="N62" s="119">
        <v>29.5</v>
      </c>
      <c r="O62" s="119">
        <v>2000</v>
      </c>
      <c r="P62" s="119">
        <v>19.2</v>
      </c>
      <c r="Q62" s="119">
        <v>2013</v>
      </c>
      <c r="R62" s="32"/>
      <c r="S62" s="237">
        <v>42</v>
      </c>
      <c r="T62" s="237">
        <v>41</v>
      </c>
      <c r="U62" s="237">
        <v>23</v>
      </c>
      <c r="V62" s="32"/>
    </row>
    <row r="63" spans="1:22" ht="12.75" x14ac:dyDescent="0.2">
      <c r="A63" s="19" t="s">
        <v>61</v>
      </c>
      <c r="B63" s="119" t="s">
        <v>692</v>
      </c>
      <c r="C63" s="119" t="s">
        <v>693</v>
      </c>
      <c r="D63" s="119" t="s">
        <v>607</v>
      </c>
      <c r="E63" s="131">
        <v>580</v>
      </c>
      <c r="F63" s="54"/>
      <c r="G63" s="237">
        <v>267.7</v>
      </c>
      <c r="H63" s="237">
        <v>231.5</v>
      </c>
      <c r="I63" s="237">
        <v>160.6</v>
      </c>
      <c r="J63" s="131">
        <v>86</v>
      </c>
      <c r="K63" s="54"/>
      <c r="L63" s="119">
        <v>40.9</v>
      </c>
      <c r="M63" s="119">
        <v>1990</v>
      </c>
      <c r="N63" s="119">
        <v>38.4</v>
      </c>
      <c r="O63" s="119">
        <v>2000</v>
      </c>
      <c r="P63" s="119">
        <v>44.9</v>
      </c>
      <c r="Q63" s="119">
        <v>2010</v>
      </c>
      <c r="R63" s="32"/>
      <c r="S63" s="237">
        <v>57.3</v>
      </c>
      <c r="T63" s="237">
        <v>53.5</v>
      </c>
      <c r="U63" s="237">
        <v>44.3</v>
      </c>
      <c r="V63" s="32"/>
    </row>
    <row r="64" spans="1:22" ht="12.75" x14ac:dyDescent="0.2">
      <c r="A64" s="19" t="s">
        <v>62</v>
      </c>
      <c r="B64" s="119" t="s">
        <v>681</v>
      </c>
      <c r="C64" s="119" t="s">
        <v>691</v>
      </c>
      <c r="D64" s="119" t="s">
        <v>694</v>
      </c>
      <c r="E64" s="131">
        <v>80</v>
      </c>
      <c r="F64" s="54"/>
      <c r="G64" s="237">
        <v>38.700000000000003</v>
      </c>
      <c r="H64" s="237">
        <v>34.4</v>
      </c>
      <c r="I64" s="237">
        <v>30.1</v>
      </c>
      <c r="J64" s="131">
        <v>13</v>
      </c>
      <c r="K64" s="54"/>
      <c r="L64" s="119">
        <v>33.700000000000003</v>
      </c>
      <c r="M64" s="119">
        <v>1989</v>
      </c>
      <c r="N64" s="119" t="s">
        <v>154</v>
      </c>
      <c r="O64" s="119" t="s">
        <v>154</v>
      </c>
      <c r="P64" s="119">
        <v>32.799999999999997</v>
      </c>
      <c r="Q64" s="119">
        <v>2007</v>
      </c>
      <c r="R64" s="32"/>
      <c r="S64" s="237">
        <v>16.100000000000001</v>
      </c>
      <c r="T64" s="237">
        <v>14.7</v>
      </c>
      <c r="U64" s="237">
        <v>13.2</v>
      </c>
      <c r="V64" s="32"/>
    </row>
    <row r="65" spans="1:22" ht="15" x14ac:dyDescent="0.2">
      <c r="A65" s="19" t="s">
        <v>63</v>
      </c>
      <c r="B65" s="119" t="s">
        <v>627</v>
      </c>
      <c r="C65" s="119" t="s">
        <v>606</v>
      </c>
      <c r="D65" s="119" t="s">
        <v>685</v>
      </c>
      <c r="E65" s="131">
        <v>330</v>
      </c>
      <c r="F65" s="54"/>
      <c r="G65" s="238">
        <v>179.7</v>
      </c>
      <c r="H65" s="237">
        <v>173.6</v>
      </c>
      <c r="I65" s="237">
        <v>145.6</v>
      </c>
      <c r="J65" s="131">
        <v>59</v>
      </c>
      <c r="K65" s="54"/>
      <c r="L65" s="119" t="s">
        <v>154</v>
      </c>
      <c r="M65" s="119" t="s">
        <v>154</v>
      </c>
      <c r="N65" s="119">
        <v>29.2</v>
      </c>
      <c r="O65" s="119">
        <v>2000</v>
      </c>
      <c r="P65" s="119">
        <v>42.1</v>
      </c>
      <c r="Q65" s="119">
        <v>2006</v>
      </c>
      <c r="R65" s="32"/>
      <c r="S65" s="237">
        <v>51.8</v>
      </c>
      <c r="T65" s="237">
        <v>50.9</v>
      </c>
      <c r="U65" s="237">
        <v>46.2</v>
      </c>
      <c r="V65" s="32"/>
    </row>
    <row r="66" spans="1:22" ht="12.75" x14ac:dyDescent="0.2">
      <c r="A66" s="19" t="s">
        <v>64</v>
      </c>
      <c r="B66" s="119" t="s">
        <v>695</v>
      </c>
      <c r="C66" s="119" t="s">
        <v>695</v>
      </c>
      <c r="D66" s="119" t="s">
        <v>663</v>
      </c>
      <c r="E66" s="131">
        <v>38</v>
      </c>
      <c r="F66" s="54"/>
      <c r="G66" s="237">
        <v>61</v>
      </c>
      <c r="H66" s="237">
        <v>74.3</v>
      </c>
      <c r="I66" s="237">
        <v>43.9</v>
      </c>
      <c r="J66" s="131">
        <v>20</v>
      </c>
      <c r="K66" s="54"/>
      <c r="L66" s="119">
        <v>31.5</v>
      </c>
      <c r="M66" s="119">
        <v>1994</v>
      </c>
      <c r="N66" s="119">
        <v>30.1</v>
      </c>
      <c r="O66" s="119">
        <v>1999</v>
      </c>
      <c r="P66" s="119">
        <v>23.9</v>
      </c>
      <c r="Q66" s="119">
        <v>2008</v>
      </c>
      <c r="R66" s="32"/>
      <c r="S66" s="237">
        <v>20.3</v>
      </c>
      <c r="T66" s="237">
        <v>18.2</v>
      </c>
      <c r="U66" s="237">
        <v>14.8</v>
      </c>
      <c r="V66" s="32"/>
    </row>
    <row r="67" spans="1:22" ht="12.75" x14ac:dyDescent="0.2">
      <c r="A67" s="19" t="s">
        <v>65</v>
      </c>
      <c r="B67" s="119" t="s">
        <v>696</v>
      </c>
      <c r="C67" s="119" t="s">
        <v>606</v>
      </c>
      <c r="D67" s="119" t="s">
        <v>647</v>
      </c>
      <c r="E67" s="127">
        <v>450</v>
      </c>
      <c r="F67" s="150"/>
      <c r="G67" s="237">
        <v>253</v>
      </c>
      <c r="H67" s="237">
        <v>183</v>
      </c>
      <c r="I67" s="237">
        <v>99</v>
      </c>
      <c r="J67" s="127">
        <v>84</v>
      </c>
      <c r="K67" s="150"/>
      <c r="L67" s="119" t="s">
        <v>154</v>
      </c>
      <c r="M67" s="119" t="s">
        <v>154</v>
      </c>
      <c r="N67" s="119">
        <v>36.200000000000003</v>
      </c>
      <c r="O67" s="119">
        <v>2006</v>
      </c>
      <c r="P67" s="119">
        <v>31.1</v>
      </c>
      <c r="Q67" s="119">
        <v>2010</v>
      </c>
      <c r="R67" s="15"/>
      <c r="S67" s="237">
        <v>65</v>
      </c>
      <c r="T67" s="237">
        <v>55</v>
      </c>
      <c r="U67" s="237">
        <v>39</v>
      </c>
      <c r="V67" s="32"/>
    </row>
    <row r="68" spans="1:22" ht="12.75" x14ac:dyDescent="0.2">
      <c r="A68" s="19" t="s">
        <v>66</v>
      </c>
      <c r="B68" s="119" t="s">
        <v>631</v>
      </c>
      <c r="C68" s="119" t="s">
        <v>630</v>
      </c>
      <c r="D68" s="119" t="s">
        <v>620</v>
      </c>
      <c r="E68" s="127">
        <v>180</v>
      </c>
      <c r="F68" s="150"/>
      <c r="G68" s="237">
        <v>128</v>
      </c>
      <c r="H68" s="237">
        <v>107.8</v>
      </c>
      <c r="I68" s="237">
        <v>76.599999999999994</v>
      </c>
      <c r="J68" s="127">
        <v>43</v>
      </c>
      <c r="K68" s="150"/>
      <c r="L68" s="119" t="s">
        <v>154</v>
      </c>
      <c r="M68" s="119" t="s">
        <v>154</v>
      </c>
      <c r="N68" s="119">
        <v>38.299999999999997</v>
      </c>
      <c r="O68" s="119">
        <v>2006</v>
      </c>
      <c r="P68" s="119">
        <v>35</v>
      </c>
      <c r="Q68" s="119">
        <v>2010</v>
      </c>
      <c r="R68" s="15"/>
      <c r="S68" s="237">
        <v>41</v>
      </c>
      <c r="T68" s="237">
        <v>37.1</v>
      </c>
      <c r="U68" s="237">
        <v>29.9</v>
      </c>
      <c r="V68" s="32"/>
    </row>
    <row r="69" spans="1:22" ht="12.75" x14ac:dyDescent="0.2">
      <c r="A69" s="19" t="s">
        <v>67</v>
      </c>
      <c r="B69" s="119" t="s">
        <v>613</v>
      </c>
      <c r="C69" s="119" t="s">
        <v>697</v>
      </c>
      <c r="D69" s="119" t="s">
        <v>670</v>
      </c>
      <c r="E69" s="131">
        <v>140</v>
      </c>
      <c r="F69" s="54"/>
      <c r="G69" s="237">
        <v>73.900000000000006</v>
      </c>
      <c r="H69" s="237">
        <v>122.5</v>
      </c>
      <c r="I69" s="237">
        <v>80</v>
      </c>
      <c r="J69" s="131">
        <v>24</v>
      </c>
      <c r="K69" s="54"/>
      <c r="L69" s="119" t="s">
        <v>154</v>
      </c>
      <c r="M69" s="119" t="s">
        <v>154</v>
      </c>
      <c r="N69" s="119">
        <v>36.6</v>
      </c>
      <c r="O69" s="119">
        <v>2000</v>
      </c>
      <c r="P69" s="119">
        <v>31</v>
      </c>
      <c r="Q69" s="119">
        <v>2010</v>
      </c>
      <c r="R69" s="32"/>
      <c r="S69" s="237">
        <v>29.5</v>
      </c>
      <c r="T69" s="237">
        <v>34.4</v>
      </c>
      <c r="U69" s="237">
        <v>29.8</v>
      </c>
      <c r="V69" s="32"/>
    </row>
    <row r="70" spans="1:22" ht="12.75" x14ac:dyDescent="0.2">
      <c r="A70" s="19" t="s">
        <v>68</v>
      </c>
      <c r="B70" s="119" t="s">
        <v>698</v>
      </c>
      <c r="C70" s="119" t="s">
        <v>689</v>
      </c>
      <c r="D70" s="119" t="s">
        <v>699</v>
      </c>
      <c r="E70" s="131">
        <v>17</v>
      </c>
      <c r="F70" s="54"/>
      <c r="G70" s="237">
        <v>108.2</v>
      </c>
      <c r="H70" s="237">
        <v>93.5</v>
      </c>
      <c r="I70" s="237">
        <v>47.7</v>
      </c>
      <c r="J70" s="131">
        <v>35</v>
      </c>
      <c r="K70" s="54"/>
      <c r="L70" s="119" t="s">
        <v>154</v>
      </c>
      <c r="M70" s="119" t="s">
        <v>154</v>
      </c>
      <c r="N70" s="119">
        <v>42.1</v>
      </c>
      <c r="O70" s="119">
        <v>2000</v>
      </c>
      <c r="P70" s="119">
        <v>26.8</v>
      </c>
      <c r="Q70" s="119">
        <v>2012</v>
      </c>
      <c r="R70" s="32"/>
      <c r="S70" s="237">
        <v>37.6</v>
      </c>
      <c r="T70" s="237">
        <v>34.4</v>
      </c>
      <c r="U70" s="237">
        <v>21.9</v>
      </c>
      <c r="V70" s="32"/>
    </row>
    <row r="71" spans="1:22" ht="12.75" x14ac:dyDescent="0.2">
      <c r="A71" s="19" t="s">
        <v>70</v>
      </c>
      <c r="B71" s="119" t="s">
        <v>700</v>
      </c>
      <c r="C71" s="119" t="s">
        <v>626</v>
      </c>
      <c r="D71" s="119" t="s">
        <v>701</v>
      </c>
      <c r="E71" s="131">
        <v>170</v>
      </c>
      <c r="F71" s="54"/>
      <c r="G71" s="237">
        <v>146.4</v>
      </c>
      <c r="H71" s="237">
        <v>121.8</v>
      </c>
      <c r="I71" s="237">
        <v>84.7</v>
      </c>
      <c r="J71" s="131">
        <v>48</v>
      </c>
      <c r="K71" s="54"/>
      <c r="L71" s="119">
        <v>40.700000000000003</v>
      </c>
      <c r="M71" s="119">
        <v>1988</v>
      </c>
      <c r="N71" s="119">
        <v>33.200000000000003</v>
      </c>
      <c r="O71" s="119">
        <v>1998</v>
      </c>
      <c r="P71" s="119">
        <v>29.8</v>
      </c>
      <c r="Q71" s="119">
        <v>2010</v>
      </c>
      <c r="R71" s="32"/>
      <c r="S71" s="237">
        <v>42.1</v>
      </c>
      <c r="T71" s="237">
        <v>37.9</v>
      </c>
      <c r="U71" s="237">
        <v>30.4</v>
      </c>
      <c r="V71" s="32"/>
    </row>
    <row r="72" spans="1:22" ht="12.75" x14ac:dyDescent="0.2">
      <c r="A72" s="19" t="s">
        <v>71</v>
      </c>
      <c r="B72" s="119" t="s">
        <v>604</v>
      </c>
      <c r="C72" s="119" t="s">
        <v>702</v>
      </c>
      <c r="D72" s="119" t="s">
        <v>703</v>
      </c>
      <c r="E72" s="131">
        <v>17</v>
      </c>
      <c r="F72" s="54"/>
      <c r="G72" s="237">
        <v>91</v>
      </c>
      <c r="H72" s="237">
        <v>82</v>
      </c>
      <c r="I72" s="237">
        <v>55</v>
      </c>
      <c r="J72" s="131">
        <v>30</v>
      </c>
      <c r="K72" s="54"/>
      <c r="L72" s="119" t="s">
        <v>154</v>
      </c>
      <c r="M72" s="119" t="s">
        <v>154</v>
      </c>
      <c r="N72" s="119">
        <v>28.1</v>
      </c>
      <c r="O72" s="119">
        <v>2000</v>
      </c>
      <c r="P72" s="119" t="s">
        <v>154</v>
      </c>
      <c r="Q72" s="119" t="s">
        <v>154</v>
      </c>
      <c r="R72" s="32"/>
      <c r="S72" s="237">
        <v>32</v>
      </c>
      <c r="T72" s="237">
        <v>30</v>
      </c>
      <c r="U72" s="237">
        <v>23</v>
      </c>
      <c r="V72" s="32"/>
    </row>
    <row r="73" spans="1:22" ht="12.75" x14ac:dyDescent="0.2">
      <c r="A73" s="19" t="s">
        <v>72</v>
      </c>
      <c r="B73" s="119" t="s">
        <v>704</v>
      </c>
      <c r="C73" s="119" t="s">
        <v>665</v>
      </c>
      <c r="D73" s="119" t="s">
        <v>620</v>
      </c>
      <c r="E73" s="131">
        <v>200</v>
      </c>
      <c r="F73" s="54"/>
      <c r="G73" s="237">
        <v>178.7</v>
      </c>
      <c r="H73" s="237">
        <v>147</v>
      </c>
      <c r="I73" s="237">
        <v>66.099999999999994</v>
      </c>
      <c r="J73" s="131">
        <v>59</v>
      </c>
      <c r="K73" s="54"/>
      <c r="L73" s="119">
        <v>47.6</v>
      </c>
      <c r="M73" s="119">
        <v>1988</v>
      </c>
      <c r="N73" s="119">
        <v>44.8</v>
      </c>
      <c r="O73" s="119">
        <v>2000</v>
      </c>
      <c r="P73" s="119">
        <v>33.700000000000003</v>
      </c>
      <c r="Q73" s="119">
        <v>2011</v>
      </c>
      <c r="R73" s="32"/>
      <c r="S73" s="237">
        <v>39.5</v>
      </c>
      <c r="T73" s="237">
        <v>35.9</v>
      </c>
      <c r="U73" s="237">
        <v>22.1</v>
      </c>
      <c r="V73" s="32"/>
    </row>
    <row r="74" spans="1:22" ht="12.75" x14ac:dyDescent="0.2">
      <c r="A74" s="19" t="s">
        <v>69</v>
      </c>
      <c r="B74" s="119" t="s">
        <v>705</v>
      </c>
      <c r="C74" s="119" t="s">
        <v>625</v>
      </c>
      <c r="D74" s="119" t="s">
        <v>645</v>
      </c>
      <c r="E74" s="131">
        <v>230</v>
      </c>
      <c r="F74" s="54"/>
      <c r="G74" s="237">
        <v>167</v>
      </c>
      <c r="H74" s="237">
        <v>131.5</v>
      </c>
      <c r="I74" s="237">
        <v>51.8</v>
      </c>
      <c r="J74" s="131">
        <v>55</v>
      </c>
      <c r="K74" s="54"/>
      <c r="L74" s="119">
        <v>49.7</v>
      </c>
      <c r="M74" s="119">
        <v>1991</v>
      </c>
      <c r="N74" s="119">
        <v>48.3</v>
      </c>
      <c r="O74" s="119">
        <v>1999</v>
      </c>
      <c r="P74" s="119">
        <v>34.799999999999997</v>
      </c>
      <c r="Q74" s="119">
        <v>2011</v>
      </c>
      <c r="R74" s="32"/>
      <c r="S74" s="237">
        <v>43.3</v>
      </c>
      <c r="T74" s="237">
        <v>36.5</v>
      </c>
      <c r="U74" s="237">
        <v>20.7</v>
      </c>
      <c r="V74" s="32"/>
    </row>
    <row r="75" spans="1:22" ht="12.75" x14ac:dyDescent="0.2">
      <c r="A75" s="19" t="s">
        <v>73</v>
      </c>
      <c r="B75" s="119" t="s">
        <v>604</v>
      </c>
      <c r="C75" s="119" t="s">
        <v>706</v>
      </c>
      <c r="D75" s="119" t="s">
        <v>572</v>
      </c>
      <c r="E75" s="131">
        <v>17</v>
      </c>
      <c r="F75" s="54"/>
      <c r="G75" s="237">
        <v>71</v>
      </c>
      <c r="H75" s="237">
        <v>64</v>
      </c>
      <c r="I75" s="237">
        <v>43</v>
      </c>
      <c r="J75" s="131">
        <v>25</v>
      </c>
      <c r="K75" s="54"/>
      <c r="L75" s="119">
        <v>39.5</v>
      </c>
      <c r="M75" s="119">
        <v>1996</v>
      </c>
      <c r="N75" s="119">
        <v>25.3</v>
      </c>
      <c r="O75" s="119">
        <v>2002</v>
      </c>
      <c r="P75" s="119">
        <v>19.600000000000001</v>
      </c>
      <c r="Q75" s="119">
        <v>2006</v>
      </c>
      <c r="R75" s="32"/>
      <c r="S75" s="237">
        <v>20</v>
      </c>
      <c r="T75" s="237">
        <v>19</v>
      </c>
      <c r="U75" s="237">
        <v>14</v>
      </c>
      <c r="V75" s="32"/>
    </row>
    <row r="76" spans="1:22" ht="12.75" x14ac:dyDescent="0.2">
      <c r="A76" s="19" t="s">
        <v>74</v>
      </c>
      <c r="B76" s="119" t="s">
        <v>663</v>
      </c>
      <c r="C76" s="119" t="s">
        <v>707</v>
      </c>
      <c r="D76" s="119" t="s">
        <v>683</v>
      </c>
      <c r="E76" s="131">
        <v>35</v>
      </c>
      <c r="F76" s="54"/>
      <c r="G76" s="237">
        <v>51</v>
      </c>
      <c r="H76" s="237">
        <v>35</v>
      </c>
      <c r="I76" s="237">
        <v>24</v>
      </c>
      <c r="J76" s="131">
        <v>17</v>
      </c>
      <c r="K76" s="54"/>
      <c r="L76" s="119">
        <v>61.3</v>
      </c>
      <c r="M76" s="119">
        <v>1988</v>
      </c>
      <c r="N76" s="119">
        <v>43.4</v>
      </c>
      <c r="O76" s="119">
        <v>2000</v>
      </c>
      <c r="P76" s="119">
        <v>23.3</v>
      </c>
      <c r="Q76" s="119">
        <v>2011</v>
      </c>
      <c r="R76" s="32"/>
      <c r="S76" s="237">
        <v>23</v>
      </c>
      <c r="T76" s="237">
        <v>17</v>
      </c>
      <c r="U76" s="237">
        <v>13</v>
      </c>
      <c r="V76" s="32"/>
    </row>
    <row r="77" spans="1:22" ht="12.75" x14ac:dyDescent="0.2">
      <c r="A77" s="19" t="s">
        <v>75</v>
      </c>
      <c r="B77" s="119" t="s">
        <v>610</v>
      </c>
      <c r="C77" s="119" t="s">
        <v>669</v>
      </c>
      <c r="D77" s="119" t="s">
        <v>661</v>
      </c>
      <c r="E77" s="131">
        <v>120</v>
      </c>
      <c r="F77" s="54"/>
      <c r="G77" s="237">
        <v>125</v>
      </c>
      <c r="H77" s="237">
        <v>96</v>
      </c>
      <c r="I77" s="237">
        <v>51</v>
      </c>
      <c r="J77" s="131">
        <v>42</v>
      </c>
      <c r="K77" s="54"/>
      <c r="L77" s="119">
        <v>52.4</v>
      </c>
      <c r="M77" s="119">
        <v>1991</v>
      </c>
      <c r="N77" s="119">
        <v>57.7</v>
      </c>
      <c r="O77" s="119">
        <v>2003</v>
      </c>
      <c r="P77" s="119">
        <v>46.6</v>
      </c>
      <c r="Q77" s="119">
        <v>2011</v>
      </c>
      <c r="R77" s="32"/>
      <c r="S77" s="237">
        <v>43</v>
      </c>
      <c r="T77" s="237">
        <v>37</v>
      </c>
      <c r="U77" s="237">
        <v>24</v>
      </c>
      <c r="V77" s="15"/>
    </row>
    <row r="78" spans="1:22" ht="12.75" x14ac:dyDescent="0.2">
      <c r="A78" s="19" t="s">
        <v>76</v>
      </c>
      <c r="B78" s="119" t="s">
        <v>626</v>
      </c>
      <c r="C78" s="119" t="s">
        <v>644</v>
      </c>
      <c r="D78" s="119" t="s">
        <v>686</v>
      </c>
      <c r="E78" s="131">
        <v>150</v>
      </c>
      <c r="F78" s="54"/>
      <c r="G78" s="237">
        <v>193</v>
      </c>
      <c r="H78" s="237">
        <v>169</v>
      </c>
      <c r="I78" s="237">
        <v>87</v>
      </c>
      <c r="J78" s="131">
        <v>64</v>
      </c>
      <c r="K78" s="54"/>
      <c r="L78" s="119">
        <v>46.4</v>
      </c>
      <c r="M78" s="119">
        <v>1992</v>
      </c>
      <c r="N78" s="119">
        <v>52.5</v>
      </c>
      <c r="O78" s="119">
        <v>2002</v>
      </c>
      <c r="P78" s="119">
        <v>45.8</v>
      </c>
      <c r="Q78" s="119">
        <v>2007</v>
      </c>
      <c r="R78" s="32"/>
      <c r="S78" s="237">
        <v>44</v>
      </c>
      <c r="T78" s="237">
        <v>40</v>
      </c>
      <c r="U78" s="237">
        <v>29</v>
      </c>
      <c r="V78" s="15"/>
    </row>
    <row r="79" spans="1:22" ht="12.75" x14ac:dyDescent="0.2">
      <c r="A79" s="19" t="s">
        <v>77</v>
      </c>
      <c r="B79" s="119" t="s">
        <v>697</v>
      </c>
      <c r="C79" s="119" t="s">
        <v>676</v>
      </c>
      <c r="D79" s="119" t="s">
        <v>687</v>
      </c>
      <c r="E79" s="131">
        <v>130</v>
      </c>
      <c r="F79" s="54"/>
      <c r="G79" s="237">
        <v>74.599999999999994</v>
      </c>
      <c r="H79" s="237">
        <v>102.6</v>
      </c>
      <c r="I79" s="237">
        <v>88.5</v>
      </c>
      <c r="J79" s="131">
        <v>25</v>
      </c>
      <c r="K79" s="54"/>
      <c r="L79" s="119">
        <v>31</v>
      </c>
      <c r="M79" s="119">
        <v>1988</v>
      </c>
      <c r="N79" s="119">
        <v>33.700000000000003</v>
      </c>
      <c r="O79" s="119">
        <v>1999</v>
      </c>
      <c r="P79" s="119">
        <v>32.299999999999997</v>
      </c>
      <c r="Q79" s="119">
        <v>2010</v>
      </c>
      <c r="R79" s="32"/>
      <c r="S79" s="237">
        <v>31</v>
      </c>
      <c r="T79" s="237">
        <v>29.1</v>
      </c>
      <c r="U79" s="237">
        <v>39.200000000000003</v>
      </c>
      <c r="V79" s="15"/>
    </row>
    <row r="80" spans="1:22" x14ac:dyDescent="0.2">
      <c r="A80" s="44" t="s">
        <v>255</v>
      </c>
      <c r="B80" s="19"/>
      <c r="C80" s="19"/>
      <c r="D80" s="19"/>
      <c r="E80" s="19"/>
      <c r="F80" s="19"/>
      <c r="G80" s="19"/>
      <c r="H80" s="19"/>
      <c r="I80" s="19"/>
      <c r="J80" s="19"/>
      <c r="K80" s="19"/>
      <c r="L80" s="19"/>
      <c r="M80" s="19"/>
      <c r="N80" s="19"/>
      <c r="O80" s="19"/>
      <c r="P80" s="19"/>
      <c r="Q80" s="19"/>
      <c r="R80" s="19"/>
      <c r="S80" s="19"/>
      <c r="T80" s="19"/>
      <c r="U80" s="19"/>
      <c r="V80" s="19"/>
    </row>
    <row r="81" spans="1:22" x14ac:dyDescent="0.2">
      <c r="A81" s="44" t="s">
        <v>256</v>
      </c>
      <c r="B81" s="19"/>
      <c r="C81" s="19"/>
      <c r="D81" s="19"/>
      <c r="E81" s="19"/>
      <c r="F81" s="19"/>
      <c r="G81" s="19"/>
      <c r="H81" s="19"/>
      <c r="I81" s="19"/>
      <c r="J81" s="19"/>
      <c r="K81" s="19"/>
      <c r="L81" s="19"/>
      <c r="M81" s="19"/>
      <c r="N81" s="19"/>
      <c r="O81" s="19"/>
      <c r="P81" s="19"/>
      <c r="Q81" s="19"/>
      <c r="R81" s="19"/>
      <c r="S81" s="19"/>
      <c r="T81" s="19"/>
      <c r="U81" s="19"/>
      <c r="V81" s="19"/>
    </row>
    <row r="82" spans="1:22" x14ac:dyDescent="0.2">
      <c r="A82" s="44" t="s">
        <v>299</v>
      </c>
      <c r="B82" s="19"/>
      <c r="C82" s="19"/>
      <c r="D82" s="19"/>
      <c r="E82" s="19"/>
      <c r="F82" s="19"/>
      <c r="G82" s="19"/>
      <c r="H82" s="19"/>
      <c r="I82" s="19"/>
      <c r="J82" s="19"/>
      <c r="K82" s="19"/>
      <c r="L82" s="19"/>
      <c r="M82" s="19"/>
      <c r="N82" s="19"/>
      <c r="O82" s="19"/>
      <c r="P82" s="19"/>
      <c r="Q82" s="19"/>
      <c r="R82" s="19"/>
      <c r="S82" s="19"/>
      <c r="T82" s="19"/>
      <c r="U82" s="19"/>
      <c r="V82" s="19"/>
    </row>
  </sheetData>
  <mergeCells count="1">
    <mergeCell ref="B3:D3"/>
  </mergeCells>
  <pageMargins left="0.23622047244094491" right="0.23622047244094491" top="0.74803149606299213" bottom="0.74803149606299213" header="0.31496062992125984" footer="0.31496062992125984"/>
  <pageSetup paperSize="9" scale="65" orientation="portrait"/>
  <tableParts count="1">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I82"/>
  <sheetViews>
    <sheetView workbookViewId="0">
      <selection activeCell="G6" sqref="G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15.42578125" style="1" customWidth="1"/>
    <col min="6" max="6" width="8.42578125" style="1" bestFit="1" customWidth="1"/>
    <col min="7" max="7" width="7.7109375" style="1" bestFit="1" customWidth="1"/>
    <col min="8" max="8" width="9.28515625" style="1" bestFit="1" customWidth="1"/>
    <col min="9" max="9" width="10.85546875" style="1" bestFit="1" customWidth="1"/>
    <col min="10" max="16384" width="8.85546875" style="1"/>
  </cols>
  <sheetData>
    <row r="1" spans="1:9" x14ac:dyDescent="0.2">
      <c r="A1" s="209" t="s">
        <v>366</v>
      </c>
      <c r="B1" s="209"/>
      <c r="C1" s="209"/>
      <c r="D1" s="209"/>
      <c r="E1" s="209"/>
    </row>
    <row r="2" spans="1:9" x14ac:dyDescent="0.2">
      <c r="A2" s="219" t="s">
        <v>136</v>
      </c>
      <c r="B2" s="219"/>
      <c r="C2" s="219"/>
      <c r="D2" s="219"/>
      <c r="E2" s="219"/>
    </row>
    <row r="3" spans="1:9" ht="41.25" customHeight="1" x14ac:dyDescent="0.2">
      <c r="A3" s="45"/>
      <c r="B3" s="45"/>
      <c r="C3" s="214" t="s">
        <v>406</v>
      </c>
      <c r="D3" s="214"/>
      <c r="E3" s="214"/>
      <c r="F3" s="232" t="s">
        <v>407</v>
      </c>
      <c r="G3" s="232"/>
      <c r="H3" s="232"/>
      <c r="I3" s="232"/>
    </row>
    <row r="4" spans="1:9" ht="45" x14ac:dyDescent="0.2">
      <c r="A4" s="52" t="s">
        <v>0</v>
      </c>
      <c r="B4" s="82" t="s">
        <v>405</v>
      </c>
      <c r="C4" s="53" t="s">
        <v>122</v>
      </c>
      <c r="D4" s="53" t="s">
        <v>123</v>
      </c>
      <c r="E4" s="53" t="s">
        <v>119</v>
      </c>
      <c r="F4" s="82" t="s">
        <v>120</v>
      </c>
      <c r="G4" s="82" t="s">
        <v>124</v>
      </c>
      <c r="H4" s="82" t="s">
        <v>121</v>
      </c>
      <c r="I4" s="83" t="s">
        <v>350</v>
      </c>
    </row>
    <row r="5" spans="1:9" x14ac:dyDescent="0.2">
      <c r="A5" s="54" t="s">
        <v>3</v>
      </c>
      <c r="B5" s="14"/>
      <c r="C5" s="15"/>
      <c r="D5" s="32"/>
      <c r="E5" s="32"/>
      <c r="F5" s="32"/>
      <c r="G5" s="32"/>
      <c r="H5" s="32"/>
      <c r="I5" s="55"/>
    </row>
    <row r="6" spans="1:9" x14ac:dyDescent="0.2">
      <c r="A6" s="54" t="s">
        <v>4</v>
      </c>
      <c r="B6" s="14"/>
      <c r="C6" s="15"/>
      <c r="D6" s="32"/>
      <c r="E6" s="32"/>
      <c r="F6" s="32"/>
      <c r="G6" s="32"/>
      <c r="H6" s="32"/>
      <c r="I6" s="55"/>
    </row>
    <row r="7" spans="1:9" x14ac:dyDescent="0.2">
      <c r="A7" s="54" t="s">
        <v>5</v>
      </c>
      <c r="B7" s="14"/>
      <c r="C7" s="15"/>
      <c r="D7" s="32"/>
      <c r="E7" s="32"/>
      <c r="F7" s="32"/>
      <c r="G7" s="32"/>
      <c r="H7" s="32"/>
      <c r="I7" s="55"/>
    </row>
    <row r="8" spans="1:9" x14ac:dyDescent="0.2">
      <c r="A8" s="54" t="s">
        <v>6</v>
      </c>
      <c r="B8" s="14"/>
      <c r="C8" s="15"/>
      <c r="D8" s="32"/>
      <c r="E8" s="32"/>
      <c r="F8" s="32"/>
      <c r="G8" s="32"/>
      <c r="H8" s="32"/>
      <c r="I8" s="55"/>
    </row>
    <row r="9" spans="1:9" x14ac:dyDescent="0.2">
      <c r="A9" s="54" t="s">
        <v>7</v>
      </c>
      <c r="B9" s="14"/>
      <c r="C9" s="15"/>
      <c r="D9" s="32"/>
      <c r="E9" s="32"/>
      <c r="F9" s="32"/>
      <c r="G9" s="32"/>
      <c r="H9" s="32"/>
      <c r="I9" s="55"/>
    </row>
    <row r="10" spans="1:9" x14ac:dyDescent="0.2">
      <c r="A10" s="54" t="s">
        <v>8</v>
      </c>
      <c r="B10" s="14"/>
      <c r="C10" s="15"/>
      <c r="D10" s="32"/>
      <c r="E10" s="32"/>
      <c r="F10" s="32"/>
      <c r="G10" s="32"/>
      <c r="H10" s="32"/>
      <c r="I10" s="55"/>
    </row>
    <row r="11" spans="1:9" x14ac:dyDescent="0.2">
      <c r="A11" s="54" t="s">
        <v>9</v>
      </c>
      <c r="B11" s="14"/>
      <c r="C11" s="15"/>
      <c r="D11" s="32"/>
      <c r="E11" s="32"/>
      <c r="F11" s="32"/>
      <c r="G11" s="32"/>
      <c r="H11" s="32"/>
      <c r="I11" s="55"/>
    </row>
    <row r="12" spans="1:9" x14ac:dyDescent="0.2">
      <c r="A12" s="54" t="s">
        <v>10</v>
      </c>
      <c r="B12" s="14"/>
      <c r="C12" s="15"/>
      <c r="D12" s="32"/>
      <c r="E12" s="32"/>
      <c r="F12" s="32"/>
      <c r="G12" s="32"/>
      <c r="H12" s="32"/>
      <c r="I12" s="55"/>
    </row>
    <row r="13" spans="1:9" x14ac:dyDescent="0.2">
      <c r="A13" s="54" t="s">
        <v>11</v>
      </c>
      <c r="B13" s="14"/>
      <c r="C13" s="15"/>
      <c r="D13" s="32"/>
      <c r="E13" s="32"/>
      <c r="F13" s="32"/>
      <c r="G13" s="32"/>
      <c r="H13" s="32"/>
      <c r="I13" s="55"/>
    </row>
    <row r="14" spans="1:9" x14ac:dyDescent="0.2">
      <c r="A14" s="54" t="s">
        <v>12</v>
      </c>
      <c r="B14" s="14"/>
      <c r="C14" s="15"/>
      <c r="D14" s="32"/>
      <c r="E14" s="32"/>
      <c r="F14" s="32"/>
      <c r="G14" s="32"/>
      <c r="H14" s="32"/>
      <c r="I14" s="55"/>
    </row>
    <row r="15" spans="1:9" x14ac:dyDescent="0.2">
      <c r="A15" s="54" t="s">
        <v>13</v>
      </c>
      <c r="B15" s="14"/>
      <c r="C15" s="15"/>
      <c r="D15" s="32"/>
      <c r="E15" s="32"/>
      <c r="F15" s="32"/>
      <c r="G15" s="32"/>
      <c r="H15" s="32"/>
      <c r="I15" s="55"/>
    </row>
    <row r="16" spans="1:9" x14ac:dyDescent="0.2">
      <c r="A16" s="54" t="s">
        <v>14</v>
      </c>
      <c r="B16" s="14"/>
      <c r="C16" s="15"/>
      <c r="D16" s="32"/>
      <c r="E16" s="32"/>
      <c r="F16" s="32"/>
      <c r="G16" s="32"/>
      <c r="H16" s="32"/>
      <c r="I16" s="55"/>
    </row>
    <row r="17" spans="1:9" x14ac:dyDescent="0.2">
      <c r="A17" s="54" t="s">
        <v>15</v>
      </c>
      <c r="B17" s="14"/>
      <c r="C17" s="15"/>
      <c r="D17" s="32"/>
      <c r="E17" s="32"/>
      <c r="F17" s="32"/>
      <c r="G17" s="32"/>
      <c r="H17" s="32"/>
      <c r="I17" s="55"/>
    </row>
    <row r="18" spans="1:9" x14ac:dyDescent="0.2">
      <c r="A18" s="54" t="s">
        <v>16</v>
      </c>
      <c r="B18" s="14"/>
      <c r="C18" s="15"/>
      <c r="D18" s="32"/>
      <c r="E18" s="32"/>
      <c r="F18" s="32"/>
      <c r="G18" s="32"/>
      <c r="H18" s="32"/>
      <c r="I18" s="55"/>
    </row>
    <row r="19" spans="1:9" x14ac:dyDescent="0.2">
      <c r="A19" s="54" t="s">
        <v>17</v>
      </c>
      <c r="B19" s="14"/>
      <c r="C19" s="15"/>
      <c r="D19" s="32"/>
      <c r="E19" s="32"/>
      <c r="F19" s="32"/>
      <c r="G19" s="32"/>
      <c r="H19" s="32"/>
      <c r="I19" s="55"/>
    </row>
    <row r="20" spans="1:9" x14ac:dyDescent="0.2">
      <c r="A20" s="54" t="s">
        <v>18</v>
      </c>
      <c r="B20" s="14"/>
      <c r="C20" s="15"/>
      <c r="D20" s="32"/>
      <c r="E20" s="32"/>
      <c r="F20" s="32"/>
      <c r="G20" s="32"/>
      <c r="H20" s="32"/>
      <c r="I20" s="55"/>
    </row>
    <row r="21" spans="1:9" x14ac:dyDescent="0.2">
      <c r="A21" s="54" t="s">
        <v>19</v>
      </c>
      <c r="B21" s="14"/>
      <c r="C21" s="15"/>
      <c r="D21" s="32"/>
      <c r="E21" s="32"/>
      <c r="F21" s="32"/>
      <c r="G21" s="32"/>
      <c r="H21" s="32"/>
      <c r="I21" s="55"/>
    </row>
    <row r="22" spans="1:9" x14ac:dyDescent="0.2">
      <c r="A22" s="54" t="s">
        <v>20</v>
      </c>
      <c r="B22" s="14"/>
      <c r="C22" s="15"/>
      <c r="D22" s="32"/>
      <c r="E22" s="32"/>
      <c r="F22" s="32"/>
      <c r="G22" s="32"/>
      <c r="H22" s="32"/>
      <c r="I22" s="55"/>
    </row>
    <row r="23" spans="1:9" x14ac:dyDescent="0.2">
      <c r="A23" s="54" t="s">
        <v>21</v>
      </c>
      <c r="B23" s="14"/>
      <c r="C23" s="15"/>
      <c r="D23" s="32"/>
      <c r="E23" s="32"/>
      <c r="F23" s="32"/>
      <c r="G23" s="32"/>
      <c r="H23" s="32"/>
      <c r="I23" s="55"/>
    </row>
    <row r="24" spans="1:9" x14ac:dyDescent="0.2">
      <c r="A24" s="54" t="s">
        <v>22</v>
      </c>
      <c r="B24" s="14"/>
      <c r="C24" s="15"/>
      <c r="D24" s="32"/>
      <c r="E24" s="32"/>
      <c r="F24" s="32"/>
      <c r="G24" s="32"/>
      <c r="H24" s="32"/>
      <c r="I24" s="55"/>
    </row>
    <row r="25" spans="1:9" x14ac:dyDescent="0.2">
      <c r="A25" s="54" t="s">
        <v>23</v>
      </c>
      <c r="B25" s="14"/>
      <c r="C25" s="15"/>
      <c r="D25" s="32"/>
      <c r="E25" s="32"/>
      <c r="F25" s="32"/>
      <c r="G25" s="32"/>
      <c r="H25" s="32"/>
      <c r="I25" s="55"/>
    </row>
    <row r="26" spans="1:9" x14ac:dyDescent="0.2">
      <c r="A26" s="54" t="s">
        <v>24</v>
      </c>
      <c r="B26" s="14"/>
      <c r="C26" s="15"/>
      <c r="D26" s="32"/>
      <c r="E26" s="32"/>
      <c r="F26" s="32"/>
      <c r="G26" s="32"/>
      <c r="H26" s="32"/>
      <c r="I26" s="55"/>
    </row>
    <row r="27" spans="1:9" x14ac:dyDescent="0.2">
      <c r="A27" s="54" t="s">
        <v>25</v>
      </c>
      <c r="B27" s="14"/>
      <c r="C27" s="15"/>
      <c r="D27" s="32"/>
      <c r="E27" s="32"/>
      <c r="F27" s="32"/>
      <c r="G27" s="32"/>
      <c r="H27" s="32"/>
      <c r="I27" s="55"/>
    </row>
    <row r="28" spans="1:9" x14ac:dyDescent="0.2">
      <c r="A28" s="54" t="s">
        <v>26</v>
      </c>
      <c r="B28" s="14"/>
      <c r="C28" s="15"/>
      <c r="D28" s="32"/>
      <c r="E28" s="32"/>
      <c r="F28" s="32"/>
      <c r="G28" s="32"/>
      <c r="H28" s="32"/>
      <c r="I28" s="55"/>
    </row>
    <row r="29" spans="1:9" x14ac:dyDescent="0.2">
      <c r="A29" s="54" t="s">
        <v>27</v>
      </c>
      <c r="B29" s="14"/>
      <c r="C29" s="15"/>
      <c r="D29" s="32"/>
      <c r="E29" s="32"/>
      <c r="F29" s="32" t="s">
        <v>118</v>
      </c>
      <c r="G29" s="32">
        <v>2012</v>
      </c>
      <c r="H29" s="32" t="s">
        <v>163</v>
      </c>
      <c r="I29" s="55"/>
    </row>
    <row r="30" spans="1:9" x14ac:dyDescent="0.2">
      <c r="A30" s="54" t="s">
        <v>28</v>
      </c>
      <c r="B30" s="14"/>
      <c r="C30" s="15"/>
      <c r="D30" s="32"/>
      <c r="E30" s="32"/>
      <c r="F30" s="32"/>
      <c r="G30" s="32"/>
      <c r="H30" s="32"/>
      <c r="I30" s="55"/>
    </row>
    <row r="31" spans="1:9" x14ac:dyDescent="0.2">
      <c r="A31" s="54" t="s">
        <v>29</v>
      </c>
      <c r="B31" s="14"/>
      <c r="C31" s="15"/>
      <c r="D31" s="32"/>
      <c r="E31" s="32"/>
      <c r="F31" s="32"/>
      <c r="G31" s="32"/>
      <c r="H31" s="32"/>
      <c r="I31" s="55"/>
    </row>
    <row r="32" spans="1:9" x14ac:dyDescent="0.2">
      <c r="A32" s="54" t="s">
        <v>30</v>
      </c>
      <c r="B32" s="14"/>
      <c r="C32" s="15"/>
      <c r="D32" s="32"/>
      <c r="E32" s="32"/>
      <c r="F32" s="32" t="s">
        <v>118</v>
      </c>
      <c r="G32" s="32">
        <v>2012</v>
      </c>
      <c r="H32" s="32" t="s">
        <v>163</v>
      </c>
      <c r="I32" s="55"/>
    </row>
    <row r="33" spans="1:9" x14ac:dyDescent="0.2">
      <c r="A33" s="54" t="s">
        <v>31</v>
      </c>
      <c r="B33" s="14"/>
      <c r="C33" s="15"/>
      <c r="D33" s="32"/>
      <c r="E33" s="32"/>
      <c r="F33" s="32"/>
      <c r="G33" s="32"/>
      <c r="H33" s="32"/>
      <c r="I33" s="55"/>
    </row>
    <row r="34" spans="1:9" x14ac:dyDescent="0.2">
      <c r="A34" s="54" t="s">
        <v>32</v>
      </c>
      <c r="B34" s="14"/>
      <c r="C34" s="15"/>
      <c r="D34" s="32"/>
      <c r="E34" s="32"/>
      <c r="F34" s="32"/>
      <c r="G34" s="32"/>
      <c r="H34" s="32"/>
      <c r="I34" s="55"/>
    </row>
    <row r="35" spans="1:9" x14ac:dyDescent="0.2">
      <c r="A35" s="54" t="s">
        <v>33</v>
      </c>
      <c r="B35" s="14"/>
      <c r="C35" s="15"/>
      <c r="D35" s="32"/>
      <c r="E35" s="32"/>
      <c r="F35" s="32"/>
      <c r="G35" s="32"/>
      <c r="H35" s="32"/>
      <c r="I35" s="55"/>
    </row>
    <row r="36" spans="1:9" x14ac:dyDescent="0.2">
      <c r="A36" s="54" t="s">
        <v>34</v>
      </c>
      <c r="B36" s="14"/>
      <c r="C36" s="15"/>
      <c r="D36" s="32"/>
      <c r="E36" s="32"/>
      <c r="F36" s="32"/>
      <c r="G36" s="32"/>
      <c r="H36" s="32"/>
      <c r="I36" s="55"/>
    </row>
    <row r="37" spans="1:9" x14ac:dyDescent="0.2">
      <c r="A37" s="54" t="s">
        <v>35</v>
      </c>
      <c r="B37" s="14"/>
      <c r="C37" s="15"/>
      <c r="D37" s="32"/>
      <c r="E37" s="32"/>
      <c r="F37" s="32"/>
      <c r="G37" s="32"/>
      <c r="H37" s="32"/>
      <c r="I37" s="55"/>
    </row>
    <row r="38" spans="1:9" x14ac:dyDescent="0.2">
      <c r="A38" s="54" t="s">
        <v>36</v>
      </c>
      <c r="B38" s="14"/>
      <c r="C38" s="15"/>
      <c r="D38" s="32"/>
      <c r="E38" s="32"/>
      <c r="F38" s="32"/>
      <c r="G38" s="32"/>
      <c r="H38" s="32"/>
      <c r="I38" s="55"/>
    </row>
    <row r="39" spans="1:9" x14ac:dyDescent="0.2">
      <c r="A39" s="54" t="s">
        <v>37</v>
      </c>
      <c r="B39" s="14"/>
      <c r="C39" s="15"/>
      <c r="D39" s="32"/>
      <c r="E39" s="32"/>
      <c r="F39" s="32"/>
      <c r="G39" s="32"/>
      <c r="H39" s="32"/>
      <c r="I39" s="55"/>
    </row>
    <row r="40" spans="1:9" x14ac:dyDescent="0.2">
      <c r="A40" s="54" t="s">
        <v>38</v>
      </c>
      <c r="B40" s="14"/>
      <c r="C40" s="15"/>
      <c r="D40" s="32"/>
      <c r="E40" s="32"/>
      <c r="F40" s="32" t="s">
        <v>118</v>
      </c>
      <c r="G40" s="32">
        <v>2012</v>
      </c>
      <c r="H40" s="32" t="s">
        <v>163</v>
      </c>
      <c r="I40" s="55"/>
    </row>
    <row r="41" spans="1:9" x14ac:dyDescent="0.2">
      <c r="A41" s="54" t="s">
        <v>39</v>
      </c>
      <c r="B41" s="14"/>
      <c r="C41" s="15"/>
      <c r="D41" s="32"/>
      <c r="E41" s="32"/>
      <c r="F41" s="32"/>
      <c r="G41" s="32"/>
      <c r="H41" s="32"/>
      <c r="I41" s="55"/>
    </row>
    <row r="42" spans="1:9" x14ac:dyDescent="0.2">
      <c r="A42" s="54" t="s">
        <v>40</v>
      </c>
      <c r="B42" s="14"/>
      <c r="C42" s="15"/>
      <c r="D42" s="32"/>
      <c r="E42" s="32"/>
      <c r="F42" s="32"/>
      <c r="G42" s="32"/>
      <c r="H42" s="32"/>
      <c r="I42" s="55"/>
    </row>
    <row r="43" spans="1:9" x14ac:dyDescent="0.2">
      <c r="A43" s="54" t="s">
        <v>41</v>
      </c>
      <c r="B43" s="14"/>
      <c r="C43" s="15"/>
      <c r="D43" s="32"/>
      <c r="E43" s="32"/>
      <c r="F43" s="32"/>
      <c r="G43" s="32"/>
      <c r="H43" s="32"/>
      <c r="I43" s="55"/>
    </row>
    <row r="44" spans="1:9" x14ac:dyDescent="0.2">
      <c r="A44" s="54" t="s">
        <v>42</v>
      </c>
      <c r="B44" s="14"/>
      <c r="C44" s="15" t="s">
        <v>178</v>
      </c>
      <c r="D44" s="32">
        <v>2007</v>
      </c>
      <c r="E44" s="32" t="s">
        <v>176</v>
      </c>
      <c r="F44" s="32"/>
      <c r="G44" s="32"/>
      <c r="H44" s="32"/>
      <c r="I44" s="55"/>
    </row>
    <row r="45" spans="1:9" x14ac:dyDescent="0.2">
      <c r="A45" s="54" t="s">
        <v>43</v>
      </c>
      <c r="B45" s="14"/>
      <c r="C45" s="15"/>
      <c r="D45" s="32"/>
      <c r="E45" s="32"/>
      <c r="F45" s="32"/>
      <c r="G45" s="32"/>
      <c r="H45" s="32"/>
      <c r="I45" s="55"/>
    </row>
    <row r="46" spans="1:9" x14ac:dyDescent="0.2">
      <c r="A46" s="54" t="s">
        <v>44</v>
      </c>
      <c r="B46" s="14"/>
      <c r="C46" s="15" t="s">
        <v>178</v>
      </c>
      <c r="D46" s="32">
        <v>2005</v>
      </c>
      <c r="E46" s="32" t="s">
        <v>176</v>
      </c>
      <c r="F46" s="32" t="s">
        <v>118</v>
      </c>
      <c r="G46" s="32">
        <v>2012</v>
      </c>
      <c r="H46" s="32" t="s">
        <v>163</v>
      </c>
      <c r="I46" s="55"/>
    </row>
    <row r="47" spans="1:9" ht="90" x14ac:dyDescent="0.2">
      <c r="A47" s="54" t="s">
        <v>45</v>
      </c>
      <c r="B47" s="14"/>
      <c r="C47" s="15"/>
      <c r="D47" s="32"/>
      <c r="E47" s="32"/>
      <c r="F47" s="32" t="s">
        <v>118</v>
      </c>
      <c r="G47" s="32"/>
      <c r="H47" s="32"/>
      <c r="I47" s="55" t="s">
        <v>346</v>
      </c>
    </row>
    <row r="48" spans="1:9" x14ac:dyDescent="0.2">
      <c r="A48" s="54" t="s">
        <v>46</v>
      </c>
      <c r="B48" s="14"/>
      <c r="C48" s="15"/>
      <c r="D48" s="32"/>
      <c r="E48" s="32"/>
      <c r="F48" s="32"/>
      <c r="G48" s="32"/>
      <c r="H48" s="32"/>
      <c r="I48" s="55"/>
    </row>
    <row r="49" spans="1:9" x14ac:dyDescent="0.2">
      <c r="A49" s="54" t="s">
        <v>47</v>
      </c>
      <c r="B49" s="14"/>
      <c r="C49" s="15"/>
      <c r="D49" s="32"/>
      <c r="E49" s="32"/>
      <c r="F49" s="32"/>
      <c r="G49" s="32"/>
      <c r="H49" s="32"/>
      <c r="I49" s="55"/>
    </row>
    <row r="50" spans="1:9" x14ac:dyDescent="0.2">
      <c r="A50" s="54" t="s">
        <v>48</v>
      </c>
      <c r="B50" s="14"/>
      <c r="C50" s="15"/>
      <c r="D50" s="32"/>
      <c r="E50" s="32"/>
      <c r="F50" s="32"/>
      <c r="G50" s="32"/>
      <c r="H50" s="32"/>
      <c r="I50" s="55"/>
    </row>
    <row r="51" spans="1:9" x14ac:dyDescent="0.2">
      <c r="A51" s="54" t="s">
        <v>49</v>
      </c>
      <c r="B51" s="14"/>
      <c r="C51" s="15"/>
      <c r="D51" s="32"/>
      <c r="E51" s="32"/>
      <c r="F51" s="32" t="s">
        <v>118</v>
      </c>
      <c r="G51" s="32">
        <v>2012</v>
      </c>
      <c r="H51" s="32" t="s">
        <v>163</v>
      </c>
      <c r="I51" s="55"/>
    </row>
    <row r="52" spans="1:9" x14ac:dyDescent="0.2">
      <c r="A52" s="54" t="s">
        <v>50</v>
      </c>
      <c r="B52" s="14"/>
      <c r="C52" s="15"/>
      <c r="D52" s="32"/>
      <c r="E52" s="32"/>
      <c r="F52" s="32"/>
      <c r="G52" s="32"/>
      <c r="H52" s="32"/>
      <c r="I52" s="55"/>
    </row>
    <row r="53" spans="1:9" x14ac:dyDescent="0.2">
      <c r="A53" s="54" t="s">
        <v>51</v>
      </c>
      <c r="B53" s="14"/>
      <c r="C53" s="15"/>
      <c r="D53" s="32"/>
      <c r="E53" s="32"/>
      <c r="F53" s="32"/>
      <c r="G53" s="32"/>
      <c r="H53" s="32"/>
      <c r="I53" s="55"/>
    </row>
    <row r="54" spans="1:9" ht="78.75" x14ac:dyDescent="0.2">
      <c r="A54" s="54" t="s">
        <v>52</v>
      </c>
      <c r="B54" s="14"/>
      <c r="C54" s="15"/>
      <c r="D54" s="32"/>
      <c r="E54" s="32"/>
      <c r="F54" s="32" t="s">
        <v>118</v>
      </c>
      <c r="G54" s="32"/>
      <c r="H54" s="32"/>
      <c r="I54" s="55" t="s">
        <v>347</v>
      </c>
    </row>
    <row r="55" spans="1:9" x14ac:dyDescent="0.2">
      <c r="A55" s="54" t="s">
        <v>53</v>
      </c>
      <c r="B55" s="14"/>
      <c r="C55" s="15"/>
      <c r="D55" s="32"/>
      <c r="E55" s="32"/>
      <c r="F55" s="32"/>
      <c r="G55" s="32"/>
      <c r="H55" s="32"/>
      <c r="I55" s="55"/>
    </row>
    <row r="56" spans="1:9" x14ac:dyDescent="0.2">
      <c r="A56" s="54" t="s">
        <v>54</v>
      </c>
      <c r="B56" s="14"/>
      <c r="C56" s="15"/>
      <c r="D56" s="32"/>
      <c r="E56" s="32"/>
      <c r="F56" s="32"/>
      <c r="G56" s="32"/>
      <c r="H56" s="32"/>
      <c r="I56" s="55"/>
    </row>
    <row r="57" spans="1:9" x14ac:dyDescent="0.2">
      <c r="A57" s="54" t="s">
        <v>55</v>
      </c>
      <c r="B57" s="14"/>
      <c r="C57" s="15"/>
      <c r="D57" s="32"/>
      <c r="E57" s="32"/>
      <c r="F57" s="32"/>
      <c r="G57" s="32"/>
      <c r="H57" s="32"/>
      <c r="I57" s="55"/>
    </row>
    <row r="58" spans="1:9" x14ac:dyDescent="0.2">
      <c r="A58" s="54" t="s">
        <v>56</v>
      </c>
      <c r="B58" s="14"/>
      <c r="C58" s="15"/>
      <c r="D58" s="32"/>
      <c r="E58" s="32"/>
      <c r="F58" s="32"/>
      <c r="G58" s="32"/>
      <c r="H58" s="32"/>
      <c r="I58" s="55"/>
    </row>
    <row r="59" spans="1:9" x14ac:dyDescent="0.2">
      <c r="A59" s="54" t="s">
        <v>57</v>
      </c>
      <c r="B59" s="14"/>
      <c r="C59" s="15"/>
      <c r="D59" s="32"/>
      <c r="E59" s="32"/>
      <c r="F59" s="32"/>
      <c r="G59" s="32"/>
      <c r="H59" s="32"/>
      <c r="I59" s="55"/>
    </row>
    <row r="60" spans="1:9" x14ac:dyDescent="0.2">
      <c r="A60" s="54" t="s">
        <v>58</v>
      </c>
      <c r="B60" s="14"/>
      <c r="C60" s="15" t="s">
        <v>177</v>
      </c>
      <c r="D60" s="32">
        <v>2002</v>
      </c>
      <c r="E60" s="32" t="s">
        <v>176</v>
      </c>
      <c r="F60" s="15" t="s">
        <v>118</v>
      </c>
      <c r="G60" s="32">
        <v>2012</v>
      </c>
      <c r="H60" s="32" t="s">
        <v>163</v>
      </c>
      <c r="I60" s="55"/>
    </row>
    <row r="61" spans="1:9" x14ac:dyDescent="0.2">
      <c r="A61" s="54" t="s">
        <v>59</v>
      </c>
      <c r="B61" s="14"/>
      <c r="C61" s="15"/>
      <c r="D61" s="32"/>
      <c r="E61" s="32"/>
      <c r="F61" s="32"/>
      <c r="G61" s="32"/>
      <c r="H61" s="32"/>
      <c r="I61" s="55"/>
    </row>
    <row r="62" spans="1:9" ht="67.5" x14ac:dyDescent="0.2">
      <c r="A62" s="54" t="s">
        <v>60</v>
      </c>
      <c r="B62" s="14"/>
      <c r="C62" s="15"/>
      <c r="D62" s="32"/>
      <c r="E62" s="32"/>
      <c r="F62" s="32" t="s">
        <v>118</v>
      </c>
      <c r="G62" s="32"/>
      <c r="H62" s="32"/>
      <c r="I62" s="55" t="s">
        <v>348</v>
      </c>
    </row>
    <row r="63" spans="1:9" x14ac:dyDescent="0.2">
      <c r="A63" s="54" t="s">
        <v>61</v>
      </c>
      <c r="B63" s="14"/>
      <c r="C63" s="15"/>
      <c r="D63" s="32"/>
      <c r="E63" s="32"/>
      <c r="F63" s="32"/>
      <c r="G63" s="32"/>
      <c r="H63" s="32"/>
      <c r="I63" s="55"/>
    </row>
    <row r="64" spans="1:9" x14ac:dyDescent="0.2">
      <c r="A64" s="54" t="s">
        <v>62</v>
      </c>
      <c r="B64" s="14"/>
      <c r="C64" s="15"/>
      <c r="D64" s="32"/>
      <c r="E64" s="32"/>
      <c r="F64" s="32"/>
      <c r="G64" s="32"/>
      <c r="H64" s="32"/>
      <c r="I64" s="55"/>
    </row>
    <row r="65" spans="1:9" x14ac:dyDescent="0.2">
      <c r="A65" s="54" t="s">
        <v>63</v>
      </c>
      <c r="B65" s="14"/>
      <c r="C65" s="15"/>
      <c r="D65" s="32"/>
      <c r="E65" s="32"/>
      <c r="F65" s="32"/>
      <c r="G65" s="32"/>
      <c r="H65" s="32"/>
      <c r="I65" s="55"/>
    </row>
    <row r="66" spans="1:9" x14ac:dyDescent="0.2">
      <c r="A66" s="54" t="s">
        <v>64</v>
      </c>
      <c r="B66" s="14"/>
      <c r="C66" s="15"/>
      <c r="D66" s="32"/>
      <c r="E66" s="32"/>
      <c r="F66" s="32"/>
      <c r="G66" s="32"/>
      <c r="H66" s="32"/>
      <c r="I66" s="55"/>
    </row>
    <row r="67" spans="1:9" x14ac:dyDescent="0.2">
      <c r="A67" s="54" t="s">
        <v>65</v>
      </c>
      <c r="B67" s="14"/>
      <c r="C67" s="15"/>
      <c r="D67" s="32"/>
      <c r="E67" s="32"/>
      <c r="F67" s="32"/>
      <c r="G67" s="32"/>
      <c r="H67" s="32"/>
      <c r="I67" s="55"/>
    </row>
    <row r="68" spans="1:9" x14ac:dyDescent="0.2">
      <c r="A68" s="54" t="s">
        <v>66</v>
      </c>
      <c r="B68" s="14"/>
      <c r="C68" s="15"/>
      <c r="D68" s="32"/>
      <c r="E68" s="32"/>
      <c r="F68" s="32"/>
      <c r="G68" s="32"/>
      <c r="H68" s="32"/>
      <c r="I68" s="55"/>
    </row>
    <row r="69" spans="1:9" x14ac:dyDescent="0.2">
      <c r="A69" s="54" t="s">
        <v>67</v>
      </c>
      <c r="B69" s="14"/>
      <c r="C69" s="15"/>
      <c r="D69" s="32"/>
      <c r="E69" s="32"/>
      <c r="F69" s="32"/>
      <c r="G69" s="32"/>
      <c r="H69" s="32"/>
      <c r="I69" s="55"/>
    </row>
    <row r="70" spans="1:9" x14ac:dyDescent="0.2">
      <c r="A70" s="54" t="s">
        <v>68</v>
      </c>
      <c r="B70" s="14"/>
      <c r="C70" s="15"/>
      <c r="D70" s="32"/>
      <c r="E70" s="32"/>
      <c r="F70" s="32"/>
      <c r="G70" s="32"/>
      <c r="H70" s="32"/>
      <c r="I70" s="55"/>
    </row>
    <row r="71" spans="1:9" ht="67.5" x14ac:dyDescent="0.2">
      <c r="A71" s="54" t="s">
        <v>70</v>
      </c>
      <c r="B71" s="14"/>
      <c r="C71" s="15"/>
      <c r="D71" s="32"/>
      <c r="E71" s="32"/>
      <c r="F71" s="32" t="s">
        <v>118</v>
      </c>
      <c r="G71" s="32"/>
      <c r="H71" s="32"/>
      <c r="I71" s="55" t="s">
        <v>349</v>
      </c>
    </row>
    <row r="72" spans="1:9" x14ac:dyDescent="0.2">
      <c r="A72" s="54" t="s">
        <v>71</v>
      </c>
      <c r="B72" s="14"/>
      <c r="C72" s="15"/>
      <c r="D72" s="32"/>
      <c r="E72" s="32"/>
      <c r="F72" s="32"/>
      <c r="G72" s="32"/>
      <c r="H72" s="32"/>
      <c r="I72" s="55"/>
    </row>
    <row r="73" spans="1:9" x14ac:dyDescent="0.2">
      <c r="A73" s="54" t="s">
        <v>72</v>
      </c>
      <c r="B73" s="14"/>
      <c r="C73" s="15"/>
      <c r="D73" s="32"/>
      <c r="E73" s="32"/>
      <c r="F73" s="15" t="s">
        <v>118</v>
      </c>
      <c r="G73" s="32">
        <v>2012</v>
      </c>
      <c r="H73" s="32" t="s">
        <v>163</v>
      </c>
      <c r="I73" s="55"/>
    </row>
    <row r="74" spans="1:9" x14ac:dyDescent="0.2">
      <c r="A74" s="54" t="s">
        <v>69</v>
      </c>
      <c r="B74" s="14"/>
      <c r="C74" s="15"/>
      <c r="D74" s="32"/>
      <c r="E74" s="32"/>
      <c r="F74" s="15" t="s">
        <v>118</v>
      </c>
      <c r="G74" s="32">
        <v>2012</v>
      </c>
      <c r="H74" s="32" t="s">
        <v>163</v>
      </c>
      <c r="I74" s="55"/>
    </row>
    <row r="75" spans="1:9" x14ac:dyDescent="0.2">
      <c r="A75" s="54" t="s">
        <v>73</v>
      </c>
      <c r="B75" s="14"/>
      <c r="C75" s="15"/>
      <c r="D75" s="32"/>
      <c r="E75" s="32"/>
      <c r="F75" s="15"/>
      <c r="G75" s="32"/>
      <c r="H75" s="32"/>
      <c r="I75" s="55"/>
    </row>
    <row r="76" spans="1:9" x14ac:dyDescent="0.2">
      <c r="A76" s="54" t="s">
        <v>74</v>
      </c>
      <c r="B76" s="14"/>
      <c r="C76" s="15"/>
      <c r="D76" s="32"/>
      <c r="E76" s="32"/>
      <c r="F76" s="15"/>
      <c r="G76" s="32"/>
      <c r="H76" s="32"/>
      <c r="I76" s="55"/>
    </row>
    <row r="77" spans="1:9" x14ac:dyDescent="0.2">
      <c r="A77" s="54" t="s">
        <v>75</v>
      </c>
      <c r="B77" s="14"/>
      <c r="C77" s="15"/>
      <c r="D77" s="32"/>
      <c r="E77" s="32"/>
      <c r="F77" s="15"/>
      <c r="G77" s="32"/>
      <c r="H77" s="32"/>
      <c r="I77" s="55"/>
    </row>
    <row r="78" spans="1:9" x14ac:dyDescent="0.2">
      <c r="A78" s="54" t="s">
        <v>76</v>
      </c>
      <c r="B78" s="14"/>
      <c r="C78" s="15"/>
      <c r="D78" s="32"/>
      <c r="E78" s="32"/>
      <c r="F78" s="15" t="s">
        <v>118</v>
      </c>
      <c r="G78" s="32">
        <v>2012</v>
      </c>
      <c r="H78" s="32" t="s">
        <v>163</v>
      </c>
      <c r="I78" s="55"/>
    </row>
    <row r="79" spans="1:9" x14ac:dyDescent="0.2">
      <c r="A79" s="56" t="s">
        <v>77</v>
      </c>
      <c r="B79" s="20"/>
      <c r="C79" s="24"/>
      <c r="D79" s="33"/>
      <c r="E79" s="33"/>
      <c r="F79" s="24" t="s">
        <v>118</v>
      </c>
      <c r="G79" s="33">
        <v>2012</v>
      </c>
      <c r="H79" s="33" t="s">
        <v>163</v>
      </c>
      <c r="I79" s="57"/>
    </row>
    <row r="80" spans="1:9" x14ac:dyDescent="0.2">
      <c r="A80" s="44" t="s">
        <v>255</v>
      </c>
      <c r="B80" s="44">
        <f>COUNTIF(B5:B79, "Yes")</f>
        <v>0</v>
      </c>
      <c r="C80" s="19"/>
      <c r="D80" s="19"/>
      <c r="E80" s="19"/>
      <c r="F80" s="19"/>
      <c r="G80" s="19"/>
      <c r="H80" s="19"/>
      <c r="I80" s="19"/>
    </row>
    <row r="81" spans="1:9" x14ac:dyDescent="0.2">
      <c r="A81" s="44" t="s">
        <v>256</v>
      </c>
      <c r="B81" s="44">
        <f>COUNTIF(B5:B79, "No")</f>
        <v>0</v>
      </c>
      <c r="C81" s="19"/>
      <c r="D81" s="19"/>
      <c r="E81" s="19"/>
      <c r="F81" s="19"/>
      <c r="G81" s="19"/>
      <c r="H81" s="19"/>
      <c r="I81" s="19"/>
    </row>
    <row r="82" spans="1:9" x14ac:dyDescent="0.2">
      <c r="A82" s="44" t="s">
        <v>257</v>
      </c>
      <c r="B82" s="44">
        <f>COUNTIF(B5:B79, "No data")</f>
        <v>0</v>
      </c>
      <c r="C82" s="19"/>
      <c r="D82" s="19"/>
      <c r="E82" s="19"/>
      <c r="F82" s="19"/>
      <c r="G82" s="19"/>
      <c r="H82" s="19"/>
      <c r="I82" s="19"/>
    </row>
  </sheetData>
  <mergeCells count="4">
    <mergeCell ref="A1:E1"/>
    <mergeCell ref="A2:E2"/>
    <mergeCell ref="C3:E3"/>
    <mergeCell ref="F3:I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83"/>
  <sheetViews>
    <sheetView zoomScale="70" zoomScaleNormal="70" zoomScalePageLayoutView="70" workbookViewId="0">
      <selection activeCell="H5" sqref="H5"/>
    </sheetView>
  </sheetViews>
  <sheetFormatPr defaultColWidth="8.85546875" defaultRowHeight="12" x14ac:dyDescent="0.2"/>
  <cols>
    <col min="1" max="1" width="31.7109375" style="1" bestFit="1" customWidth="1"/>
    <col min="2" max="2" width="8.85546875" style="1" customWidth="1"/>
    <col min="3" max="3" width="13.140625" style="1" customWidth="1"/>
    <col min="4" max="4" width="18.28515625" style="1" customWidth="1"/>
    <col min="5" max="5" width="20" style="1" customWidth="1"/>
    <col min="6" max="6" width="17" style="1" customWidth="1"/>
    <col min="7" max="7" width="10.85546875" style="1" customWidth="1"/>
    <col min="8" max="8" width="18.140625" style="1" bestFit="1" customWidth="1"/>
    <col min="9" max="9" width="19.28515625" style="1" bestFit="1" customWidth="1"/>
    <col min="10" max="10" width="8" style="1" bestFit="1" customWidth="1"/>
    <col min="11" max="11" width="9.7109375" style="1" bestFit="1" customWidth="1"/>
    <col min="12" max="12" width="18.28515625" style="1" bestFit="1" customWidth="1"/>
    <col min="13" max="13" width="15.140625" style="1" bestFit="1" customWidth="1"/>
    <col min="14" max="14" width="6.7109375" style="1" bestFit="1" customWidth="1"/>
    <col min="15" max="15" width="15.7109375" style="1" customWidth="1"/>
    <col min="16" max="16" width="12.28515625" style="1" bestFit="1" customWidth="1"/>
    <col min="17" max="16384" width="8.85546875" style="1"/>
  </cols>
  <sheetData>
    <row r="1" spans="1:16" x14ac:dyDescent="0.2">
      <c r="A1" s="209" t="s">
        <v>368</v>
      </c>
      <c r="B1" s="209"/>
      <c r="C1" s="209"/>
      <c r="D1" s="209"/>
      <c r="E1" s="209"/>
      <c r="F1" s="209"/>
    </row>
    <row r="2" spans="1:16" x14ac:dyDescent="0.2">
      <c r="A2" s="210" t="s">
        <v>345</v>
      </c>
      <c r="B2" s="210"/>
      <c r="C2" s="210"/>
      <c r="D2" s="210"/>
      <c r="E2" s="210"/>
      <c r="F2" s="210"/>
    </row>
    <row r="3" spans="1:16" ht="22.5" x14ac:dyDescent="0.2">
      <c r="A3" s="76"/>
      <c r="B3" s="76"/>
      <c r="C3" s="215" t="s">
        <v>236</v>
      </c>
      <c r="D3" s="215"/>
      <c r="E3" s="215"/>
      <c r="F3" s="215"/>
      <c r="G3" s="215"/>
      <c r="H3" s="233" t="s">
        <v>408</v>
      </c>
      <c r="I3" s="234"/>
      <c r="J3" s="234"/>
      <c r="K3" s="234"/>
      <c r="L3" s="235" t="s">
        <v>308</v>
      </c>
      <c r="M3" s="236"/>
      <c r="N3" s="236"/>
      <c r="O3" s="236"/>
      <c r="P3" s="84" t="s">
        <v>352</v>
      </c>
    </row>
    <row r="4" spans="1:16" ht="33.75" x14ac:dyDescent="0.2">
      <c r="A4" s="70" t="s">
        <v>0</v>
      </c>
      <c r="B4" s="70" t="s">
        <v>2</v>
      </c>
      <c r="C4" s="70" t="s">
        <v>182</v>
      </c>
      <c r="D4" s="70" t="s">
        <v>339</v>
      </c>
      <c r="E4" s="70" t="s">
        <v>238</v>
      </c>
      <c r="F4" s="70" t="s">
        <v>239</v>
      </c>
      <c r="G4" s="70" t="s">
        <v>227</v>
      </c>
      <c r="H4" s="70" t="s">
        <v>409</v>
      </c>
      <c r="I4" s="71" t="s">
        <v>403</v>
      </c>
      <c r="J4" s="70" t="s">
        <v>123</v>
      </c>
      <c r="K4" s="70" t="s">
        <v>119</v>
      </c>
      <c r="L4" s="71" t="s">
        <v>340</v>
      </c>
      <c r="M4" s="71" t="s">
        <v>310</v>
      </c>
      <c r="N4" s="71" t="s">
        <v>229</v>
      </c>
      <c r="O4" s="71" t="s">
        <v>341</v>
      </c>
      <c r="P4" s="71" t="s">
        <v>351</v>
      </c>
    </row>
    <row r="5" spans="1:16" ht="33.75" x14ac:dyDescent="0.2">
      <c r="A5" s="10" t="s">
        <v>3</v>
      </c>
      <c r="B5" s="14" t="s">
        <v>117</v>
      </c>
      <c r="C5" s="29" t="s">
        <v>118</v>
      </c>
      <c r="D5" s="40"/>
      <c r="E5" s="29" t="s">
        <v>184</v>
      </c>
      <c r="F5" s="29"/>
      <c r="G5" s="29" t="s">
        <v>228</v>
      </c>
      <c r="H5" s="40"/>
      <c r="I5" s="29"/>
      <c r="J5" s="32"/>
      <c r="K5" s="29"/>
      <c r="L5" s="40"/>
      <c r="M5" s="32"/>
      <c r="N5" s="32"/>
      <c r="O5" s="32"/>
      <c r="P5" s="32"/>
    </row>
    <row r="6" spans="1:16" ht="33.75" x14ac:dyDescent="0.2">
      <c r="A6" s="10" t="s">
        <v>4</v>
      </c>
      <c r="B6" s="14" t="s">
        <v>154</v>
      </c>
      <c r="C6" s="29" t="s">
        <v>118</v>
      </c>
      <c r="D6" s="40"/>
      <c r="E6" s="29" t="s">
        <v>185</v>
      </c>
      <c r="F6" s="29"/>
      <c r="G6" s="29" t="s">
        <v>228</v>
      </c>
      <c r="H6" s="40"/>
      <c r="I6" s="32"/>
      <c r="J6" s="32"/>
      <c r="K6" s="32"/>
      <c r="L6" s="14"/>
      <c r="M6" s="32"/>
      <c r="N6" s="32"/>
      <c r="O6" s="32"/>
      <c r="P6" s="32"/>
    </row>
    <row r="7" spans="1:16" ht="33.75" x14ac:dyDescent="0.2">
      <c r="A7" s="10" t="s">
        <v>5</v>
      </c>
      <c r="B7" s="14" t="s">
        <v>154</v>
      </c>
      <c r="C7" s="29" t="s">
        <v>118</v>
      </c>
      <c r="D7" s="40"/>
      <c r="E7" s="29" t="s">
        <v>185</v>
      </c>
      <c r="F7" s="29"/>
      <c r="G7" s="29" t="s">
        <v>228</v>
      </c>
      <c r="H7" s="40"/>
      <c r="I7" s="32"/>
      <c r="J7" s="32"/>
      <c r="K7" s="32"/>
      <c r="L7" s="14"/>
      <c r="M7" s="32"/>
      <c r="N7" s="32"/>
      <c r="O7" s="32"/>
      <c r="P7" s="32"/>
    </row>
    <row r="8" spans="1:16" ht="33.75" x14ac:dyDescent="0.2">
      <c r="A8" s="10" t="s">
        <v>6</v>
      </c>
      <c r="B8" s="14" t="s">
        <v>154</v>
      </c>
      <c r="C8" s="29" t="s">
        <v>118</v>
      </c>
      <c r="D8" s="40"/>
      <c r="E8" s="29" t="s">
        <v>180</v>
      </c>
      <c r="F8" s="29"/>
      <c r="G8" s="29" t="s">
        <v>228</v>
      </c>
      <c r="H8" s="40"/>
      <c r="I8" s="32"/>
      <c r="J8" s="32"/>
      <c r="K8" s="32"/>
      <c r="L8" s="14"/>
      <c r="M8" s="32"/>
      <c r="N8" s="32"/>
      <c r="O8" s="32"/>
      <c r="P8" s="32"/>
    </row>
    <row r="9" spans="1:16" ht="56.25" x14ac:dyDescent="0.2">
      <c r="A9" s="10" t="s">
        <v>7</v>
      </c>
      <c r="B9" s="14" t="s">
        <v>117</v>
      </c>
      <c r="C9" s="29" t="s">
        <v>117</v>
      </c>
      <c r="D9" s="40"/>
      <c r="E9" s="29" t="s">
        <v>185</v>
      </c>
      <c r="F9" s="29"/>
      <c r="G9" s="29" t="s">
        <v>228</v>
      </c>
      <c r="H9" s="40"/>
      <c r="I9" s="32"/>
      <c r="J9" s="32"/>
      <c r="K9" s="32"/>
      <c r="L9" s="14" t="s">
        <v>117</v>
      </c>
      <c r="M9" s="29" t="s">
        <v>117</v>
      </c>
      <c r="N9" s="29">
        <v>2010</v>
      </c>
      <c r="O9" s="29" t="s">
        <v>309</v>
      </c>
      <c r="P9" s="32"/>
    </row>
    <row r="10" spans="1:16" ht="33.75" x14ac:dyDescent="0.2">
      <c r="A10" s="10" t="s">
        <v>8</v>
      </c>
      <c r="B10" s="14" t="s">
        <v>154</v>
      </c>
      <c r="C10" s="29" t="s">
        <v>118</v>
      </c>
      <c r="D10" s="40"/>
      <c r="E10" s="29" t="s">
        <v>185</v>
      </c>
      <c r="F10" s="29"/>
      <c r="G10" s="29" t="s">
        <v>228</v>
      </c>
      <c r="H10" s="40"/>
      <c r="I10" s="32"/>
      <c r="J10" s="32"/>
      <c r="K10" s="32"/>
      <c r="L10" s="14"/>
      <c r="M10" s="32"/>
      <c r="N10" s="32"/>
      <c r="O10" s="32"/>
      <c r="P10" s="32"/>
    </row>
    <row r="11" spans="1:16" ht="33.75" x14ac:dyDescent="0.2">
      <c r="A11" s="10" t="s">
        <v>9</v>
      </c>
      <c r="B11" s="14" t="s">
        <v>154</v>
      </c>
      <c r="C11" s="29" t="s">
        <v>118</v>
      </c>
      <c r="D11" s="40"/>
      <c r="E11" s="29" t="s">
        <v>185</v>
      </c>
      <c r="F11" s="29"/>
      <c r="G11" s="29" t="s">
        <v>228</v>
      </c>
      <c r="H11" s="40"/>
      <c r="I11" s="32"/>
      <c r="J11" s="32"/>
      <c r="K11" s="32"/>
      <c r="L11" s="14"/>
      <c r="M11" s="32"/>
      <c r="N11" s="32"/>
      <c r="O11" s="32"/>
      <c r="P11" s="32"/>
    </row>
    <row r="12" spans="1:16" ht="33.75" x14ac:dyDescent="0.2">
      <c r="A12" s="10" t="s">
        <v>10</v>
      </c>
      <c r="B12" s="14" t="s">
        <v>154</v>
      </c>
      <c r="C12" s="29" t="s">
        <v>118</v>
      </c>
      <c r="D12" s="40"/>
      <c r="E12" s="29" t="s">
        <v>189</v>
      </c>
      <c r="F12" s="29"/>
      <c r="G12" s="29" t="s">
        <v>228</v>
      </c>
      <c r="H12" s="40"/>
      <c r="I12" s="32"/>
      <c r="J12" s="32"/>
      <c r="K12" s="32"/>
      <c r="L12" s="14"/>
      <c r="M12" s="32"/>
      <c r="N12" s="32"/>
      <c r="O12" s="32"/>
      <c r="P12" s="32"/>
    </row>
    <row r="13" spans="1:16" ht="33.75" x14ac:dyDescent="0.2">
      <c r="A13" s="10" t="s">
        <v>11</v>
      </c>
      <c r="B13" s="14" t="s">
        <v>117</v>
      </c>
      <c r="C13" s="29" t="s">
        <v>117</v>
      </c>
      <c r="D13" s="40"/>
      <c r="E13" s="29" t="s">
        <v>185</v>
      </c>
      <c r="F13" s="29"/>
      <c r="G13" s="29" t="s">
        <v>228</v>
      </c>
      <c r="H13" s="40"/>
      <c r="I13" s="32"/>
      <c r="J13" s="32"/>
      <c r="K13" s="32"/>
      <c r="L13" s="14"/>
      <c r="M13" s="32"/>
      <c r="N13" s="32"/>
      <c r="O13" s="32"/>
      <c r="P13" s="32" t="s">
        <v>117</v>
      </c>
    </row>
    <row r="14" spans="1:16" ht="33.75" x14ac:dyDescent="0.2">
      <c r="A14" s="10" t="s">
        <v>12</v>
      </c>
      <c r="B14" s="14" t="s">
        <v>154</v>
      </c>
      <c r="C14" s="29" t="s">
        <v>117</v>
      </c>
      <c r="D14" s="40"/>
      <c r="E14" s="29" t="s">
        <v>185</v>
      </c>
      <c r="F14" s="29"/>
      <c r="G14" s="29" t="s">
        <v>228</v>
      </c>
      <c r="H14" s="40"/>
      <c r="I14" s="32"/>
      <c r="J14" s="32"/>
      <c r="K14" s="32"/>
      <c r="L14" s="14"/>
      <c r="M14" s="32"/>
      <c r="N14" s="32"/>
      <c r="O14" s="32"/>
      <c r="P14" s="32"/>
    </row>
    <row r="15" spans="1:16" ht="33.75" x14ac:dyDescent="0.2">
      <c r="A15" s="10" t="s">
        <v>13</v>
      </c>
      <c r="B15" s="14" t="s">
        <v>117</v>
      </c>
      <c r="C15" s="29" t="s">
        <v>117</v>
      </c>
      <c r="D15" s="40" t="s">
        <v>335</v>
      </c>
      <c r="E15" s="29" t="s">
        <v>185</v>
      </c>
      <c r="F15" s="29" t="s">
        <v>190</v>
      </c>
      <c r="G15" s="29" t="s">
        <v>228</v>
      </c>
      <c r="H15" s="40"/>
      <c r="I15" s="29"/>
      <c r="J15" s="32"/>
      <c r="K15" s="29"/>
      <c r="L15" s="40" t="s">
        <v>118</v>
      </c>
      <c r="M15" s="29" t="s">
        <v>321</v>
      </c>
      <c r="N15" s="29">
        <v>2005</v>
      </c>
      <c r="O15" s="29" t="s">
        <v>322</v>
      </c>
      <c r="P15" s="32"/>
    </row>
    <row r="16" spans="1:16" ht="33.75" x14ac:dyDescent="0.2">
      <c r="A16" s="10" t="s">
        <v>14</v>
      </c>
      <c r="B16" s="14" t="s">
        <v>154</v>
      </c>
      <c r="C16" s="29" t="s">
        <v>117</v>
      </c>
      <c r="D16" s="40"/>
      <c r="E16" s="29" t="s">
        <v>185</v>
      </c>
      <c r="F16" s="29"/>
      <c r="G16" s="29" t="s">
        <v>228</v>
      </c>
      <c r="H16" s="40"/>
      <c r="I16" s="32"/>
      <c r="J16" s="32"/>
      <c r="K16" s="32"/>
      <c r="L16" s="14"/>
      <c r="M16" s="32"/>
      <c r="N16" s="32"/>
      <c r="O16" s="32"/>
      <c r="P16" s="32"/>
    </row>
    <row r="17" spans="1:16" ht="33.75" x14ac:dyDescent="0.2">
      <c r="A17" s="10" t="s">
        <v>15</v>
      </c>
      <c r="B17" s="14" t="s">
        <v>154</v>
      </c>
      <c r="C17" s="29" t="s">
        <v>118</v>
      </c>
      <c r="D17" s="40"/>
      <c r="E17" s="29" t="s">
        <v>185</v>
      </c>
      <c r="F17" s="29"/>
      <c r="G17" s="29" t="s">
        <v>228</v>
      </c>
      <c r="H17" s="40"/>
      <c r="I17" s="32"/>
      <c r="J17" s="32"/>
      <c r="K17" s="32"/>
      <c r="L17" s="14"/>
      <c r="M17" s="32"/>
      <c r="N17" s="32"/>
      <c r="O17" s="32"/>
      <c r="P17" s="32"/>
    </row>
    <row r="18" spans="1:16" ht="33.75" x14ac:dyDescent="0.2">
      <c r="A18" s="10" t="s">
        <v>16</v>
      </c>
      <c r="B18" s="14" t="s">
        <v>154</v>
      </c>
      <c r="C18" s="29" t="s">
        <v>117</v>
      </c>
      <c r="D18" s="40"/>
      <c r="E18" s="29" t="s">
        <v>185</v>
      </c>
      <c r="F18" s="29"/>
      <c r="G18" s="29" t="s">
        <v>228</v>
      </c>
      <c r="H18" s="40"/>
      <c r="I18" s="32"/>
      <c r="J18" s="32"/>
      <c r="K18" s="32"/>
      <c r="L18" s="14"/>
      <c r="M18" s="32"/>
      <c r="N18" s="32"/>
      <c r="O18" s="32"/>
      <c r="P18" s="32"/>
    </row>
    <row r="19" spans="1:16" ht="33.75" x14ac:dyDescent="0.2">
      <c r="A19" s="10" t="s">
        <v>17</v>
      </c>
      <c r="B19" s="14" t="s">
        <v>117</v>
      </c>
      <c r="C19" s="29" t="s">
        <v>118</v>
      </c>
      <c r="D19" s="40"/>
      <c r="E19" s="29" t="s">
        <v>185</v>
      </c>
      <c r="F19" s="29"/>
      <c r="G19" s="29" t="s">
        <v>228</v>
      </c>
      <c r="H19" s="40"/>
      <c r="I19" s="29"/>
      <c r="J19" s="32"/>
      <c r="K19" s="29"/>
      <c r="L19" s="40"/>
      <c r="M19" s="32"/>
      <c r="N19" s="32"/>
      <c r="O19" s="32"/>
      <c r="P19" s="32"/>
    </row>
    <row r="20" spans="1:16" ht="33.75" x14ac:dyDescent="0.2">
      <c r="A20" s="10" t="s">
        <v>18</v>
      </c>
      <c r="B20" s="14" t="s">
        <v>154</v>
      </c>
      <c r="C20" s="29" t="s">
        <v>118</v>
      </c>
      <c r="D20" s="40"/>
      <c r="E20" s="29" t="s">
        <v>185</v>
      </c>
      <c r="F20" s="29"/>
      <c r="G20" s="29" t="s">
        <v>228</v>
      </c>
      <c r="H20" s="40"/>
      <c r="I20" s="32"/>
      <c r="J20" s="32"/>
      <c r="K20" s="32"/>
      <c r="L20" s="14"/>
      <c r="M20" s="32"/>
      <c r="N20" s="32"/>
      <c r="O20" s="32"/>
      <c r="P20" s="32"/>
    </row>
    <row r="21" spans="1:16" ht="33.75" x14ac:dyDescent="0.2">
      <c r="A21" s="10" t="s">
        <v>19</v>
      </c>
      <c r="B21" s="14" t="s">
        <v>154</v>
      </c>
      <c r="C21" s="29" t="s">
        <v>118</v>
      </c>
      <c r="D21" s="40"/>
      <c r="E21" s="29" t="s">
        <v>185</v>
      </c>
      <c r="F21" s="29"/>
      <c r="G21" s="29" t="s">
        <v>228</v>
      </c>
      <c r="H21" s="40"/>
      <c r="I21" s="32"/>
      <c r="J21" s="32"/>
      <c r="K21" s="32"/>
      <c r="L21" s="14"/>
      <c r="M21" s="32"/>
      <c r="N21" s="32"/>
      <c r="O21" s="32"/>
      <c r="P21" s="32"/>
    </row>
    <row r="22" spans="1:16" ht="33.75" x14ac:dyDescent="0.2">
      <c r="A22" s="10" t="s">
        <v>20</v>
      </c>
      <c r="B22" s="14" t="s">
        <v>154</v>
      </c>
      <c r="C22" s="29" t="s">
        <v>117</v>
      </c>
      <c r="D22" s="40"/>
      <c r="E22" s="29" t="s">
        <v>185</v>
      </c>
      <c r="F22" s="29"/>
      <c r="G22" s="29" t="s">
        <v>228</v>
      </c>
      <c r="H22" s="40"/>
      <c r="I22" s="32"/>
      <c r="J22" s="32"/>
      <c r="K22" s="32"/>
      <c r="L22" s="14"/>
      <c r="M22" s="32"/>
      <c r="N22" s="32"/>
      <c r="O22" s="32"/>
      <c r="P22" s="32"/>
    </row>
    <row r="23" spans="1:16" ht="33.75" x14ac:dyDescent="0.2">
      <c r="A23" s="10" t="s">
        <v>21</v>
      </c>
      <c r="B23" s="14" t="s">
        <v>154</v>
      </c>
      <c r="C23" s="29" t="s">
        <v>118</v>
      </c>
      <c r="D23" s="40"/>
      <c r="E23" s="29" t="s">
        <v>189</v>
      </c>
      <c r="F23" s="29"/>
      <c r="G23" s="29" t="s">
        <v>228</v>
      </c>
      <c r="H23" s="40"/>
      <c r="I23" s="32"/>
      <c r="J23" s="32"/>
      <c r="K23" s="32"/>
      <c r="L23" s="14"/>
      <c r="M23" s="32"/>
      <c r="N23" s="32"/>
      <c r="O23" s="32"/>
      <c r="P23" s="32"/>
    </row>
    <row r="24" spans="1:16" ht="33.75" x14ac:dyDescent="0.2">
      <c r="A24" s="10" t="s">
        <v>22</v>
      </c>
      <c r="B24" s="14" t="s">
        <v>117</v>
      </c>
      <c r="C24" s="29" t="s">
        <v>117</v>
      </c>
      <c r="D24" s="40"/>
      <c r="E24" s="29" t="s">
        <v>185</v>
      </c>
      <c r="F24" s="29"/>
      <c r="G24" s="29" t="s">
        <v>228</v>
      </c>
      <c r="H24" s="40"/>
      <c r="I24" s="32"/>
      <c r="J24" s="32"/>
      <c r="K24" s="32"/>
      <c r="L24" s="14"/>
      <c r="M24" s="32"/>
      <c r="N24" s="32"/>
      <c r="O24" s="32"/>
      <c r="P24" s="32" t="s">
        <v>117</v>
      </c>
    </row>
    <row r="25" spans="1:16" ht="33.75" x14ac:dyDescent="0.2">
      <c r="A25" s="10" t="s">
        <v>23</v>
      </c>
      <c r="B25" s="14" t="s">
        <v>154</v>
      </c>
      <c r="C25" s="29" t="s">
        <v>117</v>
      </c>
      <c r="D25" s="40"/>
      <c r="E25" s="29" t="s">
        <v>189</v>
      </c>
      <c r="F25" s="29"/>
      <c r="G25" s="29" t="s">
        <v>228</v>
      </c>
      <c r="H25" s="40"/>
      <c r="I25" s="32"/>
      <c r="J25" s="32"/>
      <c r="K25" s="32"/>
      <c r="L25" s="14"/>
      <c r="M25" s="32"/>
      <c r="N25" s="32"/>
      <c r="O25" s="32"/>
      <c r="P25" s="32"/>
    </row>
    <row r="26" spans="1:16" ht="33.75" x14ac:dyDescent="0.2">
      <c r="A26" s="10" t="s">
        <v>24</v>
      </c>
      <c r="B26" s="14" t="s">
        <v>154</v>
      </c>
      <c r="C26" s="29" t="s">
        <v>118</v>
      </c>
      <c r="D26" s="40"/>
      <c r="E26" s="29" t="s">
        <v>185</v>
      </c>
      <c r="F26" s="29"/>
      <c r="G26" s="29" t="s">
        <v>228</v>
      </c>
      <c r="H26" s="40"/>
      <c r="I26" s="32"/>
      <c r="J26" s="32"/>
      <c r="K26" s="32"/>
      <c r="L26" s="14"/>
      <c r="M26" s="32"/>
      <c r="N26" s="32"/>
      <c r="O26" s="32"/>
      <c r="P26" s="32"/>
    </row>
    <row r="27" spans="1:16" ht="33.75" x14ac:dyDescent="0.2">
      <c r="A27" s="10" t="s">
        <v>25</v>
      </c>
      <c r="B27" s="14" t="s">
        <v>154</v>
      </c>
      <c r="C27" s="29" t="s">
        <v>118</v>
      </c>
      <c r="D27" s="40"/>
      <c r="E27" s="29" t="s">
        <v>185</v>
      </c>
      <c r="F27" s="29"/>
      <c r="G27" s="29" t="s">
        <v>228</v>
      </c>
      <c r="H27" s="40"/>
      <c r="I27" s="32"/>
      <c r="J27" s="32"/>
      <c r="K27" s="32"/>
      <c r="L27" s="14"/>
      <c r="M27" s="32"/>
      <c r="N27" s="32"/>
      <c r="O27" s="32"/>
      <c r="P27" s="32"/>
    </row>
    <row r="28" spans="1:16" ht="33.75" x14ac:dyDescent="0.2">
      <c r="A28" s="10" t="s">
        <v>26</v>
      </c>
      <c r="B28" s="14" t="s">
        <v>154</v>
      </c>
      <c r="C28" s="29" t="s">
        <v>118</v>
      </c>
      <c r="D28" s="40"/>
      <c r="E28" s="29" t="s">
        <v>185</v>
      </c>
      <c r="F28" s="29"/>
      <c r="G28" s="29" t="s">
        <v>228</v>
      </c>
      <c r="H28" s="40"/>
      <c r="I28" s="32"/>
      <c r="J28" s="32"/>
      <c r="K28" s="32"/>
      <c r="L28" s="14"/>
      <c r="M28" s="32"/>
      <c r="N28" s="32"/>
      <c r="O28" s="32"/>
      <c r="P28" s="32"/>
    </row>
    <row r="29" spans="1:16" ht="101.25" x14ac:dyDescent="0.2">
      <c r="A29" s="10" t="s">
        <v>27</v>
      </c>
      <c r="B29" s="14" t="s">
        <v>117</v>
      </c>
      <c r="C29" s="29" t="s">
        <v>117</v>
      </c>
      <c r="D29" s="40"/>
      <c r="E29" s="29" t="s">
        <v>192</v>
      </c>
      <c r="F29" s="29"/>
      <c r="G29" s="29" t="s">
        <v>228</v>
      </c>
      <c r="H29" s="40"/>
      <c r="I29" s="29"/>
      <c r="J29" s="32"/>
      <c r="K29" s="29"/>
      <c r="L29" s="40" t="s">
        <v>118</v>
      </c>
      <c r="M29" s="29" t="s">
        <v>117</v>
      </c>
      <c r="N29" s="32">
        <v>2009</v>
      </c>
      <c r="O29" s="29" t="s">
        <v>311</v>
      </c>
      <c r="P29" s="32"/>
    </row>
    <row r="30" spans="1:16" ht="33.75" x14ac:dyDescent="0.2">
      <c r="A30" s="10" t="s">
        <v>28</v>
      </c>
      <c r="B30" s="14" t="s">
        <v>154</v>
      </c>
      <c r="C30" s="29" t="s">
        <v>118</v>
      </c>
      <c r="D30" s="40"/>
      <c r="E30" s="29" t="s">
        <v>193</v>
      </c>
      <c r="F30" s="29"/>
      <c r="G30" s="29" t="s">
        <v>228</v>
      </c>
      <c r="H30" s="40"/>
      <c r="I30" s="32"/>
      <c r="J30" s="32"/>
      <c r="K30" s="32"/>
      <c r="L30" s="14"/>
      <c r="M30" s="32"/>
      <c r="N30" s="32"/>
      <c r="O30" s="29"/>
      <c r="P30" s="32"/>
    </row>
    <row r="31" spans="1:16" ht="33.75" x14ac:dyDescent="0.2">
      <c r="A31" s="10" t="s">
        <v>29</v>
      </c>
      <c r="B31" s="14" t="s">
        <v>154</v>
      </c>
      <c r="C31" s="29" t="s">
        <v>118</v>
      </c>
      <c r="D31" s="40"/>
      <c r="E31" s="29" t="s">
        <v>185</v>
      </c>
      <c r="F31" s="29"/>
      <c r="G31" s="29" t="s">
        <v>228</v>
      </c>
      <c r="H31" s="40"/>
      <c r="I31" s="32"/>
      <c r="J31" s="32"/>
      <c r="K31" s="32"/>
      <c r="L31" s="14"/>
      <c r="M31" s="32"/>
      <c r="N31" s="32"/>
      <c r="O31" s="29"/>
      <c r="P31" s="32"/>
    </row>
    <row r="32" spans="1:16" ht="78.75" x14ac:dyDescent="0.2">
      <c r="A32" s="10" t="s">
        <v>30</v>
      </c>
      <c r="B32" s="14" t="s">
        <v>117</v>
      </c>
      <c r="C32" s="29" t="s">
        <v>194</v>
      </c>
      <c r="D32" s="40" t="s">
        <v>336</v>
      </c>
      <c r="E32" s="29" t="s">
        <v>195</v>
      </c>
      <c r="F32" s="29" t="s">
        <v>196</v>
      </c>
      <c r="G32" s="29" t="s">
        <v>228</v>
      </c>
      <c r="H32" s="40"/>
      <c r="I32" s="29"/>
      <c r="J32" s="32"/>
      <c r="K32" s="29"/>
      <c r="L32" s="40"/>
      <c r="M32" s="32"/>
      <c r="N32" s="32"/>
      <c r="O32" s="29"/>
      <c r="P32" s="32"/>
    </row>
    <row r="33" spans="1:16" ht="33.75" x14ac:dyDescent="0.2">
      <c r="A33" s="10" t="s">
        <v>31</v>
      </c>
      <c r="B33" s="14" t="s">
        <v>154</v>
      </c>
      <c r="C33" s="29" t="s">
        <v>118</v>
      </c>
      <c r="D33" s="40"/>
      <c r="E33" s="29" t="s">
        <v>185</v>
      </c>
      <c r="F33" s="29"/>
      <c r="G33" s="29" t="s">
        <v>228</v>
      </c>
      <c r="H33" s="40"/>
      <c r="I33" s="32"/>
      <c r="J33" s="32"/>
      <c r="K33" s="32"/>
      <c r="L33" s="14"/>
      <c r="M33" s="32"/>
      <c r="N33" s="32"/>
      <c r="O33" s="29"/>
      <c r="P33" s="32"/>
    </row>
    <row r="34" spans="1:16" ht="33.75" x14ac:dyDescent="0.2">
      <c r="A34" s="10" t="s">
        <v>32</v>
      </c>
      <c r="B34" s="14" t="s">
        <v>154</v>
      </c>
      <c r="C34" s="29" t="s">
        <v>117</v>
      </c>
      <c r="D34" s="40"/>
      <c r="E34" s="29" t="s">
        <v>185</v>
      </c>
      <c r="F34" s="29"/>
      <c r="G34" s="29" t="s">
        <v>228</v>
      </c>
      <c r="H34" s="40"/>
      <c r="I34" s="32"/>
      <c r="J34" s="32"/>
      <c r="K34" s="32"/>
      <c r="L34" s="14"/>
      <c r="M34" s="32"/>
      <c r="N34" s="32"/>
      <c r="O34" s="29"/>
      <c r="P34" s="32"/>
    </row>
    <row r="35" spans="1:16" ht="33.75" x14ac:dyDescent="0.2">
      <c r="A35" s="10" t="s">
        <v>33</v>
      </c>
      <c r="B35" s="14" t="s">
        <v>154</v>
      </c>
      <c r="C35" s="29" t="s">
        <v>118</v>
      </c>
      <c r="D35" s="40"/>
      <c r="E35" s="29" t="s">
        <v>185</v>
      </c>
      <c r="F35" s="29"/>
      <c r="G35" s="29" t="s">
        <v>228</v>
      </c>
      <c r="H35" s="40"/>
      <c r="I35" s="32"/>
      <c r="J35" s="32"/>
      <c r="K35" s="32"/>
      <c r="L35" s="14"/>
      <c r="M35" s="32"/>
      <c r="N35" s="32"/>
      <c r="O35" s="29"/>
      <c r="P35" s="32"/>
    </row>
    <row r="36" spans="1:16" ht="33.75" x14ac:dyDescent="0.2">
      <c r="A36" s="10" t="s">
        <v>34</v>
      </c>
      <c r="B36" s="14" t="s">
        <v>154</v>
      </c>
      <c r="C36" s="29" t="s">
        <v>118</v>
      </c>
      <c r="D36" s="40"/>
      <c r="E36" s="29" t="s">
        <v>185</v>
      </c>
      <c r="F36" s="29"/>
      <c r="G36" s="29" t="s">
        <v>228</v>
      </c>
      <c r="H36" s="40"/>
      <c r="I36" s="32"/>
      <c r="J36" s="32"/>
      <c r="K36" s="32"/>
      <c r="L36" s="14"/>
      <c r="M36" s="32"/>
      <c r="N36" s="32"/>
      <c r="O36" s="29"/>
      <c r="P36" s="32"/>
    </row>
    <row r="37" spans="1:16" ht="33.75" x14ac:dyDescent="0.2">
      <c r="A37" s="10" t="s">
        <v>35</v>
      </c>
      <c r="B37" s="14" t="s">
        <v>154</v>
      </c>
      <c r="C37" s="29" t="s">
        <v>118</v>
      </c>
      <c r="D37" s="40"/>
      <c r="E37" s="29" t="s">
        <v>189</v>
      </c>
      <c r="F37" s="29"/>
      <c r="G37" s="29" t="s">
        <v>228</v>
      </c>
      <c r="H37" s="40"/>
      <c r="I37" s="32"/>
      <c r="J37" s="32"/>
      <c r="K37" s="32"/>
      <c r="L37" s="14"/>
      <c r="M37" s="32"/>
      <c r="N37" s="32"/>
      <c r="O37" s="29"/>
      <c r="P37" s="32"/>
    </row>
    <row r="38" spans="1:16" ht="33.75" x14ac:dyDescent="0.2">
      <c r="A38" s="10" t="s">
        <v>36</v>
      </c>
      <c r="B38" s="14" t="s">
        <v>154</v>
      </c>
      <c r="C38" s="29" t="s">
        <v>118</v>
      </c>
      <c r="D38" s="40"/>
      <c r="E38" s="29" t="s">
        <v>185</v>
      </c>
      <c r="F38" s="29"/>
      <c r="G38" s="29" t="s">
        <v>228</v>
      </c>
      <c r="H38" s="40"/>
      <c r="I38" s="32"/>
      <c r="J38" s="32"/>
      <c r="K38" s="32"/>
      <c r="L38" s="14"/>
      <c r="M38" s="32"/>
      <c r="N38" s="32"/>
      <c r="O38" s="29"/>
      <c r="P38" s="32"/>
    </row>
    <row r="39" spans="1:16" ht="33.75" x14ac:dyDescent="0.2">
      <c r="A39" s="10" t="s">
        <v>37</v>
      </c>
      <c r="B39" s="14" t="s">
        <v>118</v>
      </c>
      <c r="C39" s="29" t="s">
        <v>118</v>
      </c>
      <c r="D39" s="40"/>
      <c r="E39" s="29" t="s">
        <v>185</v>
      </c>
      <c r="F39" s="32"/>
      <c r="G39" s="29" t="s">
        <v>228</v>
      </c>
      <c r="H39" s="40"/>
      <c r="I39" s="29"/>
      <c r="J39" s="32"/>
      <c r="K39" s="29"/>
      <c r="L39" s="40"/>
      <c r="M39" s="32"/>
      <c r="N39" s="32"/>
      <c r="O39" s="29"/>
      <c r="P39" s="32"/>
    </row>
    <row r="40" spans="1:16" ht="90" x14ac:dyDescent="0.2">
      <c r="A40" s="10" t="s">
        <v>38</v>
      </c>
      <c r="B40" s="14" t="s">
        <v>117</v>
      </c>
      <c r="C40" s="29" t="s">
        <v>117</v>
      </c>
      <c r="D40" s="40"/>
      <c r="E40" s="29" t="s">
        <v>192</v>
      </c>
      <c r="F40" s="29"/>
      <c r="G40" s="29" t="s">
        <v>228</v>
      </c>
      <c r="H40" s="40"/>
      <c r="I40" s="29"/>
      <c r="J40" s="32"/>
      <c r="K40" s="29"/>
      <c r="L40" s="40"/>
      <c r="M40" s="29" t="s">
        <v>117</v>
      </c>
      <c r="N40" s="32">
        <v>2006</v>
      </c>
      <c r="O40" s="29" t="s">
        <v>312</v>
      </c>
      <c r="P40" s="32"/>
    </row>
    <row r="41" spans="1:16" ht="33.75" x14ac:dyDescent="0.2">
      <c r="A41" s="10" t="s">
        <v>39</v>
      </c>
      <c r="B41" s="14" t="s">
        <v>154</v>
      </c>
      <c r="C41" s="29" t="s">
        <v>118</v>
      </c>
      <c r="D41" s="40"/>
      <c r="E41" s="29" t="s">
        <v>193</v>
      </c>
      <c r="F41" s="29"/>
      <c r="G41" s="29" t="s">
        <v>228</v>
      </c>
      <c r="H41" s="40"/>
      <c r="I41" s="32"/>
      <c r="J41" s="32"/>
      <c r="K41" s="32"/>
      <c r="L41" s="14"/>
      <c r="M41" s="32"/>
      <c r="N41" s="32"/>
      <c r="O41" s="29"/>
      <c r="P41" s="32"/>
    </row>
    <row r="42" spans="1:16" ht="33.75" x14ac:dyDescent="0.2">
      <c r="A42" s="10" t="s">
        <v>40</v>
      </c>
      <c r="B42" s="14" t="s">
        <v>117</v>
      </c>
      <c r="C42" s="29" t="s">
        <v>118</v>
      </c>
      <c r="D42" s="40"/>
      <c r="E42" s="29" t="s">
        <v>189</v>
      </c>
      <c r="F42" s="29"/>
      <c r="G42" s="29" t="s">
        <v>228</v>
      </c>
      <c r="H42" s="40"/>
      <c r="I42" s="29"/>
      <c r="J42" s="32"/>
      <c r="K42" s="29"/>
      <c r="L42" s="40"/>
      <c r="M42" s="32"/>
      <c r="N42" s="32"/>
      <c r="O42" s="29"/>
      <c r="P42" s="32"/>
    </row>
    <row r="43" spans="1:16" ht="33.75" x14ac:dyDescent="0.2">
      <c r="A43" s="10" t="s">
        <v>41</v>
      </c>
      <c r="B43" s="14" t="s">
        <v>154</v>
      </c>
      <c r="C43" s="29" t="s">
        <v>118</v>
      </c>
      <c r="D43" s="40"/>
      <c r="E43" s="29" t="s">
        <v>185</v>
      </c>
      <c r="F43" s="29"/>
      <c r="G43" s="29" t="s">
        <v>228</v>
      </c>
      <c r="H43" s="40"/>
      <c r="I43" s="32"/>
      <c r="J43" s="32"/>
      <c r="K43" s="32"/>
      <c r="L43" s="14"/>
      <c r="M43" s="32"/>
      <c r="N43" s="32"/>
      <c r="O43" s="29"/>
      <c r="P43" s="32"/>
    </row>
    <row r="44" spans="1:16" ht="33.75" x14ac:dyDescent="0.2">
      <c r="A44" s="10" t="s">
        <v>42</v>
      </c>
      <c r="B44" s="14" t="s">
        <v>154</v>
      </c>
      <c r="C44" s="29" t="s">
        <v>118</v>
      </c>
      <c r="D44" s="40"/>
      <c r="E44" s="29" t="s">
        <v>185</v>
      </c>
      <c r="F44" s="29"/>
      <c r="G44" s="29" t="s">
        <v>228</v>
      </c>
      <c r="H44" s="40"/>
      <c r="I44" s="32"/>
      <c r="J44" s="32"/>
      <c r="K44" s="32"/>
      <c r="L44" s="14"/>
      <c r="M44" s="32"/>
      <c r="N44" s="32"/>
      <c r="O44" s="29"/>
      <c r="P44" s="32"/>
    </row>
    <row r="45" spans="1:16" ht="33.75" x14ac:dyDescent="0.2">
      <c r="A45" s="10" t="s">
        <v>43</v>
      </c>
      <c r="B45" s="14" t="s">
        <v>154</v>
      </c>
      <c r="C45" s="29" t="s">
        <v>117</v>
      </c>
      <c r="D45" s="40"/>
      <c r="E45" s="29" t="s">
        <v>185</v>
      </c>
      <c r="F45" s="29"/>
      <c r="G45" s="29" t="s">
        <v>228</v>
      </c>
      <c r="H45" s="40"/>
      <c r="I45" s="32"/>
      <c r="J45" s="32"/>
      <c r="K45" s="32"/>
      <c r="L45" s="14"/>
      <c r="M45" s="32"/>
      <c r="N45" s="32"/>
      <c r="O45" s="29"/>
      <c r="P45" s="32"/>
    </row>
    <row r="46" spans="1:16" ht="33.75" x14ac:dyDescent="0.2">
      <c r="A46" s="10" t="s">
        <v>44</v>
      </c>
      <c r="B46" s="14" t="s">
        <v>117</v>
      </c>
      <c r="C46" s="29" t="s">
        <v>118</v>
      </c>
      <c r="D46" s="40"/>
      <c r="E46" s="29" t="s">
        <v>198</v>
      </c>
      <c r="F46" s="29"/>
      <c r="G46" s="29" t="s">
        <v>228</v>
      </c>
      <c r="H46" s="40"/>
      <c r="I46" s="29"/>
      <c r="J46" s="32"/>
      <c r="K46" s="29"/>
      <c r="L46" s="40"/>
      <c r="M46" s="32"/>
      <c r="N46" s="32"/>
      <c r="O46" s="29"/>
      <c r="P46" s="32"/>
    </row>
    <row r="47" spans="1:16" ht="33.75" x14ac:dyDescent="0.2">
      <c r="A47" s="10" t="s">
        <v>45</v>
      </c>
      <c r="B47" s="40" t="s">
        <v>117</v>
      </c>
      <c r="C47" s="29" t="s">
        <v>117</v>
      </c>
      <c r="D47" s="40"/>
      <c r="E47" s="29" t="s">
        <v>192</v>
      </c>
      <c r="F47" s="29"/>
      <c r="G47" s="29" t="s">
        <v>228</v>
      </c>
      <c r="H47" s="40"/>
      <c r="I47" s="32"/>
      <c r="J47" s="32"/>
      <c r="K47" s="32"/>
      <c r="L47" s="14"/>
      <c r="M47" s="32"/>
      <c r="N47" s="32"/>
      <c r="O47" s="29"/>
      <c r="P47" s="32" t="s">
        <v>117</v>
      </c>
    </row>
    <row r="48" spans="1:16" ht="33.75" x14ac:dyDescent="0.2">
      <c r="A48" s="10" t="s">
        <v>46</v>
      </c>
      <c r="B48" s="14" t="s">
        <v>117</v>
      </c>
      <c r="C48" s="29" t="s">
        <v>117</v>
      </c>
      <c r="D48" s="40"/>
      <c r="E48" s="29" t="s">
        <v>200</v>
      </c>
      <c r="F48" s="29"/>
      <c r="G48" s="29" t="s">
        <v>228</v>
      </c>
      <c r="H48" s="40"/>
      <c r="I48" s="32"/>
      <c r="J48" s="32"/>
      <c r="K48" s="32"/>
      <c r="L48" s="14"/>
      <c r="M48" s="32"/>
      <c r="N48" s="32"/>
      <c r="O48" s="29"/>
      <c r="P48" s="32" t="s">
        <v>117</v>
      </c>
    </row>
    <row r="49" spans="1:16" ht="33.75" x14ac:dyDescent="0.2">
      <c r="A49" s="10" t="s">
        <v>47</v>
      </c>
      <c r="B49" s="14" t="s">
        <v>154</v>
      </c>
      <c r="C49" s="29" t="s">
        <v>118</v>
      </c>
      <c r="D49" s="40"/>
      <c r="E49" s="29" t="s">
        <v>185</v>
      </c>
      <c r="F49" s="29"/>
      <c r="G49" s="29" t="s">
        <v>228</v>
      </c>
      <c r="H49" s="40"/>
      <c r="I49" s="32"/>
      <c r="J49" s="32"/>
      <c r="K49" s="32"/>
      <c r="L49" s="14"/>
      <c r="M49" s="32"/>
      <c r="N49" s="32"/>
      <c r="O49" s="29"/>
      <c r="P49" s="32"/>
    </row>
    <row r="50" spans="1:16" ht="33.75" x14ac:dyDescent="0.2">
      <c r="A50" s="10" t="s">
        <v>48</v>
      </c>
      <c r="B50" s="14" t="s">
        <v>154</v>
      </c>
      <c r="C50" s="29" t="s">
        <v>118</v>
      </c>
      <c r="D50" s="40"/>
      <c r="E50" s="29" t="s">
        <v>185</v>
      </c>
      <c r="F50" s="29"/>
      <c r="G50" s="29" t="s">
        <v>228</v>
      </c>
      <c r="H50" s="40"/>
      <c r="I50" s="32"/>
      <c r="J50" s="32"/>
      <c r="K50" s="32"/>
      <c r="L50" s="14"/>
      <c r="M50" s="32"/>
      <c r="N50" s="32"/>
      <c r="O50" s="29"/>
      <c r="P50" s="32"/>
    </row>
    <row r="51" spans="1:16" ht="33.75" x14ac:dyDescent="0.2">
      <c r="A51" s="10" t="s">
        <v>49</v>
      </c>
      <c r="B51" s="14" t="s">
        <v>117</v>
      </c>
      <c r="C51" s="29" t="s">
        <v>117</v>
      </c>
      <c r="D51" s="40"/>
      <c r="E51" s="29" t="s">
        <v>185</v>
      </c>
      <c r="F51" s="29"/>
      <c r="G51" s="29" t="s">
        <v>228</v>
      </c>
      <c r="H51" s="40"/>
      <c r="I51" s="29"/>
      <c r="J51" s="32"/>
      <c r="K51" s="29"/>
      <c r="L51" s="40"/>
      <c r="M51" s="32"/>
      <c r="N51" s="32"/>
      <c r="O51" s="29"/>
      <c r="P51" s="32"/>
    </row>
    <row r="52" spans="1:16" ht="33.75" x14ac:dyDescent="0.2">
      <c r="A52" s="10" t="s">
        <v>50</v>
      </c>
      <c r="B52" s="14" t="s">
        <v>154</v>
      </c>
      <c r="C52" s="29" t="s">
        <v>118</v>
      </c>
      <c r="D52" s="40"/>
      <c r="E52" s="29" t="s">
        <v>189</v>
      </c>
      <c r="F52" s="29"/>
      <c r="G52" s="29" t="s">
        <v>228</v>
      </c>
      <c r="H52" s="40"/>
      <c r="I52" s="32"/>
      <c r="J52" s="32"/>
      <c r="K52" s="32"/>
      <c r="L52" s="14"/>
      <c r="M52" s="32"/>
      <c r="N52" s="32"/>
      <c r="O52" s="29"/>
      <c r="P52" s="32"/>
    </row>
    <row r="53" spans="1:16" ht="90" x14ac:dyDescent="0.2">
      <c r="A53" s="10" t="s">
        <v>51</v>
      </c>
      <c r="B53" s="14" t="s">
        <v>118</v>
      </c>
      <c r="C53" s="29" t="s">
        <v>117</v>
      </c>
      <c r="D53" s="40" t="s">
        <v>337</v>
      </c>
      <c r="E53" s="29" t="s">
        <v>185</v>
      </c>
      <c r="F53" s="29" t="s">
        <v>201</v>
      </c>
      <c r="G53" s="29" t="s">
        <v>228</v>
      </c>
      <c r="H53" s="40"/>
      <c r="I53" s="32"/>
      <c r="J53" s="32"/>
      <c r="K53" s="32"/>
      <c r="L53" s="14" t="s">
        <v>118</v>
      </c>
      <c r="M53" s="32" t="s">
        <v>117</v>
      </c>
      <c r="N53" s="59">
        <v>2007</v>
      </c>
      <c r="O53" s="59" t="s">
        <v>328</v>
      </c>
      <c r="P53" s="32"/>
    </row>
    <row r="54" spans="1:16" ht="33.75" x14ac:dyDescent="0.2">
      <c r="A54" s="10" t="s">
        <v>52</v>
      </c>
      <c r="B54" s="40" t="s">
        <v>117</v>
      </c>
      <c r="C54" s="29" t="s">
        <v>117</v>
      </c>
      <c r="D54" s="40"/>
      <c r="E54" s="29" t="s">
        <v>185</v>
      </c>
      <c r="F54" s="29"/>
      <c r="G54" s="29" t="s">
        <v>228</v>
      </c>
      <c r="H54" s="40"/>
      <c r="I54" s="32"/>
      <c r="J54" s="32"/>
      <c r="K54" s="32"/>
      <c r="L54" s="14"/>
      <c r="M54" s="32"/>
      <c r="N54" s="32"/>
      <c r="O54" s="29"/>
      <c r="P54" s="32"/>
    </row>
    <row r="55" spans="1:16" ht="33.75" x14ac:dyDescent="0.2">
      <c r="A55" s="10" t="s">
        <v>53</v>
      </c>
      <c r="B55" s="14" t="s">
        <v>154</v>
      </c>
      <c r="C55" s="29" t="s">
        <v>117</v>
      </c>
      <c r="D55" s="40"/>
      <c r="E55" s="29" t="s">
        <v>185</v>
      </c>
      <c r="F55" s="29"/>
      <c r="G55" s="29" t="s">
        <v>228</v>
      </c>
      <c r="H55" s="40"/>
      <c r="I55" s="32"/>
      <c r="J55" s="32"/>
      <c r="K55" s="32"/>
      <c r="L55" s="14"/>
      <c r="M55" s="32"/>
      <c r="N55" s="32"/>
      <c r="O55" s="29"/>
      <c r="P55" s="32"/>
    </row>
    <row r="56" spans="1:16" ht="33.75" x14ac:dyDescent="0.2">
      <c r="A56" s="10" t="s">
        <v>54</v>
      </c>
      <c r="B56" s="14" t="s">
        <v>118</v>
      </c>
      <c r="C56" s="29" t="s">
        <v>117</v>
      </c>
      <c r="D56" s="40"/>
      <c r="E56" s="29" t="s">
        <v>185</v>
      </c>
      <c r="F56" s="29"/>
      <c r="G56" s="29" t="s">
        <v>228</v>
      </c>
      <c r="H56" s="40"/>
      <c r="I56" s="29"/>
      <c r="J56" s="32"/>
      <c r="K56" s="29"/>
      <c r="L56" s="40"/>
      <c r="M56" s="32"/>
      <c r="N56" s="32"/>
      <c r="O56" s="29"/>
      <c r="P56" s="32"/>
    </row>
    <row r="57" spans="1:16" ht="33.75" x14ac:dyDescent="0.2">
      <c r="A57" s="10" t="s">
        <v>55</v>
      </c>
      <c r="B57" s="14" t="s">
        <v>117</v>
      </c>
      <c r="C57" s="29" t="s">
        <v>118</v>
      </c>
      <c r="D57" s="40"/>
      <c r="E57" s="29" t="s">
        <v>203</v>
      </c>
      <c r="F57" s="29"/>
      <c r="G57" s="29" t="s">
        <v>228</v>
      </c>
      <c r="H57" s="40"/>
      <c r="I57" s="29"/>
      <c r="J57" s="32"/>
      <c r="K57" s="29"/>
      <c r="L57" s="40"/>
      <c r="M57" s="32"/>
      <c r="N57" s="32"/>
      <c r="O57" s="29"/>
      <c r="P57" s="32"/>
    </row>
    <row r="58" spans="1:16" ht="33.75" x14ac:dyDescent="0.2">
      <c r="A58" s="10" t="s">
        <v>56</v>
      </c>
      <c r="B58" s="14" t="s">
        <v>154</v>
      </c>
      <c r="C58" s="29" t="s">
        <v>118</v>
      </c>
      <c r="D58" s="40"/>
      <c r="E58" s="29" t="s">
        <v>185</v>
      </c>
      <c r="F58" s="29"/>
      <c r="G58" s="29" t="s">
        <v>228</v>
      </c>
      <c r="H58" s="40"/>
      <c r="I58" s="32"/>
      <c r="J58" s="32"/>
      <c r="K58" s="32"/>
      <c r="L58" s="14"/>
      <c r="M58" s="32"/>
      <c r="N58" s="32"/>
      <c r="O58" s="29"/>
      <c r="P58" s="32"/>
    </row>
    <row r="59" spans="1:16" ht="33.75" x14ac:dyDescent="0.2">
      <c r="A59" s="10" t="s">
        <v>57</v>
      </c>
      <c r="B59" s="14" t="s">
        <v>117</v>
      </c>
      <c r="C59" s="29" t="s">
        <v>118</v>
      </c>
      <c r="D59" s="40"/>
      <c r="E59" s="29" t="s">
        <v>185</v>
      </c>
      <c r="F59" s="29"/>
      <c r="G59" s="29" t="s">
        <v>228</v>
      </c>
      <c r="H59" s="40"/>
      <c r="I59" s="29"/>
      <c r="J59" s="32"/>
      <c r="K59" s="29"/>
      <c r="L59" s="40"/>
      <c r="M59" s="32"/>
      <c r="N59" s="32"/>
      <c r="O59" s="29"/>
      <c r="P59" s="32"/>
    </row>
    <row r="60" spans="1:16" ht="33.75" x14ac:dyDescent="0.2">
      <c r="A60" s="10" t="s">
        <v>58</v>
      </c>
      <c r="B60" s="14" t="s">
        <v>117</v>
      </c>
      <c r="C60" s="29" t="s">
        <v>117</v>
      </c>
      <c r="D60" s="40"/>
      <c r="E60" s="29" t="s">
        <v>185</v>
      </c>
      <c r="F60" s="29"/>
      <c r="G60" s="29" t="s">
        <v>228</v>
      </c>
      <c r="H60" s="40"/>
      <c r="I60" s="29"/>
      <c r="J60" s="32"/>
      <c r="K60" s="29"/>
      <c r="L60" s="40"/>
      <c r="M60" s="32"/>
      <c r="N60" s="32"/>
      <c r="O60" s="29"/>
      <c r="P60" s="32"/>
    </row>
    <row r="61" spans="1:16" ht="33.75" x14ac:dyDescent="0.2">
      <c r="A61" s="10" t="s">
        <v>59</v>
      </c>
      <c r="B61" s="14" t="s">
        <v>154</v>
      </c>
      <c r="C61" s="29" t="s">
        <v>118</v>
      </c>
      <c r="D61" s="40"/>
      <c r="E61" s="29" t="s">
        <v>185</v>
      </c>
      <c r="F61" s="29"/>
      <c r="G61" s="29" t="s">
        <v>228</v>
      </c>
      <c r="H61" s="40"/>
      <c r="I61" s="32"/>
      <c r="J61" s="32"/>
      <c r="K61" s="32"/>
      <c r="L61" s="14"/>
      <c r="M61" s="32"/>
      <c r="N61" s="32"/>
      <c r="O61" s="29"/>
      <c r="P61" s="32"/>
    </row>
    <row r="62" spans="1:16" ht="33.75" x14ac:dyDescent="0.2">
      <c r="A62" s="10" t="s">
        <v>60</v>
      </c>
      <c r="B62" s="40" t="s">
        <v>117</v>
      </c>
      <c r="C62" s="29" t="s">
        <v>117</v>
      </c>
      <c r="D62" s="40"/>
      <c r="E62" s="29" t="s">
        <v>185</v>
      </c>
      <c r="F62" s="29"/>
      <c r="G62" s="29" t="s">
        <v>228</v>
      </c>
      <c r="H62" s="40"/>
      <c r="I62" s="32"/>
      <c r="J62" s="32"/>
      <c r="K62" s="32"/>
      <c r="L62" s="14"/>
      <c r="M62" s="32"/>
      <c r="N62" s="32"/>
      <c r="O62" s="29"/>
      <c r="P62" s="32"/>
    </row>
    <row r="63" spans="1:16" ht="33.75" x14ac:dyDescent="0.2">
      <c r="A63" s="10" t="s">
        <v>61</v>
      </c>
      <c r="B63" s="14" t="s">
        <v>117</v>
      </c>
      <c r="C63" s="29" t="s">
        <v>117</v>
      </c>
      <c r="D63" s="40"/>
      <c r="E63" s="29" t="s">
        <v>205</v>
      </c>
      <c r="F63" s="29"/>
      <c r="G63" s="29" t="s">
        <v>228</v>
      </c>
      <c r="H63" s="40"/>
      <c r="I63" s="29"/>
      <c r="J63" s="32"/>
      <c r="K63" s="29"/>
      <c r="L63" s="40"/>
      <c r="M63" s="32"/>
      <c r="N63" s="32"/>
      <c r="O63" s="29"/>
      <c r="P63" s="32"/>
    </row>
    <row r="64" spans="1:16" ht="33.75" x14ac:dyDescent="0.2">
      <c r="A64" s="10" t="s">
        <v>62</v>
      </c>
      <c r="B64" s="14" t="s">
        <v>154</v>
      </c>
      <c r="C64" s="29" t="s">
        <v>118</v>
      </c>
      <c r="D64" s="40"/>
      <c r="E64" s="29" t="s">
        <v>185</v>
      </c>
      <c r="F64" s="29"/>
      <c r="G64" s="29" t="s">
        <v>228</v>
      </c>
      <c r="H64" s="40"/>
      <c r="I64" s="32"/>
      <c r="J64" s="32"/>
      <c r="K64" s="32"/>
      <c r="L64" s="14"/>
      <c r="M64" s="32"/>
      <c r="N64" s="32"/>
      <c r="O64" s="29"/>
      <c r="P64" s="32"/>
    </row>
    <row r="65" spans="1:16" ht="33.75" x14ac:dyDescent="0.2">
      <c r="A65" s="10" t="s">
        <v>63</v>
      </c>
      <c r="B65" s="14" t="s">
        <v>154</v>
      </c>
      <c r="C65" s="29" t="s">
        <v>118</v>
      </c>
      <c r="D65" s="40"/>
      <c r="E65" s="29" t="s">
        <v>189</v>
      </c>
      <c r="F65" s="29"/>
      <c r="G65" s="29" t="s">
        <v>228</v>
      </c>
      <c r="H65" s="40"/>
      <c r="I65" s="32"/>
      <c r="J65" s="32"/>
      <c r="K65" s="32"/>
      <c r="L65" s="14"/>
      <c r="M65" s="32"/>
      <c r="N65" s="32"/>
      <c r="O65" s="29"/>
      <c r="P65" s="32"/>
    </row>
    <row r="66" spans="1:16" ht="33.75" x14ac:dyDescent="0.2">
      <c r="A66" s="10" t="s">
        <v>64</v>
      </c>
      <c r="B66" s="14" t="s">
        <v>154</v>
      </c>
      <c r="C66" s="29" t="s">
        <v>118</v>
      </c>
      <c r="D66" s="40"/>
      <c r="E66" s="29" t="s">
        <v>192</v>
      </c>
      <c r="F66" s="29"/>
      <c r="G66" s="29" t="s">
        <v>228</v>
      </c>
      <c r="H66" s="40"/>
      <c r="I66" s="32"/>
      <c r="J66" s="32"/>
      <c r="K66" s="32"/>
      <c r="L66" s="14"/>
      <c r="M66" s="32"/>
      <c r="N66" s="32"/>
      <c r="O66" s="29"/>
      <c r="P66" s="32"/>
    </row>
    <row r="67" spans="1:16" ht="33.75" x14ac:dyDescent="0.2">
      <c r="A67" s="10" t="s">
        <v>65</v>
      </c>
      <c r="B67" s="14" t="s">
        <v>117</v>
      </c>
      <c r="C67" s="29" t="s">
        <v>118</v>
      </c>
      <c r="D67" s="40"/>
      <c r="E67" s="29" t="s">
        <v>185</v>
      </c>
      <c r="F67" s="29"/>
      <c r="G67" s="29" t="s">
        <v>228</v>
      </c>
      <c r="H67" s="40"/>
      <c r="I67" s="29"/>
      <c r="J67" s="32"/>
      <c r="K67" s="29"/>
      <c r="L67" s="40"/>
      <c r="M67" s="32"/>
      <c r="N67" s="32"/>
      <c r="O67" s="29"/>
      <c r="P67" s="32"/>
    </row>
    <row r="68" spans="1:16" ht="33.75" x14ac:dyDescent="0.2">
      <c r="A68" s="10" t="s">
        <v>66</v>
      </c>
      <c r="B68" s="14" t="s">
        <v>117</v>
      </c>
      <c r="C68" s="29" t="s">
        <v>117</v>
      </c>
      <c r="D68" s="40"/>
      <c r="E68" s="29" t="s">
        <v>185</v>
      </c>
      <c r="F68" s="29"/>
      <c r="G68" s="29" t="s">
        <v>228</v>
      </c>
      <c r="H68" s="40"/>
      <c r="I68" s="29"/>
      <c r="J68" s="32"/>
      <c r="K68" s="29"/>
      <c r="L68" s="40"/>
      <c r="M68" s="32"/>
      <c r="N68" s="32"/>
      <c r="O68" s="29"/>
      <c r="P68" s="32"/>
    </row>
    <row r="69" spans="1:16" ht="33.75" x14ac:dyDescent="0.2">
      <c r="A69" s="10" t="s">
        <v>67</v>
      </c>
      <c r="B69" s="14" t="s">
        <v>154</v>
      </c>
      <c r="C69" s="29" t="s">
        <v>118</v>
      </c>
      <c r="D69" s="40"/>
      <c r="E69" s="29" t="s">
        <v>185</v>
      </c>
      <c r="F69" s="29"/>
      <c r="G69" s="29" t="s">
        <v>228</v>
      </c>
      <c r="H69" s="40"/>
      <c r="I69" s="32"/>
      <c r="J69" s="32"/>
      <c r="K69" s="32"/>
      <c r="L69" s="14"/>
      <c r="M69" s="32"/>
      <c r="N69" s="32"/>
      <c r="O69" s="29"/>
      <c r="P69" s="32"/>
    </row>
    <row r="70" spans="1:16" ht="33.75" x14ac:dyDescent="0.2">
      <c r="A70" s="10" t="s">
        <v>68</v>
      </c>
      <c r="B70" s="14" t="s">
        <v>154</v>
      </c>
      <c r="C70" s="29" t="s">
        <v>118</v>
      </c>
      <c r="D70" s="40"/>
      <c r="E70" s="29" t="s">
        <v>185</v>
      </c>
      <c r="F70" s="29"/>
      <c r="G70" s="29" t="s">
        <v>228</v>
      </c>
      <c r="H70" s="40"/>
      <c r="I70" s="32"/>
      <c r="J70" s="32"/>
      <c r="K70" s="32"/>
      <c r="L70" s="14"/>
      <c r="M70" s="32"/>
      <c r="N70" s="32"/>
      <c r="O70" s="29"/>
      <c r="P70" s="32"/>
    </row>
    <row r="71" spans="1:16" ht="33.75" x14ac:dyDescent="0.2">
      <c r="A71" s="10" t="s">
        <v>70</v>
      </c>
      <c r="B71" s="14" t="s">
        <v>117</v>
      </c>
      <c r="C71" s="29" t="s">
        <v>118</v>
      </c>
      <c r="D71" s="40"/>
      <c r="E71" s="29" t="s">
        <v>189</v>
      </c>
      <c r="F71" s="29"/>
      <c r="G71" s="29" t="s">
        <v>228</v>
      </c>
      <c r="H71" s="40"/>
      <c r="I71" s="32"/>
      <c r="J71" s="32"/>
      <c r="K71" s="32"/>
      <c r="L71" s="14"/>
      <c r="M71" s="32"/>
      <c r="N71" s="32"/>
      <c r="O71" s="29"/>
      <c r="P71" s="32" t="s">
        <v>117</v>
      </c>
    </row>
    <row r="72" spans="1:16" ht="67.5" x14ac:dyDescent="0.2">
      <c r="A72" s="10" t="s">
        <v>71</v>
      </c>
      <c r="B72" s="14" t="s">
        <v>154</v>
      </c>
      <c r="C72" s="29" t="s">
        <v>117</v>
      </c>
      <c r="D72" s="40" t="s">
        <v>334</v>
      </c>
      <c r="E72" s="29" t="s">
        <v>192</v>
      </c>
      <c r="F72" s="29" t="s">
        <v>208</v>
      </c>
      <c r="G72" s="29" t="s">
        <v>228</v>
      </c>
      <c r="H72" s="40"/>
      <c r="I72" s="32"/>
      <c r="J72" s="32"/>
      <c r="K72" s="32"/>
      <c r="L72" s="14"/>
      <c r="M72" s="32"/>
      <c r="N72" s="32"/>
      <c r="O72" s="29"/>
      <c r="P72" s="32"/>
    </row>
    <row r="73" spans="1:16" ht="90" x14ac:dyDescent="0.2">
      <c r="A73" s="10" t="s">
        <v>72</v>
      </c>
      <c r="B73" s="14" t="s">
        <v>117</v>
      </c>
      <c r="C73" s="29" t="s">
        <v>118</v>
      </c>
      <c r="D73" s="14" t="s">
        <v>338</v>
      </c>
      <c r="E73" s="29" t="s">
        <v>192</v>
      </c>
      <c r="F73" s="29" t="s">
        <v>206</v>
      </c>
      <c r="G73" s="29" t="s">
        <v>228</v>
      </c>
      <c r="H73" s="40"/>
      <c r="I73" s="29"/>
      <c r="J73" s="32"/>
      <c r="K73" s="29"/>
      <c r="L73" s="40" t="s">
        <v>118</v>
      </c>
      <c r="M73" s="29" t="s">
        <v>117</v>
      </c>
      <c r="N73" s="32">
        <v>2009</v>
      </c>
      <c r="O73" s="29" t="s">
        <v>313</v>
      </c>
      <c r="P73" s="32"/>
    </row>
    <row r="74" spans="1:16" ht="33.75" x14ac:dyDescent="0.2">
      <c r="A74" s="10" t="s">
        <v>69</v>
      </c>
      <c r="B74" s="14" t="s">
        <v>117</v>
      </c>
      <c r="C74" s="29" t="s">
        <v>117</v>
      </c>
      <c r="D74" s="40"/>
      <c r="E74" s="29" t="s">
        <v>207</v>
      </c>
      <c r="F74" s="29"/>
      <c r="G74" s="29" t="s">
        <v>228</v>
      </c>
      <c r="H74" s="40"/>
      <c r="I74" s="29"/>
      <c r="J74" s="32"/>
      <c r="K74" s="29"/>
      <c r="L74" s="40"/>
      <c r="M74" s="32"/>
      <c r="N74" s="32"/>
      <c r="O74" s="29"/>
      <c r="P74" s="32"/>
    </row>
    <row r="75" spans="1:16" ht="33.75" x14ac:dyDescent="0.2">
      <c r="A75" s="10" t="s">
        <v>73</v>
      </c>
      <c r="B75" s="14" t="s">
        <v>154</v>
      </c>
      <c r="C75" s="29" t="s">
        <v>118</v>
      </c>
      <c r="D75" s="40"/>
      <c r="E75" s="29" t="s">
        <v>185</v>
      </c>
      <c r="F75" s="29"/>
      <c r="G75" s="29" t="s">
        <v>228</v>
      </c>
      <c r="H75" s="40"/>
      <c r="I75" s="32"/>
      <c r="J75" s="32"/>
      <c r="K75" s="32"/>
      <c r="L75" s="14"/>
      <c r="M75" s="32"/>
      <c r="N75" s="32"/>
      <c r="O75" s="29"/>
      <c r="P75" s="32"/>
    </row>
    <row r="76" spans="1:16" ht="67.5" x14ac:dyDescent="0.2">
      <c r="A76" s="10" t="s">
        <v>74</v>
      </c>
      <c r="B76" s="14" t="s">
        <v>117</v>
      </c>
      <c r="C76" s="29" t="s">
        <v>117</v>
      </c>
      <c r="D76" s="40"/>
      <c r="E76" s="29" t="s">
        <v>205</v>
      </c>
      <c r="F76" s="29"/>
      <c r="G76" s="29" t="s">
        <v>228</v>
      </c>
      <c r="H76" s="40"/>
      <c r="I76" s="29"/>
      <c r="J76" s="32"/>
      <c r="K76" s="29"/>
      <c r="L76" s="40" t="s">
        <v>118</v>
      </c>
      <c r="M76" s="29" t="s">
        <v>323</v>
      </c>
      <c r="N76" s="29">
        <v>2009</v>
      </c>
      <c r="O76" s="29" t="s">
        <v>324</v>
      </c>
      <c r="P76" s="32"/>
    </row>
    <row r="77" spans="1:16" ht="33.75" x14ac:dyDescent="0.2">
      <c r="A77" s="10" t="s">
        <v>75</v>
      </c>
      <c r="B77" s="14" t="s">
        <v>118</v>
      </c>
      <c r="C77" s="29" t="s">
        <v>118</v>
      </c>
      <c r="D77" s="40"/>
      <c r="E77" s="29" t="s">
        <v>185</v>
      </c>
      <c r="F77" s="29"/>
      <c r="G77" s="29" t="s">
        <v>228</v>
      </c>
      <c r="H77" s="40"/>
      <c r="I77" s="29"/>
      <c r="J77" s="32"/>
      <c r="K77" s="29"/>
      <c r="L77" s="40"/>
      <c r="M77" s="32"/>
      <c r="N77" s="32"/>
      <c r="O77" s="29"/>
      <c r="P77" s="32"/>
    </row>
    <row r="78" spans="1:16" ht="90" x14ac:dyDescent="0.2">
      <c r="A78" s="10" t="s">
        <v>76</v>
      </c>
      <c r="B78" s="14" t="s">
        <v>117</v>
      </c>
      <c r="C78" s="29" t="s">
        <v>117</v>
      </c>
      <c r="D78" s="40"/>
      <c r="E78" s="29" t="s">
        <v>180</v>
      </c>
      <c r="F78" s="29"/>
      <c r="G78" s="29" t="s">
        <v>228</v>
      </c>
      <c r="H78" s="40"/>
      <c r="I78" s="29"/>
      <c r="J78" s="32"/>
      <c r="K78" s="29"/>
      <c r="L78" s="40"/>
      <c r="M78" s="29" t="s">
        <v>117</v>
      </c>
      <c r="N78" s="32">
        <v>2008</v>
      </c>
      <c r="O78" s="29" t="s">
        <v>314</v>
      </c>
      <c r="P78" s="32"/>
    </row>
    <row r="79" spans="1:16" ht="33.75" x14ac:dyDescent="0.2">
      <c r="A79" s="10" t="s">
        <v>77</v>
      </c>
      <c r="B79" s="14" t="s">
        <v>117</v>
      </c>
      <c r="C79" s="29" t="s">
        <v>118</v>
      </c>
      <c r="D79" s="40"/>
      <c r="E79" s="29" t="s">
        <v>189</v>
      </c>
      <c r="F79" s="29"/>
      <c r="G79" s="29" t="s">
        <v>228</v>
      </c>
      <c r="H79" s="40"/>
      <c r="I79" s="29"/>
      <c r="J79" s="32"/>
      <c r="K79" s="29"/>
      <c r="L79" s="40"/>
      <c r="M79" s="32"/>
      <c r="N79" s="32"/>
      <c r="O79" s="32"/>
      <c r="P79" s="32"/>
    </row>
    <row r="80" spans="1:16" x14ac:dyDescent="0.2">
      <c r="A80" s="44" t="s">
        <v>255</v>
      </c>
      <c r="B80" s="44">
        <f>COUNTIF(Table1630[Yes/No], "Yes")</f>
        <v>28</v>
      </c>
      <c r="C80" s="60"/>
      <c r="D80" s="60"/>
      <c r="E80" s="60"/>
      <c r="F80" s="60"/>
      <c r="G80" s="60"/>
      <c r="H80" s="60"/>
      <c r="I80" s="61"/>
      <c r="J80" s="61"/>
      <c r="K80" s="61"/>
      <c r="L80" s="61"/>
      <c r="M80" s="19"/>
      <c r="N80" s="19"/>
      <c r="O80" s="51"/>
      <c r="P80" s="19"/>
    </row>
    <row r="81" spans="1:16" x14ac:dyDescent="0.2">
      <c r="A81" s="44" t="s">
        <v>256</v>
      </c>
      <c r="B81" s="44">
        <f>COUNTIF(Table1630[Yes/No], "No")</f>
        <v>4</v>
      </c>
      <c r="C81" s="60"/>
      <c r="D81" s="60"/>
      <c r="E81" s="60"/>
      <c r="F81" s="60"/>
      <c r="G81" s="60"/>
      <c r="H81" s="60"/>
      <c r="I81" s="61"/>
      <c r="J81" s="61"/>
      <c r="K81" s="61"/>
      <c r="L81" s="61"/>
      <c r="M81" s="19"/>
      <c r="N81" s="19"/>
      <c r="O81" s="51"/>
      <c r="P81" s="19"/>
    </row>
    <row r="82" spans="1:16" x14ac:dyDescent="0.2">
      <c r="A82" s="44" t="s">
        <v>257</v>
      </c>
      <c r="B82" s="44">
        <f>COUNTIF(Table1630[Yes/No], "No data")</f>
        <v>43</v>
      </c>
      <c r="C82" s="60"/>
      <c r="D82" s="60"/>
      <c r="E82" s="60"/>
      <c r="F82" s="60"/>
      <c r="G82" s="60"/>
      <c r="H82" s="60"/>
      <c r="I82" s="61"/>
      <c r="J82" s="61"/>
      <c r="K82" s="61"/>
      <c r="L82" s="61"/>
      <c r="M82" s="19"/>
      <c r="N82" s="19"/>
      <c r="O82" s="51"/>
      <c r="P82" s="19"/>
    </row>
    <row r="83" spans="1:16" x14ac:dyDescent="0.2">
      <c r="A83" s="19"/>
      <c r="B83" s="19"/>
      <c r="C83" s="19"/>
      <c r="D83" s="19"/>
      <c r="E83" s="19"/>
      <c r="F83" s="19"/>
      <c r="G83" s="19"/>
      <c r="H83" s="19"/>
      <c r="I83" s="19"/>
      <c r="J83" s="19"/>
      <c r="K83" s="19"/>
      <c r="L83" s="19"/>
      <c r="M83" s="19"/>
      <c r="N83" s="19"/>
      <c r="O83" s="19"/>
      <c r="P83" s="19"/>
    </row>
  </sheetData>
  <mergeCells count="5">
    <mergeCell ref="A1:F1"/>
    <mergeCell ref="A2:F2"/>
    <mergeCell ref="C3:G3"/>
    <mergeCell ref="H3:K3"/>
    <mergeCell ref="L3:O3"/>
  </mergeCells>
  <pageMargins left="0.23622047244094491" right="0.23622047244094491" top="0.74803149606299213" bottom="0.74803149606299213" header="0.31496062992125984" footer="0.31496062992125984"/>
  <pageSetup paperSize="9" scale="65" orientation="portrait"/>
  <colBreaks count="1" manualBreakCount="1">
    <brk id="7" max="1048575" man="1"/>
  </colBreaks>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G15" sqref="G15"/>
    </sheetView>
  </sheetViews>
  <sheetFormatPr defaultColWidth="8.85546875" defaultRowHeight="12" x14ac:dyDescent="0.2"/>
  <cols>
    <col min="1" max="1" width="31.7109375" style="1" bestFit="1" customWidth="1"/>
    <col min="2" max="8" width="15.7109375" style="1" customWidth="1"/>
    <col min="9" max="9" width="17.42578125" style="1" customWidth="1"/>
    <col min="10" max="16384" width="8.85546875" style="1"/>
  </cols>
  <sheetData>
    <row r="1" spans="1:9" x14ac:dyDescent="0.2">
      <c r="A1" s="209" t="s">
        <v>369</v>
      </c>
      <c r="B1" s="209"/>
      <c r="C1" s="209"/>
      <c r="D1" s="209"/>
      <c r="E1" s="209"/>
      <c r="F1" s="209"/>
    </row>
    <row r="2" spans="1:9" x14ac:dyDescent="0.2">
      <c r="A2" s="210" t="s">
        <v>137</v>
      </c>
      <c r="B2" s="210"/>
      <c r="C2" s="210"/>
      <c r="D2" s="210"/>
      <c r="E2" s="210"/>
      <c r="F2" s="210"/>
    </row>
    <row r="3" spans="1:9" x14ac:dyDescent="0.2">
      <c r="A3" s="76"/>
      <c r="B3" s="76"/>
      <c r="C3" s="215" t="s">
        <v>236</v>
      </c>
      <c r="D3" s="215"/>
      <c r="E3" s="215"/>
      <c r="F3" s="215"/>
      <c r="G3" s="215" t="s">
        <v>308</v>
      </c>
      <c r="H3" s="215"/>
      <c r="I3" s="215"/>
    </row>
    <row r="4" spans="1:9" ht="45" x14ac:dyDescent="0.2">
      <c r="A4" s="74" t="s">
        <v>0</v>
      </c>
      <c r="B4" s="74" t="s">
        <v>342</v>
      </c>
      <c r="C4" s="74" t="s">
        <v>182</v>
      </c>
      <c r="D4" s="74" t="s">
        <v>237</v>
      </c>
      <c r="E4" s="74" t="s">
        <v>361</v>
      </c>
      <c r="F4" s="74" t="s">
        <v>362</v>
      </c>
      <c r="G4" s="74" t="s">
        <v>343</v>
      </c>
      <c r="H4" s="74" t="s">
        <v>344</v>
      </c>
      <c r="I4" s="74" t="s">
        <v>341</v>
      </c>
    </row>
    <row r="5" spans="1:9" x14ac:dyDescent="0.2">
      <c r="A5" s="10" t="s">
        <v>3</v>
      </c>
      <c r="B5" s="14" t="s">
        <v>154</v>
      </c>
      <c r="C5" s="29" t="s">
        <v>118</v>
      </c>
      <c r="D5" s="29"/>
      <c r="E5" s="58"/>
      <c r="F5" s="32"/>
      <c r="G5" s="29"/>
      <c r="H5" s="29"/>
      <c r="I5" s="29"/>
    </row>
    <row r="6" spans="1:9" x14ac:dyDescent="0.2">
      <c r="A6" s="10" t="s">
        <v>4</v>
      </c>
      <c r="B6" s="14" t="s">
        <v>154</v>
      </c>
      <c r="C6" s="29" t="s">
        <v>118</v>
      </c>
      <c r="D6" s="29"/>
      <c r="E6" s="58"/>
      <c r="F6" s="32"/>
      <c r="G6" s="29"/>
      <c r="H6" s="29"/>
      <c r="I6" s="29"/>
    </row>
    <row r="7" spans="1:9" x14ac:dyDescent="0.2">
      <c r="A7" s="10" t="s">
        <v>5</v>
      </c>
      <c r="B7" s="14" t="s">
        <v>154</v>
      </c>
      <c r="C7" s="29" t="s">
        <v>118</v>
      </c>
      <c r="D7" s="29"/>
      <c r="E7" s="58"/>
      <c r="F7" s="32"/>
      <c r="G7" s="29"/>
      <c r="H7" s="29"/>
      <c r="I7" s="29"/>
    </row>
    <row r="8" spans="1:9" x14ac:dyDescent="0.2">
      <c r="A8" s="10" t="s">
        <v>6</v>
      </c>
      <c r="B8" s="14" t="s">
        <v>154</v>
      </c>
      <c r="C8" s="29" t="s">
        <v>118</v>
      </c>
      <c r="D8" s="29"/>
      <c r="E8" s="58"/>
      <c r="F8" s="32"/>
      <c r="G8" s="29"/>
      <c r="H8" s="29"/>
      <c r="I8" s="29"/>
    </row>
    <row r="9" spans="1:9" ht="45" x14ac:dyDescent="0.2">
      <c r="A9" s="10" t="s">
        <v>7</v>
      </c>
      <c r="B9" s="14" t="s">
        <v>118</v>
      </c>
      <c r="C9" s="29" t="s">
        <v>117</v>
      </c>
      <c r="D9" s="29"/>
      <c r="E9" s="58"/>
      <c r="F9" s="32"/>
      <c r="G9" s="29" t="s">
        <v>117</v>
      </c>
      <c r="H9" s="29">
        <v>2009</v>
      </c>
      <c r="I9" s="29" t="s">
        <v>309</v>
      </c>
    </row>
    <row r="10" spans="1:9" x14ac:dyDescent="0.2">
      <c r="A10" s="10" t="s">
        <v>8</v>
      </c>
      <c r="B10" s="14" t="s">
        <v>154</v>
      </c>
      <c r="C10" s="29" t="s">
        <v>118</v>
      </c>
      <c r="D10" s="29"/>
      <c r="E10" s="58"/>
      <c r="F10" s="32"/>
      <c r="G10" s="29"/>
      <c r="H10" s="29"/>
      <c r="I10" s="29"/>
    </row>
    <row r="11" spans="1:9" x14ac:dyDescent="0.2">
      <c r="A11" s="10" t="s">
        <v>9</v>
      </c>
      <c r="B11" s="14" t="s">
        <v>154</v>
      </c>
      <c r="C11" s="29" t="s">
        <v>118</v>
      </c>
      <c r="D11" s="29"/>
      <c r="E11" s="58"/>
      <c r="F11" s="32"/>
      <c r="G11" s="29"/>
      <c r="H11" s="29"/>
      <c r="I11" s="29"/>
    </row>
    <row r="12" spans="1:9" x14ac:dyDescent="0.2">
      <c r="A12" s="10" t="s">
        <v>10</v>
      </c>
      <c r="B12" s="14" t="s">
        <v>154</v>
      </c>
      <c r="C12" s="29" t="s">
        <v>118</v>
      </c>
      <c r="D12" s="29"/>
      <c r="E12" s="58"/>
      <c r="F12" s="32"/>
      <c r="G12" s="29"/>
      <c r="H12" s="29"/>
      <c r="I12" s="29"/>
    </row>
    <row r="13" spans="1:9" x14ac:dyDescent="0.2">
      <c r="A13" s="10" t="s">
        <v>11</v>
      </c>
      <c r="B13" s="14" t="s">
        <v>154</v>
      </c>
      <c r="C13" s="29" t="s">
        <v>117</v>
      </c>
      <c r="D13" s="29"/>
      <c r="E13" s="58"/>
      <c r="F13" s="32"/>
      <c r="G13" s="29"/>
      <c r="H13" s="29"/>
      <c r="I13" s="29"/>
    </row>
    <row r="14" spans="1:9" x14ac:dyDescent="0.2">
      <c r="A14" s="10" t="s">
        <v>12</v>
      </c>
      <c r="B14" s="14" t="s">
        <v>154</v>
      </c>
      <c r="C14" s="29" t="s">
        <v>117</v>
      </c>
      <c r="D14" s="29"/>
      <c r="E14" s="58"/>
      <c r="F14" s="32"/>
      <c r="G14" s="29"/>
      <c r="H14" s="29"/>
      <c r="I14" s="29"/>
    </row>
    <row r="15" spans="1:9" ht="33.75" x14ac:dyDescent="0.2">
      <c r="A15" s="10" t="s">
        <v>13</v>
      </c>
      <c r="B15" s="14" t="s">
        <v>117</v>
      </c>
      <c r="C15" s="29" t="s">
        <v>117</v>
      </c>
      <c r="D15" s="29"/>
      <c r="E15" s="58"/>
      <c r="F15" s="32"/>
      <c r="G15" s="29" t="s">
        <v>325</v>
      </c>
      <c r="H15" s="29">
        <v>2011</v>
      </c>
      <c r="I15" s="29" t="s">
        <v>322</v>
      </c>
    </row>
    <row r="16" spans="1:9" x14ac:dyDescent="0.2">
      <c r="A16" s="10" t="s">
        <v>14</v>
      </c>
      <c r="B16" s="14" t="s">
        <v>154</v>
      </c>
      <c r="C16" s="29" t="s">
        <v>117</v>
      </c>
      <c r="D16" s="29"/>
      <c r="E16" s="58"/>
      <c r="F16" s="32"/>
      <c r="G16" s="29"/>
      <c r="H16" s="29"/>
      <c r="I16" s="29"/>
    </row>
    <row r="17" spans="1:9" x14ac:dyDescent="0.2">
      <c r="A17" s="10" t="s">
        <v>15</v>
      </c>
      <c r="B17" s="14" t="s">
        <v>154</v>
      </c>
      <c r="C17" s="29" t="s">
        <v>118</v>
      </c>
      <c r="D17" s="29"/>
      <c r="E17" s="58"/>
      <c r="F17" s="32"/>
      <c r="G17" s="29"/>
      <c r="H17" s="29"/>
      <c r="I17" s="29"/>
    </row>
    <row r="18" spans="1:9" x14ac:dyDescent="0.2">
      <c r="A18" s="10" t="s">
        <v>16</v>
      </c>
      <c r="B18" s="14" t="s">
        <v>154</v>
      </c>
      <c r="C18" s="29" t="s">
        <v>117</v>
      </c>
      <c r="D18" s="29"/>
      <c r="E18" s="58"/>
      <c r="F18" s="32"/>
      <c r="G18" s="29"/>
      <c r="H18" s="29"/>
      <c r="I18" s="29"/>
    </row>
    <row r="19" spans="1:9" x14ac:dyDescent="0.2">
      <c r="A19" s="10" t="s">
        <v>17</v>
      </c>
      <c r="B19" s="14" t="s">
        <v>154</v>
      </c>
      <c r="C19" s="29" t="s">
        <v>118</v>
      </c>
      <c r="D19" s="29"/>
      <c r="E19" s="58"/>
      <c r="F19" s="32"/>
      <c r="G19" s="29"/>
      <c r="H19" s="29"/>
      <c r="I19" s="29"/>
    </row>
    <row r="20" spans="1:9" x14ac:dyDescent="0.2">
      <c r="A20" s="10" t="s">
        <v>18</v>
      </c>
      <c r="B20" s="14" t="s">
        <v>154</v>
      </c>
      <c r="C20" s="29" t="s">
        <v>118</v>
      </c>
      <c r="D20" s="29"/>
      <c r="E20" s="58"/>
      <c r="F20" s="32"/>
      <c r="G20" s="29"/>
      <c r="H20" s="29"/>
      <c r="I20" s="29"/>
    </row>
    <row r="21" spans="1:9" x14ac:dyDescent="0.2">
      <c r="A21" s="10" t="s">
        <v>19</v>
      </c>
      <c r="B21" s="14" t="s">
        <v>154</v>
      </c>
      <c r="C21" s="29" t="s">
        <v>118</v>
      </c>
      <c r="D21" s="29"/>
      <c r="E21" s="58"/>
      <c r="F21" s="32"/>
      <c r="G21" s="29"/>
      <c r="H21" s="29"/>
      <c r="I21" s="29"/>
    </row>
    <row r="22" spans="1:9" x14ac:dyDescent="0.2">
      <c r="A22" s="10" t="s">
        <v>20</v>
      </c>
      <c r="B22" s="14" t="s">
        <v>154</v>
      </c>
      <c r="C22" s="29" t="s">
        <v>117</v>
      </c>
      <c r="D22" s="29"/>
      <c r="E22" s="58"/>
      <c r="F22" s="32"/>
      <c r="G22" s="29"/>
      <c r="H22" s="29"/>
      <c r="I22" s="29"/>
    </row>
    <row r="23" spans="1:9" x14ac:dyDescent="0.2">
      <c r="A23" s="10" t="s">
        <v>21</v>
      </c>
      <c r="B23" s="14" t="s">
        <v>154</v>
      </c>
      <c r="C23" s="29" t="s">
        <v>118</v>
      </c>
      <c r="D23" s="29"/>
      <c r="E23" s="58"/>
      <c r="F23" s="32"/>
      <c r="G23" s="29"/>
      <c r="H23" s="29"/>
      <c r="I23" s="29"/>
    </row>
    <row r="24" spans="1:9" x14ac:dyDescent="0.2">
      <c r="A24" s="10" t="s">
        <v>22</v>
      </c>
      <c r="B24" s="14" t="s">
        <v>154</v>
      </c>
      <c r="C24" s="29" t="s">
        <v>117</v>
      </c>
      <c r="D24" s="29"/>
      <c r="E24" s="58"/>
      <c r="F24" s="32"/>
      <c r="G24" s="29"/>
      <c r="H24" s="29"/>
      <c r="I24" s="29"/>
    </row>
    <row r="25" spans="1:9" x14ac:dyDescent="0.2">
      <c r="A25" s="10" t="s">
        <v>23</v>
      </c>
      <c r="B25" s="14" t="s">
        <v>154</v>
      </c>
      <c r="C25" s="29" t="s">
        <v>117</v>
      </c>
      <c r="D25" s="29"/>
      <c r="E25" s="58"/>
      <c r="F25" s="32"/>
      <c r="G25" s="29"/>
      <c r="H25" s="29"/>
      <c r="I25" s="29"/>
    </row>
    <row r="26" spans="1:9" x14ac:dyDescent="0.2">
      <c r="A26" s="10" t="s">
        <v>24</v>
      </c>
      <c r="B26" s="14" t="s">
        <v>154</v>
      </c>
      <c r="C26" s="29" t="s">
        <v>118</v>
      </c>
      <c r="D26" s="29"/>
      <c r="E26" s="58"/>
      <c r="F26" s="32"/>
      <c r="G26" s="29"/>
      <c r="H26" s="29"/>
      <c r="I26" s="29"/>
    </row>
    <row r="27" spans="1:9" x14ac:dyDescent="0.2">
      <c r="A27" s="10" t="s">
        <v>25</v>
      </c>
      <c r="B27" s="14" t="s">
        <v>154</v>
      </c>
      <c r="C27" s="29" t="s">
        <v>118</v>
      </c>
      <c r="D27" s="29"/>
      <c r="E27" s="58"/>
      <c r="F27" s="32"/>
      <c r="G27" s="29"/>
      <c r="H27" s="29"/>
      <c r="I27" s="29"/>
    </row>
    <row r="28" spans="1:9" x14ac:dyDescent="0.2">
      <c r="A28" s="10" t="s">
        <v>26</v>
      </c>
      <c r="B28" s="14" t="s">
        <v>154</v>
      </c>
      <c r="C28" s="29" t="s">
        <v>118</v>
      </c>
      <c r="D28" s="29"/>
      <c r="E28" s="58"/>
      <c r="F28" s="32"/>
      <c r="G28" s="29"/>
      <c r="H28" s="29"/>
      <c r="I28" s="29"/>
    </row>
    <row r="29" spans="1:9" ht="90" x14ac:dyDescent="0.2">
      <c r="A29" s="10" t="s">
        <v>27</v>
      </c>
      <c r="B29" s="14" t="s">
        <v>118</v>
      </c>
      <c r="C29" s="29" t="s">
        <v>117</v>
      </c>
      <c r="D29" s="29" t="s">
        <v>231</v>
      </c>
      <c r="E29" s="58">
        <v>39995</v>
      </c>
      <c r="F29" s="29" t="s">
        <v>228</v>
      </c>
      <c r="G29" s="29" t="s">
        <v>117</v>
      </c>
      <c r="H29" s="29">
        <v>2009</v>
      </c>
      <c r="I29" s="29" t="s">
        <v>311</v>
      </c>
    </row>
    <row r="30" spans="1:9" x14ac:dyDescent="0.2">
      <c r="A30" s="10" t="s">
        <v>28</v>
      </c>
      <c r="B30" s="14" t="s">
        <v>154</v>
      </c>
      <c r="C30" s="29" t="s">
        <v>118</v>
      </c>
      <c r="D30" s="29"/>
      <c r="E30" s="58"/>
      <c r="F30" s="32"/>
      <c r="G30" s="29"/>
      <c r="H30" s="29"/>
      <c r="I30" s="29"/>
    </row>
    <row r="31" spans="1:9" x14ac:dyDescent="0.2">
      <c r="A31" s="10" t="s">
        <v>29</v>
      </c>
      <c r="B31" s="14" t="s">
        <v>154</v>
      </c>
      <c r="C31" s="29" t="s">
        <v>118</v>
      </c>
      <c r="D31" s="29"/>
      <c r="E31" s="58"/>
      <c r="F31" s="32"/>
      <c r="G31" s="29"/>
      <c r="H31" s="29"/>
      <c r="I31" s="29"/>
    </row>
    <row r="32" spans="1:9" ht="78.75" x14ac:dyDescent="0.2">
      <c r="A32" s="10" t="s">
        <v>30</v>
      </c>
      <c r="B32" s="14" t="s">
        <v>118</v>
      </c>
      <c r="C32" s="29" t="s">
        <v>194</v>
      </c>
      <c r="D32" s="29" t="s">
        <v>235</v>
      </c>
      <c r="E32" s="58">
        <v>39904</v>
      </c>
      <c r="F32" s="29" t="s">
        <v>228</v>
      </c>
      <c r="G32" s="29" t="s">
        <v>117</v>
      </c>
      <c r="H32" s="29">
        <v>2008</v>
      </c>
      <c r="I32" s="29" t="s">
        <v>315</v>
      </c>
    </row>
    <row r="33" spans="1:9" x14ac:dyDescent="0.2">
      <c r="A33" s="10" t="s">
        <v>31</v>
      </c>
      <c r="B33" s="14" t="s">
        <v>154</v>
      </c>
      <c r="C33" s="29" t="s">
        <v>118</v>
      </c>
      <c r="D33" s="29"/>
      <c r="E33" s="58"/>
      <c r="F33" s="32"/>
      <c r="G33" s="29"/>
      <c r="H33" s="29"/>
      <c r="I33" s="29"/>
    </row>
    <row r="34" spans="1:9" x14ac:dyDescent="0.2">
      <c r="A34" s="10" t="s">
        <v>32</v>
      </c>
      <c r="B34" s="14" t="s">
        <v>154</v>
      </c>
      <c r="C34" s="29" t="s">
        <v>117</v>
      </c>
      <c r="D34" s="29"/>
      <c r="E34" s="58"/>
      <c r="F34" s="32"/>
      <c r="G34" s="29"/>
      <c r="H34" s="29"/>
      <c r="I34" s="29"/>
    </row>
    <row r="35" spans="1:9" x14ac:dyDescent="0.2">
      <c r="A35" s="10" t="s">
        <v>33</v>
      </c>
      <c r="B35" s="14" t="s">
        <v>154</v>
      </c>
      <c r="C35" s="29" t="s">
        <v>118</v>
      </c>
      <c r="D35" s="29"/>
      <c r="E35" s="58"/>
      <c r="F35" s="32"/>
      <c r="G35" s="29"/>
      <c r="H35" s="29"/>
      <c r="I35" s="29"/>
    </row>
    <row r="36" spans="1:9" x14ac:dyDescent="0.2">
      <c r="A36" s="10" t="s">
        <v>34</v>
      </c>
      <c r="B36" s="14" t="s">
        <v>154</v>
      </c>
      <c r="C36" s="29" t="s">
        <v>118</v>
      </c>
      <c r="D36" s="29"/>
      <c r="E36" s="58"/>
      <c r="F36" s="32"/>
      <c r="G36" s="29"/>
      <c r="H36" s="29"/>
      <c r="I36" s="29"/>
    </row>
    <row r="37" spans="1:9" x14ac:dyDescent="0.2">
      <c r="A37" s="10" t="s">
        <v>35</v>
      </c>
      <c r="B37" s="14" t="s">
        <v>154</v>
      </c>
      <c r="C37" s="29" t="s">
        <v>118</v>
      </c>
      <c r="D37" s="29"/>
      <c r="E37" s="58"/>
      <c r="F37" s="32"/>
      <c r="G37" s="29"/>
      <c r="H37" s="29"/>
      <c r="I37" s="29"/>
    </row>
    <row r="38" spans="1:9" ht="22.5" x14ac:dyDescent="0.2">
      <c r="A38" s="10" t="s">
        <v>36</v>
      </c>
      <c r="B38" s="14" t="s">
        <v>118</v>
      </c>
      <c r="C38" s="29" t="s">
        <v>118</v>
      </c>
      <c r="D38" s="29"/>
      <c r="E38" s="58"/>
      <c r="F38" s="32"/>
      <c r="G38" s="32" t="s">
        <v>117</v>
      </c>
      <c r="H38" s="32">
        <v>2004</v>
      </c>
      <c r="I38" s="59" t="s">
        <v>329</v>
      </c>
    </row>
    <row r="39" spans="1:9" x14ac:dyDescent="0.2">
      <c r="A39" s="10" t="s">
        <v>37</v>
      </c>
      <c r="B39" s="14" t="s">
        <v>154</v>
      </c>
      <c r="C39" s="29" t="s">
        <v>118</v>
      </c>
      <c r="D39" s="32"/>
      <c r="E39" s="58"/>
      <c r="F39" s="32"/>
      <c r="G39" s="29"/>
      <c r="H39" s="29"/>
      <c r="I39" s="29"/>
    </row>
    <row r="40" spans="1:9" ht="78.75" x14ac:dyDescent="0.2">
      <c r="A40" s="10" t="s">
        <v>38</v>
      </c>
      <c r="B40" s="14" t="s">
        <v>118</v>
      </c>
      <c r="C40" s="29" t="s">
        <v>117</v>
      </c>
      <c r="D40" s="29" t="s">
        <v>197</v>
      </c>
      <c r="E40" s="58">
        <v>39387</v>
      </c>
      <c r="F40" s="29" t="s">
        <v>228</v>
      </c>
      <c r="G40" s="29" t="s">
        <v>117</v>
      </c>
      <c r="H40" s="29">
        <v>2008</v>
      </c>
      <c r="I40" s="29" t="s">
        <v>312</v>
      </c>
    </row>
    <row r="41" spans="1:9" x14ac:dyDescent="0.2">
      <c r="A41" s="10" t="s">
        <v>39</v>
      </c>
      <c r="B41" s="14" t="s">
        <v>154</v>
      </c>
      <c r="C41" s="29" t="s">
        <v>118</v>
      </c>
      <c r="D41" s="29"/>
      <c r="E41" s="58"/>
      <c r="F41" s="32"/>
      <c r="G41" s="29"/>
      <c r="H41" s="29"/>
      <c r="I41" s="29"/>
    </row>
    <row r="42" spans="1:9" ht="56.25" x14ac:dyDescent="0.2">
      <c r="A42" s="10" t="s">
        <v>40</v>
      </c>
      <c r="B42" s="14" t="s">
        <v>117</v>
      </c>
      <c r="C42" s="29" t="s">
        <v>118</v>
      </c>
      <c r="D42" s="29"/>
      <c r="E42" s="58"/>
      <c r="F42" s="32"/>
      <c r="G42" s="29" t="s">
        <v>326</v>
      </c>
      <c r="H42" s="29">
        <v>2011</v>
      </c>
      <c r="I42" s="29" t="s">
        <v>327</v>
      </c>
    </row>
    <row r="43" spans="1:9" ht="67.5" x14ac:dyDescent="0.2">
      <c r="A43" s="10" t="s">
        <v>41</v>
      </c>
      <c r="B43" s="14" t="s">
        <v>118</v>
      </c>
      <c r="C43" s="29" t="s">
        <v>118</v>
      </c>
      <c r="D43" s="29"/>
      <c r="E43" s="58"/>
      <c r="F43" s="32"/>
      <c r="G43" s="32" t="s">
        <v>330</v>
      </c>
      <c r="H43" s="32" t="s">
        <v>331</v>
      </c>
      <c r="I43" s="59" t="s">
        <v>332</v>
      </c>
    </row>
    <row r="44" spans="1:9" x14ac:dyDescent="0.2">
      <c r="A44" s="10" t="s">
        <v>42</v>
      </c>
      <c r="B44" s="14" t="s">
        <v>154</v>
      </c>
      <c r="C44" s="29" t="s">
        <v>118</v>
      </c>
      <c r="D44" s="29"/>
      <c r="E44" s="58"/>
      <c r="F44" s="32"/>
      <c r="G44" s="29"/>
      <c r="H44" s="29"/>
      <c r="I44" s="29"/>
    </row>
    <row r="45" spans="1:9" x14ac:dyDescent="0.2">
      <c r="A45" s="10" t="s">
        <v>43</v>
      </c>
      <c r="B45" s="14" t="s">
        <v>154</v>
      </c>
      <c r="C45" s="29" t="s">
        <v>117</v>
      </c>
      <c r="D45" s="29"/>
      <c r="E45" s="58"/>
      <c r="F45" s="32"/>
      <c r="G45" s="29"/>
      <c r="H45" s="29"/>
      <c r="I45" s="29"/>
    </row>
    <row r="46" spans="1:9" ht="78.75" x14ac:dyDescent="0.2">
      <c r="A46" s="10" t="s">
        <v>44</v>
      </c>
      <c r="B46" s="14" t="s">
        <v>118</v>
      </c>
      <c r="C46" s="29" t="s">
        <v>118</v>
      </c>
      <c r="D46" s="29" t="s">
        <v>199</v>
      </c>
      <c r="E46" s="58" t="s">
        <v>232</v>
      </c>
      <c r="F46" s="29" t="s">
        <v>228</v>
      </c>
      <c r="G46" s="29"/>
      <c r="H46" s="29"/>
      <c r="I46" s="29"/>
    </row>
    <row r="47" spans="1:9" x14ac:dyDescent="0.2">
      <c r="A47" s="10" t="s">
        <v>45</v>
      </c>
      <c r="B47" s="14" t="s">
        <v>154</v>
      </c>
      <c r="C47" s="29" t="s">
        <v>117</v>
      </c>
      <c r="D47" s="29"/>
      <c r="E47" s="58"/>
      <c r="F47" s="32"/>
      <c r="G47" s="29"/>
      <c r="H47" s="29"/>
      <c r="I47" s="29"/>
    </row>
    <row r="48" spans="1:9" x14ac:dyDescent="0.2">
      <c r="A48" s="10" t="s">
        <v>46</v>
      </c>
      <c r="B48" s="14" t="s">
        <v>154</v>
      </c>
      <c r="C48" s="29" t="s">
        <v>117</v>
      </c>
      <c r="D48" s="29"/>
      <c r="E48" s="58"/>
      <c r="F48" s="32"/>
      <c r="G48" s="29"/>
      <c r="H48" s="29"/>
      <c r="I48" s="29"/>
    </row>
    <row r="49" spans="1:9" x14ac:dyDescent="0.2">
      <c r="A49" s="10" t="s">
        <v>47</v>
      </c>
      <c r="B49" s="14" t="s">
        <v>154</v>
      </c>
      <c r="C49" s="29" t="s">
        <v>118</v>
      </c>
      <c r="D49" s="29"/>
      <c r="E49" s="58"/>
      <c r="F49" s="32"/>
      <c r="G49" s="29"/>
      <c r="H49" s="29"/>
      <c r="I49" s="29"/>
    </row>
    <row r="50" spans="1:9" x14ac:dyDescent="0.2">
      <c r="A50" s="10" t="s">
        <v>48</v>
      </c>
      <c r="B50" s="14" t="s">
        <v>154</v>
      </c>
      <c r="C50" s="29" t="s">
        <v>118</v>
      </c>
      <c r="D50" s="29"/>
      <c r="E50" s="58"/>
      <c r="F50" s="32"/>
      <c r="G50" s="29"/>
      <c r="H50" s="29"/>
      <c r="I50" s="29"/>
    </row>
    <row r="51" spans="1:9" x14ac:dyDescent="0.2">
      <c r="A51" s="10" t="s">
        <v>49</v>
      </c>
      <c r="B51" s="14" t="s">
        <v>154</v>
      </c>
      <c r="C51" s="29" t="s">
        <v>117</v>
      </c>
      <c r="D51" s="29"/>
      <c r="E51" s="58"/>
      <c r="F51" s="32"/>
      <c r="G51" s="29"/>
      <c r="H51" s="29"/>
      <c r="I51" s="29"/>
    </row>
    <row r="52" spans="1:9" x14ac:dyDescent="0.2">
      <c r="A52" s="10" t="s">
        <v>50</v>
      </c>
      <c r="B52" s="14" t="s">
        <v>154</v>
      </c>
      <c r="C52" s="29" t="s">
        <v>118</v>
      </c>
      <c r="D52" s="29"/>
      <c r="E52" s="58"/>
      <c r="F52" s="32"/>
      <c r="G52" s="29"/>
      <c r="H52" s="29"/>
      <c r="I52" s="29"/>
    </row>
    <row r="53" spans="1:9" x14ac:dyDescent="0.2">
      <c r="A53" s="10" t="s">
        <v>51</v>
      </c>
      <c r="B53" s="14" t="s">
        <v>154</v>
      </c>
      <c r="C53" s="29" t="s">
        <v>117</v>
      </c>
      <c r="D53" s="29"/>
      <c r="E53" s="58"/>
      <c r="F53" s="32"/>
      <c r="G53" s="29"/>
      <c r="H53" s="29"/>
      <c r="I53" s="29"/>
    </row>
    <row r="54" spans="1:9" x14ac:dyDescent="0.2">
      <c r="A54" s="10" t="s">
        <v>52</v>
      </c>
      <c r="B54" s="14" t="s">
        <v>154</v>
      </c>
      <c r="C54" s="29" t="s">
        <v>117</v>
      </c>
      <c r="D54" s="29"/>
      <c r="E54" s="58"/>
      <c r="F54" s="32"/>
      <c r="G54" s="29"/>
      <c r="H54" s="29"/>
      <c r="I54" s="29"/>
    </row>
    <row r="55" spans="1:9" x14ac:dyDescent="0.2">
      <c r="A55" s="10" t="s">
        <v>53</v>
      </c>
      <c r="B55" s="14" t="s">
        <v>154</v>
      </c>
      <c r="C55" s="29" t="s">
        <v>117</v>
      </c>
      <c r="D55" s="29"/>
      <c r="E55" s="58"/>
      <c r="F55" s="32"/>
      <c r="G55" s="29"/>
      <c r="H55" s="29"/>
      <c r="I55" s="29"/>
    </row>
    <row r="56" spans="1:9" x14ac:dyDescent="0.2">
      <c r="A56" s="10" t="s">
        <v>54</v>
      </c>
      <c r="B56" s="14" t="s">
        <v>154</v>
      </c>
      <c r="C56" s="29" t="s">
        <v>117</v>
      </c>
      <c r="D56" s="29"/>
      <c r="E56" s="58"/>
      <c r="F56" s="32"/>
      <c r="G56" s="29"/>
      <c r="H56" s="29"/>
      <c r="I56" s="29"/>
    </row>
    <row r="57" spans="1:9" x14ac:dyDescent="0.2">
      <c r="A57" s="10" t="s">
        <v>55</v>
      </c>
      <c r="B57" s="14" t="s">
        <v>154</v>
      </c>
      <c r="C57" s="29" t="s">
        <v>118</v>
      </c>
      <c r="D57" s="29"/>
      <c r="E57" s="58"/>
      <c r="F57" s="32"/>
      <c r="G57" s="29"/>
      <c r="H57" s="29"/>
      <c r="I57" s="29"/>
    </row>
    <row r="58" spans="1:9" x14ac:dyDescent="0.2">
      <c r="A58" s="10" t="s">
        <v>56</v>
      </c>
      <c r="B58" s="14" t="s">
        <v>154</v>
      </c>
      <c r="C58" s="29" t="s">
        <v>118</v>
      </c>
      <c r="D58" s="29"/>
      <c r="E58" s="58"/>
      <c r="F58" s="32"/>
      <c r="G58" s="29"/>
      <c r="H58" s="29"/>
      <c r="I58" s="29"/>
    </row>
    <row r="59" spans="1:9" x14ac:dyDescent="0.2">
      <c r="A59" s="10" t="s">
        <v>57</v>
      </c>
      <c r="B59" s="14" t="s">
        <v>154</v>
      </c>
      <c r="C59" s="29" t="s">
        <v>118</v>
      </c>
      <c r="D59" s="29"/>
      <c r="E59" s="58"/>
      <c r="F59" s="32"/>
      <c r="G59" s="29"/>
      <c r="H59" s="29"/>
      <c r="I59" s="29"/>
    </row>
    <row r="60" spans="1:9" ht="78.75" x14ac:dyDescent="0.2">
      <c r="A60" s="10" t="s">
        <v>58</v>
      </c>
      <c r="B60" s="14" t="s">
        <v>118</v>
      </c>
      <c r="C60" s="29" t="s">
        <v>117</v>
      </c>
      <c r="D60" s="29"/>
      <c r="E60" s="58"/>
      <c r="F60" s="32"/>
      <c r="G60" s="29" t="s">
        <v>117</v>
      </c>
      <c r="H60" s="29">
        <v>2008</v>
      </c>
      <c r="I60" s="29" t="s">
        <v>316</v>
      </c>
    </row>
    <row r="61" spans="1:9" x14ac:dyDescent="0.2">
      <c r="A61" s="10" t="s">
        <v>59</v>
      </c>
      <c r="B61" s="14" t="s">
        <v>154</v>
      </c>
      <c r="C61" s="29" t="s">
        <v>118</v>
      </c>
      <c r="D61" s="29"/>
      <c r="E61" s="58"/>
      <c r="F61" s="32"/>
      <c r="G61" s="29"/>
      <c r="H61" s="29"/>
      <c r="I61" s="29"/>
    </row>
    <row r="62" spans="1:9" x14ac:dyDescent="0.2">
      <c r="A62" s="10" t="s">
        <v>60</v>
      </c>
      <c r="B62" s="14" t="s">
        <v>154</v>
      </c>
      <c r="C62" s="29" t="s">
        <v>117</v>
      </c>
      <c r="D62" s="29"/>
      <c r="E62" s="58"/>
      <c r="F62" s="32"/>
      <c r="G62" s="29"/>
      <c r="H62" s="29"/>
      <c r="I62" s="29"/>
    </row>
    <row r="63" spans="1:9" ht="45" x14ac:dyDescent="0.2">
      <c r="A63" s="10" t="s">
        <v>61</v>
      </c>
      <c r="B63" s="14" t="s">
        <v>117</v>
      </c>
      <c r="C63" s="29" t="s">
        <v>117</v>
      </c>
      <c r="D63" s="29"/>
      <c r="E63" s="58"/>
      <c r="F63" s="32"/>
      <c r="G63" s="32" t="s">
        <v>330</v>
      </c>
      <c r="H63" s="32">
        <v>2010</v>
      </c>
      <c r="I63" s="59" t="s">
        <v>333</v>
      </c>
    </row>
    <row r="64" spans="1:9" x14ac:dyDescent="0.2">
      <c r="A64" s="10" t="s">
        <v>62</v>
      </c>
      <c r="B64" s="14" t="s">
        <v>154</v>
      </c>
      <c r="C64" s="29" t="s">
        <v>118</v>
      </c>
      <c r="D64" s="29"/>
      <c r="E64" s="58"/>
      <c r="F64" s="32"/>
      <c r="G64" s="29"/>
      <c r="H64" s="29"/>
      <c r="I64" s="29"/>
    </row>
    <row r="65" spans="1:9" x14ac:dyDescent="0.2">
      <c r="A65" s="10" t="s">
        <v>63</v>
      </c>
      <c r="B65" s="14" t="s">
        <v>154</v>
      </c>
      <c r="C65" s="29" t="s">
        <v>118</v>
      </c>
      <c r="D65" s="29"/>
      <c r="E65" s="58"/>
      <c r="F65" s="32"/>
      <c r="G65" s="29"/>
      <c r="H65" s="29"/>
      <c r="I65" s="29"/>
    </row>
    <row r="66" spans="1:9" x14ac:dyDescent="0.2">
      <c r="A66" s="10" t="s">
        <v>64</v>
      </c>
      <c r="B66" s="14" t="s">
        <v>154</v>
      </c>
      <c r="C66" s="29" t="s">
        <v>118</v>
      </c>
      <c r="D66" s="29"/>
      <c r="E66" s="58"/>
      <c r="F66" s="32"/>
      <c r="G66" s="29"/>
      <c r="H66" s="29"/>
      <c r="I66" s="29"/>
    </row>
    <row r="67" spans="1:9" x14ac:dyDescent="0.2">
      <c r="A67" s="10" t="s">
        <v>65</v>
      </c>
      <c r="B67" s="14" t="s">
        <v>154</v>
      </c>
      <c r="C67" s="29" t="s">
        <v>118</v>
      </c>
      <c r="D67" s="29"/>
      <c r="E67" s="58"/>
      <c r="F67" s="32"/>
      <c r="G67" s="29"/>
      <c r="H67" s="29"/>
      <c r="I67" s="29"/>
    </row>
    <row r="68" spans="1:9" x14ac:dyDescent="0.2">
      <c r="A68" s="10" t="s">
        <v>66</v>
      </c>
      <c r="B68" s="14" t="s">
        <v>154</v>
      </c>
      <c r="C68" s="29" t="s">
        <v>117</v>
      </c>
      <c r="D68" s="29"/>
      <c r="E68" s="58"/>
      <c r="F68" s="32"/>
      <c r="G68" s="29"/>
      <c r="H68" s="29"/>
      <c r="I68" s="29"/>
    </row>
    <row r="69" spans="1:9" x14ac:dyDescent="0.2">
      <c r="A69" s="10" t="s">
        <v>67</v>
      </c>
      <c r="B69" s="14" t="s">
        <v>154</v>
      </c>
      <c r="C69" s="29" t="s">
        <v>118</v>
      </c>
      <c r="D69" s="29"/>
      <c r="E69" s="58"/>
      <c r="F69" s="32"/>
      <c r="G69" s="29"/>
      <c r="H69" s="29"/>
      <c r="I69" s="29"/>
    </row>
    <row r="70" spans="1:9" x14ac:dyDescent="0.2">
      <c r="A70" s="10" t="s">
        <v>68</v>
      </c>
      <c r="B70" s="14" t="s">
        <v>154</v>
      </c>
      <c r="C70" s="29" t="s">
        <v>118</v>
      </c>
      <c r="D70" s="29"/>
      <c r="E70" s="58"/>
      <c r="F70" s="32"/>
      <c r="G70" s="29"/>
      <c r="H70" s="29"/>
      <c r="I70" s="29"/>
    </row>
    <row r="71" spans="1:9" x14ac:dyDescent="0.2">
      <c r="A71" s="10" t="s">
        <v>70</v>
      </c>
      <c r="B71" s="14" t="s">
        <v>154</v>
      </c>
      <c r="C71" s="29" t="s">
        <v>118</v>
      </c>
      <c r="D71" s="29"/>
      <c r="E71" s="58"/>
      <c r="F71" s="32"/>
      <c r="G71" s="29"/>
      <c r="H71" s="29"/>
      <c r="I71" s="29"/>
    </row>
    <row r="72" spans="1:9" ht="22.5" x14ac:dyDescent="0.2">
      <c r="A72" s="10" t="s">
        <v>71</v>
      </c>
      <c r="B72" s="14" t="s">
        <v>118</v>
      </c>
      <c r="C72" s="29" t="s">
        <v>117</v>
      </c>
      <c r="D72" s="29" t="s">
        <v>230</v>
      </c>
      <c r="E72" s="58">
        <v>39722</v>
      </c>
      <c r="F72" s="29" t="s">
        <v>228</v>
      </c>
      <c r="G72" s="29"/>
      <c r="H72" s="29"/>
      <c r="I72" s="29"/>
    </row>
    <row r="73" spans="1:9" ht="78.75" x14ac:dyDescent="0.2">
      <c r="A73" s="10" t="s">
        <v>72</v>
      </c>
      <c r="B73" s="14" t="s">
        <v>117</v>
      </c>
      <c r="C73" s="29" t="s">
        <v>118</v>
      </c>
      <c r="D73" s="29"/>
      <c r="E73" s="58"/>
      <c r="F73" s="32"/>
      <c r="G73" s="29" t="s">
        <v>117</v>
      </c>
      <c r="H73" s="29">
        <v>2010</v>
      </c>
      <c r="I73" s="29" t="s">
        <v>313</v>
      </c>
    </row>
    <row r="74" spans="1:9" ht="78.75" x14ac:dyDescent="0.2">
      <c r="A74" s="10" t="s">
        <v>69</v>
      </c>
      <c r="B74" s="14" t="s">
        <v>118</v>
      </c>
      <c r="C74" s="29" t="s">
        <v>117</v>
      </c>
      <c r="D74" s="29"/>
      <c r="E74" s="58"/>
      <c r="F74" s="32"/>
      <c r="G74" s="29" t="s">
        <v>117</v>
      </c>
      <c r="H74" s="29">
        <v>2007</v>
      </c>
      <c r="I74" s="29" t="s">
        <v>317</v>
      </c>
    </row>
    <row r="75" spans="1:9" x14ac:dyDescent="0.2">
      <c r="A75" s="10" t="s">
        <v>73</v>
      </c>
      <c r="B75" s="14" t="s">
        <v>154</v>
      </c>
      <c r="C75" s="29" t="s">
        <v>118</v>
      </c>
      <c r="D75" s="29"/>
      <c r="E75" s="58"/>
      <c r="F75" s="32"/>
      <c r="G75" s="29"/>
      <c r="H75" s="29"/>
      <c r="I75" s="29"/>
    </row>
    <row r="76" spans="1:9" ht="45" x14ac:dyDescent="0.2">
      <c r="A76" s="10" t="s">
        <v>74</v>
      </c>
      <c r="B76" s="14" t="s">
        <v>118</v>
      </c>
      <c r="C76" s="29" t="s">
        <v>117</v>
      </c>
      <c r="D76" s="29" t="s">
        <v>234</v>
      </c>
      <c r="E76" s="58">
        <v>39995</v>
      </c>
      <c r="F76" s="29" t="s">
        <v>228</v>
      </c>
      <c r="G76" s="29"/>
      <c r="H76" s="29"/>
      <c r="I76" s="29"/>
    </row>
    <row r="77" spans="1:9" x14ac:dyDescent="0.2">
      <c r="A77" s="10" t="s">
        <v>75</v>
      </c>
      <c r="B77" s="14" t="s">
        <v>154</v>
      </c>
      <c r="C77" s="29" t="s">
        <v>118</v>
      </c>
      <c r="D77" s="29"/>
      <c r="E77" s="58"/>
      <c r="F77" s="32"/>
      <c r="G77" s="29"/>
      <c r="H77" s="29"/>
      <c r="I77" s="29"/>
    </row>
    <row r="78" spans="1:9" ht="33.75" x14ac:dyDescent="0.2">
      <c r="A78" s="10" t="s">
        <v>76</v>
      </c>
      <c r="B78" s="14" t="s">
        <v>118</v>
      </c>
      <c r="C78" s="29" t="s">
        <v>117</v>
      </c>
      <c r="D78" s="29" t="s">
        <v>233</v>
      </c>
      <c r="E78" s="58">
        <v>39539</v>
      </c>
      <c r="F78" s="29" t="s">
        <v>228</v>
      </c>
      <c r="G78" s="29"/>
      <c r="H78" s="29"/>
      <c r="I78" s="29"/>
    </row>
    <row r="79" spans="1:9" x14ac:dyDescent="0.2">
      <c r="A79" s="10" t="s">
        <v>77</v>
      </c>
      <c r="B79" s="14" t="s">
        <v>154</v>
      </c>
      <c r="C79" s="29" t="s">
        <v>118</v>
      </c>
      <c r="D79" s="29"/>
      <c r="E79" s="58"/>
      <c r="F79" s="32"/>
      <c r="G79" s="29"/>
      <c r="H79" s="29"/>
      <c r="I79" s="29"/>
    </row>
    <row r="80" spans="1:9" x14ac:dyDescent="0.2">
      <c r="A80" s="44" t="s">
        <v>255</v>
      </c>
      <c r="B80" s="44">
        <f>COUNTIF(Table1831[Yes/No Report available 2010 or later], "Yes")</f>
        <v>4</v>
      </c>
      <c r="C80" s="19"/>
      <c r="D80" s="19"/>
      <c r="E80" s="19"/>
      <c r="F80" s="19"/>
      <c r="G80" s="19"/>
      <c r="H80" s="19"/>
      <c r="I80" s="19"/>
    </row>
    <row r="81" spans="1:9" x14ac:dyDescent="0.2">
      <c r="A81" s="44" t="s">
        <v>256</v>
      </c>
      <c r="B81" s="44">
        <f>COUNTIF(Table1831[Yes/No Report available 2010 or later], "No")</f>
        <v>12</v>
      </c>
      <c r="C81" s="19"/>
      <c r="D81" s="19"/>
      <c r="E81" s="19"/>
      <c r="F81" s="19"/>
      <c r="G81" s="19"/>
      <c r="H81" s="19"/>
      <c r="I81" s="19"/>
    </row>
    <row r="82" spans="1:9" x14ac:dyDescent="0.2">
      <c r="A82" s="44" t="s">
        <v>257</v>
      </c>
      <c r="B82" s="44">
        <f>COUNTIF(Table1831[Yes/No Report available 2010 or later], "No data")</f>
        <v>59</v>
      </c>
      <c r="C82" s="19"/>
      <c r="D82" s="19"/>
      <c r="E82" s="19"/>
      <c r="F82" s="19"/>
      <c r="G82" s="19"/>
      <c r="H82" s="19"/>
      <c r="I82" s="19"/>
    </row>
  </sheetData>
  <mergeCells count="4">
    <mergeCell ref="A1:F1"/>
    <mergeCell ref="A2:F2"/>
    <mergeCell ref="C3:F3"/>
    <mergeCell ref="G3:I3"/>
  </mergeCells>
  <pageMargins left="0.23622047244094491" right="0.23622047244094491" top="0.74803149606299213" bottom="0.74803149606299213" header="0.31496062992125984" footer="0.31496062992125984"/>
  <pageSetup paperSize="9" scale="70" orientation="portrait"/>
  <colBreaks count="1" manualBreakCount="1">
    <brk id="6" max="1048575" man="1"/>
  </colBreak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O86"/>
  <sheetViews>
    <sheetView zoomScaleNormal="100" zoomScaleSheetLayoutView="100" workbookViewId="0">
      <pane xSplit="1" ySplit="4" topLeftCell="AA63" activePane="bottomRight" state="frozen"/>
      <selection pane="topRight" activeCell="B1" sqref="B1"/>
      <selection pane="bottomLeft" activeCell="A5" sqref="A5"/>
      <selection pane="bottomRight" activeCell="K63" sqref="K63:AN66"/>
    </sheetView>
  </sheetViews>
  <sheetFormatPr defaultColWidth="8.85546875" defaultRowHeight="12" x14ac:dyDescent="0.2"/>
  <cols>
    <col min="1" max="1" width="27.42578125" style="1" bestFit="1" customWidth="1"/>
    <col min="2" max="4" width="8.42578125" style="1" customWidth="1"/>
    <col min="5" max="5" width="7.7109375" style="1" customWidth="1"/>
    <col min="6" max="6" width="26" style="1" customWidth="1"/>
    <col min="7" max="9" width="8.42578125" style="1" customWidth="1"/>
    <col min="10" max="10" width="7.7109375" style="1" customWidth="1"/>
    <col min="11" max="11" width="26" style="1" customWidth="1"/>
    <col min="12" max="14" width="8.42578125" style="1" customWidth="1"/>
    <col min="15" max="15" width="7.7109375" style="1" customWidth="1"/>
    <col min="16" max="16" width="27.42578125" style="1" customWidth="1"/>
    <col min="17" max="19" width="8.42578125" style="1" customWidth="1"/>
    <col min="20" max="20" width="7.7109375" style="1" customWidth="1"/>
    <col min="21" max="21" width="18.28515625" style="1" customWidth="1"/>
    <col min="22" max="24" width="8.42578125" style="1" customWidth="1"/>
    <col min="25" max="25" width="7.7109375" style="1" customWidth="1"/>
    <col min="26" max="26" width="26" style="1" customWidth="1"/>
    <col min="27" max="29" width="8.42578125" style="1" customWidth="1"/>
    <col min="30" max="30" width="7.7109375" style="1" customWidth="1"/>
    <col min="31" max="31" width="17.42578125" style="1" customWidth="1"/>
    <col min="32" max="34" width="8.42578125" style="1" customWidth="1"/>
    <col min="35" max="35" width="7.7109375" style="1" customWidth="1"/>
    <col min="36" max="36" width="20.7109375" style="1" customWidth="1"/>
    <col min="37" max="39" width="8.42578125" style="1" customWidth="1"/>
    <col min="40" max="40" width="7.7109375" style="1" bestFit="1" customWidth="1"/>
    <col min="41" max="41" width="17.42578125" style="1" bestFit="1" customWidth="1"/>
    <col min="42" max="16384" width="8.85546875" style="1"/>
  </cols>
  <sheetData>
    <row r="1" spans="1:41" x14ac:dyDescent="0.2">
      <c r="A1" s="9" t="s">
        <v>364</v>
      </c>
      <c r="B1" s="6"/>
      <c r="C1" s="62"/>
      <c r="D1" s="62"/>
      <c r="E1" s="6"/>
      <c r="F1" s="6"/>
    </row>
    <row r="2" spans="1:41" ht="16.5" customHeight="1" x14ac:dyDescent="0.25">
      <c r="A2" s="190"/>
      <c r="B2" s="191"/>
      <c r="C2" s="191"/>
      <c r="D2" s="191"/>
      <c r="E2" s="191"/>
      <c r="F2" s="191"/>
    </row>
    <row r="3" spans="1:41" ht="12" customHeight="1" x14ac:dyDescent="0.2">
      <c r="A3" s="75"/>
      <c r="B3" s="187" t="s">
        <v>138</v>
      </c>
      <c r="C3" s="188"/>
      <c r="D3" s="188"/>
      <c r="E3" s="188"/>
      <c r="F3" s="189"/>
      <c r="G3" s="187" t="s">
        <v>139</v>
      </c>
      <c r="H3" s="188"/>
      <c r="I3" s="188"/>
      <c r="J3" s="188"/>
      <c r="K3" s="189"/>
      <c r="L3" s="187" t="s">
        <v>140</v>
      </c>
      <c r="M3" s="188"/>
      <c r="N3" s="188"/>
      <c r="O3" s="188"/>
      <c r="P3" s="189"/>
      <c r="Q3" s="187" t="s">
        <v>141</v>
      </c>
      <c r="R3" s="188"/>
      <c r="S3" s="188"/>
      <c r="T3" s="188"/>
      <c r="U3" s="189"/>
      <c r="V3" s="187" t="s">
        <v>142</v>
      </c>
      <c r="W3" s="188"/>
      <c r="X3" s="188"/>
      <c r="Y3" s="188"/>
      <c r="Z3" s="189"/>
      <c r="AA3" s="187" t="s">
        <v>143</v>
      </c>
      <c r="AB3" s="188"/>
      <c r="AC3" s="188"/>
      <c r="AD3" s="188"/>
      <c r="AE3" s="189"/>
      <c r="AF3" s="187" t="s">
        <v>146</v>
      </c>
      <c r="AG3" s="188"/>
      <c r="AH3" s="188"/>
      <c r="AI3" s="188"/>
      <c r="AJ3" s="189"/>
      <c r="AK3" s="187" t="s">
        <v>144</v>
      </c>
      <c r="AL3" s="188"/>
      <c r="AM3" s="188"/>
      <c r="AN3" s="188"/>
      <c r="AO3" s="189"/>
    </row>
    <row r="4" spans="1:41" s="86" customFormat="1" ht="22.5" x14ac:dyDescent="0.2">
      <c r="A4" s="130" t="s">
        <v>0</v>
      </c>
      <c r="B4" s="130" t="s">
        <v>417</v>
      </c>
      <c r="C4" s="130" t="s">
        <v>388</v>
      </c>
      <c r="D4" s="130" t="s">
        <v>389</v>
      </c>
      <c r="E4" s="126" t="s">
        <v>123</v>
      </c>
      <c r="F4" s="126" t="s">
        <v>119</v>
      </c>
      <c r="G4" s="130" t="s">
        <v>418</v>
      </c>
      <c r="H4" s="130" t="s">
        <v>390</v>
      </c>
      <c r="I4" s="130" t="s">
        <v>425</v>
      </c>
      <c r="J4" s="126" t="s">
        <v>124</v>
      </c>
      <c r="K4" s="126" t="s">
        <v>121</v>
      </c>
      <c r="L4" s="130" t="s">
        <v>419</v>
      </c>
      <c r="M4" s="130" t="s">
        <v>392</v>
      </c>
      <c r="N4" s="130" t="s">
        <v>391</v>
      </c>
      <c r="O4" s="126" t="s">
        <v>242</v>
      </c>
      <c r="P4" s="126" t="s">
        <v>243</v>
      </c>
      <c r="Q4" s="130" t="s">
        <v>420</v>
      </c>
      <c r="R4" s="130" t="s">
        <v>394</v>
      </c>
      <c r="S4" s="130" t="s">
        <v>393</v>
      </c>
      <c r="T4" s="126" t="s">
        <v>259</v>
      </c>
      <c r="U4" s="126" t="s">
        <v>260</v>
      </c>
      <c r="V4" s="130" t="s">
        <v>421</v>
      </c>
      <c r="W4" s="130" t="s">
        <v>396</v>
      </c>
      <c r="X4" s="130" t="s">
        <v>395</v>
      </c>
      <c r="Y4" s="126" t="s">
        <v>262</v>
      </c>
      <c r="Z4" s="126" t="s">
        <v>263</v>
      </c>
      <c r="AA4" s="130" t="s">
        <v>422</v>
      </c>
      <c r="AB4" s="130" t="s">
        <v>398</v>
      </c>
      <c r="AC4" s="130" t="s">
        <v>397</v>
      </c>
      <c r="AD4" s="126" t="s">
        <v>265</v>
      </c>
      <c r="AE4" s="126" t="s">
        <v>266</v>
      </c>
      <c r="AF4" s="130" t="s">
        <v>423</v>
      </c>
      <c r="AG4" s="130" t="s">
        <v>400</v>
      </c>
      <c r="AH4" s="130" t="s">
        <v>399</v>
      </c>
      <c r="AI4" s="126" t="s">
        <v>275</v>
      </c>
      <c r="AJ4" s="126" t="s">
        <v>276</v>
      </c>
      <c r="AK4" s="130" t="s">
        <v>424</v>
      </c>
      <c r="AL4" s="130" t="s">
        <v>402</v>
      </c>
      <c r="AM4" s="130" t="s">
        <v>401</v>
      </c>
      <c r="AN4" s="126" t="s">
        <v>279</v>
      </c>
      <c r="AO4" s="126" t="s">
        <v>280</v>
      </c>
    </row>
    <row r="5" spans="1:41" ht="15" x14ac:dyDescent="0.25">
      <c r="A5" s="133" t="s">
        <v>3</v>
      </c>
      <c r="B5" s="140" t="s">
        <v>798</v>
      </c>
      <c r="C5" s="140" t="s">
        <v>798</v>
      </c>
      <c r="D5" s="140" t="s">
        <v>798</v>
      </c>
      <c r="E5" s="145">
        <v>2010</v>
      </c>
      <c r="F5" s="127"/>
      <c r="G5" s="147">
        <v>14.657087624099999</v>
      </c>
      <c r="H5" s="147">
        <v>6.0288500000000003</v>
      </c>
      <c r="I5" s="147">
        <v>32.252570000000006</v>
      </c>
      <c r="J5" s="106">
        <v>2010</v>
      </c>
      <c r="K5" s="127"/>
      <c r="L5" s="134">
        <v>2.4844720496894408</v>
      </c>
      <c r="M5" s="139" t="s">
        <v>154</v>
      </c>
      <c r="N5" s="139" t="s">
        <v>154</v>
      </c>
      <c r="O5" s="134">
        <v>2014</v>
      </c>
      <c r="P5" s="132"/>
      <c r="Q5" s="147">
        <v>38.652551174199999</v>
      </c>
      <c r="R5" s="147">
        <v>15.550439999999998</v>
      </c>
      <c r="S5" s="147">
        <v>75.877300000000005</v>
      </c>
      <c r="T5" s="106">
        <v>2010</v>
      </c>
      <c r="U5" s="132"/>
      <c r="V5" s="147" t="s">
        <v>798</v>
      </c>
      <c r="W5" s="147" t="s">
        <v>798</v>
      </c>
      <c r="X5" s="147" t="s">
        <v>798</v>
      </c>
      <c r="Y5" s="106">
        <v>2010</v>
      </c>
      <c r="Z5" s="127"/>
      <c r="AA5" s="147">
        <v>51.393180000000008</v>
      </c>
      <c r="AB5" s="147">
        <v>57.166330000000002</v>
      </c>
      <c r="AC5" s="147">
        <v>52.090199999999996</v>
      </c>
      <c r="AD5" s="106">
        <v>2010</v>
      </c>
      <c r="AE5" s="132"/>
      <c r="AF5" s="147">
        <v>30.374572000000001</v>
      </c>
      <c r="AG5" s="147">
        <v>21.676369999999999</v>
      </c>
      <c r="AH5" s="147">
        <v>45.2742</v>
      </c>
      <c r="AI5" s="106">
        <v>2010</v>
      </c>
      <c r="AJ5" s="132"/>
      <c r="AK5" s="147">
        <v>60.543292760800007</v>
      </c>
      <c r="AL5" s="147">
        <v>45.181260000000002</v>
      </c>
      <c r="AM5" s="147">
        <v>65.638599999999997</v>
      </c>
      <c r="AN5" s="106">
        <v>2010</v>
      </c>
      <c r="AO5" s="132"/>
    </row>
    <row r="6" spans="1:41" ht="15" x14ac:dyDescent="0.25">
      <c r="A6" s="133" t="s">
        <v>4</v>
      </c>
      <c r="B6" s="140" t="s">
        <v>154</v>
      </c>
      <c r="C6" s="140" t="s">
        <v>154</v>
      </c>
      <c r="D6" s="140" t="s">
        <v>154</v>
      </c>
      <c r="E6" s="145"/>
      <c r="F6" s="127"/>
      <c r="G6" s="140" t="s">
        <v>154</v>
      </c>
      <c r="H6" s="140" t="s">
        <v>154</v>
      </c>
      <c r="I6" s="140" t="s">
        <v>154</v>
      </c>
      <c r="J6" s="106"/>
      <c r="K6" s="127"/>
      <c r="L6" s="134">
        <v>39.19101123595506</v>
      </c>
      <c r="M6" s="139" t="s">
        <v>154</v>
      </c>
      <c r="N6" s="139" t="s">
        <v>154</v>
      </c>
      <c r="O6" s="134">
        <v>2014</v>
      </c>
      <c r="P6" s="127"/>
      <c r="Q6" s="140" t="s">
        <v>154</v>
      </c>
      <c r="R6" s="140" t="s">
        <v>154</v>
      </c>
      <c r="S6" s="140" t="s">
        <v>154</v>
      </c>
      <c r="T6" s="145"/>
      <c r="U6" s="127"/>
      <c r="V6" s="140" t="s">
        <v>154</v>
      </c>
      <c r="W6" s="140" t="s">
        <v>154</v>
      </c>
      <c r="X6" s="140" t="s">
        <v>154</v>
      </c>
      <c r="Y6" s="106"/>
      <c r="Z6" s="127"/>
      <c r="AA6" s="140" t="s">
        <v>154</v>
      </c>
      <c r="AB6" s="140" t="s">
        <v>154</v>
      </c>
      <c r="AC6" s="140" t="s">
        <v>154</v>
      </c>
      <c r="AD6" s="145"/>
      <c r="AE6" s="127"/>
      <c r="AF6" s="140" t="s">
        <v>154</v>
      </c>
      <c r="AG6" s="140" t="s">
        <v>154</v>
      </c>
      <c r="AH6" s="140" t="s">
        <v>154</v>
      </c>
      <c r="AI6" s="145"/>
      <c r="AJ6" s="127"/>
      <c r="AK6" s="140" t="s">
        <v>154</v>
      </c>
      <c r="AL6" s="140" t="s">
        <v>154</v>
      </c>
      <c r="AM6" s="140" t="s">
        <v>154</v>
      </c>
      <c r="AN6" s="106"/>
      <c r="AO6" s="127"/>
    </row>
    <row r="7" spans="1:41" ht="15" x14ac:dyDescent="0.25">
      <c r="A7" s="133" t="s">
        <v>5</v>
      </c>
      <c r="B7" s="141">
        <v>69.357120990799999</v>
      </c>
      <c r="C7" s="141">
        <v>71.285820000000001</v>
      </c>
      <c r="D7" s="141">
        <v>78.435679999999991</v>
      </c>
      <c r="E7" s="145">
        <v>2006</v>
      </c>
      <c r="F7" s="127"/>
      <c r="G7" s="147">
        <v>45.246252417600004</v>
      </c>
      <c r="H7" s="147">
        <v>19.748940000000001</v>
      </c>
      <c r="I7" s="147">
        <v>74.005470000000003</v>
      </c>
      <c r="J7" s="106">
        <v>2006</v>
      </c>
      <c r="K7" s="127"/>
      <c r="L7" s="134">
        <v>26.70807453416149</v>
      </c>
      <c r="M7" s="139" t="s">
        <v>154</v>
      </c>
      <c r="N7" s="139" t="s">
        <v>154</v>
      </c>
      <c r="O7" s="134">
        <v>2014</v>
      </c>
      <c r="P7" s="127"/>
      <c r="Q7" s="147">
        <v>88.613325357400001</v>
      </c>
      <c r="R7" s="147">
        <v>77.772750000000002</v>
      </c>
      <c r="S7" s="147">
        <v>99.592849999999999</v>
      </c>
      <c r="T7" s="106">
        <v>2006</v>
      </c>
      <c r="U7" s="127"/>
      <c r="V7" s="147" t="s">
        <v>798</v>
      </c>
      <c r="W7" s="147" t="s">
        <v>798</v>
      </c>
      <c r="X7" s="147" t="s">
        <v>798</v>
      </c>
      <c r="Y7" s="106">
        <v>2006</v>
      </c>
      <c r="Z7" s="127"/>
      <c r="AA7" s="147">
        <v>11.771890000000001</v>
      </c>
      <c r="AB7" s="147">
        <v>17.664110000000001</v>
      </c>
      <c r="AC7" s="147">
        <v>6.8664899999999998</v>
      </c>
      <c r="AD7" s="106">
        <v>2006</v>
      </c>
      <c r="AE7" s="127"/>
      <c r="AF7" s="147">
        <v>70.768272876699996</v>
      </c>
      <c r="AG7" s="147">
        <v>59.836889999999997</v>
      </c>
      <c r="AH7" s="147">
        <v>83.375829999999993</v>
      </c>
      <c r="AI7" s="106">
        <v>2006</v>
      </c>
      <c r="AJ7" s="127"/>
      <c r="AK7" s="147">
        <v>32.543906569499995</v>
      </c>
      <c r="AL7" s="147" t="s">
        <v>798</v>
      </c>
      <c r="AM7" s="147" t="s">
        <v>798</v>
      </c>
      <c r="AN7" s="106">
        <v>2006</v>
      </c>
      <c r="AO7" s="127"/>
    </row>
    <row r="8" spans="1:41" ht="15" x14ac:dyDescent="0.25">
      <c r="A8" s="133" t="s">
        <v>6</v>
      </c>
      <c r="B8" s="141">
        <v>84.322559833499994</v>
      </c>
      <c r="C8" s="141">
        <v>84.631360000000001</v>
      </c>
      <c r="D8" s="141">
        <v>84.253500000000003</v>
      </c>
      <c r="E8" s="145">
        <v>2011</v>
      </c>
      <c r="F8" s="127"/>
      <c r="G8" s="147">
        <v>23.8474979997</v>
      </c>
      <c r="H8" s="147">
        <v>9.0114200000000011</v>
      </c>
      <c r="I8" s="147">
        <v>52.899890000000006</v>
      </c>
      <c r="J8" s="106">
        <v>2011</v>
      </c>
      <c r="K8" s="127"/>
      <c r="L8" s="134">
        <v>13.043478260869565</v>
      </c>
      <c r="M8" s="139" t="s">
        <v>154</v>
      </c>
      <c r="N8" s="139" t="s">
        <v>154</v>
      </c>
      <c r="O8" s="134">
        <v>2014</v>
      </c>
      <c r="P8" s="127"/>
      <c r="Q8" s="147">
        <v>27.7074724436</v>
      </c>
      <c r="R8" s="147">
        <v>9.4163899999999998</v>
      </c>
      <c r="S8" s="147">
        <v>61.081300000000006</v>
      </c>
      <c r="T8" s="106">
        <v>2011</v>
      </c>
      <c r="U8" s="127"/>
      <c r="V8" s="147">
        <v>41.604417562500004</v>
      </c>
      <c r="W8" s="147">
        <v>25.383339999999997</v>
      </c>
      <c r="X8" s="147">
        <v>67.336219999999997</v>
      </c>
      <c r="Y8" s="106">
        <v>2011</v>
      </c>
      <c r="Z8" s="120"/>
      <c r="AA8" s="147">
        <v>64.088279999999997</v>
      </c>
      <c r="AB8" s="147">
        <v>56.887140000000002</v>
      </c>
      <c r="AC8" s="147">
        <v>62.359940000000002</v>
      </c>
      <c r="AD8" s="106">
        <v>2011</v>
      </c>
      <c r="AE8" s="127"/>
      <c r="AF8" s="147">
        <v>93.421155214300001</v>
      </c>
      <c r="AG8" s="147">
        <v>90.331099999999992</v>
      </c>
      <c r="AH8" s="147">
        <v>97.843620000000001</v>
      </c>
      <c r="AI8" s="106">
        <v>2011</v>
      </c>
      <c r="AJ8" s="127"/>
      <c r="AK8" s="147">
        <v>33.209004998200001</v>
      </c>
      <c r="AL8" s="147">
        <v>25.744779999999999</v>
      </c>
      <c r="AM8" s="147">
        <v>51.704510000000006</v>
      </c>
      <c r="AN8" s="106">
        <v>2011</v>
      </c>
      <c r="AO8" s="120"/>
    </row>
    <row r="9" spans="1:41" ht="15" x14ac:dyDescent="0.25">
      <c r="A9" s="133" t="s">
        <v>7</v>
      </c>
      <c r="B9" s="141">
        <v>28.430620000000001</v>
      </c>
      <c r="C9" s="141">
        <v>20.83568</v>
      </c>
      <c r="D9" s="141">
        <v>35.298720000000003</v>
      </c>
      <c r="E9" s="145">
        <v>2011</v>
      </c>
      <c r="F9" s="127"/>
      <c r="G9" s="147">
        <v>58.203780000000002</v>
      </c>
      <c r="H9" s="147">
        <v>38.196980000000003</v>
      </c>
      <c r="I9" s="147">
        <v>76.559580000000011</v>
      </c>
      <c r="J9" s="106">
        <v>2011</v>
      </c>
      <c r="K9" s="127"/>
      <c r="L9" s="134">
        <v>44.574095682613766</v>
      </c>
      <c r="M9" s="139" t="s">
        <v>154</v>
      </c>
      <c r="N9" s="139" t="s">
        <v>154</v>
      </c>
      <c r="O9" s="134">
        <v>2014</v>
      </c>
      <c r="P9" s="127"/>
      <c r="Q9" s="147">
        <v>84.114500000000007</v>
      </c>
      <c r="R9" s="147">
        <v>64.364249999999998</v>
      </c>
      <c r="S9" s="147">
        <v>98.776820000000001</v>
      </c>
      <c r="T9" s="106">
        <v>2011</v>
      </c>
      <c r="U9" s="127"/>
      <c r="V9" s="147">
        <v>27.983889999999999</v>
      </c>
      <c r="W9" s="147">
        <v>21.889590000000002</v>
      </c>
      <c r="X9" s="147">
        <v>34.543909999999997</v>
      </c>
      <c r="Y9" s="106">
        <v>2011</v>
      </c>
      <c r="Z9" s="120"/>
      <c r="AA9" s="147" t="s">
        <v>798</v>
      </c>
      <c r="AB9" s="147" t="s">
        <v>798</v>
      </c>
      <c r="AC9" s="147" t="s">
        <v>798</v>
      </c>
      <c r="AD9" s="106">
        <v>2011</v>
      </c>
      <c r="AE9" s="127"/>
      <c r="AF9" s="147">
        <v>73.94744</v>
      </c>
      <c r="AG9" s="147">
        <v>59.049220000000005</v>
      </c>
      <c r="AH9" s="147">
        <v>85.631780000000006</v>
      </c>
      <c r="AI9" s="106">
        <v>2011</v>
      </c>
      <c r="AJ9" s="127"/>
      <c r="AK9" s="147">
        <v>30.951060000000002</v>
      </c>
      <c r="AL9" s="147">
        <v>19.96903</v>
      </c>
      <c r="AM9" s="147">
        <v>31.405480000000001</v>
      </c>
      <c r="AN9" s="106">
        <v>2011</v>
      </c>
      <c r="AO9" s="120"/>
    </row>
    <row r="10" spans="1:41" ht="15" x14ac:dyDescent="0.25">
      <c r="A10" s="133" t="s">
        <v>8</v>
      </c>
      <c r="B10" s="141">
        <v>74.994605779599993</v>
      </c>
      <c r="C10" s="141">
        <v>57.415760000000006</v>
      </c>
      <c r="D10" s="141">
        <v>88.202970000000008</v>
      </c>
      <c r="E10" s="145">
        <v>2008</v>
      </c>
      <c r="F10" s="127"/>
      <c r="G10" s="147">
        <v>72.073501348500002</v>
      </c>
      <c r="H10" s="147">
        <v>50.318189999999994</v>
      </c>
      <c r="I10" s="147">
        <v>90.916620000000009</v>
      </c>
      <c r="J10" s="106">
        <v>2008</v>
      </c>
      <c r="K10" s="127"/>
      <c r="L10" s="134">
        <v>65.634674922600624</v>
      </c>
      <c r="M10" s="139" t="s">
        <v>154</v>
      </c>
      <c r="N10" s="139" t="s">
        <v>154</v>
      </c>
      <c r="O10" s="134">
        <v>2014</v>
      </c>
      <c r="P10" s="127"/>
      <c r="Q10" s="147">
        <v>71.106445789299997</v>
      </c>
      <c r="R10" s="147">
        <v>38.021619999999999</v>
      </c>
      <c r="S10" s="147">
        <v>98.680310000000006</v>
      </c>
      <c r="T10" s="106">
        <v>2008</v>
      </c>
      <c r="U10" s="127"/>
      <c r="V10" s="147">
        <v>76.429766416500001</v>
      </c>
      <c r="W10" s="147">
        <v>51.337129999999995</v>
      </c>
      <c r="X10" s="147">
        <v>96.565929999999994</v>
      </c>
      <c r="Y10" s="106">
        <v>2008</v>
      </c>
      <c r="Z10" s="127"/>
      <c r="AA10" s="147">
        <v>56.673220000000001</v>
      </c>
      <c r="AB10" s="147">
        <v>66.226790000000008</v>
      </c>
      <c r="AC10" s="147">
        <v>41.270589999999999</v>
      </c>
      <c r="AD10" s="106">
        <v>2008</v>
      </c>
      <c r="AE10" s="127"/>
      <c r="AF10" s="147">
        <v>85.802912712099996</v>
      </c>
      <c r="AG10" s="147">
        <v>85.686959999999999</v>
      </c>
      <c r="AH10" s="147">
        <v>86.111680000000007</v>
      </c>
      <c r="AI10" s="106">
        <v>2008</v>
      </c>
      <c r="AJ10" s="127"/>
      <c r="AK10" s="147">
        <v>50.868356227900001</v>
      </c>
      <c r="AL10" s="147">
        <v>40.42024</v>
      </c>
      <c r="AM10" s="147">
        <v>70.338099999999997</v>
      </c>
      <c r="AN10" s="106">
        <v>2008</v>
      </c>
      <c r="AO10" s="127"/>
    </row>
    <row r="11" spans="1:41" ht="15" x14ac:dyDescent="0.25">
      <c r="A11" s="133" t="s">
        <v>9</v>
      </c>
      <c r="B11" s="140" t="s">
        <v>154</v>
      </c>
      <c r="C11" s="140" t="s">
        <v>154</v>
      </c>
      <c r="D11" s="140" t="s">
        <v>154</v>
      </c>
      <c r="E11" s="145"/>
      <c r="F11" s="127"/>
      <c r="G11" s="140" t="s">
        <v>154</v>
      </c>
      <c r="H11" s="140" t="s">
        <v>154</v>
      </c>
      <c r="I11" s="140" t="s">
        <v>154</v>
      </c>
      <c r="J11" s="106"/>
      <c r="K11" s="127"/>
      <c r="L11" s="134">
        <v>95.902008466180305</v>
      </c>
      <c r="M11" s="139" t="s">
        <v>154</v>
      </c>
      <c r="N11" s="139" t="s">
        <v>154</v>
      </c>
      <c r="O11" s="134">
        <v>2014</v>
      </c>
      <c r="P11" s="127"/>
      <c r="Q11" s="140" t="s">
        <v>154</v>
      </c>
      <c r="R11" s="140" t="s">
        <v>154</v>
      </c>
      <c r="S11" s="140" t="s">
        <v>154</v>
      </c>
      <c r="T11" s="145"/>
      <c r="U11" s="127"/>
      <c r="V11" s="140" t="s">
        <v>154</v>
      </c>
      <c r="W11" s="140" t="s">
        <v>154</v>
      </c>
      <c r="X11" s="140" t="s">
        <v>154</v>
      </c>
      <c r="Y11" s="106"/>
      <c r="Z11" s="127"/>
      <c r="AA11" s="140" t="s">
        <v>154</v>
      </c>
      <c r="AB11" s="140" t="s">
        <v>154</v>
      </c>
      <c r="AC11" s="140" t="s">
        <v>154</v>
      </c>
      <c r="AD11" s="145"/>
      <c r="AE11" s="127"/>
      <c r="AF11" s="140" t="s">
        <v>154</v>
      </c>
      <c r="AG11" s="140" t="s">
        <v>154</v>
      </c>
      <c r="AH11" s="140" t="s">
        <v>154</v>
      </c>
      <c r="AI11" s="145"/>
      <c r="AJ11" s="127"/>
      <c r="AK11" s="140" t="s">
        <v>154</v>
      </c>
      <c r="AL11" s="140" t="s">
        <v>154</v>
      </c>
      <c r="AM11" s="140" t="s">
        <v>154</v>
      </c>
      <c r="AN11" s="106"/>
      <c r="AO11" s="127"/>
    </row>
    <row r="12" spans="1:41" ht="15" x14ac:dyDescent="0.25">
      <c r="A12" s="133" t="s">
        <v>10</v>
      </c>
      <c r="B12" s="140" t="s">
        <v>798</v>
      </c>
      <c r="C12" s="140" t="s">
        <v>798</v>
      </c>
      <c r="D12" s="140" t="s">
        <v>798</v>
      </c>
      <c r="E12" s="145">
        <v>2006</v>
      </c>
      <c r="F12" s="127"/>
      <c r="G12" s="147">
        <v>90.4401242733</v>
      </c>
      <c r="H12" s="147">
        <v>84.294119999999992</v>
      </c>
      <c r="I12" s="147">
        <v>96.607320000000001</v>
      </c>
      <c r="J12" s="106">
        <v>2006</v>
      </c>
      <c r="K12" s="127"/>
      <c r="L12" s="134"/>
      <c r="M12" s="139" t="s">
        <v>154</v>
      </c>
      <c r="N12" s="139" t="s">
        <v>154</v>
      </c>
      <c r="O12" s="134">
        <v>2014</v>
      </c>
      <c r="P12" s="127"/>
      <c r="Q12" s="147" t="s">
        <v>798</v>
      </c>
      <c r="R12" s="147" t="s">
        <v>798</v>
      </c>
      <c r="S12" s="147" t="s">
        <v>798</v>
      </c>
      <c r="T12" s="106">
        <v>2006</v>
      </c>
      <c r="U12" s="127"/>
      <c r="V12" s="147" t="s">
        <v>798</v>
      </c>
      <c r="W12" s="147" t="s">
        <v>798</v>
      </c>
      <c r="X12" s="147" t="s">
        <v>798</v>
      </c>
      <c r="Y12" s="106">
        <v>2006</v>
      </c>
      <c r="Z12" s="127"/>
      <c r="AA12" s="147" t="s">
        <v>798</v>
      </c>
      <c r="AB12" s="147" t="s">
        <v>798</v>
      </c>
      <c r="AC12" s="147" t="s">
        <v>798</v>
      </c>
      <c r="AD12" s="106">
        <v>2006</v>
      </c>
      <c r="AE12" s="127"/>
      <c r="AF12" s="147" t="s">
        <v>798</v>
      </c>
      <c r="AG12" s="147" t="s">
        <v>798</v>
      </c>
      <c r="AH12" s="147" t="s">
        <v>798</v>
      </c>
      <c r="AI12" s="106">
        <v>2006</v>
      </c>
      <c r="AJ12" s="127"/>
      <c r="AK12" s="147">
        <v>47.3698943853</v>
      </c>
      <c r="AL12" s="147">
        <v>41.518549999999998</v>
      </c>
      <c r="AM12" s="147">
        <v>53.048039999999993</v>
      </c>
      <c r="AN12" s="106">
        <v>2006</v>
      </c>
      <c r="AO12" s="127"/>
    </row>
    <row r="13" spans="1:41" ht="15" x14ac:dyDescent="0.25">
      <c r="A13" s="133" t="s">
        <v>11</v>
      </c>
      <c r="B13" s="141">
        <v>39.765071868900002</v>
      </c>
      <c r="C13" s="141">
        <v>23.205400000000001</v>
      </c>
      <c r="D13" s="141">
        <v>64.544150000000002</v>
      </c>
      <c r="E13" s="145">
        <v>2010</v>
      </c>
      <c r="F13" s="127"/>
      <c r="G13" s="147">
        <v>33.667540550199995</v>
      </c>
      <c r="H13" s="147">
        <v>24.00516</v>
      </c>
      <c r="I13" s="147">
        <v>46.742780000000003</v>
      </c>
      <c r="J13" s="106">
        <v>2010</v>
      </c>
      <c r="K13" s="127"/>
      <c r="L13" s="134">
        <v>62.089937338739396</v>
      </c>
      <c r="M13" s="139" t="s">
        <v>154</v>
      </c>
      <c r="N13" s="139" t="s">
        <v>154</v>
      </c>
      <c r="O13" s="134">
        <v>2014</v>
      </c>
      <c r="P13" s="127"/>
      <c r="Q13" s="147">
        <v>67.146486043899998</v>
      </c>
      <c r="R13" s="147">
        <v>46.5899</v>
      </c>
      <c r="S13" s="147">
        <v>93.333609999999993</v>
      </c>
      <c r="T13" s="106">
        <v>2010</v>
      </c>
      <c r="U13" s="127"/>
      <c r="V13" s="147">
        <v>26.314136385899999</v>
      </c>
      <c r="W13" s="147">
        <v>22.822050000000001</v>
      </c>
      <c r="X13" s="147">
        <v>29.121279999999999</v>
      </c>
      <c r="Y13" s="106">
        <v>2010</v>
      </c>
      <c r="Z13" s="127"/>
      <c r="AA13" s="147">
        <v>26.155119999999997</v>
      </c>
      <c r="AB13" s="147">
        <v>24.528210000000001</v>
      </c>
      <c r="AC13" s="147">
        <v>32.012950000000004</v>
      </c>
      <c r="AD13" s="106">
        <v>2010</v>
      </c>
      <c r="AE13" s="127"/>
      <c r="AF13" s="147">
        <v>89.519321918500012</v>
      </c>
      <c r="AG13" s="147">
        <v>83.40231</v>
      </c>
      <c r="AH13" s="147">
        <v>92.866470000000007</v>
      </c>
      <c r="AI13" s="106">
        <v>2010</v>
      </c>
      <c r="AJ13" s="127"/>
      <c r="AK13" s="147">
        <v>55.473566055300005</v>
      </c>
      <c r="AL13" s="147">
        <v>35.710329999999999</v>
      </c>
      <c r="AM13" s="147">
        <v>69.985249999999994</v>
      </c>
      <c r="AN13" s="106">
        <v>2010</v>
      </c>
      <c r="AO13" s="127"/>
    </row>
    <row r="14" spans="1:41" ht="15" x14ac:dyDescent="0.25">
      <c r="A14" s="133" t="s">
        <v>12</v>
      </c>
      <c r="B14" s="141">
        <v>40.291142463700005</v>
      </c>
      <c r="C14" s="141">
        <v>35.099710000000002</v>
      </c>
      <c r="D14" s="141">
        <v>52.527120000000004</v>
      </c>
      <c r="E14" s="145">
        <v>2010</v>
      </c>
      <c r="F14" s="127"/>
      <c r="G14" s="147">
        <v>33.393445610999997</v>
      </c>
      <c r="H14" s="147">
        <v>34.20196</v>
      </c>
      <c r="I14" s="147">
        <v>37.248089999999998</v>
      </c>
      <c r="J14" s="106">
        <v>2010</v>
      </c>
      <c r="K14" s="127"/>
      <c r="L14" s="134">
        <v>57.915492957746487</v>
      </c>
      <c r="M14" s="139" t="s">
        <v>154</v>
      </c>
      <c r="N14" s="139" t="s">
        <v>154</v>
      </c>
      <c r="O14" s="134">
        <v>2014</v>
      </c>
      <c r="P14" s="127"/>
      <c r="Q14" s="147">
        <v>60.269713401799997</v>
      </c>
      <c r="R14" s="147">
        <v>50.653179999999999</v>
      </c>
      <c r="S14" s="147">
        <v>80.830250000000007</v>
      </c>
      <c r="T14" s="106">
        <v>2010</v>
      </c>
      <c r="U14" s="127"/>
      <c r="V14" s="147">
        <v>7.5212441384999993</v>
      </c>
      <c r="W14" s="147">
        <v>6.2972799999999998</v>
      </c>
      <c r="X14" s="147">
        <v>11.599819999999999</v>
      </c>
      <c r="Y14" s="106">
        <v>2010</v>
      </c>
      <c r="Z14" s="127"/>
      <c r="AA14" s="147">
        <v>73.870130000000003</v>
      </c>
      <c r="AB14" s="147">
        <v>69.365020000000001</v>
      </c>
      <c r="AC14" s="147">
        <v>68.326570000000004</v>
      </c>
      <c r="AD14" s="106">
        <v>2010</v>
      </c>
      <c r="AE14" s="127"/>
      <c r="AF14" s="147">
        <v>95.749050378800007</v>
      </c>
      <c r="AG14" s="147">
        <v>94.364149999999995</v>
      </c>
      <c r="AH14" s="147">
        <v>94.19547</v>
      </c>
      <c r="AI14" s="106">
        <v>2010</v>
      </c>
      <c r="AJ14" s="127"/>
      <c r="AK14" s="147">
        <v>54.662966728200004</v>
      </c>
      <c r="AL14" s="147">
        <v>51.744979999999998</v>
      </c>
      <c r="AM14" s="147">
        <v>57.774440000000006</v>
      </c>
      <c r="AN14" s="106">
        <v>2010</v>
      </c>
      <c r="AO14" s="127"/>
    </row>
    <row r="15" spans="1:41" ht="15" x14ac:dyDescent="0.25">
      <c r="A15" s="133" t="s">
        <v>13</v>
      </c>
      <c r="B15" s="141">
        <v>75.5851626396</v>
      </c>
      <c r="C15" s="141">
        <v>69.231099999999998</v>
      </c>
      <c r="D15" s="141">
        <v>82.692930000000004</v>
      </c>
      <c r="E15" s="145">
        <v>2010</v>
      </c>
      <c r="F15" s="127"/>
      <c r="G15" s="147">
        <v>59.364950656899993</v>
      </c>
      <c r="H15" s="147">
        <v>42.811810000000001</v>
      </c>
      <c r="I15" s="147">
        <v>82.4529</v>
      </c>
      <c r="J15" s="106">
        <v>2010</v>
      </c>
      <c r="K15" s="127"/>
      <c r="L15" s="134">
        <v>79.482439926062838</v>
      </c>
      <c r="M15" s="139" t="s">
        <v>154</v>
      </c>
      <c r="N15" s="139" t="s">
        <v>154</v>
      </c>
      <c r="O15" s="134">
        <v>2014</v>
      </c>
      <c r="P15" s="127"/>
      <c r="Q15" s="147">
        <v>71.026653051400004</v>
      </c>
      <c r="R15" s="147">
        <v>48.674659999999996</v>
      </c>
      <c r="S15" s="147">
        <v>96.721670000000003</v>
      </c>
      <c r="T15" s="106">
        <v>2010</v>
      </c>
      <c r="U15" s="127"/>
      <c r="V15" s="147">
        <v>29.994550347299999</v>
      </c>
      <c r="W15" s="147">
        <v>20.4849</v>
      </c>
      <c r="X15" s="147">
        <v>52.782300000000006</v>
      </c>
      <c r="Y15" s="106">
        <v>2010</v>
      </c>
      <c r="Z15" s="127"/>
      <c r="AA15" s="147">
        <v>72.792209999999997</v>
      </c>
      <c r="AB15" s="147">
        <v>69.554349999999999</v>
      </c>
      <c r="AC15" s="147">
        <v>59.806490000000004</v>
      </c>
      <c r="AD15" s="106">
        <v>2010</v>
      </c>
      <c r="AE15" s="127"/>
      <c r="AF15" s="147">
        <v>84.812855720499996</v>
      </c>
      <c r="AG15" s="147">
        <v>73.450519999999997</v>
      </c>
      <c r="AH15" s="147">
        <v>92.574089999999998</v>
      </c>
      <c r="AI15" s="106">
        <v>2010</v>
      </c>
      <c r="AJ15" s="127"/>
      <c r="AK15" s="147">
        <v>76.7024457455</v>
      </c>
      <c r="AL15" s="147">
        <v>75.088329999999999</v>
      </c>
      <c r="AM15" s="147">
        <v>90.564239999999998</v>
      </c>
      <c r="AN15" s="106">
        <v>2010</v>
      </c>
      <c r="AO15" s="127"/>
    </row>
    <row r="16" spans="1:41" ht="15" x14ac:dyDescent="0.25">
      <c r="A16" s="133" t="s">
        <v>14</v>
      </c>
      <c r="B16" s="141">
        <v>49.866169691099998</v>
      </c>
      <c r="C16" s="141">
        <v>10.173450000000001</v>
      </c>
      <c r="D16" s="141">
        <v>68.588880000000003</v>
      </c>
      <c r="E16" s="145">
        <v>2011</v>
      </c>
      <c r="F16" s="127"/>
      <c r="G16" s="147">
        <v>62.185668945300002</v>
      </c>
      <c r="H16" s="147">
        <v>33.388719999999999</v>
      </c>
      <c r="I16" s="147">
        <v>85.866839999999996</v>
      </c>
      <c r="J16" s="106">
        <v>2011</v>
      </c>
      <c r="K16" s="127"/>
      <c r="L16" s="134">
        <v>60.630559916274208</v>
      </c>
      <c r="M16" s="139" t="s">
        <v>154</v>
      </c>
      <c r="N16" s="139" t="s">
        <v>154</v>
      </c>
      <c r="O16" s="134">
        <v>2014</v>
      </c>
      <c r="P16" s="127"/>
      <c r="Q16" s="147">
        <v>63.567709922799999</v>
      </c>
      <c r="R16" s="147">
        <v>19.060299999999998</v>
      </c>
      <c r="S16" s="147">
        <v>96.778350000000003</v>
      </c>
      <c r="T16" s="106">
        <v>2011</v>
      </c>
      <c r="U16" s="127"/>
      <c r="V16" s="147" t="s">
        <v>798</v>
      </c>
      <c r="W16" s="147" t="s">
        <v>798</v>
      </c>
      <c r="X16" s="147" t="s">
        <v>798</v>
      </c>
      <c r="Y16" s="106">
        <v>2011</v>
      </c>
      <c r="Z16" s="127"/>
      <c r="AA16" s="147">
        <v>20.803699999999999</v>
      </c>
      <c r="AB16" s="147">
        <v>11.471550000000001</v>
      </c>
      <c r="AC16" s="147">
        <v>26.067309999999999</v>
      </c>
      <c r="AD16" s="106">
        <v>2011</v>
      </c>
      <c r="AE16" s="127"/>
      <c r="AF16" s="147">
        <v>68.784785270699999</v>
      </c>
      <c r="AG16" s="147">
        <v>44.604849999999999</v>
      </c>
      <c r="AH16" s="147">
        <v>87.590330000000009</v>
      </c>
      <c r="AI16" s="106">
        <v>2011</v>
      </c>
      <c r="AJ16" s="127"/>
      <c r="AK16" s="147">
        <v>29.9443364143</v>
      </c>
      <c r="AL16" s="147">
        <v>9.30002</v>
      </c>
      <c r="AM16" s="147">
        <v>39.078590000000005</v>
      </c>
      <c r="AN16" s="106">
        <v>2011</v>
      </c>
      <c r="AO16" s="127"/>
    </row>
    <row r="17" spans="1:41" ht="15" x14ac:dyDescent="0.25">
      <c r="A17" s="133" t="s">
        <v>15</v>
      </c>
      <c r="B17" s="141">
        <v>36.290815472600002</v>
      </c>
      <c r="C17" s="141">
        <v>25.74173</v>
      </c>
      <c r="D17" s="141">
        <v>54.103480000000005</v>
      </c>
      <c r="E17" s="145">
        <v>2010</v>
      </c>
      <c r="F17" s="127"/>
      <c r="G17" s="147">
        <v>38.133588433299998</v>
      </c>
      <c r="H17" s="147">
        <v>25.89695</v>
      </c>
      <c r="I17" s="147">
        <v>61.557839999999999</v>
      </c>
      <c r="J17" s="106">
        <v>2010</v>
      </c>
      <c r="K17" s="127"/>
      <c r="L17" s="134">
        <v>33.075767332045501</v>
      </c>
      <c r="M17" s="139" t="s">
        <v>154</v>
      </c>
      <c r="N17" s="139" t="s">
        <v>154</v>
      </c>
      <c r="O17" s="134">
        <v>2014</v>
      </c>
      <c r="P17" s="127"/>
      <c r="Q17" s="147">
        <v>53.814452886599994</v>
      </c>
      <c r="R17" s="147">
        <v>33.126930000000002</v>
      </c>
      <c r="S17" s="147">
        <v>87.159170000000003</v>
      </c>
      <c r="T17" s="106">
        <v>2010</v>
      </c>
      <c r="U17" s="127"/>
      <c r="V17" s="147" t="s">
        <v>798</v>
      </c>
      <c r="W17" s="147" t="s">
        <v>798</v>
      </c>
      <c r="X17" s="147" t="s">
        <v>798</v>
      </c>
      <c r="Y17" s="106">
        <v>2010</v>
      </c>
      <c r="Z17" s="127"/>
      <c r="AA17" s="147">
        <v>33.447769999999998</v>
      </c>
      <c r="AB17" s="147">
        <v>27.231569999999998</v>
      </c>
      <c r="AC17" s="147">
        <v>28.37032</v>
      </c>
      <c r="AD17" s="106">
        <v>2010</v>
      </c>
      <c r="AE17" s="127"/>
      <c r="AF17" s="147">
        <v>32.126826047899996</v>
      </c>
      <c r="AG17" s="147">
        <v>17.81561</v>
      </c>
      <c r="AH17" s="147">
        <v>59.562630000000006</v>
      </c>
      <c r="AI17" s="106">
        <v>2010</v>
      </c>
      <c r="AJ17" s="127"/>
      <c r="AK17" s="147">
        <v>29.8106491566</v>
      </c>
      <c r="AL17" s="147">
        <v>19.868040000000001</v>
      </c>
      <c r="AM17" s="147">
        <v>56.37527</v>
      </c>
      <c r="AN17" s="106">
        <v>2010</v>
      </c>
      <c r="AO17" s="127"/>
    </row>
    <row r="18" spans="1:41" ht="15" x14ac:dyDescent="0.25">
      <c r="A18" s="133" t="s">
        <v>16</v>
      </c>
      <c r="B18" s="141">
        <v>11.8149623275</v>
      </c>
      <c r="C18" s="142" t="s">
        <v>798</v>
      </c>
      <c r="D18" s="141">
        <v>29.831259999999997</v>
      </c>
      <c r="E18" s="145">
        <v>2010</v>
      </c>
      <c r="F18" s="127"/>
      <c r="G18" s="147">
        <v>23.152258</v>
      </c>
      <c r="H18" s="147">
        <v>11.250552000000001</v>
      </c>
      <c r="I18" s="147">
        <v>45.441177000000003</v>
      </c>
      <c r="J18" s="106">
        <v>2010</v>
      </c>
      <c r="K18" s="127"/>
      <c r="L18" s="134">
        <v>18.696664080682702</v>
      </c>
      <c r="M18" s="139" t="s">
        <v>154</v>
      </c>
      <c r="N18" s="139" t="s">
        <v>154</v>
      </c>
      <c r="O18" s="134">
        <v>2014</v>
      </c>
      <c r="P18" s="127"/>
      <c r="Q18" s="147">
        <v>22.713702999999999</v>
      </c>
      <c r="R18" s="147">
        <v>8.1443630000000002</v>
      </c>
      <c r="S18" s="147">
        <v>61.306041</v>
      </c>
      <c r="T18" s="106">
        <v>2010</v>
      </c>
      <c r="U18" s="127"/>
      <c r="V18" s="147" t="s">
        <v>798</v>
      </c>
      <c r="W18" s="147" t="s">
        <v>798</v>
      </c>
      <c r="X18" s="147" t="s">
        <v>798</v>
      </c>
      <c r="Y18" s="106">
        <v>2010</v>
      </c>
      <c r="Z18" s="127"/>
      <c r="AA18" s="147">
        <v>3.401805</v>
      </c>
      <c r="AB18" s="147">
        <v>2.6438000000000001</v>
      </c>
      <c r="AC18" s="147">
        <v>5.8866899999999998</v>
      </c>
      <c r="AD18" s="106">
        <v>2010</v>
      </c>
      <c r="AE18" s="127"/>
      <c r="AF18" s="147">
        <v>19.511368999999998</v>
      </c>
      <c r="AG18" s="147">
        <v>11.415295</v>
      </c>
      <c r="AH18" s="147">
        <v>27.557500999999998</v>
      </c>
      <c r="AI18" s="106">
        <v>2010</v>
      </c>
      <c r="AJ18" s="127"/>
      <c r="AK18" s="147">
        <v>26.114865999999999</v>
      </c>
      <c r="AL18" s="147">
        <v>14.101247000000001</v>
      </c>
      <c r="AM18" s="147">
        <v>49.797964</v>
      </c>
      <c r="AN18" s="106">
        <v>2010</v>
      </c>
      <c r="AO18" s="127"/>
    </row>
    <row r="19" spans="1:41" ht="15" x14ac:dyDescent="0.25">
      <c r="A19" s="133" t="s">
        <v>17</v>
      </c>
      <c r="B19" s="140" t="s">
        <v>154</v>
      </c>
      <c r="C19" s="140" t="s">
        <v>154</v>
      </c>
      <c r="D19" s="140" t="s">
        <v>154</v>
      </c>
      <c r="E19" s="145"/>
      <c r="F19" s="127"/>
      <c r="G19" s="140" t="s">
        <v>154</v>
      </c>
      <c r="H19" s="140" t="s">
        <v>154</v>
      </c>
      <c r="I19" s="140" t="s">
        <v>154</v>
      </c>
      <c r="J19" s="106"/>
      <c r="K19" s="127"/>
      <c r="L19" s="134"/>
      <c r="M19" s="139" t="s">
        <v>154</v>
      </c>
      <c r="N19" s="139" t="s">
        <v>154</v>
      </c>
      <c r="O19" s="134">
        <v>2014</v>
      </c>
      <c r="P19" s="127"/>
      <c r="Q19" s="140" t="s">
        <v>154</v>
      </c>
      <c r="R19" s="140" t="s">
        <v>154</v>
      </c>
      <c r="S19" s="140" t="s">
        <v>154</v>
      </c>
      <c r="T19" s="145"/>
      <c r="U19" s="127"/>
      <c r="V19" s="140" t="s">
        <v>154</v>
      </c>
      <c r="W19" s="140" t="s">
        <v>154</v>
      </c>
      <c r="X19" s="140" t="s">
        <v>154</v>
      </c>
      <c r="Y19" s="106"/>
      <c r="Z19" s="127"/>
      <c r="AA19" s="140" t="s">
        <v>154</v>
      </c>
      <c r="AB19" s="140" t="s">
        <v>154</v>
      </c>
      <c r="AC19" s="140" t="s">
        <v>154</v>
      </c>
      <c r="AD19" s="145"/>
      <c r="AE19" s="127"/>
      <c r="AF19" s="140" t="s">
        <v>154</v>
      </c>
      <c r="AG19" s="140" t="s">
        <v>154</v>
      </c>
      <c r="AH19" s="140" t="s">
        <v>154</v>
      </c>
      <c r="AI19" s="145"/>
      <c r="AJ19" s="127"/>
      <c r="AK19" s="140" t="s">
        <v>154</v>
      </c>
      <c r="AL19" s="140" t="s">
        <v>154</v>
      </c>
      <c r="AM19" s="140" t="s">
        <v>154</v>
      </c>
      <c r="AN19" s="106"/>
      <c r="AO19" s="127"/>
    </row>
    <row r="20" spans="1:41" ht="15" x14ac:dyDescent="0.25">
      <c r="A20" s="133" t="s">
        <v>18</v>
      </c>
      <c r="B20" s="141">
        <v>37.448219999999999</v>
      </c>
      <c r="C20" s="141">
        <v>23.488619999999997</v>
      </c>
      <c r="D20" s="141">
        <v>47.58914</v>
      </c>
      <c r="E20" s="145">
        <v>2012</v>
      </c>
      <c r="F20" s="131"/>
      <c r="G20" s="147">
        <v>48.888480000000001</v>
      </c>
      <c r="H20" s="147">
        <v>37.928789999999999</v>
      </c>
      <c r="I20" s="147">
        <v>55.88111</v>
      </c>
      <c r="J20" s="106">
        <v>2012</v>
      </c>
      <c r="K20" s="131"/>
      <c r="L20" s="134"/>
      <c r="M20" s="139" t="s">
        <v>154</v>
      </c>
      <c r="N20" s="139" t="s">
        <v>154</v>
      </c>
      <c r="O20" s="134">
        <v>2014</v>
      </c>
      <c r="P20" s="131"/>
      <c r="Q20" s="147">
        <v>82.183669999999992</v>
      </c>
      <c r="R20" s="147">
        <v>66.264610000000005</v>
      </c>
      <c r="S20" s="147">
        <v>92.698650000000001</v>
      </c>
      <c r="T20" s="106">
        <v>2012</v>
      </c>
      <c r="U20" s="131"/>
      <c r="V20" s="147">
        <v>13.689390000000001</v>
      </c>
      <c r="W20" s="147">
        <v>12.154679999999999</v>
      </c>
      <c r="X20" s="147">
        <v>17.851770000000002</v>
      </c>
      <c r="Y20" s="106">
        <v>2012</v>
      </c>
      <c r="Z20" s="131"/>
      <c r="AA20" s="147" t="s">
        <v>798</v>
      </c>
      <c r="AB20" s="147" t="s">
        <v>798</v>
      </c>
      <c r="AC20" s="147" t="s">
        <v>798</v>
      </c>
      <c r="AD20" s="106">
        <v>2012</v>
      </c>
      <c r="AE20" s="131"/>
      <c r="AF20" s="147">
        <v>73.083430000000007</v>
      </c>
      <c r="AG20" s="147">
        <v>57.536509999999993</v>
      </c>
      <c r="AH20" s="147">
        <v>83.505250000000004</v>
      </c>
      <c r="AI20" s="106">
        <v>2012</v>
      </c>
      <c r="AJ20" s="131"/>
      <c r="AK20" s="147">
        <v>38.138339999999999</v>
      </c>
      <c r="AL20" s="147">
        <v>27.062979999999996</v>
      </c>
      <c r="AM20" s="147">
        <v>42.557030000000005</v>
      </c>
      <c r="AN20" s="106">
        <v>2012</v>
      </c>
      <c r="AO20" s="131"/>
    </row>
    <row r="21" spans="1:41" ht="15" x14ac:dyDescent="0.25">
      <c r="A21" s="133" t="s">
        <v>19</v>
      </c>
      <c r="B21" s="141">
        <v>70.897555351299999</v>
      </c>
      <c r="C21" s="141">
        <v>66.013279999999995</v>
      </c>
      <c r="D21" s="141">
        <v>78.307140000000004</v>
      </c>
      <c r="E21" s="145">
        <v>2011</v>
      </c>
      <c r="F21" s="131"/>
      <c r="G21" s="147">
        <v>78.906172513999991</v>
      </c>
      <c r="H21" s="147">
        <v>63.750140000000002</v>
      </c>
      <c r="I21" s="147">
        <v>92.320530000000005</v>
      </c>
      <c r="J21" s="106">
        <v>2011</v>
      </c>
      <c r="K21" s="131"/>
      <c r="L21" s="134">
        <v>22.894092974484444</v>
      </c>
      <c r="M21" s="139" t="s">
        <v>154</v>
      </c>
      <c r="N21" s="139" t="s">
        <v>154</v>
      </c>
      <c r="O21" s="134">
        <v>2014</v>
      </c>
      <c r="P21" s="131"/>
      <c r="Q21" s="147">
        <v>93.554145097700001</v>
      </c>
      <c r="R21" s="147">
        <v>80.845929999999996</v>
      </c>
      <c r="S21" s="147">
        <v>99.507949999999994</v>
      </c>
      <c r="T21" s="106">
        <v>2011</v>
      </c>
      <c r="U21" s="131"/>
      <c r="V21" s="147">
        <v>28.108033537900003</v>
      </c>
      <c r="W21" s="147">
        <v>24.246880000000001</v>
      </c>
      <c r="X21" s="147">
        <v>34.458709999999996</v>
      </c>
      <c r="Y21" s="106">
        <v>2011</v>
      </c>
      <c r="Z21" s="131"/>
      <c r="AA21" s="147">
        <v>20.489150000000002</v>
      </c>
      <c r="AB21" s="147">
        <v>23.902480000000001</v>
      </c>
      <c r="AC21" s="147">
        <v>18.370290000000001</v>
      </c>
      <c r="AD21" s="106">
        <v>2011</v>
      </c>
      <c r="AE21" s="131"/>
      <c r="AF21" s="147">
        <v>69.126659631700008</v>
      </c>
      <c r="AG21" s="147">
        <v>54.572560000000003</v>
      </c>
      <c r="AH21" s="147">
        <v>81.613060000000004</v>
      </c>
      <c r="AI21" s="106">
        <v>2011</v>
      </c>
      <c r="AJ21" s="131"/>
      <c r="AK21" s="147">
        <v>52.103400230399998</v>
      </c>
      <c r="AL21" s="147">
        <v>40.456069999999997</v>
      </c>
      <c r="AM21" s="147">
        <v>70.510210000000001</v>
      </c>
      <c r="AN21" s="106">
        <v>2011</v>
      </c>
      <c r="AO21" s="131"/>
    </row>
    <row r="22" spans="1:41" ht="15" x14ac:dyDescent="0.25">
      <c r="A22" s="133" t="s">
        <v>20</v>
      </c>
      <c r="B22" s="141">
        <v>40.136405825600001</v>
      </c>
      <c r="C22" s="141">
        <v>27.71367</v>
      </c>
      <c r="D22" s="141">
        <v>58.512909999999998</v>
      </c>
      <c r="E22" s="145">
        <v>2011</v>
      </c>
      <c r="F22" s="131"/>
      <c r="G22" s="147">
        <v>44.166025519400002</v>
      </c>
      <c r="H22" s="147">
        <v>26.245259999999998</v>
      </c>
      <c r="I22" s="147">
        <v>71.77337</v>
      </c>
      <c r="J22" s="106">
        <v>2011</v>
      </c>
      <c r="K22" s="131"/>
      <c r="L22" s="134">
        <v>74.5917275391988</v>
      </c>
      <c r="M22" s="139" t="s">
        <v>154</v>
      </c>
      <c r="N22" s="139" t="s">
        <v>154</v>
      </c>
      <c r="O22" s="134">
        <v>2014</v>
      </c>
      <c r="P22" s="131"/>
      <c r="Q22" s="147">
        <v>59.4240069389</v>
      </c>
      <c r="R22" s="147">
        <v>35.035690000000002</v>
      </c>
      <c r="S22" s="147">
        <v>91.189359999999994</v>
      </c>
      <c r="T22" s="106">
        <v>2011</v>
      </c>
      <c r="U22" s="131"/>
      <c r="V22" s="147">
        <v>34.502741694500003</v>
      </c>
      <c r="W22" s="147">
        <v>26.331430000000001</v>
      </c>
      <c r="X22" s="147">
        <v>39.441749999999999</v>
      </c>
      <c r="Y22" s="106">
        <v>2011</v>
      </c>
      <c r="Z22" s="131"/>
      <c r="AA22" s="147">
        <v>12.14165</v>
      </c>
      <c r="AB22" s="147">
        <v>10.88738</v>
      </c>
      <c r="AC22" s="147">
        <v>20.955719999999999</v>
      </c>
      <c r="AD22" s="106">
        <v>2011</v>
      </c>
      <c r="AE22" s="131"/>
      <c r="AF22" s="147">
        <v>63.831335306199996</v>
      </c>
      <c r="AG22" s="147">
        <v>52.095349999999996</v>
      </c>
      <c r="AH22" s="147">
        <v>80.657359999999997</v>
      </c>
      <c r="AI22" s="106">
        <v>2011</v>
      </c>
      <c r="AJ22" s="131"/>
      <c r="AK22" s="147">
        <v>38.171771168700005</v>
      </c>
      <c r="AL22" s="147">
        <v>17.921790000000001</v>
      </c>
      <c r="AM22" s="147">
        <v>41.819159999999997</v>
      </c>
      <c r="AN22" s="106">
        <v>2011</v>
      </c>
      <c r="AO22" s="131"/>
    </row>
    <row r="23" spans="1:41" ht="15" x14ac:dyDescent="0.25">
      <c r="A23" s="133" t="s">
        <v>21</v>
      </c>
      <c r="B23" s="140" t="s">
        <v>154</v>
      </c>
      <c r="C23" s="140" t="s">
        <v>154</v>
      </c>
      <c r="D23" s="140" t="s">
        <v>154</v>
      </c>
      <c r="E23" s="145"/>
      <c r="F23" s="131"/>
      <c r="G23" s="140" t="s">
        <v>154</v>
      </c>
      <c r="H23" s="140" t="s">
        <v>154</v>
      </c>
      <c r="I23" s="140" t="s">
        <v>154</v>
      </c>
      <c r="J23" s="106"/>
      <c r="K23" s="131"/>
      <c r="L23" s="134"/>
      <c r="M23" s="139" t="s">
        <v>154</v>
      </c>
      <c r="N23" s="139" t="s">
        <v>154</v>
      </c>
      <c r="O23" s="134">
        <v>2014</v>
      </c>
      <c r="P23" s="131"/>
      <c r="Q23" s="140" t="s">
        <v>154</v>
      </c>
      <c r="R23" s="140" t="s">
        <v>154</v>
      </c>
      <c r="S23" s="140" t="s">
        <v>154</v>
      </c>
      <c r="T23" s="145"/>
      <c r="U23" s="127"/>
      <c r="V23" s="140" t="s">
        <v>154</v>
      </c>
      <c r="W23" s="140" t="s">
        <v>154</v>
      </c>
      <c r="X23" s="140" t="s">
        <v>154</v>
      </c>
      <c r="Y23" s="106"/>
      <c r="Z23" s="127"/>
      <c r="AA23" s="140" t="s">
        <v>154</v>
      </c>
      <c r="AB23" s="140" t="s">
        <v>154</v>
      </c>
      <c r="AC23" s="140" t="s">
        <v>154</v>
      </c>
      <c r="AD23" s="145"/>
      <c r="AE23" s="127"/>
      <c r="AF23" s="140" t="s">
        <v>154</v>
      </c>
      <c r="AG23" s="140" t="s">
        <v>154</v>
      </c>
      <c r="AH23" s="140" t="s">
        <v>154</v>
      </c>
      <c r="AI23" s="145"/>
      <c r="AJ23" s="127"/>
      <c r="AK23" s="140" t="s">
        <v>154</v>
      </c>
      <c r="AL23" s="140" t="s">
        <v>154</v>
      </c>
      <c r="AM23" s="140" t="s">
        <v>154</v>
      </c>
      <c r="AN23" s="106"/>
      <c r="AO23" s="131"/>
    </row>
    <row r="24" spans="1:41" ht="15" x14ac:dyDescent="0.25">
      <c r="A24" s="133" t="s">
        <v>22</v>
      </c>
      <c r="B24" s="141">
        <v>42.476380000000006</v>
      </c>
      <c r="C24" s="141">
        <v>31.126910000000002</v>
      </c>
      <c r="D24" s="141">
        <v>58.140709999999999</v>
      </c>
      <c r="E24" s="145">
        <v>2013</v>
      </c>
      <c r="F24" s="131"/>
      <c r="G24" s="147">
        <v>47.99241</v>
      </c>
      <c r="H24" s="147">
        <v>37.896390000000004</v>
      </c>
      <c r="I24" s="147">
        <v>67.720159999999993</v>
      </c>
      <c r="J24" s="106">
        <v>2013</v>
      </c>
      <c r="K24" s="131"/>
      <c r="L24" s="134">
        <v>33.421678294422577</v>
      </c>
      <c r="M24" s="139" t="s">
        <v>154</v>
      </c>
      <c r="N24" s="139" t="s">
        <v>154</v>
      </c>
      <c r="O24" s="134">
        <v>2014</v>
      </c>
      <c r="P24" s="131"/>
      <c r="Q24" s="147">
        <v>80.120850000000004</v>
      </c>
      <c r="R24" s="147">
        <v>66.277960000000007</v>
      </c>
      <c r="S24" s="147">
        <v>97.549399999999991</v>
      </c>
      <c r="T24" s="106">
        <v>2013</v>
      </c>
      <c r="U24" s="131"/>
      <c r="V24" s="147">
        <v>8.2291600000000003</v>
      </c>
      <c r="W24" s="147">
        <v>6.2810599999999992</v>
      </c>
      <c r="X24" s="147">
        <v>14.045849999999998</v>
      </c>
      <c r="Y24" s="106">
        <v>2013</v>
      </c>
      <c r="Z24" s="131"/>
      <c r="AA24" s="147" t="s">
        <v>798</v>
      </c>
      <c r="AB24" s="147" t="s">
        <v>798</v>
      </c>
      <c r="AC24" s="147" t="s">
        <v>798</v>
      </c>
      <c r="AD24" s="106">
        <v>2013</v>
      </c>
      <c r="AE24" s="131"/>
      <c r="AF24" s="147">
        <v>60.63617</v>
      </c>
      <c r="AG24" s="147">
        <v>48.13053</v>
      </c>
      <c r="AH24" s="147">
        <v>82.982500000000002</v>
      </c>
      <c r="AI24" s="106">
        <v>2013</v>
      </c>
      <c r="AJ24" s="131"/>
      <c r="AK24" s="147">
        <v>41.640369999999997</v>
      </c>
      <c r="AL24" s="147">
        <v>37.208030000000001</v>
      </c>
      <c r="AM24" s="147">
        <v>43.470259999999996</v>
      </c>
      <c r="AN24" s="106">
        <v>2013</v>
      </c>
      <c r="AO24" s="131"/>
    </row>
    <row r="25" spans="1:41" ht="15" x14ac:dyDescent="0.25">
      <c r="A25" s="133" t="s">
        <v>23</v>
      </c>
      <c r="B25" s="141">
        <v>44.629496336000003</v>
      </c>
      <c r="C25" s="143" t="s">
        <v>798</v>
      </c>
      <c r="D25" s="143" t="s">
        <v>798</v>
      </c>
      <c r="E25" s="145">
        <v>2006</v>
      </c>
      <c r="F25" s="131"/>
      <c r="G25" s="147" t="s">
        <v>798</v>
      </c>
      <c r="H25" s="147" t="s">
        <v>798</v>
      </c>
      <c r="I25" s="147" t="s">
        <v>798</v>
      </c>
      <c r="J25" s="106">
        <v>2006</v>
      </c>
      <c r="K25" s="131"/>
      <c r="L25" s="134">
        <v>36.283185840707965</v>
      </c>
      <c r="M25" s="139" t="s">
        <v>154</v>
      </c>
      <c r="N25" s="139" t="s">
        <v>154</v>
      </c>
      <c r="O25" s="134">
        <v>2014</v>
      </c>
      <c r="P25" s="131"/>
      <c r="Q25" s="147">
        <v>92.913800477999999</v>
      </c>
      <c r="R25" s="147" t="s">
        <v>798</v>
      </c>
      <c r="S25" s="147" t="s">
        <v>798</v>
      </c>
      <c r="T25" s="106">
        <v>2006</v>
      </c>
      <c r="U25" s="131"/>
      <c r="V25" s="147" t="s">
        <v>798</v>
      </c>
      <c r="W25" s="147" t="s">
        <v>798</v>
      </c>
      <c r="X25" s="147" t="s">
        <v>798</v>
      </c>
      <c r="Y25" s="106">
        <v>2006</v>
      </c>
      <c r="Z25" s="131"/>
      <c r="AA25" s="147">
        <v>1.2719400000000001</v>
      </c>
      <c r="AB25" s="147" t="s">
        <v>798</v>
      </c>
      <c r="AC25" s="147" t="s">
        <v>798</v>
      </c>
      <c r="AD25" s="106">
        <v>2006</v>
      </c>
      <c r="AE25" s="131"/>
      <c r="AF25" s="147">
        <v>60.390245914499999</v>
      </c>
      <c r="AG25" s="147" t="s">
        <v>798</v>
      </c>
      <c r="AH25" s="147" t="s">
        <v>798</v>
      </c>
      <c r="AI25" s="106">
        <v>2006</v>
      </c>
      <c r="AJ25" s="131"/>
      <c r="AK25" s="147">
        <v>62.112283706699998</v>
      </c>
      <c r="AL25" s="147" t="s">
        <v>798</v>
      </c>
      <c r="AM25" s="147" t="s">
        <v>798</v>
      </c>
      <c r="AN25" s="106">
        <v>2006</v>
      </c>
      <c r="AO25" s="131"/>
    </row>
    <row r="26" spans="1:41" ht="15" x14ac:dyDescent="0.25">
      <c r="A26" s="133" t="s">
        <v>24</v>
      </c>
      <c r="B26" s="141">
        <v>86.9599997997</v>
      </c>
      <c r="C26" s="141">
        <v>81.512330000000006</v>
      </c>
      <c r="D26" s="141">
        <v>91.511139999999997</v>
      </c>
      <c r="E26" s="145">
        <v>2008</v>
      </c>
      <c r="F26" s="131"/>
      <c r="G26" s="147">
        <v>66.5185749531</v>
      </c>
      <c r="H26" s="147">
        <v>41.69961</v>
      </c>
      <c r="I26" s="147">
        <v>89.427239999999998</v>
      </c>
      <c r="J26" s="106">
        <v>2008</v>
      </c>
      <c r="K26" s="131"/>
      <c r="L26" s="134">
        <v>14.615384615384617</v>
      </c>
      <c r="M26" s="139" t="s">
        <v>154</v>
      </c>
      <c r="N26" s="139" t="s">
        <v>154</v>
      </c>
      <c r="O26" s="134">
        <v>2014</v>
      </c>
      <c r="P26" s="131"/>
      <c r="Q26" s="147">
        <v>78.863596916199995</v>
      </c>
      <c r="R26" s="147">
        <v>55.172690000000003</v>
      </c>
      <c r="S26" s="147">
        <v>96.943159999999992</v>
      </c>
      <c r="T26" s="106">
        <v>2008</v>
      </c>
      <c r="U26" s="131"/>
      <c r="V26" s="147">
        <v>8.1004798412000003</v>
      </c>
      <c r="W26" s="147">
        <v>5.7662699999999996</v>
      </c>
      <c r="X26" s="147">
        <v>14.0579</v>
      </c>
      <c r="Y26" s="106">
        <v>2008</v>
      </c>
      <c r="Z26" s="131"/>
      <c r="AA26" s="147">
        <v>52.828889999999994</v>
      </c>
      <c r="AB26" s="147">
        <v>56.919310000000003</v>
      </c>
      <c r="AC26" s="147">
        <v>45.608029999999999</v>
      </c>
      <c r="AD26" s="106">
        <v>2008</v>
      </c>
      <c r="AE26" s="131"/>
      <c r="AF26" s="147">
        <v>97.757166624099995</v>
      </c>
      <c r="AG26" s="147">
        <v>97.095410000000001</v>
      </c>
      <c r="AH26" s="147">
        <v>98.869910000000004</v>
      </c>
      <c r="AI26" s="106">
        <v>2008</v>
      </c>
      <c r="AJ26" s="131"/>
      <c r="AK26" s="147">
        <v>73.295384645499993</v>
      </c>
      <c r="AL26" s="147">
        <v>69.615079999999992</v>
      </c>
      <c r="AM26" s="147">
        <v>81.526009999999999</v>
      </c>
      <c r="AN26" s="106">
        <v>2008</v>
      </c>
      <c r="AO26" s="131"/>
    </row>
    <row r="27" spans="1:41" ht="15" x14ac:dyDescent="0.25">
      <c r="A27" s="133" t="s">
        <v>25</v>
      </c>
      <c r="B27" s="140" t="s">
        <v>154</v>
      </c>
      <c r="C27" s="140" t="s">
        <v>154</v>
      </c>
      <c r="D27" s="140" t="s">
        <v>154</v>
      </c>
      <c r="E27" s="145"/>
      <c r="F27" s="131"/>
      <c r="G27" s="140" t="s">
        <v>154</v>
      </c>
      <c r="H27" s="140" t="s">
        <v>154</v>
      </c>
      <c r="I27" s="140" t="s">
        <v>154</v>
      </c>
      <c r="J27" s="106"/>
      <c r="K27" s="131"/>
      <c r="L27" s="134"/>
      <c r="M27" s="139" t="s">
        <v>154</v>
      </c>
      <c r="N27" s="139" t="s">
        <v>154</v>
      </c>
      <c r="O27" s="134">
        <v>2014</v>
      </c>
      <c r="P27" s="131"/>
      <c r="Q27" s="140" t="s">
        <v>154</v>
      </c>
      <c r="R27" s="140" t="s">
        <v>154</v>
      </c>
      <c r="S27" s="140" t="s">
        <v>154</v>
      </c>
      <c r="T27" s="145"/>
      <c r="U27" s="127"/>
      <c r="V27" s="140" t="s">
        <v>154</v>
      </c>
      <c r="W27" s="140" t="s">
        <v>154</v>
      </c>
      <c r="X27" s="140" t="s">
        <v>154</v>
      </c>
      <c r="Y27" s="106"/>
      <c r="Z27" s="127"/>
      <c r="AA27" s="140" t="s">
        <v>154</v>
      </c>
      <c r="AB27" s="140" t="s">
        <v>154</v>
      </c>
      <c r="AC27" s="140" t="s">
        <v>154</v>
      </c>
      <c r="AD27" s="145"/>
      <c r="AE27" s="127"/>
      <c r="AF27" s="140" t="s">
        <v>154</v>
      </c>
      <c r="AG27" s="140" t="s">
        <v>154</v>
      </c>
      <c r="AH27" s="140" t="s">
        <v>154</v>
      </c>
      <c r="AI27" s="145"/>
      <c r="AJ27" s="127"/>
      <c r="AK27" s="140" t="s">
        <v>154</v>
      </c>
      <c r="AL27" s="140" t="s">
        <v>154</v>
      </c>
      <c r="AM27" s="140" t="s">
        <v>154</v>
      </c>
      <c r="AN27" s="106"/>
      <c r="AO27" s="131"/>
    </row>
    <row r="28" spans="1:41" ht="15" x14ac:dyDescent="0.25">
      <c r="A28" s="133" t="s">
        <v>26</v>
      </c>
      <c r="B28" s="140" t="s">
        <v>154</v>
      </c>
      <c r="C28" s="140" t="s">
        <v>154</v>
      </c>
      <c r="D28" s="140" t="s">
        <v>154</v>
      </c>
      <c r="E28" s="145"/>
      <c r="F28" s="131"/>
      <c r="G28" s="140" t="s">
        <v>154</v>
      </c>
      <c r="H28" s="140" t="s">
        <v>154</v>
      </c>
      <c r="I28" s="140" t="s">
        <v>154</v>
      </c>
      <c r="J28" s="106"/>
      <c r="K28" s="131"/>
      <c r="L28" s="134">
        <v>37.837837837837839</v>
      </c>
      <c r="M28" s="139" t="s">
        <v>154</v>
      </c>
      <c r="N28" s="139" t="s">
        <v>154</v>
      </c>
      <c r="O28" s="134">
        <v>2014</v>
      </c>
      <c r="P28" s="131"/>
      <c r="Q28" s="140" t="s">
        <v>154</v>
      </c>
      <c r="R28" s="140" t="s">
        <v>154</v>
      </c>
      <c r="S28" s="140" t="s">
        <v>154</v>
      </c>
      <c r="T28" s="145"/>
      <c r="U28" s="127"/>
      <c r="V28" s="140" t="s">
        <v>154</v>
      </c>
      <c r="W28" s="140" t="s">
        <v>154</v>
      </c>
      <c r="X28" s="140" t="s">
        <v>154</v>
      </c>
      <c r="Y28" s="106"/>
      <c r="Z28" s="127"/>
      <c r="AA28" s="140" t="s">
        <v>154</v>
      </c>
      <c r="AB28" s="140" t="s">
        <v>154</v>
      </c>
      <c r="AC28" s="140" t="s">
        <v>154</v>
      </c>
      <c r="AD28" s="145"/>
      <c r="AE28" s="127"/>
      <c r="AF28" s="140" t="s">
        <v>154</v>
      </c>
      <c r="AG28" s="140" t="s">
        <v>154</v>
      </c>
      <c r="AH28" s="140" t="s">
        <v>154</v>
      </c>
      <c r="AI28" s="145"/>
      <c r="AJ28" s="127"/>
      <c r="AK28" s="140" t="s">
        <v>154</v>
      </c>
      <c r="AL28" s="140" t="s">
        <v>154</v>
      </c>
      <c r="AM28" s="140" t="s">
        <v>154</v>
      </c>
      <c r="AN28" s="106"/>
      <c r="AO28" s="131"/>
    </row>
    <row r="29" spans="1:41" ht="15" x14ac:dyDescent="0.25">
      <c r="A29" s="133" t="s">
        <v>27</v>
      </c>
      <c r="B29" s="141">
        <v>52.113622426999996</v>
      </c>
      <c r="C29" s="141">
        <v>29.46996</v>
      </c>
      <c r="D29" s="141">
        <v>77.497929999999997</v>
      </c>
      <c r="E29" s="145">
        <v>2011</v>
      </c>
      <c r="F29" s="131"/>
      <c r="G29" s="147">
        <v>19.0720975399</v>
      </c>
      <c r="H29" s="147">
        <v>8.2783599999999993</v>
      </c>
      <c r="I29" s="147">
        <v>45.961950000000002</v>
      </c>
      <c r="J29" s="106">
        <v>2011</v>
      </c>
      <c r="K29" s="131"/>
      <c r="L29" s="134">
        <v>55.090163440082016</v>
      </c>
      <c r="M29" s="139" t="s">
        <v>154</v>
      </c>
      <c r="N29" s="139" t="s">
        <v>154</v>
      </c>
      <c r="O29" s="134">
        <v>2014</v>
      </c>
      <c r="P29" s="131"/>
      <c r="Q29" s="147">
        <v>10.8036085963</v>
      </c>
      <c r="R29" s="147">
        <v>2.1484799999999997</v>
      </c>
      <c r="S29" s="147">
        <v>46.299140000000001</v>
      </c>
      <c r="T29" s="106">
        <v>2011</v>
      </c>
      <c r="U29" s="131"/>
      <c r="V29" s="147" t="s">
        <v>798</v>
      </c>
      <c r="W29" s="147" t="s">
        <v>798</v>
      </c>
      <c r="X29" s="147" t="s">
        <v>798</v>
      </c>
      <c r="Y29" s="106">
        <v>2011</v>
      </c>
      <c r="Z29" s="131"/>
      <c r="AA29" s="147">
        <v>51.961780000000005</v>
      </c>
      <c r="AB29" s="147">
        <v>53.95017</v>
      </c>
      <c r="AC29" s="147">
        <v>40.14443</v>
      </c>
      <c r="AD29" s="106">
        <v>2011</v>
      </c>
      <c r="AE29" s="131"/>
      <c r="AF29" s="147">
        <v>37.039852142299999</v>
      </c>
      <c r="AG29" s="147">
        <v>26.047409999999999</v>
      </c>
      <c r="AH29" s="147">
        <v>63.593690000000002</v>
      </c>
      <c r="AI29" s="106">
        <v>2011</v>
      </c>
      <c r="AJ29" s="131"/>
      <c r="AK29" s="147">
        <v>27.0059078932</v>
      </c>
      <c r="AL29" s="147">
        <v>15.483790000000001</v>
      </c>
      <c r="AM29" s="147">
        <v>61.725479999999997</v>
      </c>
      <c r="AN29" s="106">
        <v>2011</v>
      </c>
      <c r="AO29" s="131"/>
    </row>
    <row r="30" spans="1:41" ht="15" x14ac:dyDescent="0.25">
      <c r="A30" s="133" t="s">
        <v>28</v>
      </c>
      <c r="B30" s="141">
        <v>54.069399833700004</v>
      </c>
      <c r="C30" s="141">
        <v>39.432899999999997</v>
      </c>
      <c r="D30" s="141">
        <v>63.851619999999997</v>
      </c>
      <c r="E30" s="145">
        <v>2012</v>
      </c>
      <c r="F30" s="131"/>
      <c r="G30" s="147">
        <v>77.630048990199995</v>
      </c>
      <c r="H30" s="147">
        <v>58.552369999999996</v>
      </c>
      <c r="I30" s="147">
        <v>89.292210000000011</v>
      </c>
      <c r="J30" s="106">
        <v>2012</v>
      </c>
      <c r="K30" s="131"/>
      <c r="L30" s="134">
        <v>61.738208797032321</v>
      </c>
      <c r="M30" s="139" t="s">
        <v>154</v>
      </c>
      <c r="N30" s="139" t="s">
        <v>154</v>
      </c>
      <c r="O30" s="134">
        <v>2014</v>
      </c>
      <c r="P30" s="131"/>
      <c r="Q30" s="147">
        <v>89.969724416700004</v>
      </c>
      <c r="R30" s="147">
        <v>75.582239999999999</v>
      </c>
      <c r="S30" s="147">
        <v>95.195549999999997</v>
      </c>
      <c r="T30" s="106">
        <v>2012</v>
      </c>
      <c r="U30" s="131"/>
      <c r="V30" s="147">
        <v>25.514757633200002</v>
      </c>
      <c r="W30" s="147">
        <v>18.01125</v>
      </c>
      <c r="X30" s="147">
        <v>40.684179999999998</v>
      </c>
      <c r="Y30" s="106">
        <v>2012</v>
      </c>
      <c r="Z30" s="131"/>
      <c r="AA30" s="147">
        <v>5.9969000000000001</v>
      </c>
      <c r="AB30" s="147">
        <v>6.3148</v>
      </c>
      <c r="AC30" s="147">
        <v>0.67366999999999999</v>
      </c>
      <c r="AD30" s="106">
        <v>2012</v>
      </c>
      <c r="AE30" s="131"/>
      <c r="AF30" s="147">
        <v>72.8522121906</v>
      </c>
      <c r="AG30" s="147">
        <v>62.155850000000001</v>
      </c>
      <c r="AH30" s="147">
        <v>71.824629999999999</v>
      </c>
      <c r="AI30" s="106">
        <v>2012</v>
      </c>
      <c r="AJ30" s="131"/>
      <c r="AK30" s="147">
        <v>67.69624948500001</v>
      </c>
      <c r="AL30" s="147">
        <v>48.053489999999996</v>
      </c>
      <c r="AM30" s="147">
        <v>68.349420000000009</v>
      </c>
      <c r="AN30" s="106">
        <v>2012</v>
      </c>
      <c r="AO30" s="131"/>
    </row>
    <row r="31" spans="1:41" ht="15" x14ac:dyDescent="0.25">
      <c r="A31" s="133" t="s">
        <v>29</v>
      </c>
      <c r="B31" s="140" t="s">
        <v>798</v>
      </c>
      <c r="C31" s="140" t="s">
        <v>798</v>
      </c>
      <c r="D31" s="140" t="s">
        <v>798</v>
      </c>
      <c r="E31" s="145">
        <v>2005</v>
      </c>
      <c r="F31" s="131"/>
      <c r="G31" s="147" t="s">
        <v>798</v>
      </c>
      <c r="H31" s="147" t="s">
        <v>798</v>
      </c>
      <c r="I31" s="147" t="s">
        <v>798</v>
      </c>
      <c r="J31" s="106">
        <v>2005</v>
      </c>
      <c r="K31" s="131"/>
      <c r="L31" s="134">
        <v>84.375</v>
      </c>
      <c r="M31" s="139" t="s">
        <v>154</v>
      </c>
      <c r="N31" s="139" t="s">
        <v>154</v>
      </c>
      <c r="O31" s="134">
        <v>2014</v>
      </c>
      <c r="P31" s="131"/>
      <c r="Q31" s="147">
        <v>56.771385669700003</v>
      </c>
      <c r="R31" s="147">
        <v>28.326099999999997</v>
      </c>
      <c r="S31" s="147">
        <v>88.552899999999994</v>
      </c>
      <c r="T31" s="106">
        <v>2005</v>
      </c>
      <c r="U31" s="131"/>
      <c r="V31" s="147" t="s">
        <v>798</v>
      </c>
      <c r="W31" s="147" t="s">
        <v>798</v>
      </c>
      <c r="X31" s="147" t="s">
        <v>798</v>
      </c>
      <c r="Y31" s="106">
        <v>2005</v>
      </c>
      <c r="Z31" s="131"/>
      <c r="AA31" s="147">
        <v>40.76717</v>
      </c>
      <c r="AB31" s="147">
        <v>40.347119999999997</v>
      </c>
      <c r="AC31" s="147">
        <v>39.107889999999998</v>
      </c>
      <c r="AD31" s="106">
        <v>2005</v>
      </c>
      <c r="AE31" s="131"/>
      <c r="AF31" s="147">
        <v>86.255210638000008</v>
      </c>
      <c r="AG31" s="147">
        <v>89.169179999999997</v>
      </c>
      <c r="AH31" s="147">
        <v>88.706640000000007</v>
      </c>
      <c r="AI31" s="106">
        <v>2005</v>
      </c>
      <c r="AJ31" s="131"/>
      <c r="AK31" s="147">
        <v>68.907666206399995</v>
      </c>
      <c r="AL31" s="147">
        <v>68.211010000000002</v>
      </c>
      <c r="AM31" s="147">
        <v>68.123089999999991</v>
      </c>
      <c r="AN31" s="106">
        <v>2005</v>
      </c>
      <c r="AO31" s="131"/>
    </row>
    <row r="32" spans="1:41" ht="15" x14ac:dyDescent="0.25">
      <c r="A32" s="133" t="s">
        <v>30</v>
      </c>
      <c r="B32" s="141">
        <v>57.311159372300004</v>
      </c>
      <c r="C32" s="141">
        <v>42.387599999999999</v>
      </c>
      <c r="D32" s="141">
        <v>72.12285</v>
      </c>
      <c r="E32" s="145">
        <v>2011</v>
      </c>
      <c r="F32" s="131"/>
      <c r="G32" s="147">
        <v>86.618262529399999</v>
      </c>
      <c r="H32" s="147">
        <v>74.309559999999991</v>
      </c>
      <c r="I32" s="147">
        <v>98.47223000000001</v>
      </c>
      <c r="J32" s="106">
        <v>2011</v>
      </c>
      <c r="K32" s="131"/>
      <c r="L32" s="134">
        <v>62.198253723677453</v>
      </c>
      <c r="M32" s="139" t="s">
        <v>154</v>
      </c>
      <c r="N32" s="139" t="s">
        <v>154</v>
      </c>
      <c r="O32" s="134">
        <v>2014</v>
      </c>
      <c r="P32" s="131"/>
      <c r="Q32" s="147">
        <v>68.370175361600005</v>
      </c>
      <c r="R32" s="147">
        <v>38.64526</v>
      </c>
      <c r="S32" s="147">
        <v>97.585880000000003</v>
      </c>
      <c r="T32" s="106">
        <v>2011</v>
      </c>
      <c r="U32" s="131"/>
      <c r="V32" s="147">
        <v>15.288771688899999</v>
      </c>
      <c r="W32" s="147">
        <v>23.375580000000003</v>
      </c>
      <c r="X32" s="147">
        <v>10.95828</v>
      </c>
      <c r="Y32" s="106">
        <v>2011</v>
      </c>
      <c r="Z32" s="131"/>
      <c r="AA32" s="147">
        <v>45.010850000000005</v>
      </c>
      <c r="AB32" s="147">
        <v>53.613100000000003</v>
      </c>
      <c r="AC32" s="147">
        <v>44.53839</v>
      </c>
      <c r="AD32" s="106">
        <v>2011</v>
      </c>
      <c r="AE32" s="131"/>
      <c r="AF32" s="147">
        <v>92.882549762699995</v>
      </c>
      <c r="AG32" s="147">
        <v>92.986069999999998</v>
      </c>
      <c r="AH32" s="147">
        <v>94.395030000000006</v>
      </c>
      <c r="AI32" s="106">
        <v>2011</v>
      </c>
      <c r="AJ32" s="131"/>
      <c r="AK32" s="147">
        <v>41.271159052800002</v>
      </c>
      <c r="AL32" s="147">
        <v>34.445259999999998</v>
      </c>
      <c r="AM32" s="147" t="s">
        <v>798</v>
      </c>
      <c r="AN32" s="106">
        <v>2011</v>
      </c>
      <c r="AO32" s="131"/>
    </row>
    <row r="33" spans="1:41" ht="15" x14ac:dyDescent="0.25">
      <c r="A33" s="133" t="s">
        <v>31</v>
      </c>
      <c r="B33" s="144">
        <v>77.999996999999993</v>
      </c>
      <c r="C33" s="144">
        <v>58.999997</v>
      </c>
      <c r="D33" s="144">
        <v>91.000003000000007</v>
      </c>
      <c r="E33" s="146">
        <v>2008</v>
      </c>
      <c r="F33" s="131"/>
      <c r="G33" s="148">
        <v>80.874938</v>
      </c>
      <c r="H33" s="148">
        <v>71.412957000000006</v>
      </c>
      <c r="I33" s="148">
        <v>95.169312000000005</v>
      </c>
      <c r="J33" s="120">
        <v>2008</v>
      </c>
      <c r="K33" s="131"/>
      <c r="L33" s="134">
        <v>21.600877192982455</v>
      </c>
      <c r="M33" s="139" t="s">
        <v>154</v>
      </c>
      <c r="N33" s="139" t="s">
        <v>154</v>
      </c>
      <c r="O33" s="134">
        <v>2014</v>
      </c>
      <c r="P33" s="131"/>
      <c r="Q33" s="148">
        <v>51.945304999999998</v>
      </c>
      <c r="R33" s="148">
        <v>20.779239</v>
      </c>
      <c r="S33" s="148">
        <v>95.234560999999999</v>
      </c>
      <c r="T33" s="120">
        <v>2008</v>
      </c>
      <c r="U33" s="131"/>
      <c r="V33" s="148">
        <v>1.155527</v>
      </c>
      <c r="W33" s="148">
        <v>1.1814100000000001</v>
      </c>
      <c r="X33" s="148">
        <v>4.2688189999999997</v>
      </c>
      <c r="Y33" s="120">
        <v>2008</v>
      </c>
      <c r="Z33" s="131"/>
      <c r="AA33" s="148">
        <v>49.6</v>
      </c>
      <c r="AB33" s="148">
        <v>71.900000000000006</v>
      </c>
      <c r="AC33" s="148">
        <v>14.7</v>
      </c>
      <c r="AD33" s="120">
        <v>2008</v>
      </c>
      <c r="AE33" s="131"/>
      <c r="AF33" s="148">
        <v>83.841228000000001</v>
      </c>
      <c r="AG33" s="148">
        <v>84.655034999999998</v>
      </c>
      <c r="AH33" s="148">
        <v>85.068523999999996</v>
      </c>
      <c r="AI33" s="120">
        <v>2008</v>
      </c>
      <c r="AJ33" s="131"/>
      <c r="AK33" s="148">
        <v>48.541307000000003</v>
      </c>
      <c r="AL33" s="148">
        <v>48.508375999999998</v>
      </c>
      <c r="AM33" s="148">
        <v>64.117216999999997</v>
      </c>
      <c r="AN33" s="120">
        <v>2008</v>
      </c>
      <c r="AO33" s="131"/>
    </row>
    <row r="34" spans="1:41" ht="15" x14ac:dyDescent="0.25">
      <c r="A34" s="133" t="s">
        <v>32</v>
      </c>
      <c r="B34" s="141">
        <v>19.0837</v>
      </c>
      <c r="C34" s="141">
        <v>12.15052</v>
      </c>
      <c r="D34" s="141">
        <v>27.165119999999998</v>
      </c>
      <c r="E34" s="145">
        <v>2012</v>
      </c>
      <c r="F34" s="131"/>
      <c r="G34" s="147">
        <v>56.573479999999996</v>
      </c>
      <c r="H34" s="147">
        <v>38.338909999999998</v>
      </c>
      <c r="I34" s="147">
        <v>83.247479999999996</v>
      </c>
      <c r="J34" s="106">
        <v>2012</v>
      </c>
      <c r="K34" s="131"/>
      <c r="L34" s="134">
        <v>45.756569012382961</v>
      </c>
      <c r="M34" s="139" t="s">
        <v>154</v>
      </c>
      <c r="N34" s="139" t="s">
        <v>154</v>
      </c>
      <c r="O34" s="134">
        <v>2014</v>
      </c>
      <c r="P34" s="131"/>
      <c r="Q34" s="147">
        <v>45.294150000000002</v>
      </c>
      <c r="R34" s="147">
        <v>18.707889999999999</v>
      </c>
      <c r="S34" s="147">
        <v>91.452520000000007</v>
      </c>
      <c r="T34" s="106">
        <v>2012</v>
      </c>
      <c r="U34" s="131"/>
      <c r="V34" s="147">
        <v>25.16189</v>
      </c>
      <c r="W34" s="147">
        <v>11.93774</v>
      </c>
      <c r="X34" s="147">
        <v>41.332390000000004</v>
      </c>
      <c r="Y34" s="106">
        <v>2012</v>
      </c>
      <c r="Z34" s="131"/>
      <c r="AA34" s="147" t="s">
        <v>798</v>
      </c>
      <c r="AB34" s="147" t="s">
        <v>798</v>
      </c>
      <c r="AC34" s="147" t="s">
        <v>798</v>
      </c>
      <c r="AD34" s="106">
        <v>2012</v>
      </c>
      <c r="AE34" s="131"/>
      <c r="AF34" s="147">
        <v>49.992110000000004</v>
      </c>
      <c r="AG34" s="147">
        <v>32.357979999999998</v>
      </c>
      <c r="AH34" s="147">
        <v>63.041409999999999</v>
      </c>
      <c r="AI34" s="106">
        <v>2012</v>
      </c>
      <c r="AJ34" s="131"/>
      <c r="AK34" s="147">
        <v>37.316539999999996</v>
      </c>
      <c r="AL34" s="147">
        <v>14.478070000000001</v>
      </c>
      <c r="AM34" s="147">
        <v>77.703009999999992</v>
      </c>
      <c r="AN34" s="106">
        <v>2012</v>
      </c>
      <c r="AO34" s="131"/>
    </row>
    <row r="35" spans="1:41" ht="15" x14ac:dyDescent="0.25">
      <c r="A35" s="133" t="s">
        <v>33</v>
      </c>
      <c r="B35" s="141">
        <v>29.320767521899999</v>
      </c>
      <c r="C35" s="141">
        <v>21.293980000000001</v>
      </c>
      <c r="D35" s="141">
        <v>53.254670000000004</v>
      </c>
      <c r="E35" s="145">
        <v>2006</v>
      </c>
      <c r="F35" s="131"/>
      <c r="G35" s="147" t="s">
        <v>798</v>
      </c>
      <c r="H35" s="147" t="s">
        <v>798</v>
      </c>
      <c r="I35" s="147" t="s">
        <v>798</v>
      </c>
      <c r="J35" s="106">
        <v>2006</v>
      </c>
      <c r="K35" s="131"/>
      <c r="L35" s="134">
        <v>55.691439322671684</v>
      </c>
      <c r="M35" s="139" t="s">
        <v>154</v>
      </c>
      <c r="N35" s="139" t="s">
        <v>154</v>
      </c>
      <c r="O35" s="134">
        <v>2014</v>
      </c>
      <c r="P35" s="131"/>
      <c r="Q35" s="147">
        <v>38.841158151600006</v>
      </c>
      <c r="R35" s="147">
        <v>19.42699</v>
      </c>
      <c r="S35" s="147">
        <v>78.515510000000006</v>
      </c>
      <c r="T35" s="106">
        <v>2006</v>
      </c>
      <c r="U35" s="131"/>
      <c r="V35" s="147" t="s">
        <v>798</v>
      </c>
      <c r="W35" s="147" t="s">
        <v>798</v>
      </c>
      <c r="X35" s="147" t="s">
        <v>798</v>
      </c>
      <c r="Y35" s="106">
        <v>2006</v>
      </c>
      <c r="Z35" s="131"/>
      <c r="AA35" s="147">
        <v>16.25797</v>
      </c>
      <c r="AB35" s="147">
        <v>19.581580000000002</v>
      </c>
      <c r="AC35" s="147">
        <v>23.808160000000001</v>
      </c>
      <c r="AD35" s="106">
        <v>2006</v>
      </c>
      <c r="AE35" s="131"/>
      <c r="AF35" s="147">
        <v>64.529162645300005</v>
      </c>
      <c r="AG35" s="147">
        <v>56.865400000000001</v>
      </c>
      <c r="AH35" s="147">
        <v>77.923770000000005</v>
      </c>
      <c r="AI35" s="106">
        <v>2006</v>
      </c>
      <c r="AJ35" s="131"/>
      <c r="AK35" s="147">
        <v>56.471836566900002</v>
      </c>
      <c r="AL35" s="147">
        <v>31.93806</v>
      </c>
      <c r="AM35" s="147">
        <v>81.603219999999993</v>
      </c>
      <c r="AN35" s="106">
        <v>2006</v>
      </c>
      <c r="AO35" s="131"/>
    </row>
    <row r="36" spans="1:41" ht="15" x14ac:dyDescent="0.25">
      <c r="A36" s="133" t="s">
        <v>34</v>
      </c>
      <c r="B36" s="141">
        <v>49.402871727899999</v>
      </c>
      <c r="C36" s="141">
        <v>46.987130000000001</v>
      </c>
      <c r="D36" s="141">
        <v>51.587720000000004</v>
      </c>
      <c r="E36" s="145">
        <v>2012</v>
      </c>
      <c r="F36" s="131"/>
      <c r="G36" s="147">
        <v>67.252683639500006</v>
      </c>
      <c r="H36" s="147">
        <v>50.866759999999999</v>
      </c>
      <c r="I36" s="147">
        <v>88.105949999999993</v>
      </c>
      <c r="J36" s="106">
        <v>2012</v>
      </c>
      <c r="K36" s="131"/>
      <c r="L36" s="134">
        <v>92.956243329775873</v>
      </c>
      <c r="M36" s="139" t="s">
        <v>154</v>
      </c>
      <c r="N36" s="139" t="s">
        <v>154</v>
      </c>
      <c r="O36" s="134">
        <v>2014</v>
      </c>
      <c r="P36" s="131"/>
      <c r="Q36" s="147">
        <v>37.329345941499994</v>
      </c>
      <c r="R36" s="147">
        <v>9.600200000000001</v>
      </c>
      <c r="S36" s="147">
        <v>78.145759999999996</v>
      </c>
      <c r="T36" s="106">
        <v>2012</v>
      </c>
      <c r="U36" s="131"/>
      <c r="V36" s="147">
        <v>19.174289703399999</v>
      </c>
      <c r="W36" s="147">
        <v>9.2165800000000004</v>
      </c>
      <c r="X36" s="147">
        <v>43.86553</v>
      </c>
      <c r="Y36" s="106">
        <v>2012</v>
      </c>
      <c r="Z36" s="131"/>
      <c r="AA36" s="147">
        <v>39.723370000000003</v>
      </c>
      <c r="AB36" s="147">
        <v>44.204070000000002</v>
      </c>
      <c r="AC36" s="147">
        <v>39.081630000000004</v>
      </c>
      <c r="AD36" s="106">
        <v>2012</v>
      </c>
      <c r="AE36" s="131"/>
      <c r="AF36" s="147">
        <v>62.7546608448</v>
      </c>
      <c r="AG36" s="147">
        <v>54.690179999999998</v>
      </c>
      <c r="AH36" s="147">
        <v>67.93959000000001</v>
      </c>
      <c r="AI36" s="106">
        <v>2012</v>
      </c>
      <c r="AJ36" s="131"/>
      <c r="AK36" s="147">
        <v>39.018750190700004</v>
      </c>
      <c r="AL36" s="147">
        <v>24.731259999999999</v>
      </c>
      <c r="AM36" s="147">
        <v>51.224939999999997</v>
      </c>
      <c r="AN36" s="106">
        <v>2012</v>
      </c>
      <c r="AO36" s="131"/>
    </row>
    <row r="37" spans="1:41" ht="15" x14ac:dyDescent="0.25">
      <c r="A37" s="133" t="s">
        <v>35</v>
      </c>
      <c r="B37" s="141">
        <v>81.588727235799993</v>
      </c>
      <c r="C37" s="141">
        <v>70.10136</v>
      </c>
      <c r="D37" s="141">
        <v>89.352969999999999</v>
      </c>
      <c r="E37" s="145">
        <v>2005</v>
      </c>
      <c r="F37" s="131"/>
      <c r="G37" s="147">
        <v>36.966717243199994</v>
      </c>
      <c r="H37" s="147">
        <v>12.080680000000001</v>
      </c>
      <c r="I37" s="147">
        <v>77.324979999999996</v>
      </c>
      <c r="J37" s="106">
        <v>2005</v>
      </c>
      <c r="K37" s="131"/>
      <c r="L37" s="134">
        <v>17.75258861873035</v>
      </c>
      <c r="M37" s="139" t="s">
        <v>154</v>
      </c>
      <c r="N37" s="139" t="s">
        <v>154</v>
      </c>
      <c r="O37" s="134">
        <v>2014</v>
      </c>
      <c r="P37" s="131"/>
      <c r="Q37" s="147">
        <v>46.587434411000004</v>
      </c>
      <c r="R37" s="147">
        <v>19.396820000000002</v>
      </c>
      <c r="S37" s="147">
        <v>88.775120000000001</v>
      </c>
      <c r="T37" s="106">
        <v>2005</v>
      </c>
      <c r="U37" s="131"/>
      <c r="V37" s="147" t="s">
        <v>798</v>
      </c>
      <c r="W37" s="147" t="s">
        <v>798</v>
      </c>
      <c r="X37" s="147" t="s">
        <v>798</v>
      </c>
      <c r="Y37" s="106">
        <v>2005</v>
      </c>
      <c r="Z37" s="131"/>
      <c r="AA37" s="147">
        <v>46.402409999999996</v>
      </c>
      <c r="AB37" s="147">
        <v>53.415979999999998</v>
      </c>
      <c r="AC37" s="147">
        <v>36.212309999999995</v>
      </c>
      <c r="AD37" s="106">
        <v>2005</v>
      </c>
      <c r="AE37" s="131"/>
      <c r="AF37" s="147">
        <v>55.440902709999996</v>
      </c>
      <c r="AG37" s="147">
        <v>33.883490000000002</v>
      </c>
      <c r="AH37" s="147">
        <v>81.980840000000001</v>
      </c>
      <c r="AI37" s="106">
        <v>2005</v>
      </c>
      <c r="AJ37" s="131"/>
      <c r="AK37" s="147">
        <v>70.32110691070001</v>
      </c>
      <c r="AL37" s="147">
        <v>62.288869999999996</v>
      </c>
      <c r="AM37" s="147">
        <v>80.283740000000009</v>
      </c>
      <c r="AN37" s="106">
        <v>2005</v>
      </c>
      <c r="AO37" s="131"/>
    </row>
    <row r="38" spans="1:41" ht="15" x14ac:dyDescent="0.25">
      <c r="A38" s="133" t="s">
        <v>36</v>
      </c>
      <c r="B38" s="141">
        <v>84.471815824499998</v>
      </c>
      <c r="C38" s="141">
        <v>80.640180000000001</v>
      </c>
      <c r="D38" s="141">
        <v>83.332689999999999</v>
      </c>
      <c r="E38" s="145">
        <v>2012</v>
      </c>
      <c r="F38" s="131"/>
      <c r="G38" s="147">
        <v>87.771427631400002</v>
      </c>
      <c r="H38" s="147">
        <v>70.372290000000007</v>
      </c>
      <c r="I38" s="147">
        <v>96.569410000000005</v>
      </c>
      <c r="J38" s="106">
        <v>2012</v>
      </c>
      <c r="K38" s="131"/>
      <c r="L38" s="134">
        <v>9.0258379888268152</v>
      </c>
      <c r="M38" s="139" t="s">
        <v>154</v>
      </c>
      <c r="N38" s="139" t="s">
        <v>154</v>
      </c>
      <c r="O38" s="134">
        <v>2014</v>
      </c>
      <c r="P38" s="131"/>
      <c r="Q38" s="147">
        <v>83.127760887099996</v>
      </c>
      <c r="R38" s="147">
        <v>57.511890000000001</v>
      </c>
      <c r="S38" s="147">
        <v>96.621849999999995</v>
      </c>
      <c r="T38" s="106">
        <v>2012</v>
      </c>
      <c r="U38" s="131"/>
      <c r="V38" s="147">
        <v>48.004308342899996</v>
      </c>
      <c r="W38" s="147">
        <v>35.319800000000001</v>
      </c>
      <c r="X38" s="147">
        <v>57.767520000000005</v>
      </c>
      <c r="Y38" s="106">
        <v>2012</v>
      </c>
      <c r="Z38" s="131"/>
      <c r="AA38" s="147">
        <v>41.458579999999998</v>
      </c>
      <c r="AB38" s="147">
        <v>43.624459999999999</v>
      </c>
      <c r="AC38" s="147">
        <v>46.418890000000005</v>
      </c>
      <c r="AD38" s="106">
        <v>2012</v>
      </c>
      <c r="AE38" s="131"/>
      <c r="AF38" s="147">
        <v>72.209525108299999</v>
      </c>
      <c r="AG38" s="147">
        <v>52.534930000000003</v>
      </c>
      <c r="AH38" s="147">
        <v>85.131230000000002</v>
      </c>
      <c r="AI38" s="106">
        <v>2012</v>
      </c>
      <c r="AJ38" s="131"/>
      <c r="AK38" s="147">
        <v>75.327825546300005</v>
      </c>
      <c r="AL38" s="147">
        <v>60.706959999999995</v>
      </c>
      <c r="AM38" s="147">
        <v>70.969839999999991</v>
      </c>
      <c r="AN38" s="106">
        <v>2012</v>
      </c>
      <c r="AO38" s="131"/>
    </row>
    <row r="39" spans="1:41" ht="15" x14ac:dyDescent="0.25">
      <c r="A39" s="133" t="s">
        <v>37</v>
      </c>
      <c r="B39" s="141">
        <v>87.041509151499994</v>
      </c>
      <c r="C39" s="141">
        <v>80.231200000000001</v>
      </c>
      <c r="D39" s="141">
        <v>91.79119</v>
      </c>
      <c r="E39" s="145">
        <v>2011</v>
      </c>
      <c r="F39" s="131"/>
      <c r="G39" s="147">
        <v>49.6295571327</v>
      </c>
      <c r="H39" s="147">
        <v>35.437919999999998</v>
      </c>
      <c r="I39" s="147">
        <v>64.897729999999996</v>
      </c>
      <c r="J39" s="106">
        <v>2011</v>
      </c>
      <c r="K39" s="131"/>
      <c r="L39" s="134"/>
      <c r="M39" s="139" t="s">
        <v>154</v>
      </c>
      <c r="N39" s="139" t="s">
        <v>154</v>
      </c>
      <c r="O39" s="134">
        <v>2014</v>
      </c>
      <c r="P39" s="131"/>
      <c r="Q39" s="147">
        <v>90.870863199200002</v>
      </c>
      <c r="R39" s="147">
        <v>82.157290000000003</v>
      </c>
      <c r="S39" s="147">
        <v>95.954030000000003</v>
      </c>
      <c r="T39" s="106">
        <v>2011</v>
      </c>
      <c r="U39" s="131"/>
      <c r="V39" s="147" t="s">
        <v>798</v>
      </c>
      <c r="W39" s="147" t="s">
        <v>798</v>
      </c>
      <c r="X39" s="147" t="s">
        <v>798</v>
      </c>
      <c r="Y39" s="106">
        <v>2011</v>
      </c>
      <c r="Z39" s="131"/>
      <c r="AA39" s="147">
        <v>19.077920000000002</v>
      </c>
      <c r="AB39" s="147">
        <v>22.573930000000001</v>
      </c>
      <c r="AC39" s="147">
        <v>15.45668</v>
      </c>
      <c r="AD39" s="106">
        <v>2011</v>
      </c>
      <c r="AE39" s="131"/>
      <c r="AF39" s="147">
        <v>70.129108428999999</v>
      </c>
      <c r="AG39" s="147">
        <v>55.160899999999998</v>
      </c>
      <c r="AH39" s="147">
        <v>82.277750000000012</v>
      </c>
      <c r="AI39" s="106">
        <v>2011</v>
      </c>
      <c r="AJ39" s="131"/>
      <c r="AK39" s="147">
        <v>74.439096450800008</v>
      </c>
      <c r="AL39" s="147">
        <v>69.956440000000001</v>
      </c>
      <c r="AM39" s="147">
        <v>77.668419999999998</v>
      </c>
      <c r="AN39" s="106">
        <v>2011</v>
      </c>
      <c r="AO39" s="131"/>
    </row>
    <row r="40" spans="1:41" ht="15" x14ac:dyDescent="0.25">
      <c r="A40" s="133" t="s">
        <v>38</v>
      </c>
      <c r="B40" s="141">
        <v>63.966172933599999</v>
      </c>
      <c r="C40" s="141">
        <v>34.579030000000003</v>
      </c>
      <c r="D40" s="141">
        <v>74.337479999999999</v>
      </c>
      <c r="E40" s="145">
        <v>2008</v>
      </c>
      <c r="F40" s="131"/>
      <c r="G40" s="147">
        <v>47.126331925400002</v>
      </c>
      <c r="H40" s="147">
        <v>35.983599999999996</v>
      </c>
      <c r="I40" s="147">
        <v>63.381030000000003</v>
      </c>
      <c r="J40" s="106">
        <v>2008</v>
      </c>
      <c r="K40" s="131"/>
      <c r="L40" s="134">
        <v>63.262310845690571</v>
      </c>
      <c r="M40" s="139" t="s">
        <v>154</v>
      </c>
      <c r="N40" s="139" t="s">
        <v>154</v>
      </c>
      <c r="O40" s="134">
        <v>2014</v>
      </c>
      <c r="P40" s="131"/>
      <c r="Q40" s="147">
        <v>43.7727481127</v>
      </c>
      <c r="R40" s="147">
        <v>20.31493</v>
      </c>
      <c r="S40" s="147">
        <v>81.439930000000004</v>
      </c>
      <c r="T40" s="106">
        <v>2008</v>
      </c>
      <c r="U40" s="131"/>
      <c r="V40" s="147" t="s">
        <v>798</v>
      </c>
      <c r="W40" s="147" t="s">
        <v>798</v>
      </c>
      <c r="X40" s="147" t="s">
        <v>798</v>
      </c>
      <c r="Y40" s="106">
        <v>2008</v>
      </c>
      <c r="Z40" s="131"/>
      <c r="AA40" s="147">
        <v>31.878079999999997</v>
      </c>
      <c r="AB40" s="147">
        <v>41.674489999999999</v>
      </c>
      <c r="AC40" s="147">
        <v>28.407979999999998</v>
      </c>
      <c r="AD40" s="106">
        <v>2008</v>
      </c>
      <c r="AE40" s="131"/>
      <c r="AF40" s="147">
        <v>86.591559648500009</v>
      </c>
      <c r="AG40" s="147">
        <v>77.64152</v>
      </c>
      <c r="AH40" s="147">
        <v>89.586039999999997</v>
      </c>
      <c r="AI40" s="106">
        <v>2008</v>
      </c>
      <c r="AJ40" s="131"/>
      <c r="AK40" s="147">
        <v>55.897897481900003</v>
      </c>
      <c r="AL40" s="147">
        <v>56.517019999999995</v>
      </c>
      <c r="AM40" s="147">
        <v>62.581620000000001</v>
      </c>
      <c r="AN40" s="106">
        <v>2008</v>
      </c>
      <c r="AO40" s="131"/>
    </row>
    <row r="41" spans="1:41" ht="15" x14ac:dyDescent="0.25">
      <c r="A41" s="133" t="s">
        <v>39</v>
      </c>
      <c r="B41" s="141">
        <v>66.819890000000001</v>
      </c>
      <c r="C41" s="141">
        <v>70.628969999999995</v>
      </c>
      <c r="D41" s="141">
        <v>73.354790000000008</v>
      </c>
      <c r="E41" s="145">
        <v>2012</v>
      </c>
      <c r="F41" s="131"/>
      <c r="G41" s="147">
        <v>83.578379999999996</v>
      </c>
      <c r="H41" s="147">
        <v>78.69471999999999</v>
      </c>
      <c r="I41" s="147">
        <v>97.229330000000004</v>
      </c>
      <c r="J41" s="106">
        <v>2012</v>
      </c>
      <c r="K41" s="131"/>
      <c r="L41" s="134">
        <v>94.85294117647058</v>
      </c>
      <c r="M41" s="139" t="s">
        <v>154</v>
      </c>
      <c r="N41" s="139" t="s">
        <v>154</v>
      </c>
      <c r="O41" s="134">
        <v>2014</v>
      </c>
      <c r="P41" s="131"/>
      <c r="Q41" s="147">
        <v>99.137529999999998</v>
      </c>
      <c r="R41" s="147">
        <v>99.156880000000001</v>
      </c>
      <c r="S41" s="147">
        <v>99.749920000000003</v>
      </c>
      <c r="T41" s="106">
        <v>2012</v>
      </c>
      <c r="U41" s="131"/>
      <c r="V41" s="147">
        <v>79.833889999999997</v>
      </c>
      <c r="W41" s="147">
        <v>80.159959999999998</v>
      </c>
      <c r="X41" s="147">
        <v>90.308080000000004</v>
      </c>
      <c r="Y41" s="106">
        <v>2012</v>
      </c>
      <c r="Z41" s="131"/>
      <c r="AA41" s="147" t="s">
        <v>798</v>
      </c>
      <c r="AB41" s="147" t="s">
        <v>798</v>
      </c>
      <c r="AC41" s="147" t="s">
        <v>798</v>
      </c>
      <c r="AD41" s="106">
        <v>2012</v>
      </c>
      <c r="AE41" s="131"/>
      <c r="AF41" s="147">
        <v>87.446770000000001</v>
      </c>
      <c r="AG41" s="147">
        <v>94.290549999999996</v>
      </c>
      <c r="AH41" s="147">
        <v>75.031729999999996</v>
      </c>
      <c r="AI41" s="106">
        <v>2012</v>
      </c>
      <c r="AJ41" s="131"/>
      <c r="AK41" s="147">
        <v>33.168430000000001</v>
      </c>
      <c r="AL41" s="147">
        <v>18.555479999999999</v>
      </c>
      <c r="AM41" s="147">
        <v>79.170479999999998</v>
      </c>
      <c r="AN41" s="106">
        <v>2012</v>
      </c>
      <c r="AO41" s="131"/>
    </row>
    <row r="42" spans="1:41" ht="15" x14ac:dyDescent="0.25">
      <c r="A42" s="133" t="s">
        <v>40</v>
      </c>
      <c r="B42" s="140" t="s">
        <v>798</v>
      </c>
      <c r="C42" s="140" t="s">
        <v>798</v>
      </c>
      <c r="D42" s="140" t="s">
        <v>798</v>
      </c>
      <c r="E42" s="145">
        <v>2011</v>
      </c>
      <c r="F42" s="131"/>
      <c r="G42" s="147">
        <v>36.870425939599997</v>
      </c>
      <c r="H42" s="147">
        <v>9.0750600000000006</v>
      </c>
      <c r="I42" s="147">
        <v>82.574700000000007</v>
      </c>
      <c r="J42" s="106">
        <v>2011</v>
      </c>
      <c r="K42" s="131"/>
      <c r="L42" s="134">
        <v>36.144578313253014</v>
      </c>
      <c r="M42" s="139" t="s">
        <v>154</v>
      </c>
      <c r="N42" s="139" t="s">
        <v>154</v>
      </c>
      <c r="O42" s="134">
        <v>2014</v>
      </c>
      <c r="P42" s="131"/>
      <c r="Q42" s="147">
        <v>41.546839475600002</v>
      </c>
      <c r="R42" s="147">
        <v>10.831189999999999</v>
      </c>
      <c r="S42" s="147">
        <v>90.748010000000008</v>
      </c>
      <c r="T42" s="106">
        <v>2011</v>
      </c>
      <c r="U42" s="131"/>
      <c r="V42" s="147">
        <v>9.0151302515999987</v>
      </c>
      <c r="W42" s="147">
        <v>3.9485000000000001</v>
      </c>
      <c r="X42" s="147">
        <v>12.863250000000001</v>
      </c>
      <c r="Y42" s="106">
        <v>2011</v>
      </c>
      <c r="Z42" s="131"/>
      <c r="AA42" s="147">
        <v>39.77458</v>
      </c>
      <c r="AB42" s="147">
        <v>46.249749999999999</v>
      </c>
      <c r="AC42" s="147">
        <v>33.094079999999998</v>
      </c>
      <c r="AD42" s="106">
        <v>2011</v>
      </c>
      <c r="AE42" s="131"/>
      <c r="AF42" s="147">
        <v>55.464512109800005</v>
      </c>
      <c r="AG42" s="147">
        <v>36.791869999999996</v>
      </c>
      <c r="AH42" s="147">
        <v>81.413600000000002</v>
      </c>
      <c r="AI42" s="106">
        <v>2011</v>
      </c>
      <c r="AJ42" s="131"/>
      <c r="AK42" s="147">
        <v>54.419839382199996</v>
      </c>
      <c r="AL42" s="147">
        <v>42.146899999999995</v>
      </c>
      <c r="AM42" s="147">
        <v>85.473109999999991</v>
      </c>
      <c r="AN42" s="106">
        <v>2011</v>
      </c>
      <c r="AO42" s="131"/>
    </row>
    <row r="43" spans="1:41" ht="15" x14ac:dyDescent="0.25">
      <c r="A43" s="133" t="s">
        <v>41</v>
      </c>
      <c r="B43" s="141">
        <v>67.185330390900006</v>
      </c>
      <c r="C43" s="141">
        <v>45.063920000000003</v>
      </c>
      <c r="D43" s="141">
        <v>82.671819999999997</v>
      </c>
      <c r="E43" s="145">
        <v>2009</v>
      </c>
      <c r="F43" s="131"/>
      <c r="G43" s="147">
        <v>70.415300130799992</v>
      </c>
      <c r="H43" s="147">
        <v>58.101430000000001</v>
      </c>
      <c r="I43" s="147">
        <v>85.304239999999993</v>
      </c>
      <c r="J43" s="106">
        <v>2009</v>
      </c>
      <c r="K43" s="131"/>
      <c r="L43" s="134">
        <v>52.96809539155656</v>
      </c>
      <c r="M43" s="139" t="s">
        <v>154</v>
      </c>
      <c r="N43" s="139" t="s">
        <v>154</v>
      </c>
      <c r="O43" s="134">
        <v>2014</v>
      </c>
      <c r="P43" s="131"/>
      <c r="Q43" s="147">
        <v>61.530894041100005</v>
      </c>
      <c r="R43" s="147">
        <v>34.606960000000001</v>
      </c>
      <c r="S43" s="147">
        <v>89.672809999999998</v>
      </c>
      <c r="T43" s="106">
        <v>2009</v>
      </c>
      <c r="U43" s="131"/>
      <c r="V43" s="147">
        <v>5.9201978146999998</v>
      </c>
      <c r="W43" s="147">
        <v>6.1088300000000002</v>
      </c>
      <c r="X43" s="147">
        <v>5.0678700000000001</v>
      </c>
      <c r="Y43" s="106">
        <v>2009</v>
      </c>
      <c r="Z43" s="131"/>
      <c r="AA43" s="147">
        <v>52.894269999999999</v>
      </c>
      <c r="AB43" s="147">
        <v>49.502749999999999</v>
      </c>
      <c r="AC43" s="147">
        <v>37.209699999999998</v>
      </c>
      <c r="AD43" s="106">
        <v>2009</v>
      </c>
      <c r="AE43" s="131"/>
      <c r="AF43" s="147">
        <v>84.037524461700002</v>
      </c>
      <c r="AG43" s="147">
        <v>73.186109999999999</v>
      </c>
      <c r="AH43" s="147">
        <v>88.322320000000005</v>
      </c>
      <c r="AI43" s="106">
        <v>2009</v>
      </c>
      <c r="AJ43" s="131"/>
      <c r="AK43" s="147">
        <v>65.539181232499999</v>
      </c>
      <c r="AL43" s="147">
        <v>57.918190000000003</v>
      </c>
      <c r="AM43" s="147" t="s">
        <v>798</v>
      </c>
      <c r="AN43" s="106">
        <v>2009</v>
      </c>
      <c r="AO43" s="131"/>
    </row>
    <row r="44" spans="1:41" ht="15" x14ac:dyDescent="0.25">
      <c r="A44" s="133" t="s">
        <v>42</v>
      </c>
      <c r="B44" s="141">
        <v>39.416200000000003</v>
      </c>
      <c r="C44" s="141">
        <v>27.769480000000001</v>
      </c>
      <c r="D44" s="141">
        <v>46.649190000000004</v>
      </c>
      <c r="E44" s="145">
        <v>2013</v>
      </c>
      <c r="F44" s="131"/>
      <c r="G44" s="147">
        <v>78.117440000000002</v>
      </c>
      <c r="H44" s="147">
        <v>66.37285</v>
      </c>
      <c r="I44" s="147">
        <v>86.828019999999995</v>
      </c>
      <c r="J44" s="106">
        <v>2013</v>
      </c>
      <c r="K44" s="131"/>
      <c r="L44" s="134">
        <v>69.420174741858617</v>
      </c>
      <c r="M44" s="139" t="s">
        <v>154</v>
      </c>
      <c r="N44" s="139" t="s">
        <v>154</v>
      </c>
      <c r="O44" s="134">
        <v>2014</v>
      </c>
      <c r="P44" s="131"/>
      <c r="Q44" s="147">
        <v>61.129460000000002</v>
      </c>
      <c r="R44" s="147">
        <v>43.176720000000003</v>
      </c>
      <c r="S44" s="147">
        <v>88.991929999999996</v>
      </c>
      <c r="T44" s="106">
        <v>2013</v>
      </c>
      <c r="U44" s="131"/>
      <c r="V44" s="147">
        <v>34.590159999999997</v>
      </c>
      <c r="W44" s="147">
        <v>28.771530000000002</v>
      </c>
      <c r="X44" s="147">
        <v>48.661910000000006</v>
      </c>
      <c r="Y44" s="106">
        <v>2013</v>
      </c>
      <c r="Z44" s="131"/>
      <c r="AA44" s="147" t="s">
        <v>798</v>
      </c>
      <c r="AB44" s="147" t="s">
        <v>798</v>
      </c>
      <c r="AC44" s="147" t="s">
        <v>798</v>
      </c>
      <c r="AD44" s="106">
        <v>2013</v>
      </c>
      <c r="AE44" s="131"/>
      <c r="AF44" s="147">
        <v>71.515419999999992</v>
      </c>
      <c r="AG44" s="147">
        <v>58.037579999999998</v>
      </c>
      <c r="AH44" s="147">
        <v>79.420320000000004</v>
      </c>
      <c r="AI44" s="106">
        <v>2013</v>
      </c>
      <c r="AJ44" s="131"/>
      <c r="AK44" s="147">
        <v>50.713529999999999</v>
      </c>
      <c r="AL44" s="147">
        <v>48.254249999999999</v>
      </c>
      <c r="AM44" s="147">
        <v>43.976649999999999</v>
      </c>
      <c r="AN44" s="106">
        <v>2013</v>
      </c>
      <c r="AO44" s="131"/>
    </row>
    <row r="45" spans="1:41" ht="15" x14ac:dyDescent="0.25">
      <c r="A45" s="133" t="s">
        <v>43</v>
      </c>
      <c r="B45" s="141">
        <v>67.916643619499993</v>
      </c>
      <c r="C45" s="141">
        <v>46.438740000000003</v>
      </c>
      <c r="D45" s="141">
        <v>77.847219999999993</v>
      </c>
      <c r="E45" s="145">
        <v>2008</v>
      </c>
      <c r="F45" s="131"/>
      <c r="G45" s="147">
        <v>49.349579214999999</v>
      </c>
      <c r="H45" s="147">
        <v>34.888869999999997</v>
      </c>
      <c r="I45" s="147">
        <v>75.387540000000001</v>
      </c>
      <c r="J45" s="106">
        <v>2008</v>
      </c>
      <c r="K45" s="131"/>
      <c r="L45" s="134">
        <v>2.7752909579230081</v>
      </c>
      <c r="M45" s="139" t="s">
        <v>154</v>
      </c>
      <c r="N45" s="139" t="s">
        <v>154</v>
      </c>
      <c r="O45" s="134">
        <v>2014</v>
      </c>
      <c r="P45" s="131"/>
      <c r="Q45" s="147">
        <v>43.911173939699999</v>
      </c>
      <c r="R45" s="147">
        <v>21.906839999999999</v>
      </c>
      <c r="S45" s="147">
        <v>90.023679999999999</v>
      </c>
      <c r="T45" s="106">
        <v>2008</v>
      </c>
      <c r="U45" s="131"/>
      <c r="V45" s="147" t="s">
        <v>798</v>
      </c>
      <c r="W45" s="147" t="s">
        <v>798</v>
      </c>
      <c r="X45" s="147" t="s">
        <v>798</v>
      </c>
      <c r="Y45" s="106">
        <v>2008</v>
      </c>
      <c r="Z45" s="131"/>
      <c r="AA45" s="147">
        <v>49.797190000000001</v>
      </c>
      <c r="AB45" s="147">
        <v>39.689259999999997</v>
      </c>
      <c r="AC45" s="147">
        <v>55.357210000000002</v>
      </c>
      <c r="AD45" s="106">
        <v>2008</v>
      </c>
      <c r="AE45" s="131"/>
      <c r="AF45" s="147">
        <v>73.105007409999999</v>
      </c>
      <c r="AG45" s="147">
        <v>53.612639999999999</v>
      </c>
      <c r="AH45" s="147">
        <v>92.717910000000003</v>
      </c>
      <c r="AI45" s="106">
        <v>2008</v>
      </c>
      <c r="AJ45" s="131"/>
      <c r="AK45" s="147">
        <v>42.013016343099999</v>
      </c>
      <c r="AL45" s="147">
        <v>32.524969999999996</v>
      </c>
      <c r="AM45" s="147">
        <v>68.015469999999993</v>
      </c>
      <c r="AN45" s="106">
        <v>2008</v>
      </c>
      <c r="AO45" s="131"/>
    </row>
    <row r="46" spans="1:41" ht="15" x14ac:dyDescent="0.25">
      <c r="A46" s="133" t="s">
        <v>44</v>
      </c>
      <c r="B46" s="141">
        <v>63.813394308100001</v>
      </c>
      <c r="C46" s="141">
        <v>56.556179999999998</v>
      </c>
      <c r="D46" s="141">
        <v>70.639079999999993</v>
      </c>
      <c r="E46" s="145">
        <v>2010</v>
      </c>
      <c r="F46" s="131"/>
      <c r="G46" s="147">
        <v>45.470276474999999</v>
      </c>
      <c r="H46" s="147">
        <v>40.622009999999996</v>
      </c>
      <c r="I46" s="147">
        <v>50.948649999999994</v>
      </c>
      <c r="J46" s="106">
        <v>2010</v>
      </c>
      <c r="K46" s="131"/>
      <c r="L46" s="134">
        <v>79.283997252747255</v>
      </c>
      <c r="M46" s="139" t="s">
        <v>154</v>
      </c>
      <c r="N46" s="139" t="s">
        <v>154</v>
      </c>
      <c r="O46" s="134">
        <v>2014</v>
      </c>
      <c r="P46" s="131"/>
      <c r="Q46" s="147">
        <v>71.327191591299993</v>
      </c>
      <c r="R46" s="147">
        <v>63.31494</v>
      </c>
      <c r="S46" s="147">
        <v>88.542330000000007</v>
      </c>
      <c r="T46" s="106">
        <v>2010</v>
      </c>
      <c r="U46" s="131"/>
      <c r="V46" s="147" t="s">
        <v>798</v>
      </c>
      <c r="W46" s="147" t="s">
        <v>798</v>
      </c>
      <c r="X46" s="147" t="s">
        <v>798</v>
      </c>
      <c r="Y46" s="106">
        <v>2010</v>
      </c>
      <c r="Z46" s="131"/>
      <c r="AA46" s="147">
        <v>70.76373000000001</v>
      </c>
      <c r="AB46" s="147">
        <v>65.449820000000003</v>
      </c>
      <c r="AC46" s="147">
        <v>71.666319999999999</v>
      </c>
      <c r="AD46" s="106">
        <v>2010</v>
      </c>
      <c r="AE46" s="131"/>
      <c r="AF46" s="147">
        <v>93.189299106600004</v>
      </c>
      <c r="AG46" s="147">
        <v>91.445679999999996</v>
      </c>
      <c r="AH46" s="147">
        <v>94.347160000000002</v>
      </c>
      <c r="AI46" s="106">
        <v>2010</v>
      </c>
      <c r="AJ46" s="131"/>
      <c r="AK46" s="147">
        <v>70.375651121100006</v>
      </c>
      <c r="AL46" s="147">
        <v>61.784520000000001</v>
      </c>
      <c r="AM46" s="147">
        <v>75.255039999999994</v>
      </c>
      <c r="AN46" s="106">
        <v>2010</v>
      </c>
      <c r="AO46" s="131"/>
    </row>
    <row r="47" spans="1:41" ht="15" x14ac:dyDescent="0.25">
      <c r="A47" s="133" t="s">
        <v>45</v>
      </c>
      <c r="B47" s="141">
        <v>28.460519999999999</v>
      </c>
      <c r="C47" s="141">
        <v>12.0947</v>
      </c>
      <c r="D47" s="141">
        <v>50.645690000000002</v>
      </c>
      <c r="E47" s="145">
        <v>2012</v>
      </c>
      <c r="F47" s="131"/>
      <c r="G47" s="147">
        <v>41.240139999999997</v>
      </c>
      <c r="H47" s="147">
        <v>24.307079999999999</v>
      </c>
      <c r="I47" s="147">
        <v>71.079440000000005</v>
      </c>
      <c r="J47" s="106">
        <v>2012</v>
      </c>
      <c r="K47" s="131"/>
      <c r="L47" s="134">
        <v>29.29777436684574</v>
      </c>
      <c r="M47" s="139" t="s">
        <v>154</v>
      </c>
      <c r="N47" s="139" t="s">
        <v>154</v>
      </c>
      <c r="O47" s="134">
        <v>2014</v>
      </c>
      <c r="P47" s="131"/>
      <c r="Q47" s="147">
        <v>58.647130000000004</v>
      </c>
      <c r="R47" s="147">
        <v>34.559339999999999</v>
      </c>
      <c r="S47" s="147">
        <v>94.189719999999994</v>
      </c>
      <c r="T47" s="106">
        <v>2012</v>
      </c>
      <c r="U47" s="131"/>
      <c r="V47" s="147">
        <v>15.61999</v>
      </c>
      <c r="W47" s="147">
        <v>10.57503</v>
      </c>
      <c r="X47" s="147">
        <v>21.072750000000003</v>
      </c>
      <c r="Y47" s="106">
        <v>2012</v>
      </c>
      <c r="Z47" s="131"/>
      <c r="AA47" s="147" t="s">
        <v>798</v>
      </c>
      <c r="AB47" s="147" t="s">
        <v>798</v>
      </c>
      <c r="AC47" s="147" t="s">
        <v>798</v>
      </c>
      <c r="AD47" s="106">
        <v>2012</v>
      </c>
      <c r="AE47" s="131"/>
      <c r="AF47" s="147">
        <v>63.681600000000003</v>
      </c>
      <c r="AG47" s="147">
        <v>48.587560000000003</v>
      </c>
      <c r="AH47" s="147">
        <v>77.565260000000009</v>
      </c>
      <c r="AI47" s="106">
        <v>2012</v>
      </c>
      <c r="AJ47" s="131"/>
      <c r="AK47" s="147">
        <v>26.685569999999998</v>
      </c>
      <c r="AL47" s="147">
        <v>18.415569999999999</v>
      </c>
      <c r="AM47" s="147">
        <v>40.363549999999996</v>
      </c>
      <c r="AN47" s="106">
        <v>2012</v>
      </c>
      <c r="AO47" s="131"/>
    </row>
    <row r="48" spans="1:41" ht="15" x14ac:dyDescent="0.25">
      <c r="A48" s="133" t="s">
        <v>46</v>
      </c>
      <c r="B48" s="141">
        <v>27.745658159300003</v>
      </c>
      <c r="C48" s="141">
        <v>7.1341799999999997</v>
      </c>
      <c r="D48" s="141">
        <v>42.191389999999998</v>
      </c>
      <c r="E48" s="145">
        <v>2007</v>
      </c>
      <c r="F48" s="131"/>
      <c r="G48" s="147" t="s">
        <v>798</v>
      </c>
      <c r="H48" s="147" t="s">
        <v>798</v>
      </c>
      <c r="I48" s="147" t="s">
        <v>798</v>
      </c>
      <c r="J48" s="106">
        <v>2007</v>
      </c>
      <c r="K48" s="131"/>
      <c r="L48" s="134"/>
      <c r="M48" s="139" t="s">
        <v>154</v>
      </c>
      <c r="N48" s="139" t="s">
        <v>154</v>
      </c>
      <c r="O48" s="134">
        <v>2014</v>
      </c>
      <c r="P48" s="131"/>
      <c r="Q48" s="147">
        <v>60.880106687500003</v>
      </c>
      <c r="R48" s="147">
        <v>20.515340000000002</v>
      </c>
      <c r="S48" s="147">
        <v>95.132280000000009</v>
      </c>
      <c r="T48" s="106">
        <v>2007</v>
      </c>
      <c r="U48" s="131"/>
      <c r="V48" s="147" t="s">
        <v>798</v>
      </c>
      <c r="W48" s="147" t="s">
        <v>798</v>
      </c>
      <c r="X48" s="147" t="s">
        <v>798</v>
      </c>
      <c r="Y48" s="106">
        <v>2007</v>
      </c>
      <c r="Z48" s="131"/>
      <c r="AA48" s="147">
        <v>11.489470000000001</v>
      </c>
      <c r="AB48" s="147">
        <v>15.23807</v>
      </c>
      <c r="AC48" s="147">
        <v>9.52379</v>
      </c>
      <c r="AD48" s="106">
        <v>2007</v>
      </c>
      <c r="AE48" s="131"/>
      <c r="AF48" s="147">
        <v>55.539417266799994</v>
      </c>
      <c r="AG48" s="147">
        <v>51.873959999999997</v>
      </c>
      <c r="AH48" s="147">
        <v>60.333510000000004</v>
      </c>
      <c r="AI48" s="106">
        <v>2007</v>
      </c>
      <c r="AJ48" s="131"/>
      <c r="AK48" s="147">
        <v>44.4661080837</v>
      </c>
      <c r="AL48" s="147">
        <v>32.689279999999997</v>
      </c>
      <c r="AM48" s="147">
        <v>63.512080000000005</v>
      </c>
      <c r="AN48" s="106">
        <v>2007</v>
      </c>
      <c r="AO48" s="131"/>
    </row>
    <row r="49" spans="1:41" ht="15" x14ac:dyDescent="0.25">
      <c r="A49" s="133" t="s">
        <v>47</v>
      </c>
      <c r="B49" s="140" t="s">
        <v>154</v>
      </c>
      <c r="C49" s="140" t="s">
        <v>154</v>
      </c>
      <c r="D49" s="140" t="s">
        <v>154</v>
      </c>
      <c r="E49" s="145"/>
      <c r="F49" s="131"/>
      <c r="G49" s="140" t="s">
        <v>154</v>
      </c>
      <c r="H49" s="140" t="s">
        <v>154</v>
      </c>
      <c r="I49" s="140" t="s">
        <v>154</v>
      </c>
      <c r="J49" s="106"/>
      <c r="K49" s="131"/>
      <c r="L49" s="134">
        <v>74.695534506089317</v>
      </c>
      <c r="M49" s="139" t="s">
        <v>154</v>
      </c>
      <c r="N49" s="139" t="s">
        <v>154</v>
      </c>
      <c r="O49" s="134">
        <v>2014</v>
      </c>
      <c r="P49" s="131"/>
      <c r="Q49" s="140" t="s">
        <v>154</v>
      </c>
      <c r="R49" s="140" t="s">
        <v>154</v>
      </c>
      <c r="S49" s="140" t="s">
        <v>154</v>
      </c>
      <c r="T49" s="145"/>
      <c r="U49" s="127"/>
      <c r="V49" s="140" t="s">
        <v>154</v>
      </c>
      <c r="W49" s="140" t="s">
        <v>154</v>
      </c>
      <c r="X49" s="140" t="s">
        <v>154</v>
      </c>
      <c r="Y49" s="106"/>
      <c r="Z49" s="127"/>
      <c r="AA49" s="140" t="s">
        <v>154</v>
      </c>
      <c r="AB49" s="140" t="s">
        <v>154</v>
      </c>
      <c r="AC49" s="140" t="s">
        <v>154</v>
      </c>
      <c r="AD49" s="145"/>
      <c r="AE49" s="127"/>
      <c r="AF49" s="140" t="s">
        <v>154</v>
      </c>
      <c r="AG49" s="140" t="s">
        <v>154</v>
      </c>
      <c r="AH49" s="140" t="s">
        <v>154</v>
      </c>
      <c r="AI49" s="145"/>
      <c r="AJ49" s="127"/>
      <c r="AK49" s="140" t="s">
        <v>154</v>
      </c>
      <c r="AL49" s="140" t="s">
        <v>154</v>
      </c>
      <c r="AM49" s="140" t="s">
        <v>154</v>
      </c>
      <c r="AN49" s="106"/>
      <c r="AO49" s="131"/>
    </row>
    <row r="50" spans="1:41" ht="15" x14ac:dyDescent="0.25">
      <c r="A50" s="133" t="s">
        <v>48</v>
      </c>
      <c r="B50" s="141">
        <v>86.6425096989</v>
      </c>
      <c r="C50" s="141">
        <v>84.474580000000003</v>
      </c>
      <c r="D50" s="141">
        <v>90.520759999999996</v>
      </c>
      <c r="E50" s="145">
        <v>2003</v>
      </c>
      <c r="F50" s="131"/>
      <c r="G50" s="147">
        <v>30.482101440400001</v>
      </c>
      <c r="H50" s="147">
        <v>10.5646</v>
      </c>
      <c r="I50" s="147">
        <v>60.354949999999995</v>
      </c>
      <c r="J50" s="106">
        <v>2003</v>
      </c>
      <c r="K50" s="131"/>
      <c r="L50" s="134">
        <v>39.393939393939391</v>
      </c>
      <c r="M50" s="139" t="s">
        <v>154</v>
      </c>
      <c r="N50" s="139" t="s">
        <v>154</v>
      </c>
      <c r="O50" s="134">
        <v>2014</v>
      </c>
      <c r="P50" s="131"/>
      <c r="Q50" s="147">
        <v>62.627685070000005</v>
      </c>
      <c r="R50" s="147">
        <v>29.446109999999997</v>
      </c>
      <c r="S50" s="147">
        <v>95.394949999999994</v>
      </c>
      <c r="T50" s="106">
        <v>2003</v>
      </c>
      <c r="U50" s="131"/>
      <c r="V50" s="147" t="s">
        <v>798</v>
      </c>
      <c r="W50" s="147" t="s">
        <v>798</v>
      </c>
      <c r="X50" s="147" t="s">
        <v>798</v>
      </c>
      <c r="Y50" s="106">
        <v>2003</v>
      </c>
      <c r="Z50" s="131"/>
      <c r="AA50" s="147">
        <v>30.991720000000001</v>
      </c>
      <c r="AB50" s="147">
        <v>37.26858</v>
      </c>
      <c r="AC50" s="147">
        <v>24.736549999999998</v>
      </c>
      <c r="AD50" s="106">
        <v>2003</v>
      </c>
      <c r="AE50" s="131"/>
      <c r="AF50" s="147">
        <v>94.918173551600006</v>
      </c>
      <c r="AG50" s="147">
        <v>89.360939999999999</v>
      </c>
      <c r="AH50" s="147">
        <v>98.158630000000002</v>
      </c>
      <c r="AI50" s="106">
        <v>2003</v>
      </c>
      <c r="AJ50" s="131"/>
      <c r="AK50" s="147">
        <v>37.767207622499996</v>
      </c>
      <c r="AL50" s="147">
        <v>19.18779</v>
      </c>
      <c r="AM50" s="147">
        <v>58.101800000000004</v>
      </c>
      <c r="AN50" s="106">
        <v>2003</v>
      </c>
      <c r="AO50" s="131"/>
    </row>
    <row r="51" spans="1:41" ht="15" x14ac:dyDescent="0.25">
      <c r="A51" s="133" t="s">
        <v>49</v>
      </c>
      <c r="B51" s="141">
        <v>32.745578885100002</v>
      </c>
      <c r="C51" s="141">
        <v>11.379350000000001</v>
      </c>
      <c r="D51" s="141">
        <v>52.537979999999997</v>
      </c>
      <c r="E51" s="145">
        <v>2011</v>
      </c>
      <c r="F51" s="131"/>
      <c r="G51" s="147">
        <v>50.641256570799996</v>
      </c>
      <c r="H51" s="147">
        <v>38.531120000000001</v>
      </c>
      <c r="I51" s="147">
        <v>66.731490000000008</v>
      </c>
      <c r="J51" s="106">
        <v>2011</v>
      </c>
      <c r="K51" s="131"/>
      <c r="L51" s="134">
        <v>83.664765633583357</v>
      </c>
      <c r="M51" s="139" t="s">
        <v>154</v>
      </c>
      <c r="N51" s="139" t="s">
        <v>154</v>
      </c>
      <c r="O51" s="134">
        <v>2014</v>
      </c>
      <c r="P51" s="131"/>
      <c r="Q51" s="147">
        <v>54.314702749300004</v>
      </c>
      <c r="R51" s="147">
        <v>31.463059999999999</v>
      </c>
      <c r="S51" s="147">
        <v>89.463819999999998</v>
      </c>
      <c r="T51" s="106">
        <v>2011</v>
      </c>
      <c r="U51" s="131"/>
      <c r="V51" s="147" t="s">
        <v>798</v>
      </c>
      <c r="W51" s="147" t="s">
        <v>798</v>
      </c>
      <c r="X51" s="147" t="s">
        <v>798</v>
      </c>
      <c r="Y51" s="106">
        <v>2011</v>
      </c>
      <c r="Z51" s="131"/>
      <c r="AA51" s="147">
        <v>41.101460000000003</v>
      </c>
      <c r="AB51" s="147">
        <v>32.375889999999998</v>
      </c>
      <c r="AC51" s="147">
        <v>45.368470000000002</v>
      </c>
      <c r="AD51" s="106">
        <v>2011</v>
      </c>
      <c r="AE51" s="131"/>
      <c r="AF51" s="147">
        <v>76.948601007499988</v>
      </c>
      <c r="AG51" s="147">
        <v>65.369</v>
      </c>
      <c r="AH51" s="147">
        <v>87.523309999999995</v>
      </c>
      <c r="AI51" s="106">
        <v>2011</v>
      </c>
      <c r="AJ51" s="131"/>
      <c r="AK51" s="147">
        <v>50.1969575882</v>
      </c>
      <c r="AL51" s="147">
        <v>44.137779999999999</v>
      </c>
      <c r="AM51" s="147">
        <v>66.777760000000001</v>
      </c>
      <c r="AN51" s="106">
        <v>2011</v>
      </c>
      <c r="AO51" s="131"/>
    </row>
    <row r="52" spans="1:41" ht="15" x14ac:dyDescent="0.25">
      <c r="A52" s="133" t="s">
        <v>50</v>
      </c>
      <c r="B52" s="140" t="s">
        <v>154</v>
      </c>
      <c r="C52" s="140" t="s">
        <v>154</v>
      </c>
      <c r="D52" s="140" t="s">
        <v>154</v>
      </c>
      <c r="E52" s="145"/>
      <c r="F52" s="131"/>
      <c r="G52" s="140" t="s">
        <v>154</v>
      </c>
      <c r="H52" s="140" t="s">
        <v>154</v>
      </c>
      <c r="I52" s="140" t="s">
        <v>154</v>
      </c>
      <c r="J52" s="106"/>
      <c r="K52" s="131"/>
      <c r="L52" s="134">
        <v>71.518544436668989</v>
      </c>
      <c r="M52" s="139" t="s">
        <v>154</v>
      </c>
      <c r="N52" s="139" t="s">
        <v>154</v>
      </c>
      <c r="O52" s="134">
        <v>2014</v>
      </c>
      <c r="P52" s="131"/>
      <c r="Q52" s="140" t="s">
        <v>154</v>
      </c>
      <c r="R52" s="140" t="s">
        <v>154</v>
      </c>
      <c r="S52" s="140" t="s">
        <v>154</v>
      </c>
      <c r="T52" s="145"/>
      <c r="U52" s="127"/>
      <c r="V52" s="140" t="s">
        <v>154</v>
      </c>
      <c r="W52" s="140" t="s">
        <v>154</v>
      </c>
      <c r="X52" s="140" t="s">
        <v>154</v>
      </c>
      <c r="Y52" s="106"/>
      <c r="Z52" s="127"/>
      <c r="AA52" s="140" t="s">
        <v>154</v>
      </c>
      <c r="AB52" s="140" t="s">
        <v>154</v>
      </c>
      <c r="AC52" s="140" t="s">
        <v>154</v>
      </c>
      <c r="AD52" s="145"/>
      <c r="AE52" s="127"/>
      <c r="AF52" s="140" t="s">
        <v>154</v>
      </c>
      <c r="AG52" s="140" t="s">
        <v>154</v>
      </c>
      <c r="AH52" s="140" t="s">
        <v>154</v>
      </c>
      <c r="AI52" s="145"/>
      <c r="AJ52" s="127"/>
      <c r="AK52" s="140" t="s">
        <v>154</v>
      </c>
      <c r="AL52" s="140" t="s">
        <v>154</v>
      </c>
      <c r="AM52" s="140" t="s">
        <v>154</v>
      </c>
      <c r="AN52" s="106"/>
      <c r="AO52" s="131"/>
    </row>
    <row r="53" spans="1:41" ht="15" x14ac:dyDescent="0.25">
      <c r="A53" s="133" t="s">
        <v>51</v>
      </c>
      <c r="B53" s="141">
        <v>64.338427782099998</v>
      </c>
      <c r="C53" s="141">
        <v>55.864780000000003</v>
      </c>
      <c r="D53" s="141">
        <v>72.695840000000004</v>
      </c>
      <c r="E53" s="145">
        <v>2011</v>
      </c>
      <c r="F53" s="131"/>
      <c r="G53" s="147">
        <v>50.089204311400003</v>
      </c>
      <c r="H53" s="147">
        <v>28.258230000000001</v>
      </c>
      <c r="I53" s="147">
        <v>83.692809999999994</v>
      </c>
      <c r="J53" s="106">
        <v>2011</v>
      </c>
      <c r="K53" s="131"/>
      <c r="L53" s="134">
        <v>27.149321266968325</v>
      </c>
      <c r="M53" s="139" t="s">
        <v>154</v>
      </c>
      <c r="N53" s="139" t="s">
        <v>154</v>
      </c>
      <c r="O53" s="134">
        <v>2014</v>
      </c>
      <c r="P53" s="131"/>
      <c r="Q53" s="147">
        <v>36.047115922000003</v>
      </c>
      <c r="R53" s="147">
        <v>10.70045</v>
      </c>
      <c r="S53" s="147">
        <v>81.537040000000005</v>
      </c>
      <c r="T53" s="106">
        <v>2011</v>
      </c>
      <c r="U53" s="131"/>
      <c r="V53" s="147">
        <v>30.073466896999999</v>
      </c>
      <c r="W53" s="147">
        <v>11.47716</v>
      </c>
      <c r="X53" s="147">
        <v>56.069539999999996</v>
      </c>
      <c r="Y53" s="106">
        <v>2011</v>
      </c>
      <c r="Z53" s="131"/>
      <c r="AA53" s="147">
        <v>69.64858000000001</v>
      </c>
      <c r="AB53" s="147">
        <v>74.034000000000006</v>
      </c>
      <c r="AC53" s="147">
        <v>44.174770000000002</v>
      </c>
      <c r="AD53" s="106">
        <v>2011</v>
      </c>
      <c r="AE53" s="131"/>
      <c r="AF53" s="147">
        <v>91.839641332599996</v>
      </c>
      <c r="AG53" s="147">
        <v>88.096509999999995</v>
      </c>
      <c r="AH53" s="147">
        <v>98.356960000000001</v>
      </c>
      <c r="AI53" s="106">
        <v>2011</v>
      </c>
      <c r="AJ53" s="131"/>
      <c r="AK53" s="147">
        <v>49.498021602599998</v>
      </c>
      <c r="AL53" s="147">
        <v>34.928629999999998</v>
      </c>
      <c r="AM53" s="147">
        <v>74.963470000000001</v>
      </c>
      <c r="AN53" s="106">
        <v>2011</v>
      </c>
      <c r="AO53" s="131"/>
    </row>
    <row r="54" spans="1:41" ht="15" x14ac:dyDescent="0.25">
      <c r="A54" s="133" t="s">
        <v>52</v>
      </c>
      <c r="B54" s="141">
        <v>46.474456787099996</v>
      </c>
      <c r="C54" s="141">
        <v>35.830260000000003</v>
      </c>
      <c r="D54" s="141">
        <v>61.902670000000001</v>
      </c>
      <c r="E54" s="145">
        <v>2012</v>
      </c>
      <c r="F54" s="131"/>
      <c r="G54" s="149">
        <v>32.778444886199999</v>
      </c>
      <c r="H54" s="149">
        <v>24.272970000000001</v>
      </c>
      <c r="I54" s="149">
        <v>46.623649999999998</v>
      </c>
      <c r="J54" s="145">
        <v>2012</v>
      </c>
      <c r="K54" s="131"/>
      <c r="L54" s="134">
        <v>52.672064777327932</v>
      </c>
      <c r="M54" s="139" t="s">
        <v>154</v>
      </c>
      <c r="N54" s="139" t="s">
        <v>154</v>
      </c>
      <c r="O54" s="134">
        <v>2014</v>
      </c>
      <c r="P54" s="131"/>
      <c r="Q54" s="149">
        <v>29.297590255700001</v>
      </c>
      <c r="R54" s="149">
        <v>11.838849999999999</v>
      </c>
      <c r="S54" s="149">
        <v>70.998530000000002</v>
      </c>
      <c r="T54" s="145">
        <v>2012</v>
      </c>
      <c r="U54" s="131"/>
      <c r="V54" s="149">
        <v>12.9703447223</v>
      </c>
      <c r="W54" s="149">
        <v>9.3833799999999989</v>
      </c>
      <c r="X54" s="149">
        <v>21.37077</v>
      </c>
      <c r="Y54" s="145">
        <v>2012</v>
      </c>
      <c r="Z54" s="131"/>
      <c r="AA54" s="149">
        <v>23.253160000000001</v>
      </c>
      <c r="AB54" s="149">
        <v>25.151800000000001</v>
      </c>
      <c r="AC54" s="149">
        <v>29.495490000000004</v>
      </c>
      <c r="AD54" s="145">
        <v>2012</v>
      </c>
      <c r="AE54" s="131"/>
      <c r="AF54" s="149">
        <v>68.531835079199993</v>
      </c>
      <c r="AG54" s="149">
        <v>53.27843</v>
      </c>
      <c r="AH54" s="149">
        <v>84.35972000000001</v>
      </c>
      <c r="AI54" s="145">
        <v>2012</v>
      </c>
      <c r="AJ54" s="131"/>
      <c r="AK54" s="149">
        <v>53.195607662199997</v>
      </c>
      <c r="AL54" s="149">
        <v>46.491819999999997</v>
      </c>
      <c r="AM54" s="149">
        <v>71.783580000000001</v>
      </c>
      <c r="AN54" s="145">
        <v>2012</v>
      </c>
      <c r="AO54" s="131"/>
    </row>
    <row r="55" spans="1:41" ht="15" x14ac:dyDescent="0.25">
      <c r="A55" s="133" t="s">
        <v>53</v>
      </c>
      <c r="B55" s="141">
        <v>48.481679999999997</v>
      </c>
      <c r="C55" s="141">
        <v>10.411579999999999</v>
      </c>
      <c r="D55" s="141">
        <v>73.90706999999999</v>
      </c>
      <c r="E55" s="145">
        <v>2013</v>
      </c>
      <c r="F55" s="131"/>
      <c r="G55" s="149">
        <v>51.092449999999999</v>
      </c>
      <c r="H55" s="149">
        <v>17.964869999999998</v>
      </c>
      <c r="I55" s="149">
        <v>85.573399999999992</v>
      </c>
      <c r="J55" s="145">
        <v>2013</v>
      </c>
      <c r="K55" s="131"/>
      <c r="L55" s="134">
        <v>27.243684645233678</v>
      </c>
      <c r="M55" s="139" t="s">
        <v>154</v>
      </c>
      <c r="N55" s="139" t="s">
        <v>154</v>
      </c>
      <c r="O55" s="134">
        <v>2014</v>
      </c>
      <c r="P55" s="131"/>
      <c r="Q55" s="149">
        <v>38.145849999999996</v>
      </c>
      <c r="R55" s="149">
        <v>5.6595399999999998</v>
      </c>
      <c r="S55" s="149">
        <v>85.325059999999993</v>
      </c>
      <c r="T55" s="145">
        <v>2013</v>
      </c>
      <c r="U55" s="131"/>
      <c r="V55" s="149">
        <v>14.081360000000002</v>
      </c>
      <c r="W55" s="149">
        <v>3.0893799999999998</v>
      </c>
      <c r="X55" s="149">
        <v>33.930390000000003</v>
      </c>
      <c r="Y55" s="145">
        <v>2013</v>
      </c>
      <c r="Z55" s="131"/>
      <c r="AA55" s="149" t="s">
        <v>798</v>
      </c>
      <c r="AB55" s="149" t="s">
        <v>798</v>
      </c>
      <c r="AC55" s="149" t="s">
        <v>798</v>
      </c>
      <c r="AD55" s="145">
        <v>2013</v>
      </c>
      <c r="AE55" s="131"/>
      <c r="AF55" s="149">
        <v>38.50712</v>
      </c>
      <c r="AG55" s="149">
        <v>7.3596999999999992</v>
      </c>
      <c r="AH55" s="149">
        <v>79.613860000000003</v>
      </c>
      <c r="AI55" s="145">
        <v>2013</v>
      </c>
      <c r="AJ55" s="131"/>
      <c r="AK55" s="149">
        <v>34.487319999999997</v>
      </c>
      <c r="AL55" s="149">
        <v>26.84685</v>
      </c>
      <c r="AM55" s="149">
        <v>63.732730000000004</v>
      </c>
      <c r="AN55" s="145">
        <v>2013</v>
      </c>
      <c r="AO55" s="131"/>
    </row>
    <row r="56" spans="1:41" ht="15" x14ac:dyDescent="0.25">
      <c r="A56" s="133" t="s">
        <v>54</v>
      </c>
      <c r="B56" s="141">
        <v>63.807362318000003</v>
      </c>
      <c r="C56" s="141">
        <v>45.879860000000001</v>
      </c>
      <c r="D56" s="141">
        <v>74.990570000000005</v>
      </c>
      <c r="E56" s="145">
        <v>2012</v>
      </c>
      <c r="F56" s="131"/>
      <c r="G56" s="149">
        <v>36.563587188699998</v>
      </c>
      <c r="H56" s="149">
        <v>12.918389999999999</v>
      </c>
      <c r="I56" s="149">
        <v>77.44413999999999</v>
      </c>
      <c r="J56" s="145">
        <v>2012</v>
      </c>
      <c r="K56" s="131"/>
      <c r="L56" s="134">
        <v>8.5889570552147241</v>
      </c>
      <c r="M56" s="139" t="s">
        <v>154</v>
      </c>
      <c r="N56" s="139" t="s">
        <v>154</v>
      </c>
      <c r="O56" s="134">
        <v>2014</v>
      </c>
      <c r="P56" s="131"/>
      <c r="Q56" s="149">
        <v>52.121549844699999</v>
      </c>
      <c r="R56" s="149">
        <v>29.775510000000001</v>
      </c>
      <c r="S56" s="149">
        <v>85.202100000000002</v>
      </c>
      <c r="T56" s="145">
        <v>2012</v>
      </c>
      <c r="U56" s="131"/>
      <c r="V56" s="149">
        <v>42.888787388799997</v>
      </c>
      <c r="W56" s="149">
        <v>26.679599999999997</v>
      </c>
      <c r="X56" s="149">
        <v>59.199199999999998</v>
      </c>
      <c r="Y56" s="145">
        <v>2012</v>
      </c>
      <c r="Z56" s="131"/>
      <c r="AA56" s="149">
        <v>37.763559999999998</v>
      </c>
      <c r="AB56" s="149">
        <v>34.68918</v>
      </c>
      <c r="AC56" s="149">
        <v>37.66704</v>
      </c>
      <c r="AD56" s="145">
        <v>2012</v>
      </c>
      <c r="AE56" s="131"/>
      <c r="AF56" s="149">
        <v>65.293407440199999</v>
      </c>
      <c r="AG56" s="149">
        <v>29.871360000000003</v>
      </c>
      <c r="AH56" s="149">
        <v>87.982970000000009</v>
      </c>
      <c r="AI56" s="145">
        <v>2012</v>
      </c>
      <c r="AJ56" s="131"/>
      <c r="AK56" s="149">
        <v>81.467872858000007</v>
      </c>
      <c r="AL56" s="149">
        <v>79.581179999999989</v>
      </c>
      <c r="AM56" s="149">
        <v>87.035209999999992</v>
      </c>
      <c r="AN56" s="145">
        <v>2012</v>
      </c>
      <c r="AO56" s="131"/>
    </row>
    <row r="57" spans="1:41" ht="15" x14ac:dyDescent="0.25">
      <c r="A57" s="133" t="s">
        <v>55</v>
      </c>
      <c r="B57" s="140" t="s">
        <v>154</v>
      </c>
      <c r="C57" s="140" t="s">
        <v>154</v>
      </c>
      <c r="D57" s="140" t="s">
        <v>154</v>
      </c>
      <c r="E57" s="145"/>
      <c r="F57" s="131"/>
      <c r="G57" s="140" t="s">
        <v>154</v>
      </c>
      <c r="H57" s="140" t="s">
        <v>154</v>
      </c>
      <c r="I57" s="140" t="s">
        <v>154</v>
      </c>
      <c r="J57" s="145"/>
      <c r="K57" s="131"/>
      <c r="L57" s="134">
        <v>40.822179732313572</v>
      </c>
      <c r="M57" s="139" t="s">
        <v>154</v>
      </c>
      <c r="N57" s="139" t="s">
        <v>154</v>
      </c>
      <c r="O57" s="134">
        <v>2014</v>
      </c>
      <c r="P57" s="131"/>
      <c r="Q57" s="140" t="s">
        <v>154</v>
      </c>
      <c r="R57" s="140" t="s">
        <v>154</v>
      </c>
      <c r="S57" s="140" t="s">
        <v>154</v>
      </c>
      <c r="T57" s="145"/>
      <c r="U57" s="127"/>
      <c r="V57" s="140" t="s">
        <v>154</v>
      </c>
      <c r="W57" s="140" t="s">
        <v>154</v>
      </c>
      <c r="X57" s="140" t="s">
        <v>154</v>
      </c>
      <c r="Y57" s="106"/>
      <c r="Z57" s="127"/>
      <c r="AA57" s="140" t="s">
        <v>154</v>
      </c>
      <c r="AB57" s="140" t="s">
        <v>154</v>
      </c>
      <c r="AC57" s="140" t="s">
        <v>154</v>
      </c>
      <c r="AD57" s="145"/>
      <c r="AE57" s="127"/>
      <c r="AF57" s="140" t="s">
        <v>154</v>
      </c>
      <c r="AG57" s="140" t="s">
        <v>154</v>
      </c>
      <c r="AH57" s="140" t="s">
        <v>154</v>
      </c>
      <c r="AI57" s="145"/>
      <c r="AJ57" s="127"/>
      <c r="AK57" s="140" t="s">
        <v>154</v>
      </c>
      <c r="AL57" s="140" t="s">
        <v>154</v>
      </c>
      <c r="AM57" s="140" t="s">
        <v>154</v>
      </c>
      <c r="AN57" s="145"/>
      <c r="AO57" s="131"/>
    </row>
    <row r="58" spans="1:41" ht="15" x14ac:dyDescent="0.25">
      <c r="A58" s="133" t="s">
        <v>56</v>
      </c>
      <c r="B58" s="141">
        <v>90.27288556100001</v>
      </c>
      <c r="C58" s="141">
        <v>86.816420000000008</v>
      </c>
      <c r="D58" s="141">
        <v>91.596900000000005</v>
      </c>
      <c r="E58" s="145">
        <v>2012</v>
      </c>
      <c r="F58" s="131"/>
      <c r="G58" s="149">
        <v>94.37562227250001</v>
      </c>
      <c r="H58" s="149">
        <v>88.606380000000001</v>
      </c>
      <c r="I58" s="149">
        <v>99.240650000000002</v>
      </c>
      <c r="J58" s="145">
        <v>2012</v>
      </c>
      <c r="K58" s="131"/>
      <c r="L58" s="134">
        <v>70.142180094786738</v>
      </c>
      <c r="M58" s="139" t="s">
        <v>154</v>
      </c>
      <c r="N58" s="139" t="s">
        <v>154</v>
      </c>
      <c r="O58" s="134">
        <v>2014</v>
      </c>
      <c r="P58" s="131"/>
      <c r="Q58" s="149">
        <v>86.732286214799998</v>
      </c>
      <c r="R58" s="149">
        <v>60.536840000000005</v>
      </c>
      <c r="S58" s="149">
        <v>99.318719999999999</v>
      </c>
      <c r="T58" s="145">
        <v>2012</v>
      </c>
      <c r="U58" s="131"/>
      <c r="V58" s="149">
        <v>92.323487997099988</v>
      </c>
      <c r="W58" s="149">
        <v>80.425550000000001</v>
      </c>
      <c r="X58" s="149">
        <v>96.935580000000002</v>
      </c>
      <c r="Y58" s="145">
        <v>2012</v>
      </c>
      <c r="Z58" s="131"/>
      <c r="AA58" s="149" t="s">
        <v>798</v>
      </c>
      <c r="AB58" s="149" t="s">
        <v>798</v>
      </c>
      <c r="AC58" s="149" t="s">
        <v>798</v>
      </c>
      <c r="AD58" s="145">
        <v>2012</v>
      </c>
      <c r="AE58" s="131"/>
      <c r="AF58" s="149">
        <v>83.697831630700009</v>
      </c>
      <c r="AG58" s="149">
        <v>83.435940000000002</v>
      </c>
      <c r="AH58" s="149">
        <v>88.551400000000001</v>
      </c>
      <c r="AI58" s="145">
        <v>2012</v>
      </c>
      <c r="AJ58" s="131"/>
      <c r="AK58" s="149">
        <v>67.167371511499994</v>
      </c>
      <c r="AL58" s="149">
        <v>64.342479999999995</v>
      </c>
      <c r="AM58" s="149">
        <v>68.431030000000007</v>
      </c>
      <c r="AN58" s="145">
        <v>2012</v>
      </c>
      <c r="AO58" s="131"/>
    </row>
    <row r="59" spans="1:41" ht="15" x14ac:dyDescent="0.25">
      <c r="A59" s="133" t="s">
        <v>57</v>
      </c>
      <c r="B59" s="141">
        <v>75.899510000000006</v>
      </c>
      <c r="C59" s="141">
        <v>70.107849999999999</v>
      </c>
      <c r="D59" s="141">
        <v>73.740629999999996</v>
      </c>
      <c r="E59" s="145">
        <v>2013</v>
      </c>
      <c r="F59" s="131"/>
      <c r="G59" s="149">
        <v>84.316850000000002</v>
      </c>
      <c r="H59" s="149">
        <v>71.235689999999991</v>
      </c>
      <c r="I59" s="149">
        <v>95.046229999999994</v>
      </c>
      <c r="J59" s="145">
        <v>2013</v>
      </c>
      <c r="K59" s="131"/>
      <c r="L59" s="134"/>
      <c r="M59" s="139" t="s">
        <v>154</v>
      </c>
      <c r="N59" s="139" t="s">
        <v>154</v>
      </c>
      <c r="O59" s="134">
        <v>2014</v>
      </c>
      <c r="P59" s="131"/>
      <c r="Q59" s="149">
        <v>72.752130000000008</v>
      </c>
      <c r="R59" s="149">
        <v>42.167650000000002</v>
      </c>
      <c r="S59" s="149">
        <v>96.223510000000005</v>
      </c>
      <c r="T59" s="145">
        <v>2013</v>
      </c>
      <c r="U59" s="131"/>
      <c r="V59" s="149">
        <v>52.827729999999995</v>
      </c>
      <c r="W59" s="149">
        <v>48.408630000000002</v>
      </c>
      <c r="X59" s="149">
        <v>56.642539999999997</v>
      </c>
      <c r="Y59" s="145">
        <v>2013</v>
      </c>
      <c r="Z59" s="131"/>
      <c r="AA59" s="149" t="s">
        <v>798</v>
      </c>
      <c r="AB59" s="149" t="s">
        <v>798</v>
      </c>
      <c r="AC59" s="149" t="s">
        <v>798</v>
      </c>
      <c r="AD59" s="145">
        <v>2013</v>
      </c>
      <c r="AE59" s="131"/>
      <c r="AF59" s="149">
        <v>86.211960000000005</v>
      </c>
      <c r="AG59" s="149">
        <v>78.528059999999996</v>
      </c>
      <c r="AH59" s="149">
        <v>92.995069999999998</v>
      </c>
      <c r="AI59" s="145">
        <v>2013</v>
      </c>
      <c r="AJ59" s="131"/>
      <c r="AK59" s="149">
        <v>63.780610000000003</v>
      </c>
      <c r="AL59" s="149">
        <v>56.187909999999995</v>
      </c>
      <c r="AM59" s="149">
        <v>82.755129999999994</v>
      </c>
      <c r="AN59" s="145">
        <v>2013</v>
      </c>
      <c r="AO59" s="131"/>
    </row>
    <row r="60" spans="1:41" ht="15" x14ac:dyDescent="0.25">
      <c r="A60" s="133" t="s">
        <v>58</v>
      </c>
      <c r="B60" s="141">
        <v>71.263927221300008</v>
      </c>
      <c r="C60" s="141">
        <v>62.464699999999993</v>
      </c>
      <c r="D60" s="141">
        <v>77.655519999999996</v>
      </c>
      <c r="E60" s="145">
        <v>2010</v>
      </c>
      <c r="F60" s="131"/>
      <c r="G60" s="147">
        <v>35.418498516100001</v>
      </c>
      <c r="H60" s="147">
        <v>34.133569999999999</v>
      </c>
      <c r="I60" s="147">
        <v>42.499249999999996</v>
      </c>
      <c r="J60" s="106">
        <v>2010</v>
      </c>
      <c r="K60" s="131"/>
      <c r="L60" s="134"/>
      <c r="M60" s="139" t="s">
        <v>154</v>
      </c>
      <c r="N60" s="139" t="s">
        <v>154</v>
      </c>
      <c r="O60" s="134">
        <v>2014</v>
      </c>
      <c r="P60" s="131"/>
      <c r="Q60" s="147">
        <v>69.024097919500008</v>
      </c>
      <c r="R60" s="147">
        <v>61.215440000000001</v>
      </c>
      <c r="S60" s="147">
        <v>85.860559999999992</v>
      </c>
      <c r="T60" s="106">
        <v>2010</v>
      </c>
      <c r="U60" s="131"/>
      <c r="V60" s="147">
        <v>4.7073900699999998</v>
      </c>
      <c r="W60" s="147">
        <v>3.4640700000000004</v>
      </c>
      <c r="X60" s="147">
        <v>7.6352500000000001</v>
      </c>
      <c r="Y60" s="106">
        <v>2010</v>
      </c>
      <c r="Z60" s="131"/>
      <c r="AA60" s="147">
        <v>83.845659999999995</v>
      </c>
      <c r="AB60" s="147">
        <v>85.403840000000002</v>
      </c>
      <c r="AC60" s="147">
        <v>80.293329999999997</v>
      </c>
      <c r="AD60" s="106">
        <v>2010</v>
      </c>
      <c r="AE60" s="131"/>
      <c r="AF60" s="147">
        <v>96.940714120899997</v>
      </c>
      <c r="AG60" s="147">
        <v>96.12079</v>
      </c>
      <c r="AH60" s="147">
        <v>98.703450000000004</v>
      </c>
      <c r="AI60" s="106">
        <v>2010</v>
      </c>
      <c r="AJ60" s="131"/>
      <c r="AK60" s="147">
        <v>50.236505269999995</v>
      </c>
      <c r="AL60" s="147">
        <v>40.270800000000001</v>
      </c>
      <c r="AM60" s="147">
        <v>74.833939999999998</v>
      </c>
      <c r="AN60" s="106">
        <v>2010</v>
      </c>
      <c r="AO60" s="131"/>
    </row>
    <row r="61" spans="1:41" ht="15" x14ac:dyDescent="0.25">
      <c r="A61" s="133" t="s">
        <v>59</v>
      </c>
      <c r="B61" s="141">
        <v>50.809866189999994</v>
      </c>
      <c r="C61" s="141">
        <v>45.002290000000002</v>
      </c>
      <c r="D61" s="141">
        <v>57.947420000000008</v>
      </c>
      <c r="E61" s="145">
        <v>2008</v>
      </c>
      <c r="F61" s="131"/>
      <c r="G61" s="147">
        <v>72.382134199099994</v>
      </c>
      <c r="H61" s="147">
        <v>57.733150000000002</v>
      </c>
      <c r="I61" s="147">
        <v>90.688109999999995</v>
      </c>
      <c r="J61" s="106">
        <v>2008</v>
      </c>
      <c r="K61" s="131"/>
      <c r="L61" s="134">
        <v>41.891891891891895</v>
      </c>
      <c r="M61" s="139" t="s">
        <v>154</v>
      </c>
      <c r="N61" s="139" t="s">
        <v>154</v>
      </c>
      <c r="O61" s="134">
        <v>2014</v>
      </c>
      <c r="P61" s="131"/>
      <c r="Q61" s="147">
        <v>81.705266237299995</v>
      </c>
      <c r="R61" s="147">
        <v>73.594449999999995</v>
      </c>
      <c r="S61" s="147">
        <v>92.859570000000005</v>
      </c>
      <c r="T61" s="106">
        <v>2008</v>
      </c>
      <c r="U61" s="131"/>
      <c r="V61" s="147" t="s">
        <v>798</v>
      </c>
      <c r="W61" s="147" t="s">
        <v>798</v>
      </c>
      <c r="X61" s="147" t="s">
        <v>798</v>
      </c>
      <c r="Y61" s="106">
        <v>2008</v>
      </c>
      <c r="Z61" s="131"/>
      <c r="AA61" s="147">
        <v>50.273949999999999</v>
      </c>
      <c r="AB61" s="147">
        <v>33.136339999999997</v>
      </c>
      <c r="AC61" s="147">
        <v>66.469029999999989</v>
      </c>
      <c r="AD61" s="106">
        <v>2008</v>
      </c>
      <c r="AE61" s="131"/>
      <c r="AF61" s="147">
        <v>87.4335050583</v>
      </c>
      <c r="AG61" s="147">
        <v>86.48124</v>
      </c>
      <c r="AH61" s="147">
        <v>90.968469999999996</v>
      </c>
      <c r="AI61" s="106">
        <v>2008</v>
      </c>
      <c r="AJ61" s="131"/>
      <c r="AK61" s="147">
        <v>74.732124805500007</v>
      </c>
      <c r="AL61" s="147">
        <v>86.221000000000004</v>
      </c>
      <c r="AM61" s="147" t="s">
        <v>798</v>
      </c>
      <c r="AN61" s="106">
        <v>2008</v>
      </c>
      <c r="AO61" s="131"/>
    </row>
    <row r="62" spans="1:41" ht="15" x14ac:dyDescent="0.25">
      <c r="A62" s="133" t="s">
        <v>60</v>
      </c>
      <c r="B62" s="141">
        <v>37.914580000000001</v>
      </c>
      <c r="C62" s="141">
        <v>18.602369999999997</v>
      </c>
      <c r="D62" s="141">
        <v>56.10501</v>
      </c>
      <c r="E62" s="145">
        <v>2012</v>
      </c>
      <c r="F62" s="131"/>
      <c r="G62" s="147">
        <v>46.474179999999997</v>
      </c>
      <c r="H62" s="147">
        <v>24.49757</v>
      </c>
      <c r="I62" s="147">
        <v>66.525700000000001</v>
      </c>
      <c r="J62" s="106">
        <v>2012</v>
      </c>
      <c r="K62" s="131"/>
      <c r="L62" s="134">
        <v>62.40327719617661</v>
      </c>
      <c r="M62" s="139" t="s">
        <v>154</v>
      </c>
      <c r="N62" s="139" t="s">
        <v>154</v>
      </c>
      <c r="O62" s="134">
        <v>2014</v>
      </c>
      <c r="P62" s="131"/>
      <c r="Q62" s="147">
        <v>50.506989999999995</v>
      </c>
      <c r="R62" s="147">
        <v>19.949570000000001</v>
      </c>
      <c r="S62" s="147">
        <v>85.49660999999999</v>
      </c>
      <c r="T62" s="106">
        <v>2012</v>
      </c>
      <c r="U62" s="131"/>
      <c r="V62" s="147">
        <v>45.239469999999997</v>
      </c>
      <c r="W62" s="147">
        <v>29.188469999999999</v>
      </c>
      <c r="X62" s="147">
        <v>52.470680000000002</v>
      </c>
      <c r="Y62" s="106">
        <v>2012</v>
      </c>
      <c r="Z62" s="131"/>
      <c r="AA62" s="147" t="s">
        <v>798</v>
      </c>
      <c r="AB62" s="147" t="s">
        <v>798</v>
      </c>
      <c r="AC62" s="147" t="s">
        <v>798</v>
      </c>
      <c r="AD62" s="106">
        <v>2012</v>
      </c>
      <c r="AE62" s="131"/>
      <c r="AF62" s="147">
        <v>88.766040000000004</v>
      </c>
      <c r="AG62" s="147">
        <v>80.186610000000002</v>
      </c>
      <c r="AH62" s="147">
        <v>94.556520000000006</v>
      </c>
      <c r="AI62" s="106">
        <v>2012</v>
      </c>
      <c r="AJ62" s="131"/>
      <c r="AK62" s="147">
        <v>53.048769999999998</v>
      </c>
      <c r="AL62" s="147">
        <v>37.040230000000001</v>
      </c>
      <c r="AM62" s="147">
        <v>64.242040000000003</v>
      </c>
      <c r="AN62" s="106">
        <v>2012</v>
      </c>
      <c r="AO62" s="131"/>
    </row>
    <row r="63" spans="1:41" ht="15" x14ac:dyDescent="0.25">
      <c r="A63" s="133" t="s">
        <v>61</v>
      </c>
      <c r="B63" s="141">
        <v>39.953949999999999</v>
      </c>
      <c r="C63" s="141">
        <v>34.449770000000001</v>
      </c>
      <c r="D63" s="141">
        <v>52.951729999999998</v>
      </c>
      <c r="E63" s="145">
        <v>2013</v>
      </c>
      <c r="F63" s="131"/>
      <c r="G63" s="147">
        <v>76.018860000000004</v>
      </c>
      <c r="H63" s="147">
        <v>73.927729999999997</v>
      </c>
      <c r="I63" s="147">
        <v>80.212510000000009</v>
      </c>
      <c r="J63" s="106">
        <v>2013</v>
      </c>
      <c r="K63" s="131"/>
      <c r="L63" s="134">
        <v>92.588762495691142</v>
      </c>
      <c r="M63" s="139" t="s">
        <v>154</v>
      </c>
      <c r="N63" s="139" t="s">
        <v>154</v>
      </c>
      <c r="O63" s="134">
        <v>2014</v>
      </c>
      <c r="P63" s="131"/>
      <c r="Q63" s="147">
        <v>59.711530000000003</v>
      </c>
      <c r="R63" s="147">
        <v>50.88402</v>
      </c>
      <c r="S63" s="147">
        <v>83.740780000000001</v>
      </c>
      <c r="T63" s="106">
        <v>2013</v>
      </c>
      <c r="U63" s="131"/>
      <c r="V63" s="147">
        <v>39.068869999999997</v>
      </c>
      <c r="W63" s="147">
        <v>32.16574</v>
      </c>
      <c r="X63" s="147">
        <v>52.169410000000006</v>
      </c>
      <c r="Y63" s="106">
        <v>2013</v>
      </c>
      <c r="Z63" s="131"/>
      <c r="AA63" s="147" t="s">
        <v>798</v>
      </c>
      <c r="AB63" s="147" t="s">
        <v>798</v>
      </c>
      <c r="AC63" s="147" t="s">
        <v>798</v>
      </c>
      <c r="AD63" s="106">
        <v>2013</v>
      </c>
      <c r="AE63" s="131"/>
      <c r="AF63" s="147">
        <v>78.45286999999999</v>
      </c>
      <c r="AG63" s="147">
        <v>79.447420000000008</v>
      </c>
      <c r="AH63" s="147">
        <v>72.324150000000003</v>
      </c>
      <c r="AI63" s="106">
        <v>2013</v>
      </c>
      <c r="AJ63" s="131"/>
      <c r="AK63" s="147">
        <v>71.677310000000006</v>
      </c>
      <c r="AL63" s="147">
        <v>67.726129999999998</v>
      </c>
      <c r="AM63" s="147">
        <v>75.069730000000007</v>
      </c>
      <c r="AN63" s="106">
        <v>2013</v>
      </c>
      <c r="AO63" s="131"/>
    </row>
    <row r="64" spans="1:41" ht="15" x14ac:dyDescent="0.25">
      <c r="A64" s="133" t="s">
        <v>62</v>
      </c>
      <c r="B64" s="140" t="s">
        <v>154</v>
      </c>
      <c r="C64" s="140" t="s">
        <v>154</v>
      </c>
      <c r="D64" s="140" t="s">
        <v>154</v>
      </c>
      <c r="E64" s="145"/>
      <c r="F64" s="131"/>
      <c r="G64" s="140" t="s">
        <v>154</v>
      </c>
      <c r="H64" s="140" t="s">
        <v>154</v>
      </c>
      <c r="I64" s="140" t="s">
        <v>154</v>
      </c>
      <c r="J64" s="106"/>
      <c r="K64" s="131"/>
      <c r="L64" s="134"/>
      <c r="M64" s="139" t="s">
        <v>154</v>
      </c>
      <c r="N64" s="139" t="s">
        <v>154</v>
      </c>
      <c r="O64" s="134">
        <v>2014</v>
      </c>
      <c r="P64" s="131"/>
      <c r="Q64" s="140" t="s">
        <v>154</v>
      </c>
      <c r="R64" s="140" t="s">
        <v>154</v>
      </c>
      <c r="S64" s="140" t="s">
        <v>154</v>
      </c>
      <c r="T64" s="145"/>
      <c r="U64" s="127"/>
      <c r="V64" s="140" t="s">
        <v>154</v>
      </c>
      <c r="W64" s="140" t="s">
        <v>154</v>
      </c>
      <c r="X64" s="140" t="s">
        <v>154</v>
      </c>
      <c r="Y64" s="106"/>
      <c r="Z64" s="127"/>
      <c r="AA64" s="140" t="s">
        <v>154</v>
      </c>
      <c r="AB64" s="140" t="s">
        <v>154</v>
      </c>
      <c r="AC64" s="140" t="s">
        <v>154</v>
      </c>
      <c r="AD64" s="145"/>
      <c r="AE64" s="127"/>
      <c r="AF64" s="140" t="s">
        <v>154</v>
      </c>
      <c r="AG64" s="140" t="s">
        <v>154</v>
      </c>
      <c r="AH64" s="140" t="s">
        <v>154</v>
      </c>
      <c r="AI64" s="145"/>
      <c r="AJ64" s="127"/>
      <c r="AK64" s="140" t="s">
        <v>154</v>
      </c>
      <c r="AL64" s="140" t="s">
        <v>154</v>
      </c>
      <c r="AM64" s="140" t="s">
        <v>154</v>
      </c>
      <c r="AN64" s="106"/>
      <c r="AO64" s="131"/>
    </row>
    <row r="65" spans="1:41" ht="15" x14ac:dyDescent="0.25">
      <c r="A65" s="133" t="s">
        <v>63</v>
      </c>
      <c r="B65" s="140" t="s">
        <v>798</v>
      </c>
      <c r="C65" s="140" t="s">
        <v>798</v>
      </c>
      <c r="D65" s="140" t="s">
        <v>798</v>
      </c>
      <c r="E65" s="145">
        <v>2006</v>
      </c>
      <c r="F65" s="131"/>
      <c r="G65" s="147" t="s">
        <v>798</v>
      </c>
      <c r="H65" s="147" t="s">
        <v>798</v>
      </c>
      <c r="I65" s="147" t="s">
        <v>798</v>
      </c>
      <c r="J65" s="106">
        <v>2006</v>
      </c>
      <c r="K65" s="131"/>
      <c r="L65" s="134">
        <v>2.8230184581976112</v>
      </c>
      <c r="M65" s="139" t="s">
        <v>154</v>
      </c>
      <c r="N65" s="139" t="s">
        <v>154</v>
      </c>
      <c r="O65" s="134">
        <v>2014</v>
      </c>
      <c r="P65" s="131"/>
      <c r="Q65" s="147">
        <v>33.0309689045</v>
      </c>
      <c r="R65" s="147">
        <v>10.626090000000001</v>
      </c>
      <c r="S65" s="147">
        <v>76.831249999999997</v>
      </c>
      <c r="T65" s="106">
        <v>2006</v>
      </c>
      <c r="U65" s="131"/>
      <c r="V65" s="147" t="s">
        <v>798</v>
      </c>
      <c r="W65" s="147" t="s">
        <v>798</v>
      </c>
      <c r="X65" s="147" t="s">
        <v>798</v>
      </c>
      <c r="Y65" s="106">
        <v>2006</v>
      </c>
      <c r="Z65" s="131"/>
      <c r="AA65" s="147">
        <v>9.1306700000000003</v>
      </c>
      <c r="AB65" s="147">
        <v>17.686859999999999</v>
      </c>
      <c r="AC65" s="147">
        <v>3.7103200000000003</v>
      </c>
      <c r="AD65" s="106">
        <v>2006</v>
      </c>
      <c r="AE65" s="131"/>
      <c r="AF65" s="147">
        <v>14.050146937399999</v>
      </c>
      <c r="AG65" s="147">
        <v>5.3526999999999996</v>
      </c>
      <c r="AH65" s="147">
        <v>28.587069999999997</v>
      </c>
      <c r="AI65" s="106">
        <v>2006</v>
      </c>
      <c r="AJ65" s="131"/>
      <c r="AK65" s="147">
        <v>13.026830553999998</v>
      </c>
      <c r="AL65" s="147">
        <v>4.61069</v>
      </c>
      <c r="AM65" s="147">
        <v>27.655469999999998</v>
      </c>
      <c r="AN65" s="106">
        <v>2006</v>
      </c>
      <c r="AO65" s="131"/>
    </row>
    <row r="66" spans="1:41" ht="15" x14ac:dyDescent="0.25">
      <c r="A66" s="133" t="s">
        <v>64</v>
      </c>
      <c r="B66" s="141">
        <v>78.994143009200002</v>
      </c>
      <c r="C66" s="141">
        <v>58.896300000000004</v>
      </c>
      <c r="D66" s="141">
        <v>91.765479999999997</v>
      </c>
      <c r="E66" s="145">
        <v>1998</v>
      </c>
      <c r="F66" s="131"/>
      <c r="G66" s="147">
        <v>73.911207914399995</v>
      </c>
      <c r="H66" s="147">
        <v>65.404209999999992</v>
      </c>
      <c r="I66" s="147">
        <v>87.142299999999992</v>
      </c>
      <c r="J66" s="106">
        <v>1998</v>
      </c>
      <c r="K66" s="131"/>
      <c r="L66" s="134">
        <v>90.136799646968655</v>
      </c>
      <c r="M66" s="139" t="s">
        <v>154</v>
      </c>
      <c r="N66" s="139" t="s">
        <v>154</v>
      </c>
      <c r="O66" s="134">
        <v>2014</v>
      </c>
      <c r="P66" s="131"/>
      <c r="Q66" s="147">
        <v>84.381490945799996</v>
      </c>
      <c r="R66" s="147">
        <v>67.756570000000011</v>
      </c>
      <c r="S66" s="147">
        <v>98.127039999999994</v>
      </c>
      <c r="T66" s="106">
        <v>1998</v>
      </c>
      <c r="U66" s="131"/>
      <c r="V66" s="147" t="s">
        <v>798</v>
      </c>
      <c r="W66" s="147" t="s">
        <v>798</v>
      </c>
      <c r="X66" s="147" t="s">
        <v>798</v>
      </c>
      <c r="Y66" s="106">
        <v>1998</v>
      </c>
      <c r="Z66" s="131"/>
      <c r="AA66" s="147">
        <v>6.5243499999999992</v>
      </c>
      <c r="AB66" s="147">
        <v>8.30471</v>
      </c>
      <c r="AC66" s="147">
        <v>7.9850900000000005</v>
      </c>
      <c r="AD66" s="106">
        <v>1998</v>
      </c>
      <c r="AE66" s="131"/>
      <c r="AF66" s="147">
        <v>76.785111427299995</v>
      </c>
      <c r="AG66" s="147">
        <v>63.905219999999993</v>
      </c>
      <c r="AH66" s="147">
        <v>84.833610000000007</v>
      </c>
      <c r="AI66" s="106">
        <v>1998</v>
      </c>
      <c r="AJ66" s="131"/>
      <c r="AK66" s="147">
        <v>75.274670124099998</v>
      </c>
      <c r="AL66" s="147">
        <v>75.700720000000004</v>
      </c>
      <c r="AM66" s="147">
        <v>75.708399999999997</v>
      </c>
      <c r="AN66" s="106">
        <v>1998</v>
      </c>
      <c r="AO66" s="131"/>
    </row>
    <row r="67" spans="1:41" ht="15" x14ac:dyDescent="0.25">
      <c r="A67" s="133" t="s">
        <v>65</v>
      </c>
      <c r="B67" s="140" t="s">
        <v>154</v>
      </c>
      <c r="C67" s="140" t="s">
        <v>154</v>
      </c>
      <c r="D67" s="140" t="s">
        <v>154</v>
      </c>
      <c r="E67" s="145"/>
      <c r="F67" s="131"/>
      <c r="G67" s="140" t="s">
        <v>154</v>
      </c>
      <c r="H67" s="140" t="s">
        <v>154</v>
      </c>
      <c r="I67" s="140" t="s">
        <v>154</v>
      </c>
      <c r="J67" s="106"/>
      <c r="K67" s="131"/>
      <c r="L67" s="134">
        <v>15.544735240413877</v>
      </c>
      <c r="M67" s="139" t="s">
        <v>154</v>
      </c>
      <c r="N67" s="139" t="s">
        <v>154</v>
      </c>
      <c r="O67" s="134">
        <v>2014</v>
      </c>
      <c r="P67" s="131"/>
      <c r="Q67" s="140" t="s">
        <v>154</v>
      </c>
      <c r="R67" s="140" t="s">
        <v>154</v>
      </c>
      <c r="S67" s="140" t="s">
        <v>154</v>
      </c>
      <c r="T67" s="145"/>
      <c r="U67" s="127"/>
      <c r="V67" s="140" t="s">
        <v>154</v>
      </c>
      <c r="W67" s="140" t="s">
        <v>154</v>
      </c>
      <c r="X67" s="140" t="s">
        <v>154</v>
      </c>
      <c r="Y67" s="106"/>
      <c r="Z67" s="127"/>
      <c r="AA67" s="140" t="s">
        <v>154</v>
      </c>
      <c r="AB67" s="140" t="s">
        <v>154</v>
      </c>
      <c r="AC67" s="140" t="s">
        <v>154</v>
      </c>
      <c r="AD67" s="145"/>
      <c r="AE67" s="127"/>
      <c r="AF67" s="140" t="s">
        <v>154</v>
      </c>
      <c r="AG67" s="140" t="s">
        <v>154</v>
      </c>
      <c r="AH67" s="140" t="s">
        <v>154</v>
      </c>
      <c r="AI67" s="145"/>
      <c r="AJ67" s="127"/>
      <c r="AK67" s="140" t="s">
        <v>154</v>
      </c>
      <c r="AL67" s="140" t="s">
        <v>154</v>
      </c>
      <c r="AM67" s="140" t="s">
        <v>154</v>
      </c>
      <c r="AN67" s="106"/>
      <c r="AO67" s="131"/>
    </row>
    <row r="68" spans="1:41" ht="15" x14ac:dyDescent="0.25">
      <c r="A68" s="133" t="s">
        <v>66</v>
      </c>
      <c r="B68" s="140" t="s">
        <v>154</v>
      </c>
      <c r="C68" s="140" t="s">
        <v>154</v>
      </c>
      <c r="D68" s="140" t="s">
        <v>154</v>
      </c>
      <c r="E68" s="145"/>
      <c r="F68" s="131"/>
      <c r="G68" s="140" t="s">
        <v>154</v>
      </c>
      <c r="H68" s="140" t="s">
        <v>154</v>
      </c>
      <c r="I68" s="140" t="s">
        <v>154</v>
      </c>
      <c r="J68" s="106"/>
      <c r="K68" s="131"/>
      <c r="L68" s="134">
        <v>3.0167142274765593</v>
      </c>
      <c r="M68" s="139" t="s">
        <v>154</v>
      </c>
      <c r="N68" s="139" t="s">
        <v>154</v>
      </c>
      <c r="O68" s="134">
        <v>2014</v>
      </c>
      <c r="P68" s="131"/>
      <c r="Q68" s="140" t="s">
        <v>154</v>
      </c>
      <c r="R68" s="140" t="s">
        <v>154</v>
      </c>
      <c r="S68" s="140" t="s">
        <v>154</v>
      </c>
      <c r="T68" s="145"/>
      <c r="U68" s="127"/>
      <c r="V68" s="140" t="s">
        <v>154</v>
      </c>
      <c r="W68" s="140" t="s">
        <v>154</v>
      </c>
      <c r="X68" s="140" t="s">
        <v>154</v>
      </c>
      <c r="Y68" s="106"/>
      <c r="Z68" s="127"/>
      <c r="AA68" s="140" t="s">
        <v>154</v>
      </c>
      <c r="AB68" s="140" t="s">
        <v>154</v>
      </c>
      <c r="AC68" s="140" t="s">
        <v>154</v>
      </c>
      <c r="AD68" s="145"/>
      <c r="AE68" s="127"/>
      <c r="AF68" s="140" t="s">
        <v>154</v>
      </c>
      <c r="AG68" s="140" t="s">
        <v>154</v>
      </c>
      <c r="AH68" s="140" t="s">
        <v>154</v>
      </c>
      <c r="AI68" s="145"/>
      <c r="AJ68" s="127"/>
      <c r="AK68" s="140" t="s">
        <v>154</v>
      </c>
      <c r="AL68" s="140" t="s">
        <v>154</v>
      </c>
      <c r="AM68" s="140" t="s">
        <v>154</v>
      </c>
      <c r="AN68" s="106"/>
      <c r="AO68" s="131"/>
    </row>
    <row r="69" spans="1:41" ht="15" x14ac:dyDescent="0.25">
      <c r="A69" s="133" t="s">
        <v>67</v>
      </c>
      <c r="B69" s="141">
        <v>83.819818496700009</v>
      </c>
      <c r="C69" s="141">
        <v>74.529740000000004</v>
      </c>
      <c r="D69" s="141">
        <v>90.711950000000002</v>
      </c>
      <c r="E69" s="145">
        <v>2010</v>
      </c>
      <c r="F69" s="131"/>
      <c r="G69" s="147">
        <v>76.629126071900004</v>
      </c>
      <c r="H69" s="147">
        <v>71.630600000000001</v>
      </c>
      <c r="I69" s="147">
        <v>84.623660000000001</v>
      </c>
      <c r="J69" s="106">
        <v>2010</v>
      </c>
      <c r="K69" s="131"/>
      <c r="L69" s="134">
        <v>95</v>
      </c>
      <c r="M69" s="139" t="s">
        <v>154</v>
      </c>
      <c r="N69" s="139" t="s">
        <v>154</v>
      </c>
      <c r="O69" s="134">
        <v>2014</v>
      </c>
      <c r="P69" s="131"/>
      <c r="Q69" s="147">
        <v>81.975561380399995</v>
      </c>
      <c r="R69" s="147">
        <v>65.015020000000007</v>
      </c>
      <c r="S69" s="147">
        <v>94.017309999999995</v>
      </c>
      <c r="T69" s="106">
        <v>2010</v>
      </c>
      <c r="U69" s="131"/>
      <c r="V69" s="147" t="s">
        <v>798</v>
      </c>
      <c r="W69" s="147" t="s">
        <v>798</v>
      </c>
      <c r="X69" s="147" t="s">
        <v>798</v>
      </c>
      <c r="Y69" s="106">
        <v>2010</v>
      </c>
      <c r="Z69" s="131"/>
      <c r="AA69" s="147">
        <v>41.712629999999997</v>
      </c>
      <c r="AB69" s="147">
        <v>58.850179999999995</v>
      </c>
      <c r="AC69" s="147">
        <v>28.05396</v>
      </c>
      <c r="AD69" s="106">
        <v>2010</v>
      </c>
      <c r="AE69" s="131"/>
      <c r="AF69" s="147">
        <v>90.619158744800004</v>
      </c>
      <c r="AG69" s="147">
        <v>89.72654</v>
      </c>
      <c r="AH69" s="147">
        <v>83.605289999999997</v>
      </c>
      <c r="AI69" s="106">
        <v>2010</v>
      </c>
      <c r="AJ69" s="131"/>
      <c r="AK69" s="147">
        <v>57.607179880099999</v>
      </c>
      <c r="AL69" s="147">
        <v>61.871359999999996</v>
      </c>
      <c r="AM69" s="147">
        <v>63.278190000000002</v>
      </c>
      <c r="AN69" s="106">
        <v>2010</v>
      </c>
      <c r="AO69" s="131"/>
    </row>
    <row r="70" spans="1:41" ht="15" x14ac:dyDescent="0.25">
      <c r="A70" s="133" t="s">
        <v>68</v>
      </c>
      <c r="B70" s="141">
        <v>54.982298612599998</v>
      </c>
      <c r="C70" s="141">
        <v>48.195549999999997</v>
      </c>
      <c r="D70" s="141">
        <v>64.770690000000002</v>
      </c>
      <c r="E70" s="145">
        <v>2012</v>
      </c>
      <c r="F70" s="131"/>
      <c r="G70" s="147">
        <v>52.450782060599998</v>
      </c>
      <c r="H70" s="147">
        <v>29.261490000000002</v>
      </c>
      <c r="I70" s="147">
        <v>71.367009999999993</v>
      </c>
      <c r="J70" s="106">
        <v>2012</v>
      </c>
      <c r="K70" s="131"/>
      <c r="L70" s="134">
        <v>38.741721854304636</v>
      </c>
      <c r="M70" s="139" t="s">
        <v>154</v>
      </c>
      <c r="N70" s="139" t="s">
        <v>154</v>
      </c>
      <c r="O70" s="134">
        <v>2014</v>
      </c>
      <c r="P70" s="131"/>
      <c r="Q70" s="147">
        <v>87.359660863900004</v>
      </c>
      <c r="R70" s="147">
        <v>73.922229999999999</v>
      </c>
      <c r="S70" s="147">
        <v>96.061160000000001</v>
      </c>
      <c r="T70" s="106">
        <v>2012</v>
      </c>
      <c r="U70" s="131"/>
      <c r="V70" s="147">
        <v>54.0532052517</v>
      </c>
      <c r="W70" s="147">
        <v>52.89443</v>
      </c>
      <c r="X70" s="147">
        <v>58.538000000000004</v>
      </c>
      <c r="Y70" s="106">
        <v>2012</v>
      </c>
      <c r="Z70" s="131"/>
      <c r="AA70" s="147">
        <v>34.29766</v>
      </c>
      <c r="AB70" s="147">
        <v>32.447659999999999</v>
      </c>
      <c r="AC70" s="147">
        <v>26.698709999999998</v>
      </c>
      <c r="AD70" s="106">
        <v>2012</v>
      </c>
      <c r="AE70" s="131"/>
      <c r="AF70" s="147">
        <v>93.219423294099997</v>
      </c>
      <c r="AG70" s="147">
        <v>92.907160000000005</v>
      </c>
      <c r="AH70" s="147">
        <v>91.587779999999995</v>
      </c>
      <c r="AI70" s="106">
        <v>2012</v>
      </c>
      <c r="AJ70" s="131"/>
      <c r="AK70" s="147">
        <v>62.721681594800003</v>
      </c>
      <c r="AL70" s="147" t="s">
        <v>798</v>
      </c>
      <c r="AM70" s="147">
        <v>58.494340000000001</v>
      </c>
      <c r="AN70" s="106">
        <v>2012</v>
      </c>
      <c r="AO70" s="131"/>
    </row>
    <row r="71" spans="1:41" ht="15" x14ac:dyDescent="0.25">
      <c r="A71" s="133" t="s">
        <v>70</v>
      </c>
      <c r="B71" s="141">
        <v>29.378536343599997</v>
      </c>
      <c r="C71" s="141">
        <v>24.311800000000002</v>
      </c>
      <c r="D71" s="141">
        <v>41.256630000000001</v>
      </c>
      <c r="E71" s="145">
        <v>2010</v>
      </c>
      <c r="F71" s="131"/>
      <c r="G71" s="147">
        <v>54.919284582100005</v>
      </c>
      <c r="H71" s="147">
        <v>36.942399999999999</v>
      </c>
      <c r="I71" s="147">
        <v>79.042369999999991</v>
      </c>
      <c r="J71" s="106">
        <v>2010</v>
      </c>
      <c r="K71" s="131"/>
      <c r="L71" s="134">
        <v>74.90353967455124</v>
      </c>
      <c r="M71" s="139" t="s">
        <v>154</v>
      </c>
      <c r="N71" s="139" t="s">
        <v>154</v>
      </c>
      <c r="O71" s="134">
        <v>2014</v>
      </c>
      <c r="P71" s="131"/>
      <c r="Q71" s="147">
        <v>59.377270937000006</v>
      </c>
      <c r="R71" s="147">
        <v>27.681470000000001</v>
      </c>
      <c r="S71" s="147">
        <v>94.144639999999995</v>
      </c>
      <c r="T71" s="106">
        <v>2010</v>
      </c>
      <c r="U71" s="131"/>
      <c r="V71" s="147" t="s">
        <v>798</v>
      </c>
      <c r="W71" s="147" t="s">
        <v>798</v>
      </c>
      <c r="X71" s="147" t="s">
        <v>798</v>
      </c>
      <c r="Y71" s="106">
        <v>2010</v>
      </c>
      <c r="Z71" s="131"/>
      <c r="AA71" s="147">
        <v>61.811079999999997</v>
      </c>
      <c r="AB71" s="147">
        <v>55.380499999999998</v>
      </c>
      <c r="AC71" s="147">
        <v>69.620040000000003</v>
      </c>
      <c r="AD71" s="106">
        <v>2010</v>
      </c>
      <c r="AE71" s="131"/>
      <c r="AF71" s="147">
        <v>72.386085987100003</v>
      </c>
      <c r="AG71" s="147">
        <v>62.840949999999992</v>
      </c>
      <c r="AH71" s="147">
        <v>84.425150000000002</v>
      </c>
      <c r="AI71" s="106">
        <v>2010</v>
      </c>
      <c r="AJ71" s="131"/>
      <c r="AK71" s="147">
        <v>32.129687070800003</v>
      </c>
      <c r="AL71" s="147">
        <v>19.50206</v>
      </c>
      <c r="AM71" s="147" t="s">
        <v>798</v>
      </c>
      <c r="AN71" s="106">
        <v>2010</v>
      </c>
      <c r="AO71" s="131"/>
    </row>
    <row r="72" spans="1:41" ht="15" x14ac:dyDescent="0.25">
      <c r="A72" s="133" t="s">
        <v>71</v>
      </c>
      <c r="B72" s="140" t="s">
        <v>154</v>
      </c>
      <c r="C72" s="140" t="s">
        <v>154</v>
      </c>
      <c r="D72" s="140" t="s">
        <v>154</v>
      </c>
      <c r="E72" s="145"/>
      <c r="F72" s="131"/>
      <c r="G72" s="140" t="s">
        <v>154</v>
      </c>
      <c r="H72" s="140" t="s">
        <v>154</v>
      </c>
      <c r="I72" s="140" t="s">
        <v>154</v>
      </c>
      <c r="J72" s="106"/>
      <c r="K72" s="131"/>
      <c r="L72" s="134"/>
      <c r="M72" s="139" t="s">
        <v>154</v>
      </c>
      <c r="N72" s="139" t="s">
        <v>154</v>
      </c>
      <c r="O72" s="134">
        <v>2014</v>
      </c>
      <c r="P72" s="131"/>
      <c r="Q72" s="140" t="s">
        <v>154</v>
      </c>
      <c r="R72" s="140" t="s">
        <v>154</v>
      </c>
      <c r="S72" s="140" t="s">
        <v>154</v>
      </c>
      <c r="T72" s="145"/>
      <c r="U72" s="127"/>
      <c r="V72" s="140" t="s">
        <v>154</v>
      </c>
      <c r="W72" s="140" t="s">
        <v>154</v>
      </c>
      <c r="X72" s="140" t="s">
        <v>154</v>
      </c>
      <c r="Y72" s="106"/>
      <c r="Z72" s="127"/>
      <c r="AA72" s="140" t="s">
        <v>154</v>
      </c>
      <c r="AB72" s="140" t="s">
        <v>154</v>
      </c>
      <c r="AC72" s="140" t="s">
        <v>154</v>
      </c>
      <c r="AD72" s="145"/>
      <c r="AE72" s="127"/>
      <c r="AF72" s="140" t="s">
        <v>154</v>
      </c>
      <c r="AG72" s="140" t="s">
        <v>154</v>
      </c>
      <c r="AH72" s="140" t="s">
        <v>154</v>
      </c>
      <c r="AI72" s="145"/>
      <c r="AJ72" s="127"/>
      <c r="AK72" s="140" t="s">
        <v>154</v>
      </c>
      <c r="AL72" s="140" t="s">
        <v>154</v>
      </c>
      <c r="AM72" s="140" t="s">
        <v>154</v>
      </c>
      <c r="AN72" s="106"/>
      <c r="AO72" s="131"/>
    </row>
    <row r="73" spans="1:41" ht="15" x14ac:dyDescent="0.25">
      <c r="A73" s="133" t="s">
        <v>72</v>
      </c>
      <c r="B73" s="141">
        <v>46.696656942399997</v>
      </c>
      <c r="C73" s="141">
        <v>25.770490000000002</v>
      </c>
      <c r="D73" s="141">
        <v>66.881</v>
      </c>
      <c r="E73" s="145">
        <v>2011</v>
      </c>
      <c r="F73" s="131"/>
      <c r="G73" s="147">
        <v>47.625979781200002</v>
      </c>
      <c r="H73" s="147">
        <v>42.58229</v>
      </c>
      <c r="I73" s="147">
        <v>58.807580000000002</v>
      </c>
      <c r="J73" s="106">
        <v>2011</v>
      </c>
      <c r="K73" s="131"/>
      <c r="L73" s="134">
        <v>75.428776523470546</v>
      </c>
      <c r="M73" s="139" t="s">
        <v>154</v>
      </c>
      <c r="N73" s="139" t="s">
        <v>154</v>
      </c>
      <c r="O73" s="134">
        <v>2014</v>
      </c>
      <c r="P73" s="131"/>
      <c r="Q73" s="147">
        <v>57.984083890899996</v>
      </c>
      <c r="R73" s="147">
        <v>43.496189999999999</v>
      </c>
      <c r="S73" s="147">
        <v>88.395749999999992</v>
      </c>
      <c r="T73" s="106">
        <v>2011</v>
      </c>
      <c r="U73" s="131"/>
      <c r="V73" s="147">
        <v>10.850898921500001</v>
      </c>
      <c r="W73" s="147">
        <v>10.82751</v>
      </c>
      <c r="X73" s="147">
        <v>20.21481</v>
      </c>
      <c r="Y73" s="106">
        <v>2011</v>
      </c>
      <c r="Z73" s="131"/>
      <c r="AA73" s="147">
        <v>68.835679999999996</v>
      </c>
      <c r="AB73" s="147">
        <v>71.036390000000011</v>
      </c>
      <c r="AC73" s="147">
        <v>58.09619</v>
      </c>
      <c r="AD73" s="106">
        <v>2011</v>
      </c>
      <c r="AE73" s="131"/>
      <c r="AF73" s="147">
        <v>72.209525108299999</v>
      </c>
      <c r="AG73" s="147">
        <v>74.529350000000008</v>
      </c>
      <c r="AH73" s="147">
        <v>74.824719999999999</v>
      </c>
      <c r="AI73" s="106">
        <v>2011</v>
      </c>
      <c r="AJ73" s="131"/>
      <c r="AK73" s="147">
        <v>78.700017929099999</v>
      </c>
      <c r="AL73" s="147">
        <v>77.809139999999999</v>
      </c>
      <c r="AM73" s="147">
        <v>82.313159999999996</v>
      </c>
      <c r="AN73" s="106">
        <v>2011</v>
      </c>
      <c r="AO73" s="131"/>
    </row>
    <row r="74" spans="1:41" ht="15" x14ac:dyDescent="0.25">
      <c r="A74" s="133" t="s">
        <v>69</v>
      </c>
      <c r="B74" s="141">
        <v>57.546520233200006</v>
      </c>
      <c r="C74" s="141">
        <v>42.639209999999999</v>
      </c>
      <c r="D74" s="141">
        <v>75.623310000000004</v>
      </c>
      <c r="E74" s="145">
        <v>2010</v>
      </c>
      <c r="F74" s="131"/>
      <c r="G74" s="147">
        <v>42.829695344000001</v>
      </c>
      <c r="H74" s="147">
        <v>37.103229999999996</v>
      </c>
      <c r="I74" s="147">
        <v>58.716149999999999</v>
      </c>
      <c r="J74" s="106">
        <v>2010</v>
      </c>
      <c r="K74" s="131"/>
      <c r="L74" s="134">
        <v>73.064232509434333</v>
      </c>
      <c r="M74" s="139" t="s">
        <v>154</v>
      </c>
      <c r="N74" s="139" t="s">
        <v>154</v>
      </c>
      <c r="O74" s="134">
        <v>2014</v>
      </c>
      <c r="P74" s="131"/>
      <c r="Q74" s="147">
        <v>50.578612089200007</v>
      </c>
      <c r="R74" s="147">
        <v>33.011189999999999</v>
      </c>
      <c r="S74" s="147">
        <v>90.382429999999999</v>
      </c>
      <c r="T74" s="106">
        <v>2010</v>
      </c>
      <c r="U74" s="131"/>
      <c r="V74" s="147">
        <v>2.4578569456999997</v>
      </c>
      <c r="W74" s="147">
        <v>4.0229200000000001</v>
      </c>
      <c r="X74" s="147">
        <v>3.2071000000000001</v>
      </c>
      <c r="Y74" s="106">
        <v>2010</v>
      </c>
      <c r="Z74" s="131"/>
      <c r="AA74" s="147">
        <v>48.745449999999998</v>
      </c>
      <c r="AB74" s="147">
        <v>55.436350000000004</v>
      </c>
      <c r="AC74" s="147">
        <v>33.792180000000002</v>
      </c>
      <c r="AD74" s="106">
        <v>2010</v>
      </c>
      <c r="AE74" s="131"/>
      <c r="AF74" s="147">
        <v>88.027292489999994</v>
      </c>
      <c r="AG74" s="147">
        <v>84.080639999999988</v>
      </c>
      <c r="AH74" s="147">
        <v>96.935429999999997</v>
      </c>
      <c r="AI74" s="106">
        <v>2010</v>
      </c>
      <c r="AJ74" s="131"/>
      <c r="AK74" s="147">
        <v>70.639538764999998</v>
      </c>
      <c r="AL74" s="147">
        <v>56.986190000000001</v>
      </c>
      <c r="AM74" s="147">
        <v>93.424480000000003</v>
      </c>
      <c r="AN74" s="106">
        <v>2010</v>
      </c>
      <c r="AO74" s="131"/>
    </row>
    <row r="75" spans="1:41" ht="15" x14ac:dyDescent="0.25">
      <c r="A75" s="133" t="s">
        <v>73</v>
      </c>
      <c r="B75" s="141">
        <v>89.284110069299999</v>
      </c>
      <c r="C75" s="141">
        <v>88.700109999999995</v>
      </c>
      <c r="D75" s="141">
        <v>86.531639999999996</v>
      </c>
      <c r="E75" s="145">
        <v>2006</v>
      </c>
      <c r="F75" s="131"/>
      <c r="G75" s="147" t="s">
        <v>798</v>
      </c>
      <c r="H75" s="147" t="s">
        <v>798</v>
      </c>
      <c r="I75" s="147" t="s">
        <v>798</v>
      </c>
      <c r="J75" s="106">
        <v>2006</v>
      </c>
      <c r="K75" s="131"/>
      <c r="L75" s="134">
        <v>88.273615635179141</v>
      </c>
      <c r="M75" s="139" t="s">
        <v>154</v>
      </c>
      <c r="N75" s="139" t="s">
        <v>154</v>
      </c>
      <c r="O75" s="134">
        <v>2014</v>
      </c>
      <c r="P75" s="131"/>
      <c r="Q75" s="147">
        <v>99.910688400299989</v>
      </c>
      <c r="R75" s="147">
        <v>100</v>
      </c>
      <c r="S75" s="147">
        <v>100</v>
      </c>
      <c r="T75" s="106">
        <v>2006</v>
      </c>
      <c r="U75" s="131"/>
      <c r="V75" s="147" t="s">
        <v>798</v>
      </c>
      <c r="W75" s="147" t="s">
        <v>798</v>
      </c>
      <c r="X75" s="147" t="s">
        <v>798</v>
      </c>
      <c r="Y75" s="106">
        <v>2006</v>
      </c>
      <c r="Z75" s="131"/>
      <c r="AA75" s="147">
        <v>26.674779999999998</v>
      </c>
      <c r="AB75" s="147">
        <v>23.88458</v>
      </c>
      <c r="AC75" s="147">
        <v>23.379449999999999</v>
      </c>
      <c r="AD75" s="106">
        <v>2006</v>
      </c>
      <c r="AE75" s="131"/>
      <c r="AF75" s="147">
        <v>93.175929784800005</v>
      </c>
      <c r="AG75" s="147">
        <v>93.681330000000003</v>
      </c>
      <c r="AH75" s="147">
        <v>92.483059999999995</v>
      </c>
      <c r="AI75" s="106">
        <v>2006</v>
      </c>
      <c r="AJ75" s="131"/>
      <c r="AK75" s="147">
        <v>67.692518234299996</v>
      </c>
      <c r="AL75" s="147" t="s">
        <v>798</v>
      </c>
      <c r="AM75" s="147">
        <v>86.434160000000006</v>
      </c>
      <c r="AN75" s="106">
        <v>2006</v>
      </c>
      <c r="AO75" s="131"/>
    </row>
    <row r="76" spans="1:41" ht="15" x14ac:dyDescent="0.25">
      <c r="A76" s="133" t="s">
        <v>74</v>
      </c>
      <c r="B76" s="141">
        <v>95.498818159099997</v>
      </c>
      <c r="C76" s="141">
        <v>94.353529999999992</v>
      </c>
      <c r="D76" s="141">
        <v>95.837320000000005</v>
      </c>
      <c r="E76" s="145">
        <v>2010</v>
      </c>
      <c r="F76" s="131"/>
      <c r="G76" s="147">
        <v>59.597343206399998</v>
      </c>
      <c r="H76" s="147">
        <v>27.239530000000002</v>
      </c>
      <c r="I76" s="147">
        <v>88.67268</v>
      </c>
      <c r="J76" s="106">
        <v>2010</v>
      </c>
      <c r="K76" s="131"/>
      <c r="L76" s="134">
        <v>65.279299014238774</v>
      </c>
      <c r="M76" s="139" t="s">
        <v>154</v>
      </c>
      <c r="N76" s="139" t="s">
        <v>154</v>
      </c>
      <c r="O76" s="134">
        <v>2014</v>
      </c>
      <c r="P76" s="131"/>
      <c r="Q76" s="147">
        <v>92.875927686699995</v>
      </c>
      <c r="R76" s="147">
        <v>71.909719999999993</v>
      </c>
      <c r="S76" s="147">
        <v>99.212900000000005</v>
      </c>
      <c r="T76" s="106">
        <v>2010</v>
      </c>
      <c r="U76" s="131"/>
      <c r="V76" s="147" t="s">
        <v>798</v>
      </c>
      <c r="W76" s="147" t="s">
        <v>798</v>
      </c>
      <c r="X76" s="147" t="s">
        <v>798</v>
      </c>
      <c r="Y76" s="106">
        <v>2010</v>
      </c>
      <c r="Z76" s="131"/>
      <c r="AA76" s="147">
        <v>16.560659999999999</v>
      </c>
      <c r="AB76" s="147">
        <v>28.011380000000003</v>
      </c>
      <c r="AC76" s="147">
        <v>11.199290000000001</v>
      </c>
      <c r="AD76" s="106">
        <v>2010</v>
      </c>
      <c r="AE76" s="131"/>
      <c r="AF76" s="147">
        <v>73.9384174347</v>
      </c>
      <c r="AG76" s="147">
        <v>59.298009999999998</v>
      </c>
      <c r="AH76" s="147">
        <v>85.532620000000009</v>
      </c>
      <c r="AI76" s="106">
        <v>2010</v>
      </c>
      <c r="AJ76" s="131"/>
      <c r="AK76" s="147">
        <v>73.040133714699991</v>
      </c>
      <c r="AL76" s="147">
        <v>67.943600000000004</v>
      </c>
      <c r="AM76" s="147" t="s">
        <v>798</v>
      </c>
      <c r="AN76" s="106">
        <v>2010</v>
      </c>
      <c r="AO76" s="131"/>
    </row>
    <row r="77" spans="1:41" ht="15" x14ac:dyDescent="0.25">
      <c r="A77" s="133" t="s">
        <v>75</v>
      </c>
      <c r="B77" s="141">
        <v>54.012596607200003</v>
      </c>
      <c r="C77" s="141">
        <v>31.70889</v>
      </c>
      <c r="D77" s="141">
        <v>75.977490000000003</v>
      </c>
      <c r="E77" s="145">
        <v>2006</v>
      </c>
      <c r="F77" s="131"/>
      <c r="G77" s="147" t="s">
        <v>798</v>
      </c>
      <c r="H77" s="147" t="s">
        <v>798</v>
      </c>
      <c r="I77" s="147" t="s">
        <v>798</v>
      </c>
      <c r="J77" s="106">
        <v>2006</v>
      </c>
      <c r="K77" s="131"/>
      <c r="L77" s="134">
        <v>10.75268817204301</v>
      </c>
      <c r="M77" s="139" t="s">
        <v>154</v>
      </c>
      <c r="N77" s="139" t="s">
        <v>154</v>
      </c>
      <c r="O77" s="134">
        <v>2014</v>
      </c>
      <c r="P77" s="131"/>
      <c r="Q77" s="147">
        <v>35.745632648499999</v>
      </c>
      <c r="R77" s="147">
        <v>17.08156</v>
      </c>
      <c r="S77" s="147">
        <v>73.569879999999998</v>
      </c>
      <c r="T77" s="106">
        <v>2006</v>
      </c>
      <c r="U77" s="131"/>
      <c r="V77" s="147" t="s">
        <v>798</v>
      </c>
      <c r="W77" s="147" t="s">
        <v>798</v>
      </c>
      <c r="X77" s="147" t="s">
        <v>798</v>
      </c>
      <c r="Y77" s="106">
        <v>2006</v>
      </c>
      <c r="Z77" s="131"/>
      <c r="AA77" s="147" t="s">
        <v>798</v>
      </c>
      <c r="AB77" s="147" t="s">
        <v>798</v>
      </c>
      <c r="AC77" s="147" t="s">
        <v>798</v>
      </c>
      <c r="AD77" s="106">
        <v>2006</v>
      </c>
      <c r="AE77" s="131"/>
      <c r="AF77" s="147">
        <v>49.807068705600003</v>
      </c>
      <c r="AG77" s="147">
        <v>32.136299999999999</v>
      </c>
      <c r="AH77" s="147">
        <v>77.879549999999995</v>
      </c>
      <c r="AI77" s="106">
        <v>2006</v>
      </c>
      <c r="AJ77" s="131"/>
      <c r="AK77" s="147">
        <v>42.640504241000002</v>
      </c>
      <c r="AL77" s="147">
        <v>39.720490000000005</v>
      </c>
      <c r="AM77" s="147">
        <v>46.80706</v>
      </c>
      <c r="AN77" s="106">
        <v>2006</v>
      </c>
      <c r="AO77" s="131"/>
    </row>
    <row r="78" spans="1:41" ht="15" x14ac:dyDescent="0.25">
      <c r="A78" s="133" t="s">
        <v>76</v>
      </c>
      <c r="B78" s="141">
        <v>60.644137859299995</v>
      </c>
      <c r="C78" s="141">
        <v>60.4893</v>
      </c>
      <c r="D78" s="141">
        <v>74.088430000000002</v>
      </c>
      <c r="E78" s="145">
        <v>2007</v>
      </c>
      <c r="F78" s="131"/>
      <c r="G78" s="147">
        <v>60.306453704799999</v>
      </c>
      <c r="H78" s="147">
        <v>59.309659999999994</v>
      </c>
      <c r="I78" s="147">
        <v>61.605629999999998</v>
      </c>
      <c r="J78" s="106">
        <v>2007</v>
      </c>
      <c r="K78" s="131"/>
      <c r="L78" s="134">
        <v>75.850366272219659</v>
      </c>
      <c r="M78" s="139" t="s">
        <v>154</v>
      </c>
      <c r="N78" s="139" t="s">
        <v>154</v>
      </c>
      <c r="O78" s="134">
        <v>2014</v>
      </c>
      <c r="P78" s="131"/>
      <c r="Q78" s="147">
        <v>46.455907821700002</v>
      </c>
      <c r="R78" s="147">
        <v>26.879589999999997</v>
      </c>
      <c r="S78" s="147">
        <v>91.281930000000003</v>
      </c>
      <c r="T78" s="106">
        <v>2007</v>
      </c>
      <c r="U78" s="131"/>
      <c r="V78" s="147" t="s">
        <v>798</v>
      </c>
      <c r="W78" s="147" t="s">
        <v>798</v>
      </c>
      <c r="X78" s="147" t="s">
        <v>798</v>
      </c>
      <c r="Y78" s="106">
        <v>2007</v>
      </c>
      <c r="Z78" s="131"/>
      <c r="AA78" s="147">
        <v>60.706249999999997</v>
      </c>
      <c r="AB78" s="147">
        <v>57.111670000000004</v>
      </c>
      <c r="AC78" s="147">
        <v>68.406270000000006</v>
      </c>
      <c r="AD78" s="106">
        <v>2007</v>
      </c>
      <c r="AE78" s="131"/>
      <c r="AF78" s="147">
        <v>80.801653861999995</v>
      </c>
      <c r="AG78" s="147">
        <v>78.288049999999998</v>
      </c>
      <c r="AH78" s="147">
        <v>94.557829999999996</v>
      </c>
      <c r="AI78" s="106">
        <v>2007</v>
      </c>
      <c r="AJ78" s="131"/>
      <c r="AK78" s="147">
        <v>68.230402469600008</v>
      </c>
      <c r="AL78" s="147">
        <v>77.91283</v>
      </c>
      <c r="AM78" s="147">
        <v>56.103429999999996</v>
      </c>
      <c r="AN78" s="106">
        <v>2007</v>
      </c>
      <c r="AO78" s="131"/>
    </row>
    <row r="79" spans="1:41" ht="15" x14ac:dyDescent="0.25">
      <c r="A79" s="133" t="s">
        <v>77</v>
      </c>
      <c r="B79" s="141">
        <v>80.069905519499997</v>
      </c>
      <c r="C79" s="141">
        <v>75.957099999999997</v>
      </c>
      <c r="D79" s="141">
        <v>85.699730000000002</v>
      </c>
      <c r="E79" s="145">
        <v>2010</v>
      </c>
      <c r="F79" s="131"/>
      <c r="G79" s="147">
        <v>64.782410860100001</v>
      </c>
      <c r="H79" s="147">
        <v>60.164989999999996</v>
      </c>
      <c r="I79" s="147">
        <v>73.156099999999995</v>
      </c>
      <c r="J79" s="106">
        <v>2010</v>
      </c>
      <c r="K79" s="131"/>
      <c r="L79" s="134">
        <v>78.03357996585089</v>
      </c>
      <c r="M79" s="139" t="s">
        <v>154</v>
      </c>
      <c r="N79" s="139" t="s">
        <v>154</v>
      </c>
      <c r="O79" s="134">
        <v>2014</v>
      </c>
      <c r="P79" s="131"/>
      <c r="Q79" s="147">
        <v>66.245323419599998</v>
      </c>
      <c r="R79" s="147">
        <v>47.514600000000002</v>
      </c>
      <c r="S79" s="147">
        <v>90.637889999999999</v>
      </c>
      <c r="T79" s="106">
        <v>2010</v>
      </c>
      <c r="U79" s="131"/>
      <c r="V79" s="147">
        <v>11.810478568099999</v>
      </c>
      <c r="W79" s="147">
        <v>7.7392300000000001</v>
      </c>
      <c r="X79" s="147">
        <v>18.184989999999999</v>
      </c>
      <c r="Y79" s="106">
        <v>2010</v>
      </c>
      <c r="Z79" s="131"/>
      <c r="AA79" s="147">
        <v>31.303429999999999</v>
      </c>
      <c r="AB79" s="147">
        <v>25.400729999999999</v>
      </c>
      <c r="AC79" s="147">
        <v>49.242519999999999</v>
      </c>
      <c r="AD79" s="106">
        <v>2010</v>
      </c>
      <c r="AE79" s="131"/>
      <c r="AF79" s="147">
        <v>73.561549186700006</v>
      </c>
      <c r="AG79" s="147">
        <v>67.374290000000002</v>
      </c>
      <c r="AH79" s="147">
        <v>80.921570000000003</v>
      </c>
      <c r="AI79" s="106">
        <v>2010</v>
      </c>
      <c r="AJ79" s="131"/>
      <c r="AK79" s="147">
        <v>47.999227046999998</v>
      </c>
      <c r="AL79" s="147">
        <v>52.139939999999996</v>
      </c>
      <c r="AM79" s="147">
        <v>44.549849999999999</v>
      </c>
      <c r="AN79" s="106">
        <v>2010</v>
      </c>
      <c r="AO79" s="131"/>
    </row>
    <row r="80" spans="1:41" x14ac:dyDescent="0.2">
      <c r="A80" s="128"/>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9"/>
    </row>
    <row r="81" spans="1:41" x14ac:dyDescent="0.2">
      <c r="A81" s="44" t="s">
        <v>255</v>
      </c>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row>
    <row r="82" spans="1:41" x14ac:dyDescent="0.2">
      <c r="A82" s="44" t="s">
        <v>256</v>
      </c>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row>
    <row r="83" spans="1:41" x14ac:dyDescent="0.2">
      <c r="A83" s="44" t="s">
        <v>298</v>
      </c>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row>
    <row r="85" spans="1:41" x14ac:dyDescent="0.2">
      <c r="A85" s="1" t="s">
        <v>147</v>
      </c>
    </row>
    <row r="86" spans="1:41" x14ac:dyDescent="0.2">
      <c r="A86" s="1" t="s">
        <v>148</v>
      </c>
    </row>
  </sheetData>
  <mergeCells count="9">
    <mergeCell ref="AK3:AO3"/>
    <mergeCell ref="A2:F2"/>
    <mergeCell ref="B3:F3"/>
    <mergeCell ref="G3:K3"/>
    <mergeCell ref="L3:P3"/>
    <mergeCell ref="Q3:U3"/>
    <mergeCell ref="V3:Z3"/>
    <mergeCell ref="AA3:AE3"/>
    <mergeCell ref="AF3:AJ3"/>
  </mergeCells>
  <conditionalFormatting sqref="M5:N79">
    <cfRule type="expression" priority="228" stopIfTrue="1">
      <formula>M5="NO"</formula>
    </cfRule>
    <cfRule type="expression" priority="229" stopIfTrue="1">
      <formula>M5="ND"</formula>
    </cfRule>
    <cfRule type="expression" priority="230" stopIfTrue="1">
      <formula>M5="NA"</formula>
    </cfRule>
    <cfRule type="expression" dxfId="349" priority="231">
      <formula>Y5&lt;25</formula>
    </cfRule>
    <cfRule type="expression" dxfId="348" priority="232">
      <formula>Y5&lt;50</formula>
    </cfRule>
  </conditionalFormatting>
  <conditionalFormatting sqref="B10:D10">
    <cfRule type="expression" dxfId="347" priority="1">
      <formula>B10="n/a"</formula>
    </cfRule>
  </conditionalFormatting>
  <conditionalFormatting sqref="B32:D41 B26:D26 B25 B13:D18 B7:D9 B43:D48 B66:D66 B20:D22 B24:D24 B29:D30 B50:D51 B53:D56 B58:D63 B69:D71 B73:D79">
    <cfRule type="expression" dxfId="346" priority="2">
      <formula>B7="n/a"</formula>
    </cfRule>
  </conditionalFormatting>
  <pageMargins left="0.23622047244094491" right="0.23622047244094491" top="0.74803149606299213" bottom="0.74803149606299213" header="0.31496062992125984" footer="0.31496062992125984"/>
  <pageSetup paperSize="9" scale="68"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16"/>
  <sheetViews>
    <sheetView workbookViewId="0">
      <pane xSplit="1" ySplit="3" topLeftCell="B62" activePane="bottomRight" state="frozen"/>
      <selection pane="topRight" activeCell="B1" sqref="B1"/>
      <selection pane="bottomLeft" activeCell="A4" sqref="A4"/>
      <selection pane="bottomRight" activeCell="H67" sqref="H67"/>
    </sheetView>
  </sheetViews>
  <sheetFormatPr defaultColWidth="8.85546875" defaultRowHeight="12" x14ac:dyDescent="0.2"/>
  <cols>
    <col min="1" max="1" width="31.7109375" style="1" bestFit="1" customWidth="1"/>
    <col min="2" max="2" width="8.7109375" style="1" bestFit="1" customWidth="1"/>
    <col min="3" max="3" width="7.85546875" style="1" bestFit="1" customWidth="1"/>
    <col min="4" max="4" width="18.42578125" style="1" customWidth="1"/>
    <col min="5" max="5" width="8.42578125" style="1" bestFit="1" customWidth="1"/>
    <col min="6" max="6" width="7.7109375" style="1" bestFit="1" customWidth="1"/>
    <col min="7" max="7" width="9.42578125" style="1" bestFit="1" customWidth="1"/>
    <col min="8" max="10" width="12.7109375" style="1" customWidth="1"/>
    <col min="11" max="16" width="7.7109375" style="19" customWidth="1"/>
    <col min="17" max="19" width="7.7109375" style="1" customWidth="1"/>
    <col min="20" max="20" width="21" style="163" customWidth="1"/>
    <col min="21" max="21" width="9.140625" style="1" customWidth="1"/>
    <col min="22" max="22" width="8" style="1" customWidth="1"/>
    <col min="23" max="23" width="9.7109375" style="1" customWidth="1"/>
    <col min="24" max="24" width="14.28515625" style="1" customWidth="1"/>
    <col min="25" max="16384" width="8.85546875" style="1"/>
  </cols>
  <sheetData>
    <row r="1" spans="1:24" x14ac:dyDescent="0.2">
      <c r="A1" s="91" t="s">
        <v>363</v>
      </c>
      <c r="B1" s="92"/>
      <c r="C1" s="93"/>
      <c r="D1" s="94"/>
      <c r="E1" s="194"/>
      <c r="F1" s="195"/>
      <c r="G1" s="196"/>
      <c r="H1" s="26"/>
      <c r="I1" s="45"/>
      <c r="J1" s="45"/>
      <c r="K1" s="201" t="s">
        <v>168</v>
      </c>
      <c r="L1" s="202"/>
      <c r="M1" s="202"/>
      <c r="N1" s="202"/>
      <c r="O1" s="202"/>
      <c r="P1" s="202"/>
      <c r="Q1" s="201" t="s">
        <v>169</v>
      </c>
      <c r="R1" s="202"/>
      <c r="S1" s="202"/>
      <c r="T1" s="3"/>
    </row>
    <row r="2" spans="1:24" ht="34.5" customHeight="1" x14ac:dyDescent="0.2">
      <c r="A2" s="192" t="s">
        <v>1</v>
      </c>
      <c r="B2" s="192"/>
      <c r="C2" s="192"/>
      <c r="D2" s="193"/>
      <c r="E2" s="197" t="s">
        <v>78</v>
      </c>
      <c r="F2" s="198"/>
      <c r="G2" s="199"/>
      <c r="H2" s="90" t="s">
        <v>404</v>
      </c>
      <c r="I2" s="96" t="s">
        <v>318</v>
      </c>
      <c r="J2" s="96" t="s">
        <v>319</v>
      </c>
      <c r="K2" s="203" t="s">
        <v>370</v>
      </c>
      <c r="L2" s="204"/>
      <c r="M2" s="204"/>
      <c r="N2" s="203" t="s">
        <v>155</v>
      </c>
      <c r="O2" s="204"/>
      <c r="P2" s="204"/>
      <c r="Q2" s="203" t="s">
        <v>157</v>
      </c>
      <c r="R2" s="204"/>
      <c r="S2" s="204"/>
      <c r="T2" s="35" t="s">
        <v>822</v>
      </c>
      <c r="U2" s="200" t="s">
        <v>354</v>
      </c>
      <c r="V2" s="200"/>
      <c r="W2" s="200"/>
      <c r="X2" s="97" t="s">
        <v>297</v>
      </c>
    </row>
    <row r="3" spans="1:24" ht="48" x14ac:dyDescent="0.2">
      <c r="A3" s="11" t="s">
        <v>0</v>
      </c>
      <c r="B3" s="12" t="s">
        <v>122</v>
      </c>
      <c r="C3" s="87" t="s">
        <v>124</v>
      </c>
      <c r="D3" s="88" t="s">
        <v>804</v>
      </c>
      <c r="E3" s="95" t="s">
        <v>122</v>
      </c>
      <c r="F3" s="87" t="s">
        <v>123</v>
      </c>
      <c r="G3" s="88" t="s">
        <v>805</v>
      </c>
      <c r="H3" s="166" t="s">
        <v>403</v>
      </c>
      <c r="I3" s="87" t="s">
        <v>282</v>
      </c>
      <c r="J3" s="88" t="s">
        <v>268</v>
      </c>
      <c r="K3" s="81" t="s">
        <v>122</v>
      </c>
      <c r="L3" s="81" t="s">
        <v>123</v>
      </c>
      <c r="M3" s="81" t="s">
        <v>119</v>
      </c>
      <c r="N3" s="81" t="s">
        <v>120</v>
      </c>
      <c r="O3" s="81" t="s">
        <v>124</v>
      </c>
      <c r="P3" s="81" t="s">
        <v>121</v>
      </c>
      <c r="Q3" s="81" t="s">
        <v>258</v>
      </c>
      <c r="R3" s="81" t="s">
        <v>259</v>
      </c>
      <c r="S3" s="81" t="s">
        <v>260</v>
      </c>
      <c r="T3" s="160" t="s">
        <v>2</v>
      </c>
      <c r="U3" s="89" t="s">
        <v>120</v>
      </c>
      <c r="V3" s="89" t="s">
        <v>124</v>
      </c>
      <c r="W3" s="89" t="s">
        <v>806</v>
      </c>
      <c r="X3" s="89" t="s">
        <v>807</v>
      </c>
    </row>
    <row r="4" spans="1:24" x14ac:dyDescent="0.2">
      <c r="A4" s="10" t="s">
        <v>3</v>
      </c>
      <c r="B4" s="15">
        <v>37</v>
      </c>
      <c r="C4" s="15"/>
      <c r="D4" s="16"/>
      <c r="E4" s="15" t="s">
        <v>154</v>
      </c>
      <c r="F4" s="15"/>
      <c r="G4" s="21"/>
      <c r="H4" s="157" t="s">
        <v>820</v>
      </c>
      <c r="I4" s="28"/>
      <c r="J4" s="28"/>
      <c r="K4" s="153"/>
      <c r="L4" s="16"/>
      <c r="M4" s="16"/>
      <c r="N4" s="153"/>
      <c r="O4" s="16"/>
      <c r="P4" s="16"/>
      <c r="Q4" s="153"/>
      <c r="R4" s="16"/>
      <c r="S4" s="39"/>
      <c r="T4" s="157" t="s">
        <v>820</v>
      </c>
      <c r="U4" s="164"/>
      <c r="V4" s="16"/>
      <c r="W4" s="16"/>
      <c r="X4" s="16"/>
    </row>
    <row r="5" spans="1:24" x14ac:dyDescent="0.2">
      <c r="A5" s="10" t="s">
        <v>4</v>
      </c>
      <c r="B5" s="15" t="s">
        <v>154</v>
      </c>
      <c r="C5" s="15"/>
      <c r="D5" s="16"/>
      <c r="E5" s="15" t="s">
        <v>154</v>
      </c>
      <c r="F5" s="15"/>
      <c r="G5" s="21"/>
      <c r="H5" s="157" t="s">
        <v>820</v>
      </c>
      <c r="I5" s="28"/>
      <c r="J5" s="28"/>
      <c r="K5" s="137"/>
      <c r="L5" s="16"/>
      <c r="M5" s="16"/>
      <c r="N5" s="137"/>
      <c r="O5" s="16"/>
      <c r="P5" s="16"/>
      <c r="Q5" s="137"/>
      <c r="R5" s="16"/>
      <c r="S5" s="39"/>
      <c r="T5" s="157" t="s">
        <v>820</v>
      </c>
      <c r="U5" s="164"/>
      <c r="V5" s="16"/>
      <c r="W5" s="16"/>
      <c r="X5" s="16"/>
    </row>
    <row r="6" spans="1:24" x14ac:dyDescent="0.2">
      <c r="A6" s="10" t="s">
        <v>5</v>
      </c>
      <c r="B6" s="15" t="s">
        <v>82</v>
      </c>
      <c r="C6" s="15"/>
      <c r="D6" s="16"/>
      <c r="E6" s="15">
        <v>93</v>
      </c>
      <c r="F6" s="15"/>
      <c r="G6" s="21"/>
      <c r="H6" s="157" t="s">
        <v>820</v>
      </c>
      <c r="I6" s="28"/>
      <c r="J6" s="28"/>
      <c r="K6" s="137"/>
      <c r="L6" s="16"/>
      <c r="M6" s="16"/>
      <c r="N6" s="137"/>
      <c r="O6" s="16"/>
      <c r="P6" s="16"/>
      <c r="Q6" s="137"/>
      <c r="R6" s="16"/>
      <c r="S6" s="39"/>
      <c r="T6" s="158" t="s">
        <v>821</v>
      </c>
      <c r="U6" s="164"/>
      <c r="V6" s="16"/>
      <c r="W6" s="16"/>
      <c r="X6" s="16"/>
    </row>
    <row r="7" spans="1:24" x14ac:dyDescent="0.2">
      <c r="A7" s="10" t="s">
        <v>6</v>
      </c>
      <c r="B7" s="15">
        <v>31</v>
      </c>
      <c r="C7" s="15"/>
      <c r="D7" s="16"/>
      <c r="E7" s="15" t="s">
        <v>154</v>
      </c>
      <c r="F7" s="15"/>
      <c r="G7" s="21"/>
      <c r="H7" s="159" t="s">
        <v>811</v>
      </c>
      <c r="I7" s="28"/>
      <c r="J7" s="28"/>
      <c r="K7" s="137"/>
      <c r="L7" s="16"/>
      <c r="M7" s="16"/>
      <c r="N7" s="137"/>
      <c r="O7" s="16"/>
      <c r="P7" s="16"/>
      <c r="Q7" s="137"/>
      <c r="R7" s="16"/>
      <c r="S7" s="39"/>
      <c r="T7" s="157" t="s">
        <v>820</v>
      </c>
      <c r="U7" s="164"/>
      <c r="V7" s="16"/>
      <c r="W7" s="16"/>
      <c r="X7" s="16"/>
    </row>
    <row r="8" spans="1:24" x14ac:dyDescent="0.2">
      <c r="A8" s="10" t="s">
        <v>7</v>
      </c>
      <c r="B8" s="15">
        <v>80</v>
      </c>
      <c r="C8" s="15"/>
      <c r="D8" s="16"/>
      <c r="E8" s="15" t="s">
        <v>154</v>
      </c>
      <c r="F8" s="15"/>
      <c r="G8" s="21"/>
      <c r="H8" s="157" t="s">
        <v>820</v>
      </c>
      <c r="I8" s="28"/>
      <c r="J8" s="28"/>
      <c r="K8" s="137"/>
      <c r="L8" s="16"/>
      <c r="M8" s="16"/>
      <c r="N8" s="137"/>
      <c r="O8" s="16"/>
      <c r="P8" s="16"/>
      <c r="Q8" s="137"/>
      <c r="R8" s="16"/>
      <c r="S8" s="39"/>
      <c r="T8" s="157" t="s">
        <v>820</v>
      </c>
      <c r="U8" s="164"/>
      <c r="V8" s="16"/>
      <c r="W8" s="16"/>
      <c r="X8" s="16"/>
    </row>
    <row r="9" spans="1:24" ht="12.75" customHeight="1" x14ac:dyDescent="0.2">
      <c r="A9" s="10" t="s">
        <v>8</v>
      </c>
      <c r="B9" s="15">
        <v>76</v>
      </c>
      <c r="C9" s="15"/>
      <c r="D9" s="16"/>
      <c r="E9" s="15" t="s">
        <v>154</v>
      </c>
      <c r="F9" s="15"/>
      <c r="G9" s="21"/>
      <c r="H9" s="161" t="s">
        <v>820</v>
      </c>
      <c r="I9" s="28"/>
      <c r="J9" s="28"/>
      <c r="K9" s="137"/>
      <c r="L9" s="16"/>
      <c r="M9" s="16"/>
      <c r="N9" s="137"/>
      <c r="O9" s="16"/>
      <c r="P9" s="16"/>
      <c r="Q9" s="137"/>
      <c r="R9" s="16"/>
      <c r="S9" s="39"/>
      <c r="T9" s="161" t="s">
        <v>820</v>
      </c>
      <c r="U9" s="164"/>
      <c r="V9" s="16"/>
      <c r="W9" s="16"/>
      <c r="X9" s="16"/>
    </row>
    <row r="10" spans="1:24" x14ac:dyDescent="0.2">
      <c r="A10" s="10" t="s">
        <v>9</v>
      </c>
      <c r="B10" s="15">
        <v>72</v>
      </c>
      <c r="C10" s="15"/>
      <c r="D10" s="16"/>
      <c r="E10" s="15" t="s">
        <v>154</v>
      </c>
      <c r="F10" s="15"/>
      <c r="G10" s="21"/>
      <c r="H10" s="157" t="s">
        <v>820</v>
      </c>
      <c r="I10" s="28"/>
      <c r="J10" s="28"/>
      <c r="K10" s="137"/>
      <c r="L10" s="16"/>
      <c r="M10" s="16"/>
      <c r="N10" s="137"/>
      <c r="O10" s="16"/>
      <c r="P10" s="16"/>
      <c r="Q10" s="137"/>
      <c r="R10" s="16"/>
      <c r="S10" s="39"/>
      <c r="T10" s="157" t="s">
        <v>820</v>
      </c>
      <c r="U10" s="164"/>
      <c r="V10" s="16"/>
      <c r="W10" s="16"/>
      <c r="X10" s="16"/>
    </row>
    <row r="11" spans="1:24" x14ac:dyDescent="0.2">
      <c r="A11" s="10" t="s">
        <v>10</v>
      </c>
      <c r="B11" s="15">
        <v>93</v>
      </c>
      <c r="C11" s="15"/>
      <c r="D11" s="16"/>
      <c r="E11" s="15">
        <v>93</v>
      </c>
      <c r="F11" s="15"/>
      <c r="G11" s="21"/>
      <c r="H11" s="158" t="s">
        <v>821</v>
      </c>
      <c r="I11" s="28"/>
      <c r="J11" s="28"/>
      <c r="K11" s="137"/>
      <c r="L11" s="16"/>
      <c r="M11" s="16"/>
      <c r="N11" s="137"/>
      <c r="O11" s="16"/>
      <c r="P11" s="16"/>
      <c r="Q11" s="137"/>
      <c r="R11" s="16"/>
      <c r="S11" s="39"/>
      <c r="T11" s="157" t="s">
        <v>820</v>
      </c>
      <c r="U11" s="164"/>
      <c r="V11" s="16"/>
      <c r="W11" s="16"/>
      <c r="X11" s="16"/>
    </row>
    <row r="12" spans="1:24" x14ac:dyDescent="0.2">
      <c r="A12" s="10" t="s">
        <v>11</v>
      </c>
      <c r="B12" s="15">
        <v>77</v>
      </c>
      <c r="C12" s="15"/>
      <c r="D12" s="16"/>
      <c r="E12" s="15" t="s">
        <v>154</v>
      </c>
      <c r="F12" s="15"/>
      <c r="G12" s="21"/>
      <c r="H12" s="159" t="s">
        <v>811</v>
      </c>
      <c r="I12" s="28"/>
      <c r="J12" s="28"/>
      <c r="K12" s="137"/>
      <c r="L12" s="16"/>
      <c r="M12" s="16"/>
      <c r="N12" s="137"/>
      <c r="O12" s="16"/>
      <c r="P12" s="16"/>
      <c r="Q12" s="137"/>
      <c r="R12" s="16"/>
      <c r="S12" s="39"/>
      <c r="T12" s="161" t="s">
        <v>820</v>
      </c>
      <c r="U12" s="164"/>
      <c r="V12" s="16"/>
      <c r="W12" s="16"/>
      <c r="X12" s="16"/>
    </row>
    <row r="13" spans="1:24" x14ac:dyDescent="0.2">
      <c r="A13" s="10" t="s">
        <v>12</v>
      </c>
      <c r="B13" s="15">
        <v>75</v>
      </c>
      <c r="C13" s="15"/>
      <c r="D13" s="16"/>
      <c r="E13" s="15" t="s">
        <v>154</v>
      </c>
      <c r="F13" s="15"/>
      <c r="G13" s="21"/>
      <c r="H13" s="159" t="s">
        <v>811</v>
      </c>
      <c r="I13" s="28"/>
      <c r="J13" s="28"/>
      <c r="K13" s="137"/>
      <c r="L13" s="16"/>
      <c r="M13" s="16"/>
      <c r="N13" s="137"/>
      <c r="O13" s="16"/>
      <c r="P13" s="16"/>
      <c r="Q13" s="137"/>
      <c r="R13" s="16"/>
      <c r="S13" s="39"/>
      <c r="T13" s="157" t="s">
        <v>820</v>
      </c>
      <c r="U13" s="164"/>
      <c r="V13" s="16"/>
      <c r="W13" s="16"/>
      <c r="X13" s="16"/>
    </row>
    <row r="14" spans="1:24" x14ac:dyDescent="0.2">
      <c r="A14" s="10" t="s">
        <v>13</v>
      </c>
      <c r="B14" s="15">
        <v>62</v>
      </c>
      <c r="C14" s="15"/>
      <c r="D14" s="16"/>
      <c r="E14" s="15" t="s">
        <v>154</v>
      </c>
      <c r="F14" s="15"/>
      <c r="G14" s="21"/>
      <c r="H14" s="158" t="s">
        <v>821</v>
      </c>
      <c r="I14" s="28"/>
      <c r="J14" s="28"/>
      <c r="K14" s="137"/>
      <c r="L14" s="16"/>
      <c r="M14" s="16"/>
      <c r="N14" s="137"/>
      <c r="O14" s="16"/>
      <c r="P14" s="16"/>
      <c r="Q14" s="137"/>
      <c r="R14" s="16"/>
      <c r="S14" s="39"/>
      <c r="T14" s="157" t="s">
        <v>821</v>
      </c>
      <c r="U14" s="164"/>
      <c r="V14" s="16"/>
      <c r="W14" s="16"/>
      <c r="X14" s="16"/>
    </row>
    <row r="15" spans="1:24" x14ac:dyDescent="0.2">
      <c r="A15" s="10" t="s">
        <v>14</v>
      </c>
      <c r="B15" s="15">
        <v>61</v>
      </c>
      <c r="C15" s="15"/>
      <c r="D15" s="16"/>
      <c r="E15" s="15" t="s">
        <v>154</v>
      </c>
      <c r="F15" s="15"/>
      <c r="G15" s="21"/>
      <c r="H15" s="158" t="s">
        <v>821</v>
      </c>
      <c r="I15" s="28"/>
      <c r="J15" s="28"/>
      <c r="K15" s="137"/>
      <c r="L15" s="16"/>
      <c r="M15" s="16"/>
      <c r="N15" s="137"/>
      <c r="O15" s="16"/>
      <c r="P15" s="16"/>
      <c r="Q15" s="137"/>
      <c r="R15" s="16"/>
      <c r="S15" s="39"/>
      <c r="T15" s="158" t="s">
        <v>821</v>
      </c>
      <c r="U15" s="164"/>
      <c r="V15" s="16"/>
      <c r="W15" s="16"/>
      <c r="X15" s="16"/>
    </row>
    <row r="16" spans="1:24" x14ac:dyDescent="0.2">
      <c r="A16" s="10" t="s">
        <v>15</v>
      </c>
      <c r="B16" s="15">
        <v>61</v>
      </c>
      <c r="C16" s="15"/>
      <c r="D16" s="16"/>
      <c r="E16" s="15" t="s">
        <v>154</v>
      </c>
      <c r="F16" s="15"/>
      <c r="G16" s="21"/>
      <c r="H16" s="159" t="s">
        <v>811</v>
      </c>
      <c r="I16" s="28"/>
      <c r="J16" s="28"/>
      <c r="K16" s="137"/>
      <c r="L16" s="16"/>
      <c r="M16" s="16"/>
      <c r="N16" s="137"/>
      <c r="O16" s="16"/>
      <c r="P16" s="16"/>
      <c r="Q16" s="137"/>
      <c r="R16" s="16"/>
      <c r="S16" s="39"/>
      <c r="T16" s="159" t="s">
        <v>811</v>
      </c>
      <c r="U16" s="164"/>
      <c r="V16" s="16"/>
      <c r="W16" s="16"/>
      <c r="X16" s="16"/>
    </row>
    <row r="17" spans="1:24" x14ac:dyDescent="0.2">
      <c r="A17" s="10" t="s">
        <v>16</v>
      </c>
      <c r="B17" s="15">
        <v>16</v>
      </c>
      <c r="C17" s="15"/>
      <c r="D17" s="16"/>
      <c r="E17" s="15" t="s">
        <v>154</v>
      </c>
      <c r="F17" s="15"/>
      <c r="G17" s="21"/>
      <c r="H17" s="159" t="s">
        <v>811</v>
      </c>
      <c r="I17" s="28"/>
      <c r="J17" s="28"/>
      <c r="K17" s="137"/>
      <c r="L17" s="16"/>
      <c r="M17" s="16"/>
      <c r="N17" s="137"/>
      <c r="O17" s="16"/>
      <c r="P17" s="16"/>
      <c r="Q17" s="137"/>
      <c r="R17" s="16"/>
      <c r="S17" s="39"/>
      <c r="T17" s="159" t="s">
        <v>811</v>
      </c>
      <c r="U17" s="164"/>
      <c r="V17" s="16"/>
      <c r="W17" s="16"/>
      <c r="X17" s="16"/>
    </row>
    <row r="18" spans="1:24" x14ac:dyDescent="0.2">
      <c r="A18" s="10" t="s">
        <v>17</v>
      </c>
      <c r="B18" s="15" t="s">
        <v>154</v>
      </c>
      <c r="C18" s="15"/>
      <c r="D18" s="16"/>
      <c r="E18" s="15">
        <v>4</v>
      </c>
      <c r="F18" s="15"/>
      <c r="G18" s="21"/>
      <c r="H18" s="159" t="s">
        <v>811</v>
      </c>
      <c r="I18" s="28"/>
      <c r="J18" s="28"/>
      <c r="K18" s="137"/>
      <c r="L18" s="16"/>
      <c r="M18" s="16"/>
      <c r="N18" s="137"/>
      <c r="O18" s="16"/>
      <c r="P18" s="16"/>
      <c r="Q18" s="137"/>
      <c r="R18" s="16"/>
      <c r="S18" s="39"/>
      <c r="T18" s="158" t="s">
        <v>821</v>
      </c>
      <c r="U18" s="164"/>
      <c r="V18" s="16"/>
      <c r="W18" s="16"/>
      <c r="X18" s="16"/>
    </row>
    <row r="19" spans="1:24" x14ac:dyDescent="0.2">
      <c r="A19" s="10" t="s">
        <v>18</v>
      </c>
      <c r="B19" s="15">
        <v>87</v>
      </c>
      <c r="C19" s="15"/>
      <c r="D19" s="16"/>
      <c r="E19" s="15" t="s">
        <v>154</v>
      </c>
      <c r="F19" s="15"/>
      <c r="G19" s="21"/>
      <c r="H19" s="161" t="s">
        <v>820</v>
      </c>
      <c r="I19" s="28"/>
      <c r="J19" s="28"/>
      <c r="K19" s="137"/>
      <c r="L19" s="16"/>
      <c r="M19" s="16"/>
      <c r="N19" s="137"/>
      <c r="O19" s="16"/>
      <c r="P19" s="16"/>
      <c r="Q19" s="137"/>
      <c r="R19" s="16"/>
      <c r="S19" s="39"/>
      <c r="T19" s="158" t="s">
        <v>821</v>
      </c>
      <c r="U19" s="164"/>
      <c r="V19" s="16"/>
      <c r="W19" s="16"/>
      <c r="X19" s="16"/>
    </row>
    <row r="20" spans="1:24" x14ac:dyDescent="0.2">
      <c r="A20" s="10" t="s">
        <v>19</v>
      </c>
      <c r="B20" s="15">
        <v>91</v>
      </c>
      <c r="C20" s="15"/>
      <c r="D20" s="16"/>
      <c r="E20" s="15" t="s">
        <v>154</v>
      </c>
      <c r="F20" s="15"/>
      <c r="G20" s="21"/>
      <c r="H20" s="161" t="s">
        <v>820</v>
      </c>
      <c r="I20" s="28"/>
      <c r="J20" s="28"/>
      <c r="K20" s="137"/>
      <c r="L20" s="16"/>
      <c r="M20" s="16"/>
      <c r="N20" s="137"/>
      <c r="O20" s="16"/>
      <c r="P20" s="16"/>
      <c r="Q20" s="137"/>
      <c r="R20" s="16"/>
      <c r="S20" s="39"/>
      <c r="T20" s="158" t="s">
        <v>821</v>
      </c>
      <c r="U20" s="164"/>
      <c r="V20" s="16"/>
      <c r="W20" s="16"/>
      <c r="X20" s="16"/>
    </row>
    <row r="21" spans="1:24" x14ac:dyDescent="0.2">
      <c r="A21" s="10" t="s">
        <v>20</v>
      </c>
      <c r="B21" s="15">
        <v>65</v>
      </c>
      <c r="C21" s="15"/>
      <c r="D21" s="16"/>
      <c r="E21" s="15" t="s">
        <v>154</v>
      </c>
      <c r="F21" s="15"/>
      <c r="G21" s="21"/>
      <c r="H21" s="161" t="s">
        <v>820</v>
      </c>
      <c r="I21" s="28"/>
      <c r="J21" s="28"/>
      <c r="K21" s="137"/>
      <c r="L21" s="16"/>
      <c r="M21" s="16"/>
      <c r="N21" s="137"/>
      <c r="O21" s="16"/>
      <c r="P21" s="16"/>
      <c r="Q21" s="137"/>
      <c r="R21" s="16"/>
      <c r="S21" s="39"/>
      <c r="T21" s="158" t="s">
        <v>821</v>
      </c>
      <c r="U21" s="164"/>
      <c r="V21" s="16"/>
      <c r="W21" s="16"/>
      <c r="X21" s="16"/>
    </row>
    <row r="22" spans="1:24" x14ac:dyDescent="0.2">
      <c r="A22" s="10" t="s">
        <v>21</v>
      </c>
      <c r="B22" s="15">
        <v>100</v>
      </c>
      <c r="C22" s="15"/>
      <c r="D22" s="16"/>
      <c r="E22" s="15" t="s">
        <v>154</v>
      </c>
      <c r="F22" s="15"/>
      <c r="G22" s="21"/>
      <c r="H22" s="159" t="s">
        <v>811</v>
      </c>
      <c r="I22" s="28"/>
      <c r="J22" s="28"/>
      <c r="K22" s="137"/>
      <c r="L22" s="16"/>
      <c r="M22" s="16"/>
      <c r="N22" s="137"/>
      <c r="O22" s="16"/>
      <c r="P22" s="16"/>
      <c r="Q22" s="137"/>
      <c r="R22" s="16"/>
      <c r="S22" s="39"/>
      <c r="T22" s="158" t="s">
        <v>821</v>
      </c>
      <c r="U22" s="164"/>
      <c r="V22" s="16"/>
      <c r="W22" s="16"/>
      <c r="X22" s="16"/>
    </row>
    <row r="23" spans="1:24" x14ac:dyDescent="0.2">
      <c r="A23" s="10" t="s">
        <v>22</v>
      </c>
      <c r="B23" s="15">
        <v>28</v>
      </c>
      <c r="C23" s="15"/>
      <c r="D23" s="16"/>
      <c r="E23" s="15" t="s">
        <v>154</v>
      </c>
      <c r="F23" s="15"/>
      <c r="G23" s="21"/>
      <c r="H23" s="158" t="s">
        <v>821</v>
      </c>
      <c r="I23" s="28"/>
      <c r="J23" s="28"/>
      <c r="K23" s="137"/>
      <c r="L23" s="16"/>
      <c r="M23" s="16"/>
      <c r="N23" s="137"/>
      <c r="O23" s="16"/>
      <c r="P23" s="16"/>
      <c r="Q23" s="137"/>
      <c r="R23" s="16"/>
      <c r="S23" s="39"/>
      <c r="T23" s="158" t="s">
        <v>821</v>
      </c>
      <c r="U23" s="164"/>
      <c r="V23" s="16"/>
      <c r="W23" s="16"/>
      <c r="X23" s="16"/>
    </row>
    <row r="24" spans="1:24" x14ac:dyDescent="0.2">
      <c r="A24" s="10" t="s">
        <v>23</v>
      </c>
      <c r="B24" s="15" t="s">
        <v>154</v>
      </c>
      <c r="C24" s="15"/>
      <c r="D24" s="16"/>
      <c r="E24" s="15" t="s">
        <v>154</v>
      </c>
      <c r="F24" s="15"/>
      <c r="G24" s="21"/>
      <c r="H24" s="158" t="s">
        <v>821</v>
      </c>
      <c r="I24" s="28"/>
      <c r="J24" s="28"/>
      <c r="K24" s="137"/>
      <c r="L24" s="16"/>
      <c r="M24" s="16"/>
      <c r="N24" s="137"/>
      <c r="O24" s="16"/>
      <c r="P24" s="16"/>
      <c r="Q24" s="137"/>
      <c r="R24" s="16"/>
      <c r="S24" s="39"/>
      <c r="T24" s="161" t="s">
        <v>820</v>
      </c>
      <c r="U24" s="164"/>
      <c r="V24" s="16"/>
      <c r="W24" s="16"/>
      <c r="X24" s="16"/>
    </row>
    <row r="25" spans="1:24" x14ac:dyDescent="0.2">
      <c r="A25" s="10" t="s">
        <v>24</v>
      </c>
      <c r="B25" s="15" t="s">
        <v>82</v>
      </c>
      <c r="C25" s="15"/>
      <c r="D25" s="16"/>
      <c r="E25" s="15">
        <v>95</v>
      </c>
      <c r="F25" s="15"/>
      <c r="G25" s="21"/>
      <c r="H25" s="161" t="s">
        <v>820</v>
      </c>
      <c r="I25" s="28"/>
      <c r="J25" s="28"/>
      <c r="K25" s="137"/>
      <c r="L25" s="16"/>
      <c r="M25" s="16"/>
      <c r="N25" s="137"/>
      <c r="O25" s="16"/>
      <c r="P25" s="16"/>
      <c r="Q25" s="137"/>
      <c r="R25" s="16"/>
      <c r="S25" s="39"/>
      <c r="T25" s="161" t="s">
        <v>820</v>
      </c>
      <c r="U25" s="164"/>
      <c r="V25" s="16"/>
      <c r="W25" s="16"/>
      <c r="X25" s="16"/>
    </row>
    <row r="26" spans="1:24" x14ac:dyDescent="0.2">
      <c r="A26" s="10" t="s">
        <v>25</v>
      </c>
      <c r="B26" s="15">
        <v>54</v>
      </c>
      <c r="C26" s="15"/>
      <c r="D26" s="16"/>
      <c r="E26" s="15" t="s">
        <v>154</v>
      </c>
      <c r="F26" s="15"/>
      <c r="G26" s="21"/>
      <c r="H26" s="158" t="s">
        <v>821</v>
      </c>
      <c r="I26" s="28"/>
      <c r="J26" s="28"/>
      <c r="K26" s="137"/>
      <c r="L26" s="16"/>
      <c r="M26" s="16"/>
      <c r="N26" s="137"/>
      <c r="O26" s="16"/>
      <c r="P26" s="16"/>
      <c r="Q26" s="137"/>
      <c r="R26" s="16"/>
      <c r="S26" s="39"/>
      <c r="T26" s="159" t="s">
        <v>811</v>
      </c>
      <c r="U26" s="164"/>
      <c r="V26" s="16"/>
      <c r="W26" s="16"/>
      <c r="X26" s="16"/>
    </row>
    <row r="27" spans="1:24" x14ac:dyDescent="0.2">
      <c r="A27" s="10" t="s">
        <v>26</v>
      </c>
      <c r="B27" s="15" t="s">
        <v>154</v>
      </c>
      <c r="C27" s="15"/>
      <c r="D27" s="16"/>
      <c r="E27" s="15" t="s">
        <v>154</v>
      </c>
      <c r="F27" s="15"/>
      <c r="G27" s="21"/>
      <c r="H27" s="158" t="s">
        <v>821</v>
      </c>
      <c r="I27" s="28"/>
      <c r="J27" s="28"/>
      <c r="K27" s="137"/>
      <c r="L27" s="16"/>
      <c r="M27" s="16"/>
      <c r="N27" s="137"/>
      <c r="O27" s="16"/>
      <c r="P27" s="16"/>
      <c r="Q27" s="137"/>
      <c r="R27" s="16"/>
      <c r="S27" s="39"/>
      <c r="T27" s="158" t="s">
        <v>821</v>
      </c>
      <c r="U27" s="164"/>
      <c r="V27" s="16"/>
      <c r="W27" s="16"/>
      <c r="X27" s="16"/>
    </row>
    <row r="28" spans="1:24" x14ac:dyDescent="0.2">
      <c r="A28" s="10" t="s">
        <v>27</v>
      </c>
      <c r="B28" s="15" t="s">
        <v>154</v>
      </c>
      <c r="C28" s="15"/>
      <c r="D28" s="16"/>
      <c r="E28" s="15" t="s">
        <v>154</v>
      </c>
      <c r="F28" s="15"/>
      <c r="G28" s="21"/>
      <c r="H28" s="158" t="s">
        <v>821</v>
      </c>
      <c r="I28" s="28"/>
      <c r="J28" s="28"/>
      <c r="K28" s="137"/>
      <c r="L28" s="16"/>
      <c r="M28" s="16"/>
      <c r="N28" s="137"/>
      <c r="O28" s="16"/>
      <c r="P28" s="16"/>
      <c r="Q28" s="137"/>
      <c r="R28" s="16"/>
      <c r="S28" s="39"/>
      <c r="T28" s="161" t="s">
        <v>820</v>
      </c>
      <c r="U28" s="164"/>
      <c r="V28" s="16"/>
      <c r="W28" s="16"/>
      <c r="X28" s="16"/>
    </row>
    <row r="29" spans="1:24" x14ac:dyDescent="0.2">
      <c r="A29" s="10" t="s">
        <v>28</v>
      </c>
      <c r="B29" s="15">
        <v>90</v>
      </c>
      <c r="C29" s="15"/>
      <c r="D29" s="16"/>
      <c r="E29" s="15" t="s">
        <v>154</v>
      </c>
      <c r="F29" s="15"/>
      <c r="G29" s="21"/>
      <c r="H29" s="161" t="s">
        <v>820</v>
      </c>
      <c r="I29" s="28"/>
      <c r="J29" s="28"/>
      <c r="K29" s="137"/>
      <c r="L29" s="16"/>
      <c r="M29" s="16"/>
      <c r="N29" s="137"/>
      <c r="O29" s="16"/>
      <c r="P29" s="16"/>
      <c r="Q29" s="137"/>
      <c r="R29" s="16"/>
      <c r="S29" s="39"/>
      <c r="T29" s="161" t="s">
        <v>820</v>
      </c>
      <c r="U29" s="164"/>
      <c r="V29" s="16"/>
      <c r="W29" s="16"/>
      <c r="X29" s="16"/>
    </row>
    <row r="30" spans="1:24" ht="12.75" customHeight="1" x14ac:dyDescent="0.2">
      <c r="A30" s="10" t="s">
        <v>29</v>
      </c>
      <c r="B30" s="15">
        <v>53</v>
      </c>
      <c r="C30" s="15"/>
      <c r="D30" s="16"/>
      <c r="E30" s="15" t="s">
        <v>154</v>
      </c>
      <c r="F30" s="15"/>
      <c r="G30" s="21"/>
      <c r="H30" s="161" t="s">
        <v>820</v>
      </c>
      <c r="I30" s="28"/>
      <c r="J30" s="28"/>
      <c r="K30" s="137"/>
      <c r="L30" s="16"/>
      <c r="M30" s="16"/>
      <c r="N30" s="137"/>
      <c r="O30" s="16"/>
      <c r="P30" s="16"/>
      <c r="Q30" s="137"/>
      <c r="R30" s="16"/>
      <c r="S30" s="39"/>
      <c r="T30" s="159" t="s">
        <v>811</v>
      </c>
      <c r="U30" s="164"/>
      <c r="V30" s="16"/>
      <c r="W30" s="16"/>
      <c r="X30" s="16"/>
    </row>
    <row r="31" spans="1:24" x14ac:dyDescent="0.2">
      <c r="A31" s="10" t="s">
        <v>30</v>
      </c>
      <c r="B31" s="15">
        <v>63</v>
      </c>
      <c r="C31" s="15"/>
      <c r="D31" s="16"/>
      <c r="E31" s="15" t="s">
        <v>154</v>
      </c>
      <c r="F31" s="15"/>
      <c r="G31" s="21"/>
      <c r="H31" s="158" t="s">
        <v>821</v>
      </c>
      <c r="I31" s="28"/>
      <c r="J31" s="28"/>
      <c r="K31" s="137"/>
      <c r="L31" s="16"/>
      <c r="M31" s="16"/>
      <c r="N31" s="137"/>
      <c r="O31" s="16"/>
      <c r="P31" s="16"/>
      <c r="Q31" s="137"/>
      <c r="R31" s="16"/>
      <c r="S31" s="39"/>
      <c r="T31" s="161" t="s">
        <v>820</v>
      </c>
      <c r="U31" s="164"/>
      <c r="V31" s="16"/>
      <c r="W31" s="16"/>
      <c r="X31" s="16"/>
    </row>
    <row r="32" spans="1:24" x14ac:dyDescent="0.2">
      <c r="A32" s="10" t="s">
        <v>31</v>
      </c>
      <c r="B32" s="15">
        <v>97</v>
      </c>
      <c r="C32" s="15"/>
      <c r="D32" s="16"/>
      <c r="E32" s="15">
        <v>92</v>
      </c>
      <c r="F32" s="15"/>
      <c r="G32" s="21"/>
      <c r="H32" s="161" t="s">
        <v>820</v>
      </c>
      <c r="I32" s="28"/>
      <c r="J32" s="28"/>
      <c r="K32" s="137"/>
      <c r="L32" s="16"/>
      <c r="M32" s="16"/>
      <c r="N32" s="137"/>
      <c r="O32" s="16"/>
      <c r="P32" s="16"/>
      <c r="Q32" s="137"/>
      <c r="R32" s="16"/>
      <c r="S32" s="39"/>
      <c r="T32" s="161" t="s">
        <v>820</v>
      </c>
      <c r="U32" s="164"/>
      <c r="V32" s="16"/>
      <c r="W32" s="16"/>
      <c r="X32" s="16"/>
    </row>
    <row r="33" spans="1:24" x14ac:dyDescent="0.2">
      <c r="A33" s="10" t="s">
        <v>32</v>
      </c>
      <c r="B33" s="15">
        <v>58</v>
      </c>
      <c r="C33" s="15"/>
      <c r="D33" s="16"/>
      <c r="E33" s="15" t="s">
        <v>154</v>
      </c>
      <c r="F33" s="15"/>
      <c r="G33" s="21"/>
      <c r="H33" s="159" t="s">
        <v>811</v>
      </c>
      <c r="I33" s="28"/>
      <c r="J33" s="28"/>
      <c r="K33" s="137"/>
      <c r="L33" s="16"/>
      <c r="M33" s="16"/>
      <c r="N33" s="137"/>
      <c r="O33" s="16"/>
      <c r="P33" s="16"/>
      <c r="Q33" s="137"/>
      <c r="R33" s="16"/>
      <c r="S33" s="39"/>
      <c r="T33" s="161" t="s">
        <v>820</v>
      </c>
      <c r="U33" s="164"/>
      <c r="V33" s="16"/>
      <c r="W33" s="16"/>
      <c r="X33" s="16"/>
    </row>
    <row r="34" spans="1:24" x14ac:dyDescent="0.2">
      <c r="A34" s="10" t="s">
        <v>33</v>
      </c>
      <c r="B34" s="15">
        <v>24</v>
      </c>
      <c r="C34" s="15"/>
      <c r="D34" s="16"/>
      <c r="E34" s="15" t="s">
        <v>154</v>
      </c>
      <c r="F34" s="15"/>
      <c r="G34" s="21"/>
      <c r="H34" s="159" t="s">
        <v>811</v>
      </c>
      <c r="I34" s="28"/>
      <c r="J34" s="28"/>
      <c r="K34" s="137"/>
      <c r="L34" s="16"/>
      <c r="M34" s="16"/>
      <c r="N34" s="137"/>
      <c r="O34" s="16"/>
      <c r="P34" s="16"/>
      <c r="Q34" s="137"/>
      <c r="R34" s="16"/>
      <c r="S34" s="39"/>
      <c r="T34" s="158" t="s">
        <v>821</v>
      </c>
      <c r="U34" s="164"/>
      <c r="V34" s="16"/>
      <c r="W34" s="16"/>
      <c r="X34" s="16"/>
    </row>
    <row r="35" spans="1:24" x14ac:dyDescent="0.2">
      <c r="A35" s="10" t="s">
        <v>34</v>
      </c>
      <c r="B35" s="15">
        <v>80</v>
      </c>
      <c r="C35" s="15"/>
      <c r="D35" s="16"/>
      <c r="E35" s="15" t="s">
        <v>154</v>
      </c>
      <c r="F35" s="15"/>
      <c r="G35" s="21"/>
      <c r="H35" s="159" t="s">
        <v>811</v>
      </c>
      <c r="I35" s="28"/>
      <c r="J35" s="28"/>
      <c r="K35" s="137"/>
      <c r="L35" s="16"/>
      <c r="M35" s="16"/>
      <c r="N35" s="137"/>
      <c r="O35" s="16"/>
      <c r="P35" s="16"/>
      <c r="Q35" s="137"/>
      <c r="R35" s="16"/>
      <c r="S35" s="39"/>
      <c r="T35" s="159" t="s">
        <v>811</v>
      </c>
      <c r="U35" s="164"/>
      <c r="V35" s="16"/>
      <c r="W35" s="16"/>
      <c r="X35" s="16"/>
    </row>
    <row r="36" spans="1:24" x14ac:dyDescent="0.2">
      <c r="A36" s="10" t="s">
        <v>35</v>
      </c>
      <c r="B36" s="15">
        <v>84</v>
      </c>
      <c r="C36" s="15"/>
      <c r="D36" s="16"/>
      <c r="E36" s="15">
        <v>8</v>
      </c>
      <c r="F36" s="15"/>
      <c r="G36" s="21"/>
      <c r="H36" s="167" t="s">
        <v>821</v>
      </c>
      <c r="I36" s="28"/>
      <c r="J36" s="28"/>
      <c r="K36" s="137"/>
      <c r="L36" s="16"/>
      <c r="M36" s="16"/>
      <c r="N36" s="137"/>
      <c r="O36" s="16"/>
      <c r="P36" s="16"/>
      <c r="Q36" s="137"/>
      <c r="R36" s="16"/>
      <c r="S36" s="39"/>
      <c r="T36" s="161" t="s">
        <v>820</v>
      </c>
      <c r="U36" s="164"/>
      <c r="V36" s="16"/>
      <c r="W36" s="16"/>
      <c r="X36" s="16"/>
    </row>
    <row r="37" spans="1:24" x14ac:dyDescent="0.2">
      <c r="A37" s="10" t="s">
        <v>36</v>
      </c>
      <c r="B37" s="15">
        <v>67</v>
      </c>
      <c r="C37" s="15"/>
      <c r="D37" s="16"/>
      <c r="E37" s="15" t="s">
        <v>154</v>
      </c>
      <c r="F37" s="15"/>
      <c r="G37" s="21"/>
      <c r="H37" s="161" t="s">
        <v>820</v>
      </c>
      <c r="I37" s="28"/>
      <c r="J37" s="28"/>
      <c r="K37" s="137"/>
      <c r="L37" s="16"/>
      <c r="M37" s="16"/>
      <c r="N37" s="137"/>
      <c r="O37" s="16"/>
      <c r="P37" s="16"/>
      <c r="Q37" s="137"/>
      <c r="R37" s="16"/>
      <c r="S37" s="39"/>
      <c r="T37" s="161" t="s">
        <v>820</v>
      </c>
      <c r="U37" s="164"/>
      <c r="V37" s="16"/>
      <c r="W37" s="16"/>
      <c r="X37" s="16"/>
    </row>
    <row r="38" spans="1:24" x14ac:dyDescent="0.2">
      <c r="A38" s="10" t="s">
        <v>37</v>
      </c>
      <c r="B38" s="15">
        <v>99</v>
      </c>
      <c r="C38" s="15"/>
      <c r="D38" s="16"/>
      <c r="E38" s="15">
        <v>65</v>
      </c>
      <c r="F38" s="15"/>
      <c r="G38" s="21"/>
      <c r="H38" s="161" t="s">
        <v>820</v>
      </c>
      <c r="I38" s="28"/>
      <c r="J38" s="28"/>
      <c r="K38" s="137"/>
      <c r="L38" s="16"/>
      <c r="M38" s="16"/>
      <c r="N38" s="137"/>
      <c r="O38" s="16"/>
      <c r="P38" s="16"/>
      <c r="Q38" s="137"/>
      <c r="R38" s="16"/>
      <c r="S38" s="39"/>
      <c r="T38" s="161" t="s">
        <v>820</v>
      </c>
      <c r="U38" s="164"/>
      <c r="V38" s="16"/>
      <c r="W38" s="16"/>
      <c r="X38" s="16"/>
    </row>
    <row r="39" spans="1:24" x14ac:dyDescent="0.2">
      <c r="A39" s="10" t="s">
        <v>38</v>
      </c>
      <c r="B39" s="15">
        <v>60</v>
      </c>
      <c r="C39" s="15"/>
      <c r="D39" s="16"/>
      <c r="E39" s="15" t="s">
        <v>154</v>
      </c>
      <c r="F39" s="15"/>
      <c r="G39" s="21"/>
      <c r="H39" s="161" t="s">
        <v>820</v>
      </c>
      <c r="I39" s="28"/>
      <c r="J39" s="28"/>
      <c r="K39" s="137"/>
      <c r="L39" s="16"/>
      <c r="M39" s="16"/>
      <c r="N39" s="137"/>
      <c r="O39" s="16"/>
      <c r="P39" s="16"/>
      <c r="Q39" s="137"/>
      <c r="R39" s="16"/>
      <c r="S39" s="39"/>
      <c r="T39" s="161" t="s">
        <v>820</v>
      </c>
      <c r="U39" s="164"/>
      <c r="V39" s="16"/>
      <c r="W39" s="16"/>
      <c r="X39" s="16"/>
    </row>
    <row r="40" spans="1:24" x14ac:dyDescent="0.2">
      <c r="A40" s="10" t="s">
        <v>39</v>
      </c>
      <c r="B40" s="15">
        <v>98</v>
      </c>
      <c r="C40" s="15"/>
      <c r="D40" s="16"/>
      <c r="E40" s="15">
        <v>96</v>
      </c>
      <c r="F40" s="15"/>
      <c r="G40" s="21"/>
      <c r="H40" s="158" t="s">
        <v>821</v>
      </c>
      <c r="I40" s="28"/>
      <c r="J40" s="28"/>
      <c r="K40" s="137"/>
      <c r="L40" s="16"/>
      <c r="M40" s="16"/>
      <c r="N40" s="137"/>
      <c r="O40" s="16"/>
      <c r="P40" s="16"/>
      <c r="Q40" s="137"/>
      <c r="R40" s="16"/>
      <c r="S40" s="39"/>
      <c r="T40" s="161" t="s">
        <v>820</v>
      </c>
      <c r="U40" s="164"/>
      <c r="V40" s="16"/>
      <c r="W40" s="16"/>
      <c r="X40" s="16"/>
    </row>
    <row r="41" spans="1:24" x14ac:dyDescent="0.2">
      <c r="A41" s="10" t="s">
        <v>40</v>
      </c>
      <c r="B41" s="15">
        <v>75</v>
      </c>
      <c r="C41" s="15"/>
      <c r="D41" s="16"/>
      <c r="E41" s="15" t="s">
        <v>154</v>
      </c>
      <c r="F41" s="15"/>
      <c r="G41" s="21"/>
      <c r="H41" s="158" t="s">
        <v>821</v>
      </c>
      <c r="I41" s="28"/>
      <c r="J41" s="28"/>
      <c r="K41" s="137"/>
      <c r="L41" s="16"/>
      <c r="M41" s="16"/>
      <c r="N41" s="137"/>
      <c r="O41" s="16"/>
      <c r="P41" s="16"/>
      <c r="Q41" s="137"/>
      <c r="R41" s="16"/>
      <c r="S41" s="39"/>
      <c r="T41" s="161" t="s">
        <v>820</v>
      </c>
      <c r="U41" s="164"/>
      <c r="V41" s="16"/>
      <c r="W41" s="16"/>
      <c r="X41" s="16"/>
    </row>
    <row r="42" spans="1:24" x14ac:dyDescent="0.2">
      <c r="A42" s="10" t="s">
        <v>41</v>
      </c>
      <c r="B42" s="15">
        <v>45</v>
      </c>
      <c r="C42" s="15"/>
      <c r="D42" s="16"/>
      <c r="E42" s="15" t="s">
        <v>154</v>
      </c>
      <c r="F42" s="15"/>
      <c r="G42" s="21"/>
      <c r="H42" s="161" t="s">
        <v>820</v>
      </c>
      <c r="I42" s="28"/>
      <c r="J42" s="28"/>
      <c r="K42" s="137"/>
      <c r="L42" s="16"/>
      <c r="M42" s="16"/>
      <c r="N42" s="137"/>
      <c r="O42" s="16"/>
      <c r="P42" s="16"/>
      <c r="Q42" s="137"/>
      <c r="R42" s="16"/>
      <c r="S42" s="39"/>
      <c r="T42" s="158" t="s">
        <v>821</v>
      </c>
      <c r="U42" s="164"/>
      <c r="V42" s="16"/>
      <c r="W42" s="16"/>
      <c r="X42" s="16"/>
    </row>
    <row r="43" spans="1:24" x14ac:dyDescent="0.2">
      <c r="A43" s="10" t="s">
        <v>42</v>
      </c>
      <c r="B43" s="15">
        <v>4</v>
      </c>
      <c r="C43" s="15"/>
      <c r="D43" s="16"/>
      <c r="E43" s="15" t="s">
        <v>154</v>
      </c>
      <c r="F43" s="15"/>
      <c r="G43" s="21"/>
      <c r="H43" s="161" t="s">
        <v>820</v>
      </c>
      <c r="I43" s="28"/>
      <c r="J43" s="28"/>
      <c r="K43" s="137"/>
      <c r="L43" s="16"/>
      <c r="M43" s="16"/>
      <c r="N43" s="137"/>
      <c r="O43" s="16"/>
      <c r="P43" s="16"/>
      <c r="Q43" s="137"/>
      <c r="R43" s="16"/>
      <c r="S43" s="39"/>
      <c r="T43" s="161" t="s">
        <v>820</v>
      </c>
      <c r="U43" s="164"/>
      <c r="V43" s="16"/>
      <c r="W43" s="16"/>
      <c r="X43" s="16"/>
    </row>
    <row r="44" spans="1:24" x14ac:dyDescent="0.2">
      <c r="A44" s="10" t="s">
        <v>43</v>
      </c>
      <c r="B44" s="15">
        <v>83</v>
      </c>
      <c r="C44" s="15"/>
      <c r="D44" s="16"/>
      <c r="E44" s="15" t="s">
        <v>154</v>
      </c>
      <c r="F44" s="15"/>
      <c r="G44" s="21"/>
      <c r="H44" s="159" t="s">
        <v>811</v>
      </c>
      <c r="I44" s="28"/>
      <c r="J44" s="28"/>
      <c r="K44" s="137"/>
      <c r="L44" s="16"/>
      <c r="M44" s="16"/>
      <c r="N44" s="137"/>
      <c r="O44" s="16"/>
      <c r="P44" s="16"/>
      <c r="Q44" s="137"/>
      <c r="R44" s="16"/>
      <c r="S44" s="39"/>
      <c r="T44" s="158" t="s">
        <v>821</v>
      </c>
      <c r="U44" s="164"/>
      <c r="V44" s="16"/>
      <c r="W44" s="16"/>
      <c r="X44" s="16"/>
    </row>
    <row r="45" spans="1:24" x14ac:dyDescent="0.2">
      <c r="A45" s="10" t="s">
        <v>44</v>
      </c>
      <c r="B45" s="15">
        <v>2</v>
      </c>
      <c r="C45" s="15"/>
      <c r="D45" s="16"/>
      <c r="E45" s="15" t="s">
        <v>154</v>
      </c>
      <c r="F45" s="15"/>
      <c r="G45" s="21"/>
      <c r="H45" s="161" t="s">
        <v>820</v>
      </c>
      <c r="I45" s="28"/>
      <c r="J45" s="28"/>
      <c r="K45" s="137"/>
      <c r="L45" s="16"/>
      <c r="M45" s="16"/>
      <c r="N45" s="137"/>
      <c r="O45" s="16"/>
      <c r="P45" s="16"/>
      <c r="Q45" s="137"/>
      <c r="R45" s="16"/>
      <c r="S45" s="39"/>
      <c r="T45" s="158" t="s">
        <v>821</v>
      </c>
      <c r="U45" s="164"/>
      <c r="V45" s="16"/>
      <c r="W45" s="16"/>
      <c r="X45" s="16"/>
    </row>
    <row r="46" spans="1:24" x14ac:dyDescent="0.2">
      <c r="A46" s="10" t="s">
        <v>45</v>
      </c>
      <c r="B46" s="15">
        <v>81</v>
      </c>
      <c r="C46" s="15"/>
      <c r="D46" s="16"/>
      <c r="E46" s="15" t="s">
        <v>154</v>
      </c>
      <c r="F46" s="15"/>
      <c r="G46" s="21"/>
      <c r="H46" s="158" t="s">
        <v>821</v>
      </c>
      <c r="I46" s="28"/>
      <c r="J46" s="28"/>
      <c r="K46" s="137"/>
      <c r="L46" s="16"/>
      <c r="M46" s="16"/>
      <c r="N46" s="137"/>
      <c r="O46" s="16"/>
      <c r="P46" s="16"/>
      <c r="Q46" s="137"/>
      <c r="R46" s="16"/>
      <c r="S46" s="39"/>
      <c r="T46" s="157" t="s">
        <v>820</v>
      </c>
      <c r="U46" s="164"/>
      <c r="V46" s="16"/>
      <c r="W46" s="16"/>
      <c r="X46" s="16"/>
    </row>
    <row r="47" spans="1:24" x14ac:dyDescent="0.2">
      <c r="A47" s="10" t="s">
        <v>46</v>
      </c>
      <c r="B47" s="15">
        <v>59</v>
      </c>
      <c r="C47" s="15"/>
      <c r="D47" s="16"/>
      <c r="E47" s="15" t="s">
        <v>154</v>
      </c>
      <c r="F47" s="15"/>
      <c r="G47" s="21"/>
      <c r="H47" s="159" t="s">
        <v>811</v>
      </c>
      <c r="I47" s="28"/>
      <c r="J47" s="28"/>
      <c r="K47" s="137"/>
      <c r="L47" s="16"/>
      <c r="M47" s="16"/>
      <c r="N47" s="137"/>
      <c r="O47" s="16"/>
      <c r="P47" s="16"/>
      <c r="Q47" s="137"/>
      <c r="R47" s="16"/>
      <c r="S47" s="39"/>
      <c r="T47" s="158" t="s">
        <v>821</v>
      </c>
      <c r="U47" s="164"/>
      <c r="V47" s="16"/>
      <c r="W47" s="16"/>
      <c r="X47" s="16"/>
    </row>
    <row r="48" spans="1:24" x14ac:dyDescent="0.2">
      <c r="A48" s="10" t="s">
        <v>47</v>
      </c>
      <c r="B48" s="15">
        <v>93</v>
      </c>
      <c r="C48" s="15"/>
      <c r="D48" s="16"/>
      <c r="E48" s="15">
        <v>99</v>
      </c>
      <c r="F48" s="15"/>
      <c r="G48" s="21"/>
      <c r="H48" s="157" t="s">
        <v>820</v>
      </c>
      <c r="I48" s="28"/>
      <c r="J48" s="28"/>
      <c r="K48" s="137"/>
      <c r="L48" s="16"/>
      <c r="M48" s="16"/>
      <c r="N48" s="137"/>
      <c r="O48" s="16"/>
      <c r="P48" s="16"/>
      <c r="Q48" s="137"/>
      <c r="R48" s="16"/>
      <c r="S48" s="39"/>
      <c r="T48" s="158" t="s">
        <v>821</v>
      </c>
      <c r="U48" s="164"/>
      <c r="V48" s="16"/>
      <c r="W48" s="16"/>
      <c r="X48" s="16"/>
    </row>
    <row r="49" spans="1:24" x14ac:dyDescent="0.2">
      <c r="A49" s="10" t="s">
        <v>48</v>
      </c>
      <c r="B49" s="15">
        <v>94</v>
      </c>
      <c r="C49" s="15"/>
      <c r="D49" s="16"/>
      <c r="E49" s="15">
        <v>25</v>
      </c>
      <c r="F49" s="15"/>
      <c r="G49" s="21"/>
      <c r="H49" s="161" t="s">
        <v>820</v>
      </c>
      <c r="I49" s="28"/>
      <c r="J49" s="28"/>
      <c r="K49" s="137"/>
      <c r="L49" s="16"/>
      <c r="M49" s="16"/>
      <c r="N49" s="137"/>
      <c r="O49" s="16"/>
      <c r="P49" s="16"/>
      <c r="Q49" s="137"/>
      <c r="R49" s="16"/>
      <c r="S49" s="39"/>
      <c r="T49" s="161" t="s">
        <v>820</v>
      </c>
      <c r="U49" s="164"/>
      <c r="V49" s="16"/>
      <c r="W49" s="16"/>
      <c r="X49" s="16"/>
    </row>
    <row r="50" spans="1:24" x14ac:dyDescent="0.2">
      <c r="A50" s="10" t="s">
        <v>49</v>
      </c>
      <c r="B50" s="15">
        <v>48</v>
      </c>
      <c r="C50" s="15"/>
      <c r="D50" s="16"/>
      <c r="E50" s="15" t="s">
        <v>154</v>
      </c>
      <c r="F50" s="15"/>
      <c r="G50" s="21"/>
      <c r="H50" s="158" t="s">
        <v>821</v>
      </c>
      <c r="I50" s="28"/>
      <c r="J50" s="28"/>
      <c r="K50" s="137"/>
      <c r="L50" s="16"/>
      <c r="M50" s="16"/>
      <c r="N50" s="137"/>
      <c r="O50" s="16"/>
      <c r="P50" s="16"/>
      <c r="Q50" s="137"/>
      <c r="R50" s="16"/>
      <c r="S50" s="39"/>
      <c r="T50" s="161" t="s">
        <v>820</v>
      </c>
      <c r="U50" s="164"/>
      <c r="V50" s="16"/>
      <c r="W50" s="16"/>
      <c r="X50" s="16"/>
    </row>
    <row r="51" spans="1:24" ht="13.5" customHeight="1" x14ac:dyDescent="0.2">
      <c r="A51" s="10" t="s">
        <v>50</v>
      </c>
      <c r="B51" s="15">
        <v>72</v>
      </c>
      <c r="C51" s="15"/>
      <c r="D51" s="16"/>
      <c r="E51" s="15" t="s">
        <v>154</v>
      </c>
      <c r="F51" s="15"/>
      <c r="G51" s="21"/>
      <c r="H51" s="159" t="s">
        <v>811</v>
      </c>
      <c r="I51" s="28"/>
      <c r="J51" s="28"/>
      <c r="K51" s="137"/>
      <c r="L51" s="16"/>
      <c r="M51" s="16"/>
      <c r="N51" s="137"/>
      <c r="O51" s="16"/>
      <c r="P51" s="16"/>
      <c r="Q51" s="137"/>
      <c r="R51" s="16"/>
      <c r="S51" s="39"/>
      <c r="T51" s="161" t="s">
        <v>820</v>
      </c>
      <c r="U51" s="164"/>
      <c r="V51" s="16"/>
      <c r="W51" s="16"/>
      <c r="X51" s="16"/>
    </row>
    <row r="52" spans="1:24" x14ac:dyDescent="0.2">
      <c r="A52" s="10" t="s">
        <v>51</v>
      </c>
      <c r="B52" s="15">
        <v>42</v>
      </c>
      <c r="C52" s="15"/>
      <c r="D52" s="16"/>
      <c r="E52" s="15" t="s">
        <v>154</v>
      </c>
      <c r="F52" s="15"/>
      <c r="G52" s="21"/>
      <c r="H52" s="158" t="s">
        <v>821</v>
      </c>
      <c r="I52" s="28"/>
      <c r="J52" s="28"/>
      <c r="K52" s="137"/>
      <c r="L52" s="16"/>
      <c r="M52" s="16"/>
      <c r="N52" s="137"/>
      <c r="O52" s="16"/>
      <c r="P52" s="16"/>
      <c r="Q52" s="137"/>
      <c r="R52" s="16"/>
      <c r="S52" s="39"/>
      <c r="T52" s="161" t="s">
        <v>820</v>
      </c>
      <c r="U52" s="164"/>
      <c r="V52" s="16"/>
      <c r="W52" s="16"/>
      <c r="X52" s="16"/>
    </row>
    <row r="53" spans="1:24" x14ac:dyDescent="0.2">
      <c r="A53" s="10" t="s">
        <v>52</v>
      </c>
      <c r="B53" s="15">
        <v>64</v>
      </c>
      <c r="C53" s="15"/>
      <c r="D53" s="16"/>
      <c r="E53" s="15" t="s">
        <v>154</v>
      </c>
      <c r="F53" s="15"/>
      <c r="G53" s="21"/>
      <c r="H53" s="159" t="s">
        <v>811</v>
      </c>
      <c r="I53" s="28"/>
      <c r="J53" s="28"/>
      <c r="K53" s="137"/>
      <c r="L53" s="16"/>
      <c r="M53" s="16"/>
      <c r="N53" s="137"/>
      <c r="O53" s="16"/>
      <c r="P53" s="16"/>
      <c r="Q53" s="137"/>
      <c r="R53" s="16"/>
      <c r="S53" s="39"/>
      <c r="T53" s="161" t="s">
        <v>820</v>
      </c>
      <c r="U53" s="164"/>
      <c r="V53" s="16"/>
      <c r="W53" s="16"/>
      <c r="X53" s="16"/>
    </row>
    <row r="54" spans="1:24" x14ac:dyDescent="0.2">
      <c r="A54" s="10" t="s">
        <v>53</v>
      </c>
      <c r="B54" s="15">
        <v>30</v>
      </c>
      <c r="C54" s="15"/>
      <c r="D54" s="16"/>
      <c r="E54" s="15" t="s">
        <v>154</v>
      </c>
      <c r="F54" s="15"/>
      <c r="G54" s="21"/>
      <c r="H54" s="161" t="s">
        <v>820</v>
      </c>
      <c r="I54" s="28"/>
      <c r="J54" s="28"/>
      <c r="K54" s="137"/>
      <c r="L54" s="16"/>
      <c r="M54" s="16"/>
      <c r="N54" s="137"/>
      <c r="O54" s="16"/>
      <c r="P54" s="16"/>
      <c r="Q54" s="137"/>
      <c r="R54" s="16"/>
      <c r="S54" s="39"/>
      <c r="T54" s="161" t="s">
        <v>820</v>
      </c>
      <c r="U54" s="164"/>
      <c r="V54" s="16"/>
      <c r="W54" s="16"/>
      <c r="X54" s="16"/>
    </row>
    <row r="55" spans="1:24" x14ac:dyDescent="0.2">
      <c r="A55" s="10" t="s">
        <v>54</v>
      </c>
      <c r="B55" s="15">
        <v>34</v>
      </c>
      <c r="C55" s="15"/>
      <c r="D55" s="16"/>
      <c r="E55" s="15" t="s">
        <v>154</v>
      </c>
      <c r="F55" s="15"/>
      <c r="G55" s="21"/>
      <c r="H55" s="158" t="s">
        <v>821</v>
      </c>
      <c r="I55" s="28"/>
      <c r="J55" s="28"/>
      <c r="K55" s="137"/>
      <c r="L55" s="16"/>
      <c r="M55" s="16"/>
      <c r="N55" s="137"/>
      <c r="O55" s="16"/>
      <c r="P55" s="16"/>
      <c r="Q55" s="137"/>
      <c r="R55" s="16"/>
      <c r="S55" s="39"/>
      <c r="T55" s="161" t="s">
        <v>820</v>
      </c>
      <c r="U55" s="164"/>
      <c r="V55" s="16"/>
      <c r="W55" s="16"/>
      <c r="X55" s="16"/>
    </row>
    <row r="56" spans="1:24" x14ac:dyDescent="0.2">
      <c r="A56" s="10" t="s">
        <v>55</v>
      </c>
      <c r="B56" s="15" t="s">
        <v>154</v>
      </c>
      <c r="C56" s="15"/>
      <c r="D56" s="16"/>
      <c r="E56" s="15" t="s">
        <v>154</v>
      </c>
      <c r="F56" s="15"/>
      <c r="G56" s="21"/>
      <c r="H56" s="158" t="s">
        <v>821</v>
      </c>
      <c r="I56" s="28"/>
      <c r="J56" s="28"/>
      <c r="K56" s="137"/>
      <c r="L56" s="16"/>
      <c r="M56" s="16"/>
      <c r="N56" s="137"/>
      <c r="O56" s="16"/>
      <c r="P56" s="16"/>
      <c r="Q56" s="137"/>
      <c r="R56" s="16"/>
      <c r="S56" s="39"/>
      <c r="T56" s="159" t="s">
        <v>811</v>
      </c>
      <c r="U56" s="164"/>
      <c r="V56" s="16"/>
      <c r="W56" s="16"/>
      <c r="X56" s="16"/>
    </row>
    <row r="57" spans="1:24" ht="12" customHeight="1" x14ac:dyDescent="0.2">
      <c r="A57" s="10" t="s">
        <v>56</v>
      </c>
      <c r="B57" s="15">
        <v>96</v>
      </c>
      <c r="C57" s="15"/>
      <c r="D57" s="16"/>
      <c r="E57" s="15">
        <v>69</v>
      </c>
      <c r="F57" s="15"/>
      <c r="G57" s="21"/>
      <c r="H57" s="159" t="s">
        <v>811</v>
      </c>
      <c r="I57" s="28"/>
      <c r="J57" s="28"/>
      <c r="K57" s="137"/>
      <c r="L57" s="16"/>
      <c r="M57" s="16"/>
      <c r="N57" s="137"/>
      <c r="O57" s="16"/>
      <c r="P57" s="16"/>
      <c r="Q57" s="137"/>
      <c r="R57" s="16"/>
      <c r="S57" s="39"/>
      <c r="T57" s="159" t="s">
        <v>811</v>
      </c>
      <c r="U57" s="164"/>
      <c r="V57" s="16"/>
      <c r="W57" s="16"/>
      <c r="X57" s="16"/>
    </row>
    <row r="58" spans="1:24" x14ac:dyDescent="0.2">
      <c r="A58" s="10" t="s">
        <v>57</v>
      </c>
      <c r="B58" s="15">
        <v>90</v>
      </c>
      <c r="C58" s="15"/>
      <c r="D58" s="16"/>
      <c r="E58" s="15">
        <v>90</v>
      </c>
      <c r="F58" s="15"/>
      <c r="G58" s="21"/>
      <c r="H58" s="158" t="s">
        <v>821</v>
      </c>
      <c r="I58" s="28"/>
      <c r="J58" s="28"/>
      <c r="K58" s="137"/>
      <c r="L58" s="16"/>
      <c r="M58" s="16"/>
      <c r="N58" s="137"/>
      <c r="O58" s="16"/>
      <c r="P58" s="16"/>
      <c r="Q58" s="137"/>
      <c r="R58" s="16"/>
      <c r="S58" s="39"/>
      <c r="T58" s="161" t="s">
        <v>820</v>
      </c>
      <c r="U58" s="164"/>
      <c r="V58" s="16"/>
      <c r="W58" s="16"/>
      <c r="X58" s="16"/>
    </row>
    <row r="59" spans="1:24" x14ac:dyDescent="0.2">
      <c r="A59" s="10" t="s">
        <v>58</v>
      </c>
      <c r="B59" s="15">
        <v>63</v>
      </c>
      <c r="C59" s="15"/>
      <c r="D59" s="16"/>
      <c r="E59" s="15" t="s">
        <v>154</v>
      </c>
      <c r="F59" s="15"/>
      <c r="G59" s="21"/>
      <c r="H59" s="161" t="s">
        <v>820</v>
      </c>
      <c r="I59" s="28"/>
      <c r="J59" s="28"/>
      <c r="K59" s="137"/>
      <c r="L59" s="16"/>
      <c r="M59" s="16"/>
      <c r="N59" s="137"/>
      <c r="O59" s="16"/>
      <c r="P59" s="16"/>
      <c r="Q59" s="137"/>
      <c r="R59" s="16"/>
      <c r="S59" s="39"/>
      <c r="T59" s="161" t="s">
        <v>820</v>
      </c>
      <c r="U59" s="164"/>
      <c r="V59" s="16"/>
      <c r="W59" s="16"/>
      <c r="X59" s="16"/>
    </row>
    <row r="60" spans="1:24" x14ac:dyDescent="0.2">
      <c r="A60" s="10" t="s">
        <v>59</v>
      </c>
      <c r="B60" s="15">
        <v>75</v>
      </c>
      <c r="C60" s="15"/>
      <c r="D60" s="16"/>
      <c r="E60" s="15" t="s">
        <v>154</v>
      </c>
      <c r="F60" s="15"/>
      <c r="G60" s="21"/>
      <c r="H60" s="161" t="s">
        <v>820</v>
      </c>
      <c r="I60" s="28"/>
      <c r="J60" s="28"/>
      <c r="K60" s="137"/>
      <c r="L60" s="16"/>
      <c r="M60" s="16"/>
      <c r="N60" s="137"/>
      <c r="O60" s="16"/>
      <c r="P60" s="16"/>
      <c r="Q60" s="137"/>
      <c r="R60" s="16"/>
      <c r="S60" s="39"/>
      <c r="T60" s="158" t="s">
        <v>821</v>
      </c>
      <c r="U60" s="164"/>
      <c r="V60" s="16"/>
      <c r="W60" s="16"/>
      <c r="X60" s="16"/>
    </row>
    <row r="61" spans="1:24" x14ac:dyDescent="0.2">
      <c r="A61" s="10" t="s">
        <v>60</v>
      </c>
      <c r="B61" s="15">
        <v>73</v>
      </c>
      <c r="C61" s="15"/>
      <c r="D61" s="16"/>
      <c r="E61" s="15" t="s">
        <v>154</v>
      </c>
      <c r="F61" s="15"/>
      <c r="G61" s="21"/>
      <c r="H61" s="161" t="s">
        <v>820</v>
      </c>
      <c r="I61" s="28"/>
      <c r="J61" s="28"/>
      <c r="K61" s="137"/>
      <c r="L61" s="16"/>
      <c r="M61" s="16"/>
      <c r="N61" s="137"/>
      <c r="O61" s="16"/>
      <c r="P61" s="16"/>
      <c r="Q61" s="137"/>
      <c r="R61" s="16"/>
      <c r="S61" s="39"/>
      <c r="T61" s="161" t="s">
        <v>820</v>
      </c>
      <c r="U61" s="164"/>
      <c r="V61" s="16"/>
      <c r="W61" s="16"/>
      <c r="X61" s="16"/>
    </row>
    <row r="62" spans="1:24" x14ac:dyDescent="0.2">
      <c r="A62" s="10" t="s">
        <v>61</v>
      </c>
      <c r="B62" s="15">
        <v>78</v>
      </c>
      <c r="C62" s="15"/>
      <c r="D62" s="16"/>
      <c r="E62" s="15" t="s">
        <v>154</v>
      </c>
      <c r="F62" s="15"/>
      <c r="G62" s="21"/>
      <c r="H62" s="161" t="s">
        <v>820</v>
      </c>
      <c r="I62" s="28"/>
      <c r="J62" s="28"/>
      <c r="K62" s="137"/>
      <c r="L62" s="16"/>
      <c r="M62" s="16"/>
      <c r="N62" s="137"/>
      <c r="O62" s="16"/>
      <c r="P62" s="16"/>
      <c r="Q62" s="137"/>
      <c r="R62" s="16"/>
      <c r="S62" s="39"/>
      <c r="T62" s="158" t="s">
        <v>821</v>
      </c>
      <c r="U62" s="164"/>
      <c r="V62" s="16"/>
      <c r="W62" s="16"/>
      <c r="X62" s="16"/>
    </row>
    <row r="63" spans="1:24" x14ac:dyDescent="0.2">
      <c r="A63" s="10" t="s">
        <v>62</v>
      </c>
      <c r="B63" s="15" t="s">
        <v>154</v>
      </c>
      <c r="C63" s="15"/>
      <c r="D63" s="16"/>
      <c r="E63" s="15" t="s">
        <v>154</v>
      </c>
      <c r="F63" s="15"/>
      <c r="G63" s="21"/>
      <c r="H63" s="159" t="s">
        <v>811</v>
      </c>
      <c r="I63" s="28"/>
      <c r="J63" s="28"/>
      <c r="K63" s="137"/>
      <c r="L63" s="16"/>
      <c r="M63" s="16"/>
      <c r="N63" s="137"/>
      <c r="O63" s="16"/>
      <c r="P63" s="16"/>
      <c r="Q63" s="137"/>
      <c r="R63" s="16"/>
      <c r="S63" s="39"/>
      <c r="T63" s="161" t="s">
        <v>820</v>
      </c>
      <c r="U63" s="164"/>
      <c r="V63" s="16"/>
      <c r="W63" s="16"/>
      <c r="X63" s="16"/>
    </row>
    <row r="64" spans="1:24" x14ac:dyDescent="0.2">
      <c r="A64" s="10" t="s">
        <v>63</v>
      </c>
      <c r="B64" s="15" t="s">
        <v>154</v>
      </c>
      <c r="C64" s="15"/>
      <c r="D64" s="16"/>
      <c r="E64" s="15" t="s">
        <v>154</v>
      </c>
      <c r="F64" s="15"/>
      <c r="G64" s="21"/>
      <c r="H64" s="159" t="s">
        <v>811</v>
      </c>
      <c r="I64" s="28"/>
      <c r="J64" s="28"/>
      <c r="K64" s="137"/>
      <c r="L64" s="16"/>
      <c r="M64" s="16"/>
      <c r="N64" s="137"/>
      <c r="O64" s="16"/>
      <c r="P64" s="16"/>
      <c r="Q64" s="137"/>
      <c r="R64" s="16"/>
      <c r="S64" s="39"/>
      <c r="T64" s="161" t="s">
        <v>820</v>
      </c>
      <c r="U64" s="164"/>
      <c r="V64" s="16"/>
      <c r="W64" s="16"/>
      <c r="X64" s="16"/>
    </row>
    <row r="65" spans="1:24" x14ac:dyDescent="0.2">
      <c r="A65" s="10" t="s">
        <v>64</v>
      </c>
      <c r="B65" s="15">
        <v>85</v>
      </c>
      <c r="C65" s="15"/>
      <c r="D65" s="16"/>
      <c r="E65" s="15">
        <v>91</v>
      </c>
      <c r="F65" s="15"/>
      <c r="G65" s="21"/>
      <c r="H65" s="158" t="s">
        <v>821</v>
      </c>
      <c r="I65" s="28"/>
      <c r="J65" s="28"/>
      <c r="K65" s="137"/>
      <c r="L65" s="16"/>
      <c r="M65" s="16"/>
      <c r="N65" s="137"/>
      <c r="O65" s="16"/>
      <c r="P65" s="16"/>
      <c r="Q65" s="137"/>
      <c r="R65" s="16"/>
      <c r="S65" s="39"/>
      <c r="T65" s="161" t="s">
        <v>820</v>
      </c>
      <c r="U65" s="164"/>
      <c r="V65" s="16"/>
      <c r="W65" s="16"/>
      <c r="X65" s="16"/>
    </row>
    <row r="66" spans="1:24" x14ac:dyDescent="0.2">
      <c r="A66" s="10" t="s">
        <v>65</v>
      </c>
      <c r="B66" s="15">
        <v>35</v>
      </c>
      <c r="C66" s="15"/>
      <c r="D66" s="16"/>
      <c r="E66" s="15" t="s">
        <v>154</v>
      </c>
      <c r="F66" s="15"/>
      <c r="G66" s="21"/>
      <c r="H66" s="159" t="s">
        <v>811</v>
      </c>
      <c r="I66" s="28"/>
      <c r="J66" s="28"/>
      <c r="K66" s="137"/>
      <c r="L66" s="16"/>
      <c r="M66" s="16"/>
      <c r="N66" s="137"/>
      <c r="O66" s="16"/>
      <c r="P66" s="16"/>
      <c r="Q66" s="137"/>
      <c r="R66" s="16"/>
      <c r="S66" s="39"/>
      <c r="T66" s="158" t="s">
        <v>821</v>
      </c>
      <c r="U66" s="164"/>
      <c r="V66" s="16"/>
      <c r="W66" s="16"/>
      <c r="X66" s="16"/>
    </row>
    <row r="67" spans="1:24" x14ac:dyDescent="0.2">
      <c r="A67" s="10" t="s">
        <v>66</v>
      </c>
      <c r="B67" s="15">
        <v>59</v>
      </c>
      <c r="C67" s="15"/>
      <c r="D67" s="16"/>
      <c r="E67" s="15" t="s">
        <v>154</v>
      </c>
      <c r="F67" s="15"/>
      <c r="G67" s="21"/>
      <c r="H67" s="158" t="s">
        <v>821</v>
      </c>
      <c r="I67" s="28"/>
      <c r="J67" s="28"/>
      <c r="K67" s="137"/>
      <c r="L67" s="16"/>
      <c r="M67" s="16"/>
      <c r="N67" s="137"/>
      <c r="O67" s="16"/>
      <c r="P67" s="16"/>
      <c r="Q67" s="137"/>
      <c r="R67" s="16"/>
      <c r="S67" s="39"/>
      <c r="T67" s="161" t="s">
        <v>820</v>
      </c>
      <c r="U67" s="164"/>
      <c r="V67" s="16"/>
      <c r="W67" s="16"/>
      <c r="X67" s="16"/>
    </row>
    <row r="68" spans="1:24" x14ac:dyDescent="0.2">
      <c r="A68" s="10" t="s">
        <v>67</v>
      </c>
      <c r="B68" s="15">
        <v>50</v>
      </c>
      <c r="C68" s="15"/>
      <c r="D68" s="16"/>
      <c r="E68" s="15" t="s">
        <v>154</v>
      </c>
      <c r="F68" s="15"/>
      <c r="G68" s="21"/>
      <c r="H68" s="161" t="s">
        <v>820</v>
      </c>
      <c r="I68" s="28"/>
      <c r="J68" s="28"/>
      <c r="K68" s="137"/>
      <c r="L68" s="16"/>
      <c r="M68" s="16"/>
      <c r="N68" s="137"/>
      <c r="O68" s="16"/>
      <c r="P68" s="16"/>
      <c r="Q68" s="137"/>
      <c r="R68" s="16"/>
      <c r="S68" s="39"/>
      <c r="T68" s="161" t="s">
        <v>820</v>
      </c>
      <c r="U68" s="164"/>
      <c r="V68" s="16"/>
      <c r="W68" s="16"/>
      <c r="X68" s="16"/>
    </row>
    <row r="69" spans="1:24" x14ac:dyDescent="0.2">
      <c r="A69" s="10" t="s">
        <v>68</v>
      </c>
      <c r="B69" s="15">
        <v>88</v>
      </c>
      <c r="C69" s="15"/>
      <c r="D69" s="16"/>
      <c r="E69" s="15" t="s">
        <v>154</v>
      </c>
      <c r="F69" s="15"/>
      <c r="G69" s="21"/>
      <c r="H69" s="158" t="s">
        <v>821</v>
      </c>
      <c r="I69" s="28"/>
      <c r="J69" s="28"/>
      <c r="K69" s="137"/>
      <c r="L69" s="16"/>
      <c r="M69" s="16"/>
      <c r="N69" s="137"/>
      <c r="O69" s="16"/>
      <c r="P69" s="16"/>
      <c r="Q69" s="137"/>
      <c r="R69" s="16"/>
      <c r="S69" s="39"/>
      <c r="T69" s="159" t="s">
        <v>811</v>
      </c>
      <c r="U69" s="164"/>
      <c r="V69" s="16"/>
      <c r="W69" s="16"/>
      <c r="X69" s="16"/>
    </row>
    <row r="70" spans="1:24" x14ac:dyDescent="0.2">
      <c r="A70" s="10" t="s">
        <v>70</v>
      </c>
      <c r="B70" s="15">
        <v>78</v>
      </c>
      <c r="C70" s="15"/>
      <c r="D70" s="16"/>
      <c r="E70" s="15" t="s">
        <v>154</v>
      </c>
      <c r="F70" s="15"/>
      <c r="G70" s="21"/>
      <c r="H70" s="161" t="s">
        <v>820</v>
      </c>
      <c r="I70" s="28"/>
      <c r="J70" s="28"/>
      <c r="K70" s="137"/>
      <c r="L70" s="16"/>
      <c r="M70" s="16"/>
      <c r="N70" s="137"/>
      <c r="O70" s="16"/>
      <c r="P70" s="16"/>
      <c r="Q70" s="137"/>
      <c r="R70" s="16"/>
      <c r="S70" s="39"/>
      <c r="T70" s="159" t="s">
        <v>811</v>
      </c>
      <c r="U70" s="164"/>
      <c r="V70" s="16"/>
      <c r="W70" s="16"/>
      <c r="X70" s="16"/>
    </row>
    <row r="71" spans="1:24" x14ac:dyDescent="0.2">
      <c r="A71" s="10" t="s">
        <v>71</v>
      </c>
      <c r="B71" s="15" t="s">
        <v>154</v>
      </c>
      <c r="C71" s="15"/>
      <c r="D71" s="16"/>
      <c r="E71" s="15" t="s">
        <v>154</v>
      </c>
      <c r="F71" s="15"/>
      <c r="G71" s="21"/>
      <c r="H71" s="159" t="s">
        <v>811</v>
      </c>
      <c r="I71" s="28"/>
      <c r="J71" s="28"/>
      <c r="K71" s="137"/>
      <c r="L71" s="16"/>
      <c r="M71" s="16"/>
      <c r="N71" s="137"/>
      <c r="O71" s="16"/>
      <c r="P71" s="16"/>
      <c r="Q71" s="137"/>
      <c r="R71" s="16"/>
      <c r="S71" s="39"/>
      <c r="T71" s="159" t="s">
        <v>811</v>
      </c>
      <c r="U71" s="164"/>
      <c r="V71" s="16"/>
      <c r="W71" s="16"/>
      <c r="X71" s="16"/>
    </row>
    <row r="72" spans="1:24" x14ac:dyDescent="0.2">
      <c r="A72" s="10" t="s">
        <v>72</v>
      </c>
      <c r="B72" s="15">
        <v>30</v>
      </c>
      <c r="C72" s="15"/>
      <c r="D72" s="16"/>
      <c r="E72" s="15" t="s">
        <v>154</v>
      </c>
      <c r="F72" s="15"/>
      <c r="G72" s="21"/>
      <c r="H72" s="161" t="s">
        <v>820</v>
      </c>
      <c r="I72" s="28"/>
      <c r="J72" s="28"/>
      <c r="K72" s="137"/>
      <c r="L72" s="16"/>
      <c r="M72" s="16"/>
      <c r="N72" s="137"/>
      <c r="O72" s="16"/>
      <c r="P72" s="16"/>
      <c r="Q72" s="137"/>
      <c r="R72" s="16"/>
      <c r="S72" s="39"/>
      <c r="T72" s="161" t="s">
        <v>820</v>
      </c>
      <c r="U72" s="164"/>
      <c r="V72" s="16"/>
      <c r="W72" s="16"/>
      <c r="X72" s="16"/>
    </row>
    <row r="73" spans="1:24" x14ac:dyDescent="0.2">
      <c r="A73" s="10" t="s">
        <v>69</v>
      </c>
      <c r="B73" s="15">
        <v>16</v>
      </c>
      <c r="C73" s="15"/>
      <c r="D73" s="16"/>
      <c r="E73" s="15" t="s">
        <v>154</v>
      </c>
      <c r="F73" s="15"/>
      <c r="G73" s="21"/>
      <c r="H73" s="158" t="s">
        <v>821</v>
      </c>
      <c r="I73" s="28"/>
      <c r="J73" s="28"/>
      <c r="K73" s="137"/>
      <c r="L73" s="16"/>
      <c r="M73" s="16"/>
      <c r="N73" s="137"/>
      <c r="O73" s="16"/>
      <c r="P73" s="16"/>
      <c r="Q73" s="137"/>
      <c r="R73" s="16"/>
      <c r="S73" s="39"/>
      <c r="T73" s="161" t="s">
        <v>820</v>
      </c>
      <c r="U73" s="164"/>
      <c r="V73" s="16"/>
      <c r="W73" s="16"/>
      <c r="X73" s="16"/>
    </row>
    <row r="74" spans="1:24" x14ac:dyDescent="0.2">
      <c r="A74" s="10" t="s">
        <v>73</v>
      </c>
      <c r="B74" s="15" t="s">
        <v>82</v>
      </c>
      <c r="C74" s="15"/>
      <c r="D74" s="16"/>
      <c r="E74" s="15" t="s">
        <v>154</v>
      </c>
      <c r="F74" s="15"/>
      <c r="G74" s="21"/>
      <c r="H74" s="161" t="s">
        <v>820</v>
      </c>
      <c r="I74" s="28"/>
      <c r="J74" s="28"/>
      <c r="K74" s="137"/>
      <c r="L74" s="16"/>
      <c r="M74" s="16"/>
      <c r="N74" s="137"/>
      <c r="O74" s="16"/>
      <c r="P74" s="16"/>
      <c r="Q74" s="137"/>
      <c r="R74" s="16"/>
      <c r="S74" s="39"/>
      <c r="T74" s="159" t="s">
        <v>811</v>
      </c>
      <c r="U74" s="164"/>
      <c r="V74" s="16"/>
      <c r="W74" s="16"/>
      <c r="X74" s="16"/>
    </row>
    <row r="75" spans="1:24" x14ac:dyDescent="0.2">
      <c r="A75" s="10" t="s">
        <v>74</v>
      </c>
      <c r="B75" s="15">
        <v>95</v>
      </c>
      <c r="C75" s="15"/>
      <c r="D75" s="16"/>
      <c r="E75" s="15" t="s">
        <v>154</v>
      </c>
      <c r="F75" s="15"/>
      <c r="G75" s="21"/>
      <c r="H75" s="158" t="s">
        <v>821</v>
      </c>
      <c r="I75" s="28"/>
      <c r="J75" s="28"/>
      <c r="K75" s="137"/>
      <c r="L75" s="16"/>
      <c r="M75" s="16"/>
      <c r="N75" s="137"/>
      <c r="O75" s="16"/>
      <c r="P75" s="16"/>
      <c r="Q75" s="137"/>
      <c r="R75" s="16"/>
      <c r="S75" s="39"/>
      <c r="T75" s="158" t="s">
        <v>821</v>
      </c>
      <c r="U75" s="164"/>
      <c r="V75" s="16"/>
      <c r="W75" s="16"/>
      <c r="X75" s="16"/>
    </row>
    <row r="76" spans="1:24" x14ac:dyDescent="0.2">
      <c r="A76" s="10" t="s">
        <v>75</v>
      </c>
      <c r="B76" s="15">
        <v>17</v>
      </c>
      <c r="C76" s="15"/>
      <c r="D76" s="16"/>
      <c r="E76" s="15" t="s">
        <v>154</v>
      </c>
      <c r="F76" s="15"/>
      <c r="G76" s="21"/>
      <c r="H76" s="159" t="s">
        <v>811</v>
      </c>
      <c r="I76" s="28"/>
      <c r="J76" s="28"/>
      <c r="K76" s="137"/>
      <c r="L76" s="16"/>
      <c r="M76" s="16"/>
      <c r="N76" s="137"/>
      <c r="O76" s="16"/>
      <c r="P76" s="16"/>
      <c r="Q76" s="137"/>
      <c r="R76" s="16"/>
      <c r="S76" s="39"/>
      <c r="T76" s="161" t="s">
        <v>820</v>
      </c>
      <c r="U76" s="164"/>
      <c r="V76" s="16"/>
      <c r="W76" s="16"/>
      <c r="X76" s="16"/>
    </row>
    <row r="77" spans="1:24" x14ac:dyDescent="0.2">
      <c r="A77" s="10" t="s">
        <v>76</v>
      </c>
      <c r="B77" s="15">
        <v>14</v>
      </c>
      <c r="C77" s="15"/>
      <c r="D77" s="16"/>
      <c r="E77" s="15" t="s">
        <v>154</v>
      </c>
      <c r="F77" s="15"/>
      <c r="G77" s="21"/>
      <c r="H77" s="158" t="s">
        <v>821</v>
      </c>
      <c r="I77" s="28"/>
      <c r="J77" s="28"/>
      <c r="K77" s="137"/>
      <c r="L77" s="16"/>
      <c r="M77" s="16"/>
      <c r="N77" s="137"/>
      <c r="O77" s="16"/>
      <c r="P77" s="16"/>
      <c r="Q77" s="137"/>
      <c r="R77" s="16"/>
      <c r="S77" s="39"/>
      <c r="T77" s="161" t="s">
        <v>820</v>
      </c>
      <c r="U77" s="164"/>
      <c r="V77" s="16"/>
      <c r="W77" s="16"/>
      <c r="X77" s="16"/>
    </row>
    <row r="78" spans="1:24" x14ac:dyDescent="0.2">
      <c r="A78" s="10" t="s">
        <v>77</v>
      </c>
      <c r="B78" s="15">
        <v>49</v>
      </c>
      <c r="C78" s="15"/>
      <c r="D78" s="16"/>
      <c r="E78" s="15" t="s">
        <v>154</v>
      </c>
      <c r="F78" s="24"/>
      <c r="G78" s="25"/>
      <c r="H78" s="161" t="s">
        <v>820</v>
      </c>
      <c r="I78" s="28"/>
      <c r="J78" s="28"/>
      <c r="K78" s="137"/>
      <c r="L78" s="16"/>
      <c r="M78" s="16"/>
      <c r="N78" s="137"/>
      <c r="O78" s="16"/>
      <c r="P78" s="16"/>
      <c r="Q78" s="137"/>
      <c r="R78" s="16"/>
      <c r="S78" s="39"/>
      <c r="T78" s="161" t="s">
        <v>820</v>
      </c>
      <c r="U78" s="165"/>
      <c r="V78" s="42"/>
      <c r="W78" s="42"/>
      <c r="X78" s="42"/>
    </row>
    <row r="79" spans="1:24" x14ac:dyDescent="0.2">
      <c r="A79" s="18" t="s">
        <v>255</v>
      </c>
      <c r="B79" s="19"/>
      <c r="C79" s="19"/>
      <c r="D79" s="19"/>
      <c r="E79" s="19"/>
      <c r="F79" s="19"/>
      <c r="G79" s="19"/>
      <c r="H79" s="18">
        <f>COUNTIF(H4:H78, "Yes")</f>
        <v>31</v>
      </c>
      <c r="I79" s="18">
        <f>COUNTIF(I4:I78, "Yes")</f>
        <v>0</v>
      </c>
      <c r="J79" s="18">
        <f>COUNTIF(J4:J78, "Yes")</f>
        <v>0</v>
      </c>
      <c r="K79" s="29"/>
      <c r="N79" s="16"/>
      <c r="Q79" s="16"/>
      <c r="R79" s="19"/>
      <c r="S79" s="19"/>
      <c r="T79" s="162">
        <f>COUNTIF(T4:T78,"Yes")</f>
        <v>44</v>
      </c>
      <c r="U79" s="19"/>
      <c r="V79" s="19"/>
      <c r="W79" s="19"/>
      <c r="X79" s="19"/>
    </row>
    <row r="80" spans="1:24" x14ac:dyDescent="0.2">
      <c r="A80" s="18" t="s">
        <v>256</v>
      </c>
      <c r="B80" s="19"/>
      <c r="C80" s="19"/>
      <c r="D80" s="19"/>
      <c r="E80" s="19"/>
      <c r="F80" s="19"/>
      <c r="G80" s="19"/>
      <c r="H80" s="18">
        <f>COUNTIF(H4:H78, "No")</f>
        <v>20</v>
      </c>
      <c r="I80" s="18">
        <f>COUNTIF(I4:I78, "No")</f>
        <v>0</v>
      </c>
      <c r="J80" s="18">
        <f>COUNTIF(J4:J78, "No")</f>
        <v>0</v>
      </c>
      <c r="K80" s="29"/>
      <c r="N80" s="16"/>
      <c r="Q80" s="16"/>
      <c r="R80" s="19"/>
      <c r="S80" s="19"/>
      <c r="T80" s="162">
        <f>COUNTIF(T4:T78,"No")</f>
        <v>11</v>
      </c>
      <c r="U80" s="19"/>
      <c r="V80" s="19"/>
      <c r="W80" s="19"/>
      <c r="X80" s="19"/>
    </row>
    <row r="81" spans="1:24" x14ac:dyDescent="0.2">
      <c r="A81" s="18" t="s">
        <v>257</v>
      </c>
      <c r="B81" s="19"/>
      <c r="C81" s="19"/>
      <c r="D81" s="19"/>
      <c r="E81" s="19"/>
      <c r="F81" s="19"/>
      <c r="G81" s="19"/>
      <c r="H81" s="18">
        <f>COUNTIF(H4:H78, "No data")</f>
        <v>0</v>
      </c>
      <c r="I81" s="18">
        <f>COUNTIF(I4:I78, "No data")</f>
        <v>0</v>
      </c>
      <c r="J81" s="18">
        <f>COUNTIF(J4:J78, "No data")</f>
        <v>0</v>
      </c>
      <c r="K81" s="29"/>
      <c r="N81" s="16"/>
      <c r="Q81" s="16"/>
      <c r="R81" s="19"/>
      <c r="S81" s="19"/>
      <c r="T81" s="162">
        <f>COUNTIF(T4:T78,"No data")</f>
        <v>0</v>
      </c>
      <c r="U81" s="19"/>
      <c r="V81" s="19"/>
      <c r="W81" s="19"/>
      <c r="X81" s="19"/>
    </row>
    <row r="82" spans="1:24" x14ac:dyDescent="0.2">
      <c r="K82" s="29"/>
      <c r="N82" s="16"/>
      <c r="Q82" s="16"/>
    </row>
    <row r="83" spans="1:24" x14ac:dyDescent="0.2">
      <c r="K83" s="29"/>
      <c r="N83" s="16"/>
      <c r="Q83" s="16"/>
    </row>
    <row r="84" spans="1:24" x14ac:dyDescent="0.2">
      <c r="K84" s="29"/>
      <c r="N84" s="16"/>
      <c r="Q84" s="16"/>
    </row>
    <row r="85" spans="1:24" x14ac:dyDescent="0.2">
      <c r="K85" s="29"/>
      <c r="N85" s="16"/>
      <c r="Q85" s="16"/>
    </row>
    <row r="86" spans="1:24" x14ac:dyDescent="0.2">
      <c r="K86" s="29"/>
      <c r="N86" s="16"/>
      <c r="Q86" s="16"/>
    </row>
    <row r="87" spans="1:24" x14ac:dyDescent="0.2">
      <c r="K87" s="29"/>
      <c r="N87" s="16"/>
      <c r="Q87" s="16"/>
    </row>
    <row r="88" spans="1:24" x14ac:dyDescent="0.2">
      <c r="K88" s="29"/>
      <c r="N88" s="16"/>
      <c r="Q88" s="16"/>
    </row>
    <row r="89" spans="1:24" x14ac:dyDescent="0.2">
      <c r="K89" s="29"/>
      <c r="N89" s="16"/>
      <c r="Q89" s="16"/>
    </row>
    <row r="90" spans="1:24" x14ac:dyDescent="0.2">
      <c r="K90" s="29"/>
      <c r="N90" s="16"/>
      <c r="Q90" s="16"/>
    </row>
    <row r="91" spans="1:24" x14ac:dyDescent="0.2">
      <c r="K91" s="29"/>
      <c r="N91" s="16"/>
      <c r="Q91" s="16"/>
    </row>
    <row r="92" spans="1:24" x14ac:dyDescent="0.2">
      <c r="K92" s="29"/>
      <c r="N92" s="16"/>
      <c r="Q92" s="16"/>
    </row>
    <row r="93" spans="1:24" x14ac:dyDescent="0.2">
      <c r="K93" s="29"/>
      <c r="N93" s="16"/>
      <c r="Q93" s="16"/>
    </row>
    <row r="94" spans="1:24" x14ac:dyDescent="0.2">
      <c r="K94" s="29"/>
      <c r="N94" s="16"/>
      <c r="Q94" s="16"/>
    </row>
    <row r="95" spans="1:24" x14ac:dyDescent="0.2">
      <c r="K95" s="29"/>
      <c r="N95" s="16"/>
      <c r="Q95" s="16"/>
    </row>
    <row r="96" spans="1:24" x14ac:dyDescent="0.2">
      <c r="K96" s="29"/>
      <c r="N96" s="16"/>
      <c r="Q96" s="16"/>
    </row>
    <row r="97" spans="11:17" x14ac:dyDescent="0.2">
      <c r="K97" s="29"/>
      <c r="N97" s="16"/>
      <c r="Q97" s="16"/>
    </row>
    <row r="98" spans="11:17" x14ac:dyDescent="0.2">
      <c r="K98" s="29"/>
      <c r="N98" s="16"/>
      <c r="Q98" s="16"/>
    </row>
    <row r="99" spans="11:17" x14ac:dyDescent="0.2">
      <c r="K99" s="29"/>
      <c r="Q99" s="16"/>
    </row>
    <row r="100" spans="11:17" x14ac:dyDescent="0.2">
      <c r="K100" s="29"/>
      <c r="Q100" s="16"/>
    </row>
    <row r="101" spans="11:17" x14ac:dyDescent="0.2">
      <c r="K101" s="29"/>
      <c r="Q101" s="19"/>
    </row>
    <row r="102" spans="11:17" x14ac:dyDescent="0.2">
      <c r="K102" s="29"/>
      <c r="Q102" s="19"/>
    </row>
    <row r="103" spans="11:17" x14ac:dyDescent="0.2">
      <c r="K103" s="29"/>
      <c r="Q103" s="19"/>
    </row>
    <row r="104" spans="11:17" x14ac:dyDescent="0.2">
      <c r="K104" s="29"/>
    </row>
    <row r="105" spans="11:17" x14ac:dyDescent="0.2">
      <c r="K105" s="29"/>
    </row>
    <row r="106" spans="11:17" x14ac:dyDescent="0.2">
      <c r="K106" s="29"/>
    </row>
    <row r="107" spans="11:17" x14ac:dyDescent="0.2">
      <c r="K107" s="29"/>
    </row>
    <row r="108" spans="11:17" x14ac:dyDescent="0.2">
      <c r="K108" s="29"/>
    </row>
    <row r="109" spans="11:17" x14ac:dyDescent="0.2">
      <c r="K109" s="29"/>
    </row>
    <row r="110" spans="11:17" x14ac:dyDescent="0.2">
      <c r="K110" s="29"/>
    </row>
    <row r="111" spans="11:17" x14ac:dyDescent="0.2">
      <c r="K111" s="29"/>
    </row>
    <row r="112" spans="11:17" x14ac:dyDescent="0.2">
      <c r="K112" s="29"/>
    </row>
    <row r="113" spans="11:11" x14ac:dyDescent="0.2">
      <c r="K113" s="29"/>
    </row>
    <row r="114" spans="11:11" x14ac:dyDescent="0.2">
      <c r="K114" s="29"/>
    </row>
    <row r="115" spans="11:11" x14ac:dyDescent="0.2">
      <c r="K115" s="29"/>
    </row>
    <row r="116" spans="11:11" x14ac:dyDescent="0.2">
      <c r="K116" s="29"/>
    </row>
  </sheetData>
  <mergeCells count="9">
    <mergeCell ref="A2:D2"/>
    <mergeCell ref="E1:G1"/>
    <mergeCell ref="E2:G2"/>
    <mergeCell ref="U2:W2"/>
    <mergeCell ref="K1:P1"/>
    <mergeCell ref="Q1:S1"/>
    <mergeCell ref="K2:M2"/>
    <mergeCell ref="N2:P2"/>
    <mergeCell ref="Q2:S2"/>
  </mergeCells>
  <pageMargins left="0.23622047244094491" right="0.23622047244094491" top="0.74803149606299213" bottom="0.74803149606299213" header="0.31496062992125984" footer="0.31496062992125984"/>
  <pageSetup paperSize="9" scale="98" orientation="portrait"/>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2"/>
  <sheetViews>
    <sheetView topLeftCell="A63" workbookViewId="0">
      <selection activeCell="O5" sqref="O5"/>
    </sheetView>
  </sheetViews>
  <sheetFormatPr defaultColWidth="8.85546875" defaultRowHeight="12" x14ac:dyDescent="0.2"/>
  <cols>
    <col min="1" max="1" width="31.7109375" style="1" bestFit="1" customWidth="1"/>
    <col min="2" max="2" width="8.42578125" style="1" customWidth="1"/>
    <col min="3" max="3" width="9.7109375" style="1" customWidth="1"/>
    <col min="4" max="6" width="8.42578125" style="1" customWidth="1"/>
    <col min="7" max="7" width="13.42578125" style="1" customWidth="1"/>
    <col min="8" max="8" width="8.7109375" style="1" customWidth="1"/>
    <col min="9" max="9" width="7.7109375" style="1" customWidth="1"/>
    <col min="10" max="10" width="19.42578125" style="1" customWidth="1"/>
    <col min="11" max="11" width="9.7109375" style="1" customWidth="1"/>
    <col min="12" max="20" width="8.42578125" style="1" customWidth="1"/>
    <col min="21" max="21" width="13.42578125" style="1" customWidth="1"/>
    <col min="22" max="22" width="8.7109375" style="1" customWidth="1"/>
    <col min="23" max="23" width="7.7109375" style="1" customWidth="1"/>
    <col min="24" max="24" width="18.42578125" style="1" customWidth="1"/>
    <col min="25" max="25" width="9.7109375" style="1" bestFit="1" customWidth="1"/>
    <col min="26" max="26" width="8.42578125" style="1" bestFit="1" customWidth="1"/>
    <col min="27" max="31" width="8.42578125" style="1" customWidth="1"/>
    <col min="32" max="32" width="8.7109375" style="1" customWidth="1"/>
    <col min="33" max="33" width="17.42578125" style="1" bestFit="1" customWidth="1"/>
    <col min="34" max="16384" width="8.85546875" style="1"/>
  </cols>
  <sheetData>
    <row r="1" spans="1:33" x14ac:dyDescent="0.2">
      <c r="A1" s="68" t="s">
        <v>364</v>
      </c>
      <c r="B1" s="116" t="s">
        <v>789</v>
      </c>
      <c r="C1" s="118"/>
      <c r="D1" s="118"/>
      <c r="E1" s="3"/>
      <c r="F1" s="3"/>
      <c r="G1" s="3"/>
      <c r="H1" s="3"/>
      <c r="I1" s="3"/>
    </row>
    <row r="2" spans="1:33" ht="25.5" customHeight="1" x14ac:dyDescent="0.2">
      <c r="A2" s="205" t="s">
        <v>171</v>
      </c>
      <c r="B2" s="205"/>
      <c r="C2" s="205"/>
      <c r="D2" s="205"/>
      <c r="E2" s="205"/>
      <c r="F2" s="205"/>
      <c r="G2" s="205"/>
      <c r="H2" s="77"/>
      <c r="I2" s="77"/>
    </row>
    <row r="3" spans="1:33" x14ac:dyDescent="0.2">
      <c r="A3" s="48"/>
      <c r="B3" s="75"/>
      <c r="C3" s="206" t="s">
        <v>357</v>
      </c>
      <c r="D3" s="206"/>
      <c r="E3" s="206"/>
      <c r="F3" s="206"/>
      <c r="G3" s="206"/>
      <c r="H3" s="206"/>
      <c r="I3" s="206"/>
      <c r="J3" s="206"/>
      <c r="K3" s="207" t="s">
        <v>358</v>
      </c>
      <c r="L3" s="207"/>
      <c r="M3" s="207"/>
      <c r="N3" s="207"/>
      <c r="O3" s="207"/>
      <c r="P3" s="207"/>
      <c r="Q3" s="207"/>
      <c r="R3" s="207"/>
      <c r="S3" s="207"/>
      <c r="T3" s="207"/>
      <c r="U3" s="207"/>
      <c r="V3" s="207"/>
      <c r="W3" s="207"/>
      <c r="X3" s="207"/>
      <c r="Y3" s="207" t="s">
        <v>145</v>
      </c>
      <c r="Z3" s="207"/>
      <c r="AA3" s="207"/>
      <c r="AB3" s="207"/>
      <c r="AC3" s="207"/>
      <c r="AD3" s="207"/>
      <c r="AE3" s="207"/>
      <c r="AF3" s="207"/>
      <c r="AG3" s="207"/>
    </row>
    <row r="4" spans="1:33" ht="24" customHeight="1" x14ac:dyDescent="0.2">
      <c r="A4" s="74" t="s">
        <v>0</v>
      </c>
      <c r="B4" s="74" t="s">
        <v>2</v>
      </c>
      <c r="C4" s="81" t="s">
        <v>267</v>
      </c>
      <c r="D4" s="81" t="s">
        <v>376</v>
      </c>
      <c r="E4" s="81" t="s">
        <v>377</v>
      </c>
      <c r="F4" s="81" t="s">
        <v>708</v>
      </c>
      <c r="G4" s="81" t="s">
        <v>283</v>
      </c>
      <c r="H4" s="81" t="s">
        <v>286</v>
      </c>
      <c r="I4" s="81" t="s">
        <v>123</v>
      </c>
      <c r="J4" s="81" t="s">
        <v>119</v>
      </c>
      <c r="K4" s="81" t="s">
        <v>268</v>
      </c>
      <c r="L4" s="81" t="s">
        <v>378</v>
      </c>
      <c r="M4" s="81" t="s">
        <v>410</v>
      </c>
      <c r="N4" s="81" t="s">
        <v>413</v>
      </c>
      <c r="O4" s="81" t="s">
        <v>379</v>
      </c>
      <c r="P4" s="81" t="s">
        <v>411</v>
      </c>
      <c r="Q4" s="81" t="s">
        <v>412</v>
      </c>
      <c r="R4" s="81" t="s">
        <v>603</v>
      </c>
      <c r="S4" s="81" t="s">
        <v>414</v>
      </c>
      <c r="T4" s="81" t="s">
        <v>415</v>
      </c>
      <c r="U4" s="81" t="s">
        <v>284</v>
      </c>
      <c r="V4" s="81" t="s">
        <v>285</v>
      </c>
      <c r="W4" s="81" t="s">
        <v>124</v>
      </c>
      <c r="X4" s="81" t="s">
        <v>121</v>
      </c>
      <c r="Y4" s="81" t="s">
        <v>269</v>
      </c>
      <c r="Z4" s="81" t="s">
        <v>380</v>
      </c>
      <c r="AA4" s="138" t="s">
        <v>801</v>
      </c>
      <c r="AB4" s="81" t="s">
        <v>381</v>
      </c>
      <c r="AC4" s="138" t="s">
        <v>802</v>
      </c>
      <c r="AD4" s="81" t="s">
        <v>382</v>
      </c>
      <c r="AE4" s="138" t="s">
        <v>803</v>
      </c>
      <c r="AF4" s="81" t="s">
        <v>287</v>
      </c>
      <c r="AG4" s="81" t="s">
        <v>243</v>
      </c>
    </row>
    <row r="5" spans="1:33" ht="12.75" x14ac:dyDescent="0.2">
      <c r="A5" s="19" t="s">
        <v>3</v>
      </c>
      <c r="B5" s="14" t="str">
        <f t="shared" ref="B5:B19" si="0">IF(AND(C5="Yes", K5= "Yes", Y5="Yes"), "Yes", "No")</f>
        <v>No</v>
      </c>
      <c r="C5" s="14" t="str">
        <f t="shared" ref="C5:C68" si="1">IF(AND(D5&lt;&gt;"", I5&gt;2011), "Yes", "No")</f>
        <v>Yes</v>
      </c>
      <c r="D5" s="119" t="str">
        <f>Table10[[#This Row],[Value 1.1 (1990)]]</f>
        <v>1200</v>
      </c>
      <c r="E5" s="119" t="str">
        <f>Table10[[#This Row],[Value 1.2 (2000)]]</f>
        <v>1100</v>
      </c>
      <c r="F5" s="119" t="str">
        <f>Table10[[#This Row],[Value 1.3 (2013)]]</f>
        <v>400</v>
      </c>
      <c r="G5" s="119">
        <f>Table10[[#This Row],[Target 2015_1]]</f>
        <v>300</v>
      </c>
      <c r="H5" s="32"/>
      <c r="I5" s="32">
        <v>2013</v>
      </c>
      <c r="J5" s="32"/>
      <c r="K5" s="14" t="str">
        <f>IF(AND(L5&lt;&gt;"", W5&gt;2011), "Yes", "No")</f>
        <v>Yes</v>
      </c>
      <c r="L5" s="32">
        <f>Table10[[#This Row],[Value 2.1 (1990)]]</f>
        <v>179.1</v>
      </c>
      <c r="M5" s="32"/>
      <c r="N5" s="32"/>
      <c r="O5" s="32">
        <f>Table10[[#This Row],[Value 2.2 (2000)]]</f>
        <v>135.6</v>
      </c>
      <c r="P5" s="32"/>
      <c r="Q5" s="32"/>
      <c r="R5" s="32">
        <f>Table10[[#This Row],[Value 2.3 (2013)]]</f>
        <v>97.3</v>
      </c>
      <c r="S5" s="32"/>
      <c r="T5" s="32"/>
      <c r="U5" s="32">
        <f>Table10[[#This Row],[Target 2015_2]]</f>
        <v>59</v>
      </c>
      <c r="V5" s="32"/>
      <c r="W5" s="32">
        <v>2013</v>
      </c>
      <c r="X5" s="32"/>
      <c r="Y5" s="14" t="str">
        <f>IF(AND(Z5&lt;&gt;"",Table1020[[#This Row],[year3]]&gt; 2011), "Yes", "No")</f>
        <v>No</v>
      </c>
      <c r="Z5" s="15">
        <f>Table10[[#This Row],[Value 3.1 (1990)]]</f>
        <v>53.2</v>
      </c>
      <c r="AA5" s="15">
        <f>Table10[[#This Row],[Year]]</f>
        <v>1997</v>
      </c>
      <c r="AB5" s="15" t="str">
        <f>Table10[[#This Row],[Value 3.2 (2000)]]</f>
        <v>No data</v>
      </c>
      <c r="AC5" s="15" t="str">
        <f>Table10[[#This Row],[Year2]]</f>
        <v>No data</v>
      </c>
      <c r="AD5" s="15">
        <f>Table10[[#This Row],[Value 3.3 (2012)]]</f>
        <v>59.3</v>
      </c>
      <c r="AE5" s="15">
        <f>Table10[[#This Row],[Year3]]</f>
        <v>2004</v>
      </c>
      <c r="AF5" s="15"/>
      <c r="AG5" s="15"/>
    </row>
    <row r="6" spans="1:33" ht="12.75" x14ac:dyDescent="0.2">
      <c r="A6" s="19" t="s">
        <v>4</v>
      </c>
      <c r="B6" s="14" t="str">
        <f t="shared" si="0"/>
        <v>No</v>
      </c>
      <c r="C6" s="14" t="str">
        <f t="shared" si="1"/>
        <v>Yes</v>
      </c>
      <c r="D6" s="119" t="str">
        <f>Table10[[#This Row],[Value 1.1 (1990)]]</f>
        <v>1400</v>
      </c>
      <c r="E6" s="119" t="str">
        <f>Table10[[#This Row],[Value 1.2 (2000)]]</f>
        <v>1100</v>
      </c>
      <c r="F6" s="119" t="str">
        <f>Table10[[#This Row],[Value 1.3 (2013)]]</f>
        <v>460</v>
      </c>
      <c r="G6" s="119">
        <f>Table10[[#This Row],[Target 2015_1]]</f>
        <v>350</v>
      </c>
      <c r="H6" s="32"/>
      <c r="I6" s="32">
        <v>2013</v>
      </c>
      <c r="J6" s="32"/>
      <c r="K6" s="14" t="str">
        <f t="shared" ref="K6:K69" si="2">IF(AND(L6&lt;&gt;"", W6&gt;2011), "Yes", "No")</f>
        <v>Yes</v>
      </c>
      <c r="L6" s="32">
        <f>Table10[[#This Row],[Value 2.1 (1990)]]</f>
        <v>226</v>
      </c>
      <c r="M6" s="32"/>
      <c r="N6" s="32"/>
      <c r="O6" s="32">
        <f>Table10[[#This Row],[Value 2.2 (2000)]]</f>
        <v>217</v>
      </c>
      <c r="P6" s="32"/>
      <c r="Q6" s="32"/>
      <c r="R6" s="32">
        <f>Table10[[#This Row],[Value 2.3 (2013)]]</f>
        <v>167</v>
      </c>
      <c r="S6" s="32"/>
      <c r="T6" s="32"/>
      <c r="U6" s="32">
        <f>Table10[[#This Row],[Target 2015_2]]</f>
        <v>71</v>
      </c>
      <c r="V6" s="32"/>
      <c r="W6" s="32">
        <v>2013</v>
      </c>
      <c r="X6" s="32"/>
      <c r="Y6" s="14" t="str">
        <f>IF(AND(Z6&lt;&gt;"",Table1020[[#This Row],[year3]]&gt; 2011), "Yes", "No")</f>
        <v>No</v>
      </c>
      <c r="Z6" s="15">
        <f>Table10[[#This Row],[Value 3.1 (1990)]]</f>
        <v>61.7</v>
      </c>
      <c r="AA6" s="15">
        <f>Table10[[#This Row],[Year]]</f>
        <v>1996</v>
      </c>
      <c r="AB6" s="15" t="str">
        <f>Table10[[#This Row],[Value 3.2 (2000)]]</f>
        <v>No data</v>
      </c>
      <c r="AC6" s="15" t="str">
        <f>Table10[[#This Row],[Year2]]</f>
        <v>No data</v>
      </c>
      <c r="AD6" s="15">
        <f>Table10[[#This Row],[Value 3.3 (2012)]]</f>
        <v>29.2</v>
      </c>
      <c r="AE6" s="15">
        <f>Table10[[#This Row],[Year3]]</f>
        <v>2007</v>
      </c>
      <c r="AF6" s="15"/>
      <c r="AG6" s="15"/>
    </row>
    <row r="7" spans="1:33" ht="12.75" x14ac:dyDescent="0.2">
      <c r="A7" s="19" t="s">
        <v>5</v>
      </c>
      <c r="B7" s="14" t="str">
        <f t="shared" si="0"/>
        <v>No</v>
      </c>
      <c r="C7" s="14" t="str">
        <f t="shared" si="1"/>
        <v>Yes</v>
      </c>
      <c r="D7" s="119" t="str">
        <f>Table10[[#This Row],[Value 1.1 (1990)]]</f>
        <v>60</v>
      </c>
      <c r="E7" s="119" t="str">
        <f>Table10[[#This Row],[Value 1.2 (2000)]]</f>
        <v>57</v>
      </c>
      <c r="F7" s="119" t="str">
        <f>Table10[[#This Row],[Value 1.3 (2013)]]</f>
        <v>26</v>
      </c>
      <c r="G7" s="119">
        <f>Table10[[#This Row],[Target 2015_1]]</f>
        <v>15</v>
      </c>
      <c r="H7" s="32"/>
      <c r="I7" s="32">
        <v>2013</v>
      </c>
      <c r="J7" s="32"/>
      <c r="K7" s="14" t="str">
        <f t="shared" si="2"/>
        <v>Yes</v>
      </c>
      <c r="L7" s="32">
        <f>Table10[[#This Row],[Value 2.1 (1990)]]</f>
        <v>95</v>
      </c>
      <c r="M7" s="32"/>
      <c r="N7" s="32"/>
      <c r="O7" s="32">
        <f>Table10[[#This Row],[Value 2.2 (2000)]]</f>
        <v>74</v>
      </c>
      <c r="P7" s="32"/>
      <c r="Q7" s="32"/>
      <c r="R7" s="32">
        <f>Table10[[#This Row],[Value 2.3 (2013)]]</f>
        <v>34</v>
      </c>
      <c r="S7" s="32"/>
      <c r="T7" s="32"/>
      <c r="U7" s="32">
        <f>Table10[[#This Row],[Target 2015_2]]</f>
        <v>31</v>
      </c>
      <c r="V7" s="32"/>
      <c r="W7" s="32">
        <v>2013</v>
      </c>
      <c r="X7" s="32"/>
      <c r="Y7" s="14" t="str">
        <f>IF(AND(Z7&lt;&gt;"",Table1020[[#This Row],[year3]]&gt; 2011), "Yes", "No")</f>
        <v>No</v>
      </c>
      <c r="Z7" s="15">
        <f>Table10[[#This Row],[Value 3.1 (1990)]]</f>
        <v>28</v>
      </c>
      <c r="AA7" s="15">
        <f>Table10[[#This Row],[Year]]</f>
        <v>1996</v>
      </c>
      <c r="AB7" s="15">
        <f>Table10[[#This Row],[Value 3.2 (2000)]]</f>
        <v>24.1</v>
      </c>
      <c r="AC7" s="15">
        <f>Table10[[#This Row],[Year2]]</f>
        <v>2000</v>
      </c>
      <c r="AD7" s="15">
        <f>Table10[[#This Row],[Value 3.3 (2012)]]</f>
        <v>26.8</v>
      </c>
      <c r="AE7" s="15">
        <f>Table10[[#This Row],[Year3]]</f>
        <v>2006</v>
      </c>
      <c r="AF7" s="15"/>
      <c r="AG7" s="15"/>
    </row>
    <row r="8" spans="1:33" ht="12.75" x14ac:dyDescent="0.2">
      <c r="A8" s="19" t="s">
        <v>6</v>
      </c>
      <c r="B8" s="14" t="str">
        <f t="shared" si="0"/>
        <v>No</v>
      </c>
      <c r="C8" s="14" t="str">
        <f t="shared" si="1"/>
        <v>Yes</v>
      </c>
      <c r="D8" s="119" t="str">
        <f>Table10[[#This Row],[Value 1.1 (1990)]]</f>
        <v>550</v>
      </c>
      <c r="E8" s="119" t="str">
        <f>Table10[[#This Row],[Value 1.2 (2000)]]</f>
        <v>340</v>
      </c>
      <c r="F8" s="119" t="str">
        <f>Table10[[#This Row],[Value 1.3 (2013)]]</f>
        <v>170</v>
      </c>
      <c r="G8" s="119">
        <f>Table10[[#This Row],[Target 2015_1]]</f>
        <v>140</v>
      </c>
      <c r="H8" s="32"/>
      <c r="I8" s="32">
        <v>2013</v>
      </c>
      <c r="J8" s="32"/>
      <c r="K8" s="14" t="str">
        <f t="shared" si="2"/>
        <v>Yes</v>
      </c>
      <c r="L8" s="32">
        <f>Table10[[#This Row],[Value 2.1 (1990)]]</f>
        <v>143.69999999999999</v>
      </c>
      <c r="M8" s="32"/>
      <c r="N8" s="32"/>
      <c r="O8" s="32">
        <f>Table10[[#This Row],[Value 2.2 (2000)]]</f>
        <v>88.1</v>
      </c>
      <c r="P8" s="32"/>
      <c r="Q8" s="32"/>
      <c r="R8" s="32">
        <f>Table10[[#This Row],[Value 2.3 (2013)]]</f>
        <v>41.1</v>
      </c>
      <c r="S8" s="32"/>
      <c r="T8" s="32"/>
      <c r="U8" s="32">
        <f>Table10[[#This Row],[Target 2015_2]]</f>
        <v>48</v>
      </c>
      <c r="V8" s="32"/>
      <c r="W8" s="32">
        <v>2013</v>
      </c>
      <c r="X8" s="32"/>
      <c r="Y8" s="14" t="str">
        <f>IF(AND(Z8&lt;&gt;"",Table1020[[#This Row],[year3]]&gt; 2011), "Yes", "No")</f>
        <v>No</v>
      </c>
      <c r="Z8" s="15">
        <f>Table10[[#This Row],[Value 3.1 (1990)]]</f>
        <v>63.4</v>
      </c>
      <c r="AA8" s="15">
        <f>Table10[[#This Row],[Year]]</f>
        <v>1990</v>
      </c>
      <c r="AB8" s="15">
        <f>Table10[[#This Row],[Value 3.2 (2000)]]</f>
        <v>50.8</v>
      </c>
      <c r="AC8" s="15">
        <f>Table10[[#This Row],[Year2]]</f>
        <v>2000</v>
      </c>
      <c r="AD8" s="15">
        <f>Table10[[#This Row],[Value 3.3 (2012)]]</f>
        <v>41.4</v>
      </c>
      <c r="AE8" s="15">
        <f>Table10[[#This Row],[Year3]]</f>
        <v>2011</v>
      </c>
      <c r="AF8" s="15"/>
      <c r="AG8" s="15"/>
    </row>
    <row r="9" spans="1:33" ht="12.75" x14ac:dyDescent="0.2">
      <c r="A9" s="19" t="s">
        <v>7</v>
      </c>
      <c r="B9" s="14" t="str">
        <f t="shared" si="0"/>
        <v>No</v>
      </c>
      <c r="C9" s="14" t="str">
        <f t="shared" si="1"/>
        <v>Yes</v>
      </c>
      <c r="D9" s="119" t="str">
        <f>Table10[[#This Row],[Value 1.1 (1990)]]</f>
        <v>600</v>
      </c>
      <c r="E9" s="119" t="str">
        <f>Table10[[#This Row],[Value 1.2 (2000)]]</f>
        <v>490</v>
      </c>
      <c r="F9" s="119" t="str">
        <f>Table10[[#This Row],[Value 1.3 (2013)]]</f>
        <v>340</v>
      </c>
      <c r="G9" s="119">
        <f>Table10[[#This Row],[Target 2015_1]]</f>
        <v>150</v>
      </c>
      <c r="H9" s="32"/>
      <c r="I9" s="32">
        <v>2013</v>
      </c>
      <c r="J9" s="32"/>
      <c r="K9" s="14" t="str">
        <f t="shared" si="2"/>
        <v>Yes</v>
      </c>
      <c r="L9" s="32">
        <f>Table10[[#This Row],[Value 2.1 (1990)]]</f>
        <v>179.4</v>
      </c>
      <c r="M9" s="32"/>
      <c r="N9" s="32"/>
      <c r="O9" s="32">
        <f>Table10[[#This Row],[Value 2.2 (2000)]]</f>
        <v>146</v>
      </c>
      <c r="P9" s="32"/>
      <c r="Q9" s="32"/>
      <c r="R9" s="32">
        <f>Table10[[#This Row],[Value 2.3 (2013)]]</f>
        <v>85.3</v>
      </c>
      <c r="S9" s="32"/>
      <c r="T9" s="32"/>
      <c r="U9" s="32">
        <f>Table10[[#This Row],[Target 2015_2]]</f>
        <v>60</v>
      </c>
      <c r="V9" s="32"/>
      <c r="W9" s="32">
        <v>2013</v>
      </c>
      <c r="X9" s="32"/>
      <c r="Y9" s="14" t="str">
        <f>IF(AND(Z9&lt;&gt;"",Table1020[[#This Row],[year3]]&gt; 2011), "Yes", "No")</f>
        <v>No</v>
      </c>
      <c r="Z9" s="15">
        <f>Table10[[#This Row],[Value 3.1 (1990)]]</f>
        <v>39.1</v>
      </c>
      <c r="AA9" s="15">
        <f>Table10[[#This Row],[Year]]</f>
        <v>1996</v>
      </c>
      <c r="AB9" s="15">
        <f>Table10[[#This Row],[Value 3.2 (2000)]]</f>
        <v>39.1</v>
      </c>
      <c r="AC9" s="15">
        <f>Table10[[#This Row],[Year2]]</f>
        <v>2001</v>
      </c>
      <c r="AD9" s="15">
        <f>Table10[[#This Row],[Value 3.3 (2012)]]</f>
        <v>44.7</v>
      </c>
      <c r="AE9" s="15">
        <f>Table10[[#This Row],[Year3]]</f>
        <v>2006</v>
      </c>
      <c r="AF9" s="15"/>
      <c r="AG9" s="15"/>
    </row>
    <row r="10" spans="1:33" ht="12.75" x14ac:dyDescent="0.2">
      <c r="A10" s="19" t="s">
        <v>8</v>
      </c>
      <c r="B10" s="14" t="str">
        <f t="shared" si="0"/>
        <v>No</v>
      </c>
      <c r="C10" s="14" t="str">
        <f t="shared" si="1"/>
        <v>Yes</v>
      </c>
      <c r="D10" s="119" t="str">
        <f>Table10[[#This Row],[Value 1.1 (1990)]]</f>
        <v>510</v>
      </c>
      <c r="E10" s="119" t="str">
        <f>Table10[[#This Row],[Value 1.2 (2000)]]</f>
        <v>330</v>
      </c>
      <c r="F10" s="119" t="str">
        <f>Table10[[#This Row],[Value 1.3 (2013)]]</f>
        <v>200</v>
      </c>
      <c r="G10" s="119">
        <f>Table10[[#This Row],[Target 2015_1]]</f>
        <v>130</v>
      </c>
      <c r="H10" s="32"/>
      <c r="I10" s="32">
        <v>2013</v>
      </c>
      <c r="J10" s="32"/>
      <c r="K10" s="14" t="str">
        <f t="shared" si="2"/>
        <v>Yes</v>
      </c>
      <c r="L10" s="32">
        <f>Table10[[#This Row],[Value 2.1 (1990)]]</f>
        <v>38.4</v>
      </c>
      <c r="M10" s="32"/>
      <c r="N10" s="32"/>
      <c r="O10" s="32">
        <f>Table10[[#This Row],[Value 2.2 (2000)]]</f>
        <v>28.9</v>
      </c>
      <c r="P10" s="32"/>
      <c r="Q10" s="32"/>
      <c r="R10" s="32">
        <f>Table10[[#This Row],[Value 2.3 (2013)]]</f>
        <v>17.899999999999999</v>
      </c>
      <c r="S10" s="32"/>
      <c r="T10" s="32"/>
      <c r="U10" s="32">
        <f>Table10[[#This Row],[Target 2015_2]]</f>
        <v>41</v>
      </c>
      <c r="V10" s="32"/>
      <c r="W10" s="32">
        <v>2013</v>
      </c>
      <c r="X10" s="32"/>
      <c r="Y10" s="14" t="str">
        <f>IF(AND(Z10&lt;&gt;"",Table1020[[#This Row],[year3]]&gt; 2011), "Yes", "No")</f>
        <v>No</v>
      </c>
      <c r="Z10" s="15">
        <f>Table10[[#This Row],[Value 3.1 (1990)]]</f>
        <v>44</v>
      </c>
      <c r="AA10" s="15">
        <f>Table10[[#This Row],[Year]]</f>
        <v>1989</v>
      </c>
      <c r="AB10" s="15">
        <f>Table10[[#This Row],[Value 3.2 (2000)]]</f>
        <v>33.1</v>
      </c>
      <c r="AC10" s="15">
        <f>Table10[[#This Row],[Year2]]</f>
        <v>1998</v>
      </c>
      <c r="AD10" s="15">
        <f>Table10[[#This Row],[Value 3.3 (2012)]]</f>
        <v>27.2</v>
      </c>
      <c r="AE10" s="15">
        <f>Table10[[#This Row],[Year3]]</f>
        <v>2008</v>
      </c>
      <c r="AF10" s="15"/>
      <c r="AG10" s="15"/>
    </row>
    <row r="11" spans="1:33" ht="12.75" x14ac:dyDescent="0.2">
      <c r="A11" s="19" t="s">
        <v>9</v>
      </c>
      <c r="B11" s="14" t="str">
        <f t="shared" si="0"/>
        <v>No</v>
      </c>
      <c r="C11" s="14" t="str">
        <f t="shared" si="1"/>
        <v>Yes</v>
      </c>
      <c r="D11" s="119" t="str">
        <f>Table10[[#This Row],[Value 1.1 (1990)]]</f>
        <v>360</v>
      </c>
      <c r="E11" s="119" t="str">
        <f>Table10[[#This Row],[Value 1.2 (2000)]]</f>
        <v>390</v>
      </c>
      <c r="F11" s="119" t="str">
        <f>Table10[[#This Row],[Value 1.3 (2013)]]</f>
        <v>170</v>
      </c>
      <c r="G11" s="119">
        <f>Table10[[#This Row],[Target 2015_1]]</f>
        <v>90</v>
      </c>
      <c r="H11" s="32"/>
      <c r="I11" s="32">
        <v>2013</v>
      </c>
      <c r="J11" s="32"/>
      <c r="K11" s="14" t="str">
        <f t="shared" si="2"/>
        <v>Yes</v>
      </c>
      <c r="L11" s="32">
        <f>Table10[[#This Row],[Value 2.1 (1990)]]</f>
        <v>49.5</v>
      </c>
      <c r="M11" s="32"/>
      <c r="N11" s="32"/>
      <c r="O11" s="32">
        <f>Table10[[#This Row],[Value 2.2 (2000)]]</f>
        <v>85.1</v>
      </c>
      <c r="P11" s="32"/>
      <c r="Q11" s="32"/>
      <c r="R11" s="32">
        <f>Table10[[#This Row],[Value 2.3 (2013)]]</f>
        <v>46.6</v>
      </c>
      <c r="S11" s="32"/>
      <c r="T11" s="32"/>
      <c r="U11" s="32">
        <f>Table10[[#This Row],[Target 2015_2]]</f>
        <v>16</v>
      </c>
      <c r="V11" s="32"/>
      <c r="W11" s="32">
        <v>2013</v>
      </c>
      <c r="X11" s="32"/>
      <c r="Y11" s="14" t="str">
        <f>IF(AND(Z11&lt;&gt;"",Table1020[[#This Row],[year3]]&gt; 2011), "Yes", "No")</f>
        <v>No</v>
      </c>
      <c r="Z11" s="15">
        <f>Table10[[#This Row],[Value 3.1 (1990)]]</f>
        <v>35.1</v>
      </c>
      <c r="AA11" s="15">
        <f>Table10[[#This Row],[Year]]</f>
        <v>1996</v>
      </c>
      <c r="AB11" s="15">
        <f>Table10[[#This Row],[Value 3.2 (2000)]]</f>
        <v>29.1</v>
      </c>
      <c r="AC11" s="15">
        <f>Table10[[#This Row],[Year2]]</f>
        <v>2000</v>
      </c>
      <c r="AD11" s="15">
        <f>Table10[[#This Row],[Value 3.3 (2012)]]</f>
        <v>31.4</v>
      </c>
      <c r="AE11" s="15">
        <f>Table10[[#This Row],[Year3]]</f>
        <v>2007</v>
      </c>
      <c r="AF11" s="15"/>
      <c r="AG11" s="15"/>
    </row>
    <row r="12" spans="1:33" ht="12.75" x14ac:dyDescent="0.2">
      <c r="A12" s="19" t="s">
        <v>10</v>
      </c>
      <c r="B12" s="14" t="str">
        <f t="shared" si="0"/>
        <v>No</v>
      </c>
      <c r="C12" s="14" t="str">
        <f t="shared" si="1"/>
        <v>Yes</v>
      </c>
      <c r="D12" s="119" t="str">
        <f>Table10[[#This Row],[Value 1.1 (1990)]]</f>
        <v>120</v>
      </c>
      <c r="E12" s="119" t="str">
        <f>Table10[[#This Row],[Value 1.2 (2000)]]</f>
        <v>85</v>
      </c>
      <c r="F12" s="119" t="str">
        <f>Table10[[#This Row],[Value 1.3 (2013)]]</f>
        <v>69</v>
      </c>
      <c r="G12" s="119">
        <f>Table10[[#This Row],[Target 2015_1]]</f>
        <v>30</v>
      </c>
      <c r="H12" s="32"/>
      <c r="I12" s="32">
        <v>2013</v>
      </c>
      <c r="J12" s="32"/>
      <c r="K12" s="14" t="str">
        <f t="shared" si="2"/>
        <v>Yes</v>
      </c>
      <c r="L12" s="32">
        <f>Table10[[#This Row],[Value 2.1 (1990)]]</f>
        <v>61.5</v>
      </c>
      <c r="M12" s="32"/>
      <c r="N12" s="32"/>
      <c r="O12" s="32">
        <f>Table10[[#This Row],[Value 2.2 (2000)]]</f>
        <v>32.9</v>
      </c>
      <c r="P12" s="32"/>
      <c r="Q12" s="32"/>
      <c r="R12" s="32">
        <f>Table10[[#This Row],[Value 2.3 (2013)]]</f>
        <v>13.7</v>
      </c>
      <c r="S12" s="32"/>
      <c r="T12" s="32"/>
      <c r="U12" s="32">
        <f>Table10[[#This Row],[Target 2015_2]]</f>
        <v>21</v>
      </c>
      <c r="V12" s="32"/>
      <c r="W12" s="32">
        <v>2013</v>
      </c>
      <c r="X12" s="32"/>
      <c r="Y12" s="14" t="str">
        <f>IF(AND(Z12&lt;&gt;"",Table1020[[#This Row],[year3]]&gt; 2011), "Yes", "No")</f>
        <v>No</v>
      </c>
      <c r="Z12" s="15">
        <f>Table10[[#This Row],[Value 3.1 (1990)]]</f>
        <v>19.399999999999999</v>
      </c>
      <c r="AA12" s="15">
        <f>Table10[[#This Row],[Year]]</f>
        <v>1989</v>
      </c>
      <c r="AB12" s="15">
        <f>Table10[[#This Row],[Value 3.2 (2000)]]</f>
        <v>13.5</v>
      </c>
      <c r="AC12" s="15">
        <f>Table10[[#This Row],[Year2]]</f>
        <v>1996</v>
      </c>
      <c r="AD12" s="15">
        <f>Table10[[#This Row],[Value 3.3 (2012)]]</f>
        <v>7.1</v>
      </c>
      <c r="AE12" s="15">
        <f>Table10[[#This Row],[Year3]]</f>
        <v>2007</v>
      </c>
      <c r="AF12" s="15"/>
      <c r="AG12" s="15"/>
    </row>
    <row r="13" spans="1:33" ht="12.75" x14ac:dyDescent="0.2">
      <c r="A13" s="19" t="s">
        <v>11</v>
      </c>
      <c r="B13" s="14" t="str">
        <f t="shared" si="0"/>
        <v>Yes</v>
      </c>
      <c r="C13" s="14" t="str">
        <f t="shared" si="1"/>
        <v>Yes</v>
      </c>
      <c r="D13" s="119" t="str">
        <f>Table10[[#This Row],[Value 1.1 (1990)]]</f>
        <v>770</v>
      </c>
      <c r="E13" s="119" t="str">
        <f>Table10[[#This Row],[Value 1.2 (2000)]]</f>
        <v>580</v>
      </c>
      <c r="F13" s="119" t="str">
        <f>Table10[[#This Row],[Value 1.3 (2013)]]</f>
        <v>400</v>
      </c>
      <c r="G13" s="119">
        <f>Table10[[#This Row],[Target 2015_1]]</f>
        <v>190</v>
      </c>
      <c r="H13" s="32"/>
      <c r="I13" s="32">
        <v>2013</v>
      </c>
      <c r="J13" s="32"/>
      <c r="K13" s="14" t="str">
        <f t="shared" si="2"/>
        <v>Yes</v>
      </c>
      <c r="L13" s="32">
        <f>Table10[[#This Row],[Value 2.1 (1990)]]</f>
        <v>202.2</v>
      </c>
      <c r="M13" s="32"/>
      <c r="N13" s="32"/>
      <c r="O13" s="32">
        <f>Table10[[#This Row],[Value 2.2 (2000)]]</f>
        <v>185.8</v>
      </c>
      <c r="P13" s="32"/>
      <c r="Q13" s="32"/>
      <c r="R13" s="32">
        <f>Table10[[#This Row],[Value 2.3 (2013)]]</f>
        <v>97.6</v>
      </c>
      <c r="S13" s="32"/>
      <c r="T13" s="32"/>
      <c r="U13" s="32">
        <f>Table10[[#This Row],[Target 2015_2]]</f>
        <v>67</v>
      </c>
      <c r="V13" s="32"/>
      <c r="W13" s="32">
        <v>2013</v>
      </c>
      <c r="X13" s="32"/>
      <c r="Y13" s="14" t="str">
        <f>IF(AND(Z13&lt;&gt;"",Table1020[[#This Row],[year3]]&gt; 2011), "Yes", "No")</f>
        <v>Yes</v>
      </c>
      <c r="Z13" s="15">
        <f>Table10[[#This Row],[Value 3.1 (1990)]]</f>
        <v>40.700000000000003</v>
      </c>
      <c r="AA13" s="15">
        <f>Table10[[#This Row],[Year]]</f>
        <v>1993</v>
      </c>
      <c r="AB13" s="15">
        <f>Table10[[#This Row],[Value 3.2 (2000)]]</f>
        <v>45.5</v>
      </c>
      <c r="AC13" s="15">
        <f>Table10[[#This Row],[Year2]]</f>
        <v>1999</v>
      </c>
      <c r="AD13" s="15">
        <f>Table10[[#This Row],[Value 3.3 (2012)]]</f>
        <v>32.9</v>
      </c>
      <c r="AE13" s="15">
        <f>Table10[[#This Row],[Year3]]</f>
        <v>2012</v>
      </c>
      <c r="AF13" s="15"/>
      <c r="AG13" s="15"/>
    </row>
    <row r="14" spans="1:33" ht="12.75" x14ac:dyDescent="0.2">
      <c r="A14" s="19" t="s">
        <v>12</v>
      </c>
      <c r="B14" s="14" t="str">
        <f t="shared" si="0"/>
        <v>No</v>
      </c>
      <c r="C14" s="14" t="str">
        <f t="shared" si="1"/>
        <v>Yes</v>
      </c>
      <c r="D14" s="119" t="str">
        <f>Table10[[#This Row],[Value 1.1 (1990)]]</f>
        <v>1300</v>
      </c>
      <c r="E14" s="119" t="str">
        <f>Table10[[#This Row],[Value 1.2 (2000)]]</f>
        <v>1000</v>
      </c>
      <c r="F14" s="119" t="str">
        <f>Table10[[#This Row],[Value 1.3 (2013)]]</f>
        <v>740</v>
      </c>
      <c r="G14" s="119">
        <f>Table10[[#This Row],[Target 2015_1]]</f>
        <v>330</v>
      </c>
      <c r="H14" s="32"/>
      <c r="I14" s="32">
        <v>2013</v>
      </c>
      <c r="J14" s="32"/>
      <c r="K14" s="14" t="str">
        <f t="shared" si="2"/>
        <v>Yes</v>
      </c>
      <c r="L14" s="32">
        <f>Table10[[#This Row],[Value 2.1 (1990)]]</f>
        <v>170.8</v>
      </c>
      <c r="M14" s="32"/>
      <c r="N14" s="32"/>
      <c r="O14" s="32">
        <f>Table10[[#This Row],[Value 2.2 (2000)]]</f>
        <v>148.9</v>
      </c>
      <c r="P14" s="32"/>
      <c r="Q14" s="32"/>
      <c r="R14" s="32">
        <f>Table10[[#This Row],[Value 2.3 (2013)]]</f>
        <v>82.9</v>
      </c>
      <c r="S14" s="32"/>
      <c r="T14" s="32"/>
      <c r="U14" s="32">
        <f>Table10[[#This Row],[Target 2015_2]]</f>
        <v>55</v>
      </c>
      <c r="V14" s="32"/>
      <c r="W14" s="32">
        <v>2013</v>
      </c>
      <c r="X14" s="32"/>
      <c r="Y14" s="14" t="str">
        <f>IF(AND(Z14&lt;&gt;"",Table1020[[#This Row],[year3]]&gt; 2011), "Yes", "No")</f>
        <v>No</v>
      </c>
      <c r="Z14" s="15">
        <f>Table10[[#This Row],[Value 3.1 (1990)]]</f>
        <v>56.2</v>
      </c>
      <c r="AA14" s="15">
        <f>Table10[[#This Row],[Year]]</f>
        <v>1987</v>
      </c>
      <c r="AB14" s="15">
        <f>Table10[[#This Row],[Value 3.2 (2000)]]</f>
        <v>63.1</v>
      </c>
      <c r="AC14" s="15">
        <f>Table10[[#This Row],[Year2]]</f>
        <v>2000</v>
      </c>
      <c r="AD14" s="15">
        <f>Table10[[#This Row],[Value 3.3 (2012)]]</f>
        <v>57.5</v>
      </c>
      <c r="AE14" s="15">
        <f>Table10[[#This Row],[Year3]]</f>
        <v>2010</v>
      </c>
      <c r="AF14" s="15"/>
      <c r="AG14" s="15"/>
    </row>
    <row r="15" spans="1:33" ht="12.75" x14ac:dyDescent="0.2">
      <c r="A15" s="19" t="s">
        <v>13</v>
      </c>
      <c r="B15" s="14" t="str">
        <f t="shared" si="0"/>
        <v>No</v>
      </c>
      <c r="C15" s="14" t="str">
        <f t="shared" si="1"/>
        <v>Yes</v>
      </c>
      <c r="D15" s="119" t="str">
        <f>Table10[[#This Row],[Value 1.1 (1990)]]</f>
        <v>1200</v>
      </c>
      <c r="E15" s="119" t="str">
        <f>Table10[[#This Row],[Value 1.2 (2000)]]</f>
        <v>540</v>
      </c>
      <c r="F15" s="119" t="str">
        <f>Table10[[#This Row],[Value 1.3 (2013)]]</f>
        <v>170</v>
      </c>
      <c r="G15" s="119">
        <f>Table10[[#This Row],[Target 2015_1]]</f>
        <v>300</v>
      </c>
      <c r="H15" s="32"/>
      <c r="I15" s="32">
        <v>2013</v>
      </c>
      <c r="J15" s="32"/>
      <c r="K15" s="14" t="str">
        <f t="shared" si="2"/>
        <v>Yes</v>
      </c>
      <c r="L15" s="32">
        <f>Table10[[#This Row],[Value 2.1 (1990)]]</f>
        <v>117.5</v>
      </c>
      <c r="M15" s="32"/>
      <c r="N15" s="32"/>
      <c r="O15" s="32">
        <f>Table10[[#This Row],[Value 2.2 (2000)]]</f>
        <v>110.5</v>
      </c>
      <c r="P15" s="32"/>
      <c r="Q15" s="32"/>
      <c r="R15" s="32">
        <f>Table10[[#This Row],[Value 2.3 (2013)]]</f>
        <v>37.9</v>
      </c>
      <c r="S15" s="32"/>
      <c r="T15" s="32"/>
      <c r="U15" s="32">
        <f>Table10[[#This Row],[Target 2015_2]]</f>
        <v>39</v>
      </c>
      <c r="V15" s="32"/>
      <c r="W15" s="32">
        <v>2013</v>
      </c>
      <c r="X15" s="32"/>
      <c r="Y15" s="14" t="str">
        <f>IF(AND(Z15&lt;&gt;"",Table1020[[#This Row],[year3]]&gt; 2011), "Yes", "No")</f>
        <v>No</v>
      </c>
      <c r="Z15" s="15">
        <f>Table10[[#This Row],[Value 3.1 (1990)]]</f>
        <v>58.6</v>
      </c>
      <c r="AA15" s="15">
        <f>Table10[[#This Row],[Year]]</f>
        <v>1996</v>
      </c>
      <c r="AB15" s="15">
        <f>Table10[[#This Row],[Value 3.2 (2000)]]</f>
        <v>49.2</v>
      </c>
      <c r="AC15" s="15">
        <f>Table10[[#This Row],[Year2]]</f>
        <v>2000</v>
      </c>
      <c r="AD15" s="15">
        <f>Table10[[#This Row],[Value 3.3 (2012)]]</f>
        <v>40.9</v>
      </c>
      <c r="AE15" s="15">
        <f>Table10[[#This Row],[Year3]]</f>
        <v>2010</v>
      </c>
      <c r="AF15" s="15"/>
      <c r="AG15" s="15"/>
    </row>
    <row r="16" spans="1:33" ht="12.75" x14ac:dyDescent="0.2">
      <c r="A16" s="19" t="s">
        <v>14</v>
      </c>
      <c r="B16" s="14" t="str">
        <f t="shared" si="0"/>
        <v>No</v>
      </c>
      <c r="C16" s="14" t="str">
        <f t="shared" si="1"/>
        <v>Yes</v>
      </c>
      <c r="D16" s="119" t="str">
        <f>Table10[[#This Row],[Value 1.1 (1990)]]</f>
        <v>720</v>
      </c>
      <c r="E16" s="119" t="str">
        <f>Table10[[#This Row],[Value 1.2 (2000)]]</f>
        <v>740</v>
      </c>
      <c r="F16" s="119" t="str">
        <f>Table10[[#This Row],[Value 1.3 (2013)]]</f>
        <v>590</v>
      </c>
      <c r="G16" s="119">
        <f>Table10[[#This Row],[Target 2015_1]]</f>
        <v>180</v>
      </c>
      <c r="H16" s="32"/>
      <c r="I16" s="32">
        <v>2013</v>
      </c>
      <c r="J16" s="32"/>
      <c r="K16" s="14" t="str">
        <f t="shared" si="2"/>
        <v>Yes</v>
      </c>
      <c r="L16" s="32">
        <f>Table10[[#This Row],[Value 2.1 (1990)]]</f>
        <v>136.4</v>
      </c>
      <c r="M16" s="32"/>
      <c r="N16" s="32"/>
      <c r="O16" s="32">
        <f>Table10[[#This Row],[Value 2.2 (2000)]]</f>
        <v>151.19999999999999</v>
      </c>
      <c r="P16" s="32"/>
      <c r="Q16" s="32"/>
      <c r="R16" s="32">
        <f>Table10[[#This Row],[Value 2.3 (2013)]]</f>
        <v>94.5</v>
      </c>
      <c r="S16" s="32"/>
      <c r="T16" s="32"/>
      <c r="U16" s="32">
        <f>Table10[[#This Row],[Target 2015_2]]</f>
        <v>45</v>
      </c>
      <c r="V16" s="32"/>
      <c r="W16" s="32">
        <v>2013</v>
      </c>
      <c r="X16" s="32"/>
      <c r="Y16" s="14" t="str">
        <f>IF(AND(Z16&lt;&gt;"",Table1020[[#This Row],[year3]]&gt; 2011), "Yes", "No")</f>
        <v>No</v>
      </c>
      <c r="Z16" s="15">
        <f>Table10[[#This Row],[Value 3.1 (1990)]]</f>
        <v>36.299999999999997</v>
      </c>
      <c r="AA16" s="15">
        <f>Table10[[#This Row],[Year]]</f>
        <v>1991</v>
      </c>
      <c r="AB16" s="15">
        <f>Table10[[#This Row],[Value 3.2 (2000)]]</f>
        <v>38.200000000000003</v>
      </c>
      <c r="AC16" s="15">
        <f>Table10[[#This Row],[Year2]]</f>
        <v>1998</v>
      </c>
      <c r="AD16" s="15">
        <f>Table10[[#This Row],[Value 3.3 (2012)]]</f>
        <v>32.6</v>
      </c>
      <c r="AE16" s="15">
        <f>Table10[[#This Row],[Year3]]</f>
        <v>2011</v>
      </c>
      <c r="AF16" s="15"/>
      <c r="AG16" s="15"/>
    </row>
    <row r="17" spans="1:33" ht="12.75" x14ac:dyDescent="0.2">
      <c r="A17" s="19" t="s">
        <v>15</v>
      </c>
      <c r="B17" s="14" t="str">
        <f t="shared" si="0"/>
        <v>No</v>
      </c>
      <c r="C17" s="14" t="str">
        <f t="shared" si="1"/>
        <v>Yes</v>
      </c>
      <c r="D17" s="119" t="str">
        <f>Table10[[#This Row],[Value 1.1 (1990)]]</f>
        <v>1200</v>
      </c>
      <c r="E17" s="119" t="str">
        <f>Table10[[#This Row],[Value 1.2 (2000)]]</f>
        <v>1200</v>
      </c>
      <c r="F17" s="119" t="str">
        <f>Table10[[#This Row],[Value 1.3 (2013)]]</f>
        <v>880</v>
      </c>
      <c r="G17" s="119">
        <f>Table10[[#This Row],[Target 2015_1]]</f>
        <v>300</v>
      </c>
      <c r="H17" s="32"/>
      <c r="I17" s="32">
        <v>2013</v>
      </c>
      <c r="J17" s="32"/>
      <c r="K17" s="14" t="str">
        <f t="shared" si="2"/>
        <v>Yes</v>
      </c>
      <c r="L17" s="32">
        <f>Table10[[#This Row],[Value 2.1 (1990)]]</f>
        <v>176.9</v>
      </c>
      <c r="M17" s="32"/>
      <c r="N17" s="32"/>
      <c r="O17" s="32">
        <f>Table10[[#This Row],[Value 2.2 (2000)]]</f>
        <v>174.1</v>
      </c>
      <c r="P17" s="32"/>
      <c r="Q17" s="32"/>
      <c r="R17" s="32">
        <f>Table10[[#This Row],[Value 2.3 (2013)]]</f>
        <v>139.19999999999999</v>
      </c>
      <c r="S17" s="32"/>
      <c r="T17" s="32"/>
      <c r="U17" s="32">
        <f>Table10[[#This Row],[Target 2015_2]]</f>
        <v>57</v>
      </c>
      <c r="V17" s="32"/>
      <c r="W17" s="32">
        <v>2013</v>
      </c>
      <c r="X17" s="32"/>
      <c r="Y17" s="14" t="str">
        <f>IF(AND(Z17&lt;&gt;"",Table1020[[#This Row],[year3]]&gt; 2011), "Yes", "No")</f>
        <v>No</v>
      </c>
      <c r="Z17" s="15">
        <f>Table10[[#This Row],[Value 3.1 (1990)]]</f>
        <v>41.5</v>
      </c>
      <c r="AA17" s="15">
        <f>Table10[[#This Row],[Year]]</f>
        <v>1994</v>
      </c>
      <c r="AB17" s="15">
        <f>Table10[[#This Row],[Value 3.2 (2000)]]</f>
        <v>44.6</v>
      </c>
      <c r="AC17" s="15">
        <f>Table10[[#This Row],[Year2]]</f>
        <v>2000</v>
      </c>
      <c r="AD17" s="15">
        <f>Table10[[#This Row],[Value 3.3 (2012)]]</f>
        <v>40.700000000000003</v>
      </c>
      <c r="AE17" s="15">
        <f>Table10[[#This Row],[Year3]]</f>
        <v>2010</v>
      </c>
      <c r="AF17" s="15"/>
      <c r="AG17" s="15"/>
    </row>
    <row r="18" spans="1:33" ht="12.75" x14ac:dyDescent="0.2">
      <c r="A18" s="19" t="s">
        <v>16</v>
      </c>
      <c r="B18" s="14" t="str">
        <f t="shared" si="0"/>
        <v>No</v>
      </c>
      <c r="C18" s="14" t="str">
        <f t="shared" si="1"/>
        <v>Yes</v>
      </c>
      <c r="D18" s="119" t="str">
        <f>Table10[[#This Row],[Value 1.1 (1990)]]</f>
        <v>1700</v>
      </c>
      <c r="E18" s="119" t="str">
        <f>Table10[[#This Row],[Value 1.2 (2000)]]</f>
        <v>1500</v>
      </c>
      <c r="F18" s="119" t="str">
        <f>Table10[[#This Row],[Value 1.3 (2013)]]</f>
        <v>980</v>
      </c>
      <c r="G18" s="119">
        <f>Table10[[#This Row],[Target 2015_1]]</f>
        <v>430</v>
      </c>
      <c r="H18" s="32"/>
      <c r="I18" s="32">
        <v>2013</v>
      </c>
      <c r="J18" s="32"/>
      <c r="K18" s="14" t="str">
        <f t="shared" si="2"/>
        <v>Yes</v>
      </c>
      <c r="L18" s="32">
        <f>Table10[[#This Row],[Value 2.1 (1990)]]</f>
        <v>214.7</v>
      </c>
      <c r="M18" s="32"/>
      <c r="N18" s="32"/>
      <c r="O18" s="32">
        <f>Table10[[#This Row],[Value 2.2 (2000)]]</f>
        <v>190.7</v>
      </c>
      <c r="P18" s="32"/>
      <c r="Q18" s="32"/>
      <c r="R18" s="32">
        <f>Table10[[#This Row],[Value 2.3 (2013)]]</f>
        <v>147.5</v>
      </c>
      <c r="S18" s="32"/>
      <c r="T18" s="32"/>
      <c r="U18" s="32">
        <f>Table10[[#This Row],[Target 2015_2]]</f>
        <v>70</v>
      </c>
      <c r="V18" s="32"/>
      <c r="W18" s="32">
        <v>2013</v>
      </c>
      <c r="X18" s="32"/>
      <c r="Y18" s="14" t="str">
        <f>IF(AND(Z18&lt;&gt;"",Table1020[[#This Row],[year3]]&gt; 2011), "Yes", "No")</f>
        <v>No</v>
      </c>
      <c r="Z18" s="15">
        <f>Table10[[#This Row],[Value 3.1 (1990)]]</f>
        <v>45</v>
      </c>
      <c r="AA18" s="15">
        <f>Table10[[#This Row],[Year]]</f>
        <v>1997</v>
      </c>
      <c r="AB18" s="15">
        <f>Table10[[#This Row],[Value 3.2 (2000)]]</f>
        <v>39.299999999999997</v>
      </c>
      <c r="AC18" s="15">
        <f>Table10[[#This Row],[Year2]]</f>
        <v>2000</v>
      </c>
      <c r="AD18" s="15">
        <f>Table10[[#This Row],[Value 3.3 (2012)]]</f>
        <v>38.700000000000003</v>
      </c>
      <c r="AE18" s="15">
        <f>Table10[[#This Row],[Year3]]</f>
        <v>2010</v>
      </c>
      <c r="AF18" s="15"/>
      <c r="AG18" s="15"/>
    </row>
    <row r="19" spans="1:33" ht="12.75" x14ac:dyDescent="0.2">
      <c r="A19" s="19" t="s">
        <v>17</v>
      </c>
      <c r="B19" s="14" t="str">
        <f t="shared" si="0"/>
        <v>No</v>
      </c>
      <c r="C19" s="14" t="str">
        <f t="shared" si="1"/>
        <v>Yes</v>
      </c>
      <c r="D19" s="119" t="str">
        <f>Table10[[#This Row],[Value 1.1 (1990)]]</f>
        <v>97</v>
      </c>
      <c r="E19" s="119" t="str">
        <f>Table10[[#This Row],[Value 1.2 (2000)]]</f>
        <v>63</v>
      </c>
      <c r="F19" s="119" t="str">
        <f>Table10[[#This Row],[Value 1.3 (2013)]]</f>
        <v>32</v>
      </c>
      <c r="G19" s="119">
        <f>Table10[[#This Row],[Target 2015_1]]</f>
        <v>24</v>
      </c>
      <c r="H19" s="32"/>
      <c r="I19" s="32">
        <v>2013</v>
      </c>
      <c r="J19" s="32"/>
      <c r="K19" s="14" t="str">
        <f t="shared" si="2"/>
        <v>Yes</v>
      </c>
      <c r="L19" s="32">
        <f>Table10[[#This Row],[Value 2.1 (1990)]]</f>
        <v>54</v>
      </c>
      <c r="M19" s="32"/>
      <c r="N19" s="32"/>
      <c r="O19" s="32">
        <f>Table10[[#This Row],[Value 2.2 (2000)]]</f>
        <v>37</v>
      </c>
      <c r="P19" s="32"/>
      <c r="Q19" s="32"/>
      <c r="R19" s="32">
        <f>Table10[[#This Row],[Value 2.3 (2013)]]</f>
        <v>13</v>
      </c>
      <c r="S19" s="32"/>
      <c r="T19" s="32"/>
      <c r="U19" s="32">
        <f>Table10[[#This Row],[Target 2015_2]]</f>
        <v>18</v>
      </c>
      <c r="V19" s="32"/>
      <c r="W19" s="32">
        <v>2013</v>
      </c>
      <c r="X19" s="32"/>
      <c r="Y19" s="14" t="str">
        <f>IF(AND(Z19&lt;&gt;"",Table1020[[#This Row],[year3]]&gt; 2011), "Yes", "No")</f>
        <v>No</v>
      </c>
      <c r="Z19" s="15">
        <f>Table10[[#This Row],[Value 3.1 (1990)]]</f>
        <v>32.299999999999997</v>
      </c>
      <c r="AA19" s="15">
        <f>Table10[[#This Row],[Year]]</f>
        <v>1990</v>
      </c>
      <c r="AB19" s="15">
        <f>Table10[[#This Row],[Value 3.2 (2000)]]</f>
        <v>17.8</v>
      </c>
      <c r="AC19" s="15">
        <f>Table10[[#This Row],[Year2]]</f>
        <v>2000</v>
      </c>
      <c r="AD19" s="15">
        <f>Table10[[#This Row],[Value 3.3 (2012)]]</f>
        <v>9.4</v>
      </c>
      <c r="AE19" s="15">
        <f>Table10[[#This Row],[Year3]]</f>
        <v>2010</v>
      </c>
      <c r="AF19" s="15"/>
      <c r="AG19" s="15"/>
    </row>
    <row r="20" spans="1:33" ht="12.75" x14ac:dyDescent="0.2">
      <c r="A20" s="19" t="s">
        <v>18</v>
      </c>
      <c r="B20" s="14" t="s">
        <v>154</v>
      </c>
      <c r="C20" s="14" t="str">
        <f t="shared" si="1"/>
        <v>Yes</v>
      </c>
      <c r="D20" s="119" t="str">
        <f>Table10[[#This Row],[Value 1.1 (1990)]]</f>
        <v>630</v>
      </c>
      <c r="E20" s="119" t="str">
        <f>Table10[[#This Row],[Value 1.2 (2000)]]</f>
        <v>480</v>
      </c>
      <c r="F20" s="119" t="str">
        <f>Table10[[#This Row],[Value 1.3 (2013)]]</f>
        <v>350</v>
      </c>
      <c r="G20" s="119">
        <f>Table10[[#This Row],[Target 2015_1]]</f>
        <v>160</v>
      </c>
      <c r="H20" s="32"/>
      <c r="I20" s="32">
        <v>2013</v>
      </c>
      <c r="J20" s="32"/>
      <c r="K20" s="14" t="str">
        <f t="shared" si="2"/>
        <v>Yes</v>
      </c>
      <c r="L20" s="32">
        <f>Table10[[#This Row],[Value 2.1 (1990)]]</f>
        <v>125.4</v>
      </c>
      <c r="M20" s="32"/>
      <c r="N20" s="32"/>
      <c r="O20" s="32">
        <f>Table10[[#This Row],[Value 2.2 (2000)]]</f>
        <v>101.3</v>
      </c>
      <c r="P20" s="32"/>
      <c r="Q20" s="32"/>
      <c r="R20" s="32">
        <f>Table10[[#This Row],[Value 2.3 (2013)]]</f>
        <v>77.900000000000006</v>
      </c>
      <c r="S20" s="32"/>
      <c r="T20" s="32"/>
      <c r="U20" s="32">
        <f>Table10[[#This Row],[Target 2015_2]]</f>
        <v>41</v>
      </c>
      <c r="V20" s="32"/>
      <c r="W20" s="32">
        <v>2013</v>
      </c>
      <c r="X20" s="32"/>
      <c r="Y20" s="14" t="str">
        <f>IF(AND(Z20&lt;&gt;"",Table1020[[#This Row],[year3]]&gt; 2011), "Yes", "No")</f>
        <v>Yes</v>
      </c>
      <c r="Z20" s="15">
        <f>Table10[[#This Row],[Value 3.1 (1990)]]</f>
        <v>38.5</v>
      </c>
      <c r="AA20" s="15">
        <f>Table10[[#This Row],[Year]]</f>
        <v>1992</v>
      </c>
      <c r="AB20" s="15">
        <f>Table10[[#This Row],[Value 3.2 (2000)]]</f>
        <v>46.9</v>
      </c>
      <c r="AC20" s="15">
        <f>Table10[[#This Row],[Year2]]</f>
        <v>2000</v>
      </c>
      <c r="AD20" s="15">
        <f>Table10[[#This Row],[Value 3.3 (2012)]]</f>
        <v>32.1</v>
      </c>
      <c r="AE20" s="15">
        <f>Table10[[#This Row],[Year3]]</f>
        <v>2012</v>
      </c>
      <c r="AF20" s="15"/>
      <c r="AG20" s="15"/>
    </row>
    <row r="21" spans="1:33" ht="12.75" x14ac:dyDescent="0.2">
      <c r="A21" s="19" t="s">
        <v>19</v>
      </c>
      <c r="B21" s="14" t="str">
        <f t="shared" ref="B21:B60" si="3">IF(AND(C21="Yes", K21= "Yes", Y21="Yes"), "Yes", "No")</f>
        <v>No</v>
      </c>
      <c r="C21" s="14" t="str">
        <f t="shared" si="1"/>
        <v>Yes</v>
      </c>
      <c r="D21" s="119" t="str">
        <f>Table10[[#This Row],[Value 1.1 (1990)]]</f>
        <v>670</v>
      </c>
      <c r="E21" s="119" t="str">
        <f>Table10[[#This Row],[Value 1.2 (2000)]]</f>
        <v>610</v>
      </c>
      <c r="F21" s="119" t="str">
        <f>Table10[[#This Row],[Value 1.3 (2013)]]</f>
        <v>410</v>
      </c>
      <c r="G21" s="119">
        <f>Table10[[#This Row],[Target 2015_1]]</f>
        <v>170</v>
      </c>
      <c r="H21" s="32"/>
      <c r="I21" s="32">
        <v>2013</v>
      </c>
      <c r="J21" s="32"/>
      <c r="K21" s="14" t="str">
        <f t="shared" si="2"/>
        <v>Yes</v>
      </c>
      <c r="L21" s="32">
        <f>Table10[[#This Row],[Value 2.1 (1990)]]</f>
        <v>92.2</v>
      </c>
      <c r="M21" s="32"/>
      <c r="N21" s="32"/>
      <c r="O21" s="32">
        <f>Table10[[#This Row],[Value 2.2 (2000)]]</f>
        <v>121.4</v>
      </c>
      <c r="P21" s="32"/>
      <c r="Q21" s="32"/>
      <c r="R21" s="32">
        <f>Table10[[#This Row],[Value 2.3 (2013)]]</f>
        <v>49.1</v>
      </c>
      <c r="S21" s="32"/>
      <c r="T21" s="32"/>
      <c r="U21" s="32">
        <f>Table10[[#This Row],[Target 2015_2]]</f>
        <v>33</v>
      </c>
      <c r="V21" s="32"/>
      <c r="W21" s="32">
        <v>2013</v>
      </c>
      <c r="X21" s="32"/>
      <c r="Y21" s="14" t="str">
        <f>IF(AND(Z21&lt;&gt;"",Table1020[[#This Row],[year3]]&gt; 2011), "Yes", "No")</f>
        <v>No</v>
      </c>
      <c r="Z21" s="15">
        <f>Table10[[#This Row],[Value 3.1 (1990)]]</f>
        <v>30.1</v>
      </c>
      <c r="AA21" s="15">
        <f>Table10[[#This Row],[Year]]</f>
        <v>1987</v>
      </c>
      <c r="AB21" s="15">
        <f>Table10[[#This Row],[Value 3.2 (2000)]]</f>
        <v>31.2</v>
      </c>
      <c r="AC21" s="15">
        <f>Table10[[#This Row],[Year2]]</f>
        <v>2005</v>
      </c>
      <c r="AD21" s="15">
        <f>Table10[[#This Row],[Value 3.3 (2012)]]</f>
        <v>25</v>
      </c>
      <c r="AE21" s="15">
        <f>Table10[[#This Row],[Year3]]</f>
        <v>2011</v>
      </c>
      <c r="AF21" s="15"/>
      <c r="AG21" s="15"/>
    </row>
    <row r="22" spans="1:33" ht="12.75" x14ac:dyDescent="0.2">
      <c r="A22" s="19" t="s">
        <v>20</v>
      </c>
      <c r="B22" s="14" t="str">
        <f t="shared" si="3"/>
        <v>Yes</v>
      </c>
      <c r="C22" s="14" t="str">
        <f t="shared" si="1"/>
        <v>Yes</v>
      </c>
      <c r="D22" s="119" t="str">
        <f>Table10[[#This Row],[Value 1.1 (1990)]]</f>
        <v>740</v>
      </c>
      <c r="E22" s="119" t="str">
        <f>Table10[[#This Row],[Value 1.2 (2000)]]</f>
        <v>670</v>
      </c>
      <c r="F22" s="119" t="str">
        <f>Table10[[#This Row],[Value 1.3 (2013)]]</f>
        <v>720</v>
      </c>
      <c r="G22" s="119">
        <f>Table10[[#This Row],[Target 2015_1]]</f>
        <v>190</v>
      </c>
      <c r="H22" s="32"/>
      <c r="I22" s="32">
        <v>2013</v>
      </c>
      <c r="J22" s="32"/>
      <c r="K22" s="14" t="str">
        <f t="shared" si="2"/>
        <v>Yes</v>
      </c>
      <c r="L22" s="32">
        <f>Table10[[#This Row],[Value 2.1 (1990)]]</f>
        <v>151.6</v>
      </c>
      <c r="M22" s="32"/>
      <c r="N22" s="32"/>
      <c r="O22" s="32">
        <f>Table10[[#This Row],[Value 2.2 (2000)]]</f>
        <v>146.1</v>
      </c>
      <c r="P22" s="32"/>
      <c r="Q22" s="32"/>
      <c r="R22" s="32">
        <f>Table10[[#This Row],[Value 2.3 (2013)]]</f>
        <v>100</v>
      </c>
      <c r="S22" s="32"/>
      <c r="T22" s="32"/>
      <c r="U22" s="32">
        <f>Table10[[#This Row],[Target 2015_2]]</f>
        <v>51</v>
      </c>
      <c r="V22" s="32"/>
      <c r="W22" s="32">
        <v>2013</v>
      </c>
      <c r="X22" s="32"/>
      <c r="Y22" s="14" t="str">
        <f>IF(AND(Z22&lt;&gt;"",Table1020[[#This Row],[year3]]&gt; 2011), "Yes", "No")</f>
        <v>Yes</v>
      </c>
      <c r="Z22" s="15">
        <f>Table10[[#This Row],[Value 3.1 (1990)]]</f>
        <v>34.200000000000003</v>
      </c>
      <c r="AA22" s="15">
        <f>Table10[[#This Row],[Year]]</f>
        <v>1994</v>
      </c>
      <c r="AB22" s="15">
        <f>Table10[[#This Row],[Value 3.2 (2000)]]</f>
        <v>31.5</v>
      </c>
      <c r="AC22" s="15">
        <f>Table10[[#This Row],[Year2]]</f>
        <v>1998</v>
      </c>
      <c r="AD22" s="15">
        <f>Table10[[#This Row],[Value 3.3 (2012)]]</f>
        <v>29.6</v>
      </c>
      <c r="AE22" s="15">
        <f>Table10[[#This Row],[Year3]]</f>
        <v>2012</v>
      </c>
      <c r="AF22" s="15"/>
      <c r="AG22" s="15"/>
    </row>
    <row r="23" spans="1:33" ht="12.75" x14ac:dyDescent="0.2">
      <c r="A23" s="19" t="s">
        <v>21</v>
      </c>
      <c r="B23" s="14" t="str">
        <f t="shared" si="3"/>
        <v>Yes</v>
      </c>
      <c r="C23" s="14" t="str">
        <f t="shared" si="1"/>
        <v>Yes</v>
      </c>
      <c r="D23" s="119" t="str">
        <f>Table10[[#This Row],[Value 1.1 (1990)]]</f>
        <v>85</v>
      </c>
      <c r="E23" s="119" t="str">
        <f>Table10[[#This Row],[Value 1.2 (2000)]]</f>
        <v>120</v>
      </c>
      <c r="F23" s="119" t="str">
        <f>Table10[[#This Row],[Value 1.3 (2013)]]</f>
        <v>87</v>
      </c>
      <c r="G23" s="119">
        <f>Table10[[#This Row],[Target 2015_1]]</f>
        <v>21</v>
      </c>
      <c r="H23" s="32"/>
      <c r="I23" s="32">
        <v>2013</v>
      </c>
      <c r="J23" s="32"/>
      <c r="K23" s="14" t="str">
        <f t="shared" si="2"/>
        <v>Yes</v>
      </c>
      <c r="L23" s="32">
        <f>Table10[[#This Row],[Value 2.1 (1990)]]</f>
        <v>43.4</v>
      </c>
      <c r="M23" s="32"/>
      <c r="N23" s="32"/>
      <c r="O23" s="32">
        <f>Table10[[#This Row],[Value 2.2 (2000)]]</f>
        <v>60</v>
      </c>
      <c r="P23" s="32"/>
      <c r="Q23" s="32"/>
      <c r="R23" s="32">
        <f>Table10[[#This Row],[Value 2.3 (2013)]]</f>
        <v>27.4</v>
      </c>
      <c r="S23" s="32"/>
      <c r="T23" s="32"/>
      <c r="U23" s="32">
        <f>Table10[[#This Row],[Target 2015_2]]</f>
        <v>15</v>
      </c>
      <c r="V23" s="32"/>
      <c r="W23" s="32">
        <v>2013</v>
      </c>
      <c r="X23" s="32"/>
      <c r="Y23" s="14" t="str">
        <f>IF(AND(Z23&lt;&gt;"",Table1020[[#This Row],[year3]]&gt; 2011), "Yes", "No")</f>
        <v>Yes</v>
      </c>
      <c r="Z23" s="15" t="str">
        <f>Table10[[#This Row],[Value 3.1 (1990)]]</f>
        <v>No data</v>
      </c>
      <c r="AA23" s="15" t="str">
        <f>Table10[[#This Row],[Year]]</f>
        <v>No data</v>
      </c>
      <c r="AB23" s="15">
        <f>Table10[[#This Row],[Value 3.2 (2000)]]</f>
        <v>51</v>
      </c>
      <c r="AC23" s="15">
        <f>Table10[[#This Row],[Year2]]</f>
        <v>2000</v>
      </c>
      <c r="AD23" s="15">
        <f>Table10[[#This Row],[Value 3.3 (2012)]]</f>
        <v>27.9</v>
      </c>
      <c r="AE23" s="15">
        <f>Table10[[#This Row],[Year3]]</f>
        <v>2012</v>
      </c>
      <c r="AF23" s="15"/>
      <c r="AG23" s="15"/>
    </row>
    <row r="24" spans="1:33" ht="12.75" x14ac:dyDescent="0.2">
      <c r="A24" s="19" t="s">
        <v>22</v>
      </c>
      <c r="B24" s="14" t="str">
        <f t="shared" si="3"/>
        <v>No</v>
      </c>
      <c r="C24" s="14" t="str">
        <f t="shared" si="1"/>
        <v>Yes</v>
      </c>
      <c r="D24" s="119" t="str">
        <f>Table10[[#This Row],[Value 1.1 (1990)]]</f>
        <v>1000</v>
      </c>
      <c r="E24" s="119" t="str">
        <f>Table10[[#This Row],[Value 1.2 (2000)]]</f>
        <v>1100</v>
      </c>
      <c r="F24" s="119" t="str">
        <f>Table10[[#This Row],[Value 1.3 (2013)]]</f>
        <v>730</v>
      </c>
      <c r="G24" s="119">
        <f>Table10[[#This Row],[Target 2015_1]]</f>
        <v>250</v>
      </c>
      <c r="H24" s="32"/>
      <c r="I24" s="32">
        <v>2013</v>
      </c>
      <c r="J24" s="32"/>
      <c r="K24" s="14" t="str">
        <f t="shared" si="2"/>
        <v>Yes</v>
      </c>
      <c r="L24" s="32">
        <f>Table10[[#This Row],[Value 2.1 (1990)]]</f>
        <v>176</v>
      </c>
      <c r="M24" s="32"/>
      <c r="N24" s="32"/>
      <c r="O24" s="32">
        <f>Table10[[#This Row],[Value 2.2 (2000)]]</f>
        <v>175.9</v>
      </c>
      <c r="P24" s="32"/>
      <c r="Q24" s="32"/>
      <c r="R24" s="32">
        <f>Table10[[#This Row],[Value 2.3 (2013)]]</f>
        <v>118.5</v>
      </c>
      <c r="S24" s="32"/>
      <c r="T24" s="32"/>
      <c r="U24" s="32">
        <f>Table10[[#This Row],[Target 2015_2]]</f>
        <v>57</v>
      </c>
      <c r="V24" s="32"/>
      <c r="W24" s="32">
        <v>2013</v>
      </c>
      <c r="X24" s="32"/>
      <c r="Y24" s="14" t="str">
        <f>IF(AND(Z24&lt;&gt;"",Table1020[[#This Row],[year3]]&gt; 2011), "Yes", "No")</f>
        <v>No</v>
      </c>
      <c r="Z24" s="15">
        <f>Table10[[#This Row],[Value 3.1 (1990)]]</f>
        <v>51</v>
      </c>
      <c r="AA24" s="15">
        <f>Table10[[#This Row],[Year]]</f>
        <v>1995</v>
      </c>
      <c r="AB24" s="15">
        <f>Table10[[#This Row],[Value 3.2 (2000)]]</f>
        <v>44.4</v>
      </c>
      <c r="AC24" s="15">
        <f>Table10[[#This Row],[Year2]]</f>
        <v>2001</v>
      </c>
      <c r="AD24" s="15">
        <f>Table10[[#This Row],[Value 3.3 (2012)]]</f>
        <v>43.5</v>
      </c>
      <c r="AE24" s="15">
        <f>Table10[[#This Row],[Year3]]</f>
        <v>2010</v>
      </c>
      <c r="AF24" s="15"/>
      <c r="AG24" s="15"/>
    </row>
    <row r="25" spans="1:33" ht="12.75" x14ac:dyDescent="0.2">
      <c r="A25" s="19" t="s">
        <v>23</v>
      </c>
      <c r="B25" s="14" t="str">
        <f t="shared" si="3"/>
        <v>Yes</v>
      </c>
      <c r="C25" s="14" t="str">
        <f t="shared" si="1"/>
        <v>Yes</v>
      </c>
      <c r="D25" s="119" t="str">
        <f>Table10[[#This Row],[Value 1.1 (1990)]]</f>
        <v>400</v>
      </c>
      <c r="E25" s="119" t="str">
        <f>Table10[[#This Row],[Value 1.2 (2000)]]</f>
        <v>360</v>
      </c>
      <c r="F25" s="119" t="str">
        <f>Table10[[#This Row],[Value 1.3 (2013)]]</f>
        <v>230</v>
      </c>
      <c r="G25" s="119">
        <f>Table10[[#This Row],[Target 2015_1]]</f>
        <v>100</v>
      </c>
      <c r="H25" s="32"/>
      <c r="I25" s="32">
        <v>2013</v>
      </c>
      <c r="J25" s="32"/>
      <c r="K25" s="14" t="str">
        <f t="shared" si="2"/>
        <v>Yes</v>
      </c>
      <c r="L25" s="32">
        <f>Table10[[#This Row],[Value 2.1 (1990)]]</f>
        <v>118.6</v>
      </c>
      <c r="M25" s="32"/>
      <c r="N25" s="32"/>
      <c r="O25" s="32">
        <f>Table10[[#This Row],[Value 2.2 (2000)]]</f>
        <v>100.7</v>
      </c>
      <c r="P25" s="32"/>
      <c r="Q25" s="32"/>
      <c r="R25" s="32">
        <f>Table10[[#This Row],[Value 2.3 (2013)]]</f>
        <v>69.599999999999994</v>
      </c>
      <c r="S25" s="32"/>
      <c r="T25" s="32"/>
      <c r="U25" s="32">
        <f>Table10[[#This Row],[Target 2015_2]]</f>
        <v>40</v>
      </c>
      <c r="V25" s="32"/>
      <c r="W25" s="32">
        <v>2013</v>
      </c>
      <c r="X25" s="32"/>
      <c r="Y25" s="14" t="str">
        <f>IF(AND(Z25&lt;&gt;"",Table1020[[#This Row],[year3]]&gt; 2011), "Yes", "No")</f>
        <v>Yes</v>
      </c>
      <c r="Z25" s="15">
        <f>Table10[[#This Row],[Value 3.1 (1990)]]</f>
        <v>28</v>
      </c>
      <c r="AA25" s="15">
        <f>Table10[[#This Row],[Year]]</f>
        <v>1989</v>
      </c>
      <c r="AB25" s="15">
        <f>Table10[[#This Row],[Value 3.2 (2000)]]</f>
        <v>26.5</v>
      </c>
      <c r="AC25" s="15">
        <f>Table10[[#This Row],[Year2]]</f>
        <v>2002</v>
      </c>
      <c r="AD25" s="15">
        <f>Table10[[#This Row],[Value 3.3 (2012)]]</f>
        <v>33.5</v>
      </c>
      <c r="AE25" s="15">
        <f>Table10[[#This Row],[Year3]]</f>
        <v>2012</v>
      </c>
      <c r="AF25" s="15"/>
      <c r="AG25" s="15"/>
    </row>
    <row r="26" spans="1:33" ht="12.75" x14ac:dyDescent="0.2">
      <c r="A26" s="19" t="s">
        <v>24</v>
      </c>
      <c r="B26" s="14" t="str">
        <f t="shared" si="3"/>
        <v>No</v>
      </c>
      <c r="C26" s="14" t="str">
        <f t="shared" si="1"/>
        <v>Yes</v>
      </c>
      <c r="D26" s="119" t="str">
        <f>Table10[[#This Row],[Value 1.1 (1990)]]</f>
        <v>120</v>
      </c>
      <c r="E26" s="119" t="str">
        <f>Table10[[#This Row],[Value 1.2 (2000)]]</f>
        <v>75</v>
      </c>
      <c r="F26" s="119" t="str">
        <f>Table10[[#This Row],[Value 1.3 (2013)]]</f>
        <v>45</v>
      </c>
      <c r="G26" s="119">
        <f>Table10[[#This Row],[Target 2015_1]]</f>
        <v>30</v>
      </c>
      <c r="H26" s="32"/>
      <c r="I26" s="32">
        <v>2013</v>
      </c>
      <c r="J26" s="32"/>
      <c r="K26" s="14" t="str">
        <f t="shared" si="2"/>
        <v>Yes</v>
      </c>
      <c r="L26" s="32">
        <f>Table10[[#This Row],[Value 2.1 (1990)]]</f>
        <v>85.1</v>
      </c>
      <c r="M26" s="32"/>
      <c r="N26" s="32"/>
      <c r="O26" s="32">
        <f>Table10[[#This Row],[Value 2.2 (2000)]]</f>
        <v>44.8</v>
      </c>
      <c r="P26" s="32"/>
      <c r="Q26" s="32"/>
      <c r="R26" s="32">
        <f>Table10[[#This Row],[Value 2.3 (2013)]]</f>
        <v>21.8</v>
      </c>
      <c r="S26" s="32"/>
      <c r="T26" s="32"/>
      <c r="U26" s="32">
        <f>Table10[[#This Row],[Target 2015_2]]</f>
        <v>29</v>
      </c>
      <c r="V26" s="32"/>
      <c r="W26" s="32">
        <v>2013</v>
      </c>
      <c r="X26" s="32"/>
      <c r="Y26" s="14" t="str">
        <f>IF(AND(Z26&lt;&gt;"",Table1020[[#This Row],[year3]]&gt; 2011), "Yes", "No")</f>
        <v>No</v>
      </c>
      <c r="Z26" s="15">
        <f>Table10[[#This Row],[Value 3.1 (1990)]]</f>
        <v>34.9</v>
      </c>
      <c r="AA26" s="15">
        <f>Table10[[#This Row],[Year]]</f>
        <v>1991</v>
      </c>
      <c r="AB26" s="15">
        <f>Table10[[#This Row],[Value 3.2 (2000)]]</f>
        <v>24.6</v>
      </c>
      <c r="AC26" s="15">
        <f>Table10[[#This Row],[Year2]]</f>
        <v>2000</v>
      </c>
      <c r="AD26" s="15">
        <f>Table10[[#This Row],[Value 3.3 (2012)]]</f>
        <v>30.7</v>
      </c>
      <c r="AE26" s="15">
        <f>Table10[[#This Row],[Year3]]</f>
        <v>2008</v>
      </c>
      <c r="AF26" s="15"/>
      <c r="AG26" s="15"/>
    </row>
    <row r="27" spans="1:33" ht="12.75" x14ac:dyDescent="0.2">
      <c r="A27" s="19" t="s">
        <v>25</v>
      </c>
      <c r="B27" s="14" t="str">
        <f t="shared" si="3"/>
        <v>No</v>
      </c>
      <c r="C27" s="14" t="str">
        <f t="shared" si="1"/>
        <v>Yes</v>
      </c>
      <c r="D27" s="119" t="str">
        <f>Table10[[#This Row],[Value 1.1 (1990)]]</f>
        <v>1600</v>
      </c>
      <c r="E27" s="119" t="str">
        <f>Table10[[#This Row],[Value 1.2 (2000)]]</f>
        <v>790</v>
      </c>
      <c r="F27" s="119" t="str">
        <f>Table10[[#This Row],[Value 1.3 (2013)]]</f>
        <v>290</v>
      </c>
      <c r="G27" s="119">
        <f>Table10[[#This Row],[Target 2015_1]]</f>
        <v>400</v>
      </c>
      <c r="H27" s="32"/>
      <c r="I27" s="32">
        <v>2013</v>
      </c>
      <c r="J27" s="112" t="s">
        <v>436</v>
      </c>
      <c r="K27" s="14" t="str">
        <f t="shared" si="2"/>
        <v>Yes</v>
      </c>
      <c r="L27" s="32">
        <f>Table10[[#This Row],[Value 2.1 (1990)]]</f>
        <v>184</v>
      </c>
      <c r="M27" s="32"/>
      <c r="N27" s="32"/>
      <c r="O27" s="32">
        <f>Table10[[#This Row],[Value 2.2 (2000)]]</f>
        <v>142.4</v>
      </c>
      <c r="P27" s="32"/>
      <c r="Q27" s="32"/>
      <c r="R27" s="32">
        <f>Table10[[#This Row],[Value 2.3 (2013)]]</f>
        <v>95.8</v>
      </c>
      <c r="S27" s="32"/>
      <c r="T27" s="32"/>
      <c r="U27" s="32">
        <f>Table10[[#This Row],[Target 2015_2]]</f>
        <v>61</v>
      </c>
      <c r="V27" s="32"/>
      <c r="W27" s="32">
        <v>2013</v>
      </c>
      <c r="X27" s="112" t="s">
        <v>437</v>
      </c>
      <c r="Y27" s="14" t="str">
        <f>IF(AND(Z27&lt;&gt;"",Table1020[[#This Row],[year3]]&gt; 2011), "Yes", "No")</f>
        <v>No</v>
      </c>
      <c r="Z27" s="15" t="str">
        <f>Table10[[#This Row],[Value 3.1 (1990)]]</f>
        <v>No data</v>
      </c>
      <c r="AA27" s="15" t="str">
        <f>Table10[[#This Row],[Year]]</f>
        <v>No data</v>
      </c>
      <c r="AB27" s="15">
        <f>Table10[[#This Row],[Value 3.2 (2000)]]</f>
        <v>42.6</v>
      </c>
      <c r="AC27" s="15">
        <f>Table10[[#This Row],[Year2]]</f>
        <v>2000</v>
      </c>
      <c r="AD27" s="15">
        <f>Table10[[#This Row],[Value 3.3 (2012)]]</f>
        <v>26.2</v>
      </c>
      <c r="AE27" s="15">
        <f>Table10[[#This Row],[Year3]]</f>
        <v>2010</v>
      </c>
      <c r="AF27" s="15"/>
      <c r="AG27" s="16"/>
    </row>
    <row r="28" spans="1:33" ht="12.75" x14ac:dyDescent="0.2">
      <c r="A28" s="19" t="s">
        <v>26</v>
      </c>
      <c r="B28" s="14" t="str">
        <f t="shared" si="3"/>
        <v>No</v>
      </c>
      <c r="C28" s="14" t="str">
        <f t="shared" si="1"/>
        <v>Yes</v>
      </c>
      <c r="D28" s="119" t="str">
        <f>Table10[[#This Row],[Value 1.1 (1990)]]</f>
        <v>1700</v>
      </c>
      <c r="E28" s="119" t="str">
        <f>Table10[[#This Row],[Value 1.2 (2000)]]</f>
        <v>670</v>
      </c>
      <c r="F28" s="119" t="str">
        <f>Table10[[#This Row],[Value 1.3 (2013)]]</f>
        <v>380</v>
      </c>
      <c r="G28" s="119">
        <f>Table10[[#This Row],[Target 2015_1]]</f>
        <v>430</v>
      </c>
      <c r="H28" s="32"/>
      <c r="I28" s="32">
        <v>2013</v>
      </c>
      <c r="J28" s="32"/>
      <c r="K28" s="14" t="str">
        <f t="shared" si="2"/>
        <v>Yes</v>
      </c>
      <c r="L28" s="32">
        <f>Table10[[#This Row],[Value 2.1 (1990)]]</f>
        <v>150.6</v>
      </c>
      <c r="M28" s="32"/>
      <c r="N28" s="32"/>
      <c r="O28" s="32">
        <f>Table10[[#This Row],[Value 2.2 (2000)]]</f>
        <v>89.3</v>
      </c>
      <c r="P28" s="32"/>
      <c r="Q28" s="32"/>
      <c r="R28" s="32">
        <f>Table10[[#This Row],[Value 2.3 (2013)]]</f>
        <v>49.9</v>
      </c>
      <c r="S28" s="32"/>
      <c r="T28" s="32"/>
      <c r="U28" s="32">
        <f>Table10[[#This Row],[Target 2015_2]]</f>
        <v>50</v>
      </c>
      <c r="V28" s="32"/>
      <c r="W28" s="32">
        <v>2013</v>
      </c>
      <c r="X28" s="32"/>
      <c r="Y28" s="14" t="str">
        <f>IF(AND(Z28&lt;&gt;"",Table1020[[#This Row],[year3]]&gt; 2011), "Yes", "No")</f>
        <v>No</v>
      </c>
      <c r="Z28" s="15">
        <f>Table10[[#This Row],[Value 3.1 (1990)]]</f>
        <v>69.599999999999994</v>
      </c>
      <c r="AA28" s="15">
        <f>Table10[[#This Row],[Year]]</f>
        <v>1993</v>
      </c>
      <c r="AB28" s="15">
        <f>Table10[[#This Row],[Value 3.2 (2000)]]</f>
        <v>43.7</v>
      </c>
      <c r="AC28" s="15">
        <f>Table10[[#This Row],[Year2]]</f>
        <v>2002</v>
      </c>
      <c r="AD28" s="15">
        <f>Table10[[#This Row],[Value 3.3 (2012)]]</f>
        <v>50.3</v>
      </c>
      <c r="AE28" s="15">
        <f>Table10[[#This Row],[Year3]]</f>
        <v>2010</v>
      </c>
      <c r="AF28" s="15"/>
      <c r="AG28" s="15"/>
    </row>
    <row r="29" spans="1:33" ht="12.75" x14ac:dyDescent="0.2">
      <c r="A29" s="19" t="s">
        <v>27</v>
      </c>
      <c r="B29" s="14" t="str">
        <f t="shared" si="3"/>
        <v>No</v>
      </c>
      <c r="C29" s="14" t="str">
        <f t="shared" si="1"/>
        <v>Yes</v>
      </c>
      <c r="D29" s="119" t="str">
        <f>Table10[[#This Row],[Value 1.1 (1990)]]</f>
        <v>1400</v>
      </c>
      <c r="E29" s="119" t="str">
        <f>Table10[[#This Row],[Value 1.2 (2000)]]</f>
        <v>990</v>
      </c>
      <c r="F29" s="119" t="str">
        <f>Table10[[#This Row],[Value 1.3 (2013)]]</f>
        <v>420</v>
      </c>
      <c r="G29" s="119">
        <f>Table10[[#This Row],[Target 2015_1]]</f>
        <v>350</v>
      </c>
      <c r="H29" s="32"/>
      <c r="I29" s="32">
        <v>2013</v>
      </c>
      <c r="J29" s="32"/>
      <c r="K29" s="14" t="str">
        <f t="shared" si="2"/>
        <v>Yes</v>
      </c>
      <c r="L29" s="32">
        <f>Table10[[#This Row],[Value 2.1 (1990)]]</f>
        <v>205</v>
      </c>
      <c r="M29" s="32"/>
      <c r="N29" s="32"/>
      <c r="O29" s="32">
        <f>Table10[[#This Row],[Value 2.2 (2000)]]</f>
        <v>145.5</v>
      </c>
      <c r="P29" s="32"/>
      <c r="Q29" s="32"/>
      <c r="R29" s="32">
        <f>Table10[[#This Row],[Value 2.3 (2013)]]</f>
        <v>64.400000000000006</v>
      </c>
      <c r="S29" s="32"/>
      <c r="T29" s="32"/>
      <c r="U29" s="32">
        <f>Table10[[#This Row],[Target 2015_2]]</f>
        <v>68</v>
      </c>
      <c r="V29" s="32"/>
      <c r="W29" s="32">
        <v>2013</v>
      </c>
      <c r="X29" s="32"/>
      <c r="Y29" s="14" t="str">
        <f>IF(AND(Z29&lt;&gt;"",Table1020[[#This Row],[year3]]&gt; 2011), "Yes", "No")</f>
        <v>No</v>
      </c>
      <c r="Z29" s="15">
        <f>Table10[[#This Row],[Value 3.1 (1990)]]</f>
        <v>66.900000000000006</v>
      </c>
      <c r="AA29" s="15">
        <f>Table10[[#This Row],[Year]]</f>
        <v>1992</v>
      </c>
      <c r="AB29" s="15">
        <f>Table10[[#This Row],[Value 3.2 (2000)]]</f>
        <v>57.4</v>
      </c>
      <c r="AC29" s="15">
        <f>Table10[[#This Row],[Year2]]</f>
        <v>2000</v>
      </c>
      <c r="AD29" s="15">
        <f>Table10[[#This Row],[Value 3.3 (2012)]]</f>
        <v>44.2</v>
      </c>
      <c r="AE29" s="15">
        <f>Table10[[#This Row],[Year3]]</f>
        <v>2011</v>
      </c>
      <c r="AF29" s="15"/>
      <c r="AG29" s="15"/>
    </row>
    <row r="30" spans="1:33" ht="12.75" x14ac:dyDescent="0.2">
      <c r="A30" s="19" t="s">
        <v>28</v>
      </c>
      <c r="B30" s="14" t="str">
        <f t="shared" si="3"/>
        <v>Yes</v>
      </c>
      <c r="C30" s="14" t="str">
        <f t="shared" si="1"/>
        <v>Yes</v>
      </c>
      <c r="D30" s="119" t="str">
        <f>Table10[[#This Row],[Value 1.1 (1990)]]</f>
        <v>380</v>
      </c>
      <c r="E30" s="119" t="str">
        <f>Table10[[#This Row],[Value 1.2 (2000)]]</f>
        <v>330</v>
      </c>
      <c r="F30" s="119" t="str">
        <f>Table10[[#This Row],[Value 1.3 (2013)]]</f>
        <v>240</v>
      </c>
      <c r="G30" s="119">
        <f>Table10[[#This Row],[Target 2015_1]]</f>
        <v>95</v>
      </c>
      <c r="H30" s="32"/>
      <c r="I30" s="32">
        <v>2013</v>
      </c>
      <c r="J30" s="32"/>
      <c r="K30" s="14" t="str">
        <f t="shared" si="2"/>
        <v>Yes</v>
      </c>
      <c r="L30" s="32">
        <f>Table10[[#This Row],[Value 2.1 (1990)]]</f>
        <v>92.7</v>
      </c>
      <c r="M30" s="32"/>
      <c r="N30" s="32"/>
      <c r="O30" s="32">
        <f>Table10[[#This Row],[Value 2.2 (2000)]]</f>
        <v>84.6</v>
      </c>
      <c r="P30" s="32"/>
      <c r="Q30" s="32"/>
      <c r="R30" s="32">
        <f>Table10[[#This Row],[Value 2.3 (2013)]]</f>
        <v>56.1</v>
      </c>
      <c r="S30" s="32"/>
      <c r="T30" s="32"/>
      <c r="U30" s="32">
        <f>Table10[[#This Row],[Target 2015_2]]</f>
        <v>31</v>
      </c>
      <c r="V30" s="32"/>
      <c r="W30" s="32">
        <v>2013</v>
      </c>
      <c r="X30" s="32"/>
      <c r="Y30" s="14" t="str">
        <f>IF(AND(Z30&lt;&gt;"",Table1020[[#This Row],[year3]]&gt; 2011), "Yes", "No")</f>
        <v>Yes</v>
      </c>
      <c r="Z30" s="15" t="str">
        <f>Table10[[#This Row],[Value 3.1 (1990)]]</f>
        <v>No data</v>
      </c>
      <c r="AA30" s="15" t="str">
        <f>Table10[[#This Row],[Year]]</f>
        <v>No data</v>
      </c>
      <c r="AB30" s="15">
        <f>Table10[[#This Row],[Value 3.2 (2000)]]</f>
        <v>26.3</v>
      </c>
      <c r="AC30" s="15">
        <f>Table10[[#This Row],[Year2]]</f>
        <v>2000</v>
      </c>
      <c r="AD30" s="15">
        <f>Table10[[#This Row],[Value 3.3 (2012)]]</f>
        <v>17.5</v>
      </c>
      <c r="AE30" s="15">
        <f>Table10[[#This Row],[Year3]]</f>
        <v>2012</v>
      </c>
      <c r="AF30" s="15"/>
      <c r="AG30" s="15"/>
    </row>
    <row r="31" spans="1:33" ht="12.75" x14ac:dyDescent="0.2">
      <c r="A31" s="19" t="s">
        <v>29</v>
      </c>
      <c r="B31" s="14" t="str">
        <f t="shared" si="3"/>
        <v>No</v>
      </c>
      <c r="C31" s="14" t="str">
        <f t="shared" si="1"/>
        <v>Yes</v>
      </c>
      <c r="D31" s="119" t="str">
        <f>Table10[[#This Row],[Value 1.1 (1990)]]</f>
        <v>710</v>
      </c>
      <c r="E31" s="119" t="str">
        <f>Table10[[#This Row],[Value 1.2 (2000)]]</f>
        <v>580</v>
      </c>
      <c r="F31" s="119" t="str">
        <f>Table10[[#This Row],[Value 1.3 (2013)]]</f>
        <v>430</v>
      </c>
      <c r="G31" s="119">
        <f>Table10[[#This Row],[Target 2015_1]]</f>
        <v>180</v>
      </c>
      <c r="H31" s="32"/>
      <c r="I31" s="32">
        <v>2013</v>
      </c>
      <c r="J31" s="32"/>
      <c r="K31" s="14" t="str">
        <f t="shared" si="2"/>
        <v>Yes</v>
      </c>
      <c r="L31" s="32">
        <f>Table10[[#This Row],[Value 2.1 (1990)]]</f>
        <v>169.8</v>
      </c>
      <c r="M31" s="32"/>
      <c r="N31" s="32"/>
      <c r="O31" s="32">
        <f>Table10[[#This Row],[Value 2.2 (2000)]]</f>
        <v>119</v>
      </c>
      <c r="P31" s="32"/>
      <c r="Q31" s="32"/>
      <c r="R31" s="32">
        <f>Table10[[#This Row],[Value 2.3 (2013)]]</f>
        <v>73.8</v>
      </c>
      <c r="S31" s="32"/>
      <c r="T31" s="32"/>
      <c r="U31" s="32">
        <f>Table10[[#This Row],[Target 2015_2]]</f>
        <v>57</v>
      </c>
      <c r="V31" s="32"/>
      <c r="W31" s="32">
        <v>2013</v>
      </c>
      <c r="X31" s="32"/>
      <c r="Y31" s="14" t="str">
        <f>IF(AND(Z31&lt;&gt;"",Table1020[[#This Row],[year3]]&gt; 2011), "Yes", "No")</f>
        <v>No</v>
      </c>
      <c r="Z31" s="15">
        <f>Table10[[#This Row],[Value 3.1 (1990)]]</f>
        <v>36.1</v>
      </c>
      <c r="AA31" s="15">
        <f>Table10[[#This Row],[Year]]</f>
        <v>1996</v>
      </c>
      <c r="AB31" s="15">
        <f>Table10[[#This Row],[Value 3.2 (2000)]]</f>
        <v>24.1</v>
      </c>
      <c r="AC31" s="15">
        <f>Table10[[#This Row],[Year2]]</f>
        <v>2000</v>
      </c>
      <c r="AD31" s="15">
        <f>Table10[[#This Row],[Value 3.3 (2012)]]</f>
        <v>23.4</v>
      </c>
      <c r="AE31" s="15">
        <f>Table10[[#This Row],[Year3]]</f>
        <v>2010</v>
      </c>
      <c r="AF31" s="15"/>
      <c r="AG31" s="15"/>
    </row>
    <row r="32" spans="1:33" ht="12.75" x14ac:dyDescent="0.2">
      <c r="A32" s="19" t="s">
        <v>30</v>
      </c>
      <c r="B32" s="14" t="str">
        <f t="shared" si="3"/>
        <v>No</v>
      </c>
      <c r="C32" s="14" t="str">
        <f t="shared" si="1"/>
        <v>Yes</v>
      </c>
      <c r="D32" s="119" t="str">
        <f>Table10[[#This Row],[Value 1.1 (1990)]]</f>
        <v>760</v>
      </c>
      <c r="E32" s="119" t="str">
        <f>Table10[[#This Row],[Value 1.2 (2000)]]</f>
        <v>570</v>
      </c>
      <c r="F32" s="119" t="str">
        <f>Table10[[#This Row],[Value 1.3 (2013)]]</f>
        <v>380</v>
      </c>
      <c r="G32" s="119">
        <f>Table10[[#This Row],[Target 2015_1]]</f>
        <v>190</v>
      </c>
      <c r="H32" s="32"/>
      <c r="I32" s="32">
        <v>2013</v>
      </c>
      <c r="J32" s="32"/>
      <c r="K32" s="14" t="str">
        <f t="shared" si="2"/>
        <v>Yes</v>
      </c>
      <c r="L32" s="32">
        <f>Table10[[#This Row],[Value 2.1 (1990)]]</f>
        <v>128</v>
      </c>
      <c r="M32" s="32"/>
      <c r="N32" s="32"/>
      <c r="O32" s="32">
        <f>Table10[[#This Row],[Value 2.2 (2000)]]</f>
        <v>101</v>
      </c>
      <c r="P32" s="32"/>
      <c r="Q32" s="32"/>
      <c r="R32" s="32">
        <f>Table10[[#This Row],[Value 2.3 (2013)]]</f>
        <v>78</v>
      </c>
      <c r="S32" s="32"/>
      <c r="T32" s="32"/>
      <c r="U32" s="32">
        <f>Table10[[#This Row],[Target 2015_2]]</f>
        <v>43</v>
      </c>
      <c r="V32" s="32"/>
      <c r="W32" s="32">
        <v>2013</v>
      </c>
      <c r="X32" s="32"/>
      <c r="Y32" s="14" t="str">
        <f>IF(AND(Z32&lt;&gt;"",Table1020[[#This Row],[year3]]&gt; 2011), "Yes", "No")</f>
        <v>No</v>
      </c>
      <c r="Z32" s="15">
        <f>Table10[[#This Row],[Value 3.1 (1990)]]</f>
        <v>42.6</v>
      </c>
      <c r="AA32" s="15">
        <f>Table10[[#This Row],[Year]]</f>
        <v>1988</v>
      </c>
      <c r="AB32" s="15">
        <f>Table10[[#This Row],[Value 3.2 (2000)]]</f>
        <v>31.3</v>
      </c>
      <c r="AC32" s="15">
        <f>Table10[[#This Row],[Year2]]</f>
        <v>1999</v>
      </c>
      <c r="AD32" s="15">
        <f>Table10[[#This Row],[Value 3.3 (2012)]]</f>
        <v>22.7</v>
      </c>
      <c r="AE32" s="15">
        <f>Table10[[#This Row],[Year3]]</f>
        <v>2011</v>
      </c>
      <c r="AF32" s="15"/>
      <c r="AG32" s="15"/>
    </row>
    <row r="33" spans="1:33" ht="12.75" x14ac:dyDescent="0.2">
      <c r="A33" s="19" t="s">
        <v>31</v>
      </c>
      <c r="B33" s="14" t="str">
        <f t="shared" si="3"/>
        <v>No</v>
      </c>
      <c r="C33" s="14" t="str">
        <f t="shared" si="1"/>
        <v>Yes</v>
      </c>
      <c r="D33" s="119" t="str">
        <f>Table10[[#This Row],[Value 1.1 (1990)]]</f>
        <v>270</v>
      </c>
      <c r="E33" s="119" t="str">
        <f>Table10[[#This Row],[Value 1.2 (2000)]]</f>
        <v>160</v>
      </c>
      <c r="F33" s="119" t="str">
        <f>Table10[[#This Row],[Value 1.3 (2013)]]</f>
        <v>140</v>
      </c>
      <c r="G33" s="119">
        <f>Table10[[#This Row],[Target 2015_1]]</f>
        <v>68</v>
      </c>
      <c r="H33" s="32"/>
      <c r="I33" s="32">
        <v>2013</v>
      </c>
      <c r="J33" s="32"/>
      <c r="K33" s="14" t="str">
        <f t="shared" si="2"/>
        <v>Yes</v>
      </c>
      <c r="L33" s="32">
        <f>Table10[[#This Row],[Value 2.1 (1990)]]</f>
        <v>80.599999999999994</v>
      </c>
      <c r="M33" s="32"/>
      <c r="N33" s="32"/>
      <c r="O33" s="32">
        <f>Table10[[#This Row],[Value 2.2 (2000)]]</f>
        <v>50.7</v>
      </c>
      <c r="P33" s="32"/>
      <c r="Q33" s="32"/>
      <c r="R33" s="32">
        <f>Table10[[#This Row],[Value 2.3 (2013)]]</f>
        <v>31</v>
      </c>
      <c r="S33" s="32"/>
      <c r="T33" s="32"/>
      <c r="U33" s="32">
        <f>Table10[[#This Row],[Target 2015_2]]</f>
        <v>27</v>
      </c>
      <c r="V33" s="32"/>
      <c r="W33" s="32">
        <v>2013</v>
      </c>
      <c r="X33" s="32"/>
      <c r="Y33" s="14" t="str">
        <f>IF(AND(Z33&lt;&gt;"",Table1020[[#This Row],[year3]]&gt; 2011), "Yes", "No")</f>
        <v>No</v>
      </c>
      <c r="Z33" s="15">
        <f>Table10[[#This Row],[Value 3.1 (1990)]]</f>
        <v>66.2</v>
      </c>
      <c r="AA33" s="15">
        <f>Table10[[#This Row],[Year]]</f>
        <v>1987</v>
      </c>
      <c r="AB33" s="15">
        <f>Table10[[#This Row],[Value 3.2 (2000)]]</f>
        <v>50</v>
      </c>
      <c r="AC33" s="15">
        <f>Table10[[#This Row],[Year2]]</f>
        <v>2000</v>
      </c>
      <c r="AD33" s="15">
        <f>Table10[[#This Row],[Value 3.3 (2012)]]</f>
        <v>48</v>
      </c>
      <c r="AE33" s="15">
        <f>Table10[[#This Row],[Year3]]</f>
        <v>2009</v>
      </c>
      <c r="AF33" s="15"/>
      <c r="AG33" s="15"/>
    </row>
    <row r="34" spans="1:33" ht="12.75" x14ac:dyDescent="0.2">
      <c r="A34" s="19" t="s">
        <v>32</v>
      </c>
      <c r="B34" s="14" t="str">
        <f t="shared" si="3"/>
        <v>Yes</v>
      </c>
      <c r="C34" s="14" t="str">
        <f t="shared" si="1"/>
        <v>Yes</v>
      </c>
      <c r="D34" s="119" t="str">
        <f>Table10[[#This Row],[Value 1.1 (1990)]]</f>
        <v>1100</v>
      </c>
      <c r="E34" s="119" t="str">
        <f>Table10[[#This Row],[Value 1.2 (2000)]]</f>
        <v>950</v>
      </c>
      <c r="F34" s="119" t="str">
        <f>Table10[[#This Row],[Value 1.3 (2013)]]</f>
        <v>650</v>
      </c>
      <c r="G34" s="119">
        <f>Table10[[#This Row],[Target 2015_1]]</f>
        <v>280</v>
      </c>
      <c r="H34" s="32"/>
      <c r="I34" s="32">
        <v>2013</v>
      </c>
      <c r="J34" s="32"/>
      <c r="K34" s="14" t="str">
        <f t="shared" si="2"/>
        <v>Yes</v>
      </c>
      <c r="L34" s="32">
        <f>Table10[[#This Row],[Value 2.1 (1990)]]</f>
        <v>237.6</v>
      </c>
      <c r="M34" s="32"/>
      <c r="N34" s="32"/>
      <c r="O34" s="32">
        <f>Table10[[#This Row],[Value 2.2 (2000)]]</f>
        <v>170.2</v>
      </c>
      <c r="P34" s="32"/>
      <c r="Q34" s="32"/>
      <c r="R34" s="32">
        <f>Table10[[#This Row],[Value 2.3 (2013)]]</f>
        <v>100.7</v>
      </c>
      <c r="S34" s="32"/>
      <c r="T34" s="32"/>
      <c r="U34" s="32">
        <f>Table10[[#This Row],[Target 2015_2]]</f>
        <v>80</v>
      </c>
      <c r="V34" s="32"/>
      <c r="W34" s="32">
        <v>2013</v>
      </c>
      <c r="X34" s="32"/>
      <c r="Y34" s="14" t="str">
        <f>IF(AND(Z34&lt;&gt;"",Table1020[[#This Row],[year3]]&gt; 2011), "Yes", "No")</f>
        <v>Yes</v>
      </c>
      <c r="Z34" s="15">
        <f>Table10[[#This Row],[Value 3.1 (1990)]]</f>
        <v>35.299999999999997</v>
      </c>
      <c r="AA34" s="15">
        <f>Table10[[#This Row],[Year]]</f>
        <v>1994</v>
      </c>
      <c r="AB34" s="15">
        <f>Table10[[#This Row],[Value 3.2 (2000)]]</f>
        <v>46.9</v>
      </c>
      <c r="AC34" s="15">
        <f>Table10[[#This Row],[Year2]]</f>
        <v>2000</v>
      </c>
      <c r="AD34" s="15">
        <f>Table10[[#This Row],[Value 3.3 (2012)]]</f>
        <v>31.3</v>
      </c>
      <c r="AE34" s="15">
        <f>Table10[[#This Row],[Year3]]</f>
        <v>2012</v>
      </c>
      <c r="AF34" s="15"/>
      <c r="AG34" s="15"/>
    </row>
    <row r="35" spans="1:33" ht="12.75" x14ac:dyDescent="0.2">
      <c r="A35" s="19" t="s">
        <v>33</v>
      </c>
      <c r="B35" s="14" t="str">
        <f t="shared" si="3"/>
        <v>No</v>
      </c>
      <c r="C35" s="14" t="str">
        <f t="shared" si="1"/>
        <v>Yes</v>
      </c>
      <c r="D35" s="119" t="str">
        <f>Table10[[#This Row],[Value 1.1 (1990)]]</f>
        <v>930</v>
      </c>
      <c r="E35" s="119" t="str">
        <f>Table10[[#This Row],[Value 1.2 (2000)]]</f>
        <v>840</v>
      </c>
      <c r="F35" s="119" t="str">
        <f>Table10[[#This Row],[Value 1.3 (2013)]]</f>
        <v>560</v>
      </c>
      <c r="G35" s="119">
        <f>Table10[[#This Row],[Target 2015_1]]</f>
        <v>230</v>
      </c>
      <c r="H35" s="32"/>
      <c r="I35" s="32">
        <v>2013</v>
      </c>
      <c r="J35" s="32"/>
      <c r="K35" s="14" t="str">
        <f t="shared" si="2"/>
        <v>Yes</v>
      </c>
      <c r="L35" s="32">
        <f>Table10[[#This Row],[Value 2.1 (1990)]]</f>
        <v>224.8</v>
      </c>
      <c r="M35" s="32"/>
      <c r="N35" s="32"/>
      <c r="O35" s="32">
        <f>Table10[[#This Row],[Value 2.2 (2000)]]</f>
        <v>180.8</v>
      </c>
      <c r="P35" s="32"/>
      <c r="Q35" s="32"/>
      <c r="R35" s="32">
        <f>Table10[[#This Row],[Value 2.3 (2013)]]</f>
        <v>123.9</v>
      </c>
      <c r="S35" s="32"/>
      <c r="T35" s="32"/>
      <c r="U35" s="32">
        <f>Table10[[#This Row],[Target 2015_2]]</f>
        <v>69</v>
      </c>
      <c r="V35" s="32"/>
      <c r="W35" s="32">
        <v>2013</v>
      </c>
      <c r="X35" s="32"/>
      <c r="Y35" s="14" t="str">
        <f>IF(AND(Z35&lt;&gt;"",Table1020[[#This Row],[year3]]&gt; 2011), "Yes", "No")</f>
        <v>No</v>
      </c>
      <c r="Z35" s="15" t="str">
        <f>Table10[[#This Row],[Value 3.1 (1990)]]</f>
        <v>No data</v>
      </c>
      <c r="AA35" s="15" t="str">
        <f>Table10[[#This Row],[Year]]</f>
        <v>No data</v>
      </c>
      <c r="AB35" s="15">
        <f>Table10[[#This Row],[Value 3.2 (2000)]]</f>
        <v>36.1</v>
      </c>
      <c r="AC35" s="15">
        <f>Table10[[#This Row],[Year2]]</f>
        <v>2000</v>
      </c>
      <c r="AD35" s="15">
        <f>Table10[[#This Row],[Value 3.3 (2012)]]</f>
        <v>32.200000000000003</v>
      </c>
      <c r="AE35" s="15">
        <f>Table10[[#This Row],[Year3]]</f>
        <v>2010</v>
      </c>
      <c r="AF35" s="15"/>
      <c r="AG35" s="15"/>
    </row>
    <row r="36" spans="1:33" ht="12.75" x14ac:dyDescent="0.2">
      <c r="A36" s="19" t="s">
        <v>34</v>
      </c>
      <c r="B36" s="14" t="str">
        <f t="shared" si="3"/>
        <v>Yes</v>
      </c>
      <c r="C36" s="14" t="str">
        <f t="shared" si="1"/>
        <v>Yes</v>
      </c>
      <c r="D36" s="119" t="str">
        <f>Table10[[#This Row],[Value 1.1 (1990)]]</f>
        <v>670</v>
      </c>
      <c r="E36" s="119" t="str">
        <f>Table10[[#This Row],[Value 1.2 (2000)]]</f>
        <v>510</v>
      </c>
      <c r="F36" s="119" t="str">
        <f>Table10[[#This Row],[Value 1.3 (2013)]]</f>
        <v>380</v>
      </c>
      <c r="G36" s="119">
        <f>Table10[[#This Row],[Target 2015_1]]</f>
        <v>170</v>
      </c>
      <c r="H36" s="32"/>
      <c r="I36" s="32">
        <v>2013</v>
      </c>
      <c r="J36" s="32"/>
      <c r="K36" s="14" t="str">
        <f t="shared" si="2"/>
        <v>Yes</v>
      </c>
      <c r="L36" s="32">
        <f>Table10[[#This Row],[Value 2.1 (1990)]]</f>
        <v>144.6</v>
      </c>
      <c r="M36" s="32"/>
      <c r="N36" s="32"/>
      <c r="O36" s="32">
        <f>Table10[[#This Row],[Value 2.2 (2000)]]</f>
        <v>104.4</v>
      </c>
      <c r="P36" s="32"/>
      <c r="Q36" s="32"/>
      <c r="R36" s="32">
        <f>Table10[[#This Row],[Value 2.3 (2013)]]</f>
        <v>72.8</v>
      </c>
      <c r="S36" s="32"/>
      <c r="T36" s="32"/>
      <c r="U36" s="32">
        <f>Table10[[#This Row],[Target 2015_2]]</f>
        <v>48</v>
      </c>
      <c r="V36" s="32"/>
      <c r="W36" s="32">
        <v>2013</v>
      </c>
      <c r="X36" s="32"/>
      <c r="Y36" s="14" t="str">
        <f>IF(AND(Z36&lt;&gt;"",Table1020[[#This Row],[year3]]&gt; 2011), "Yes", "No")</f>
        <v>Yes</v>
      </c>
      <c r="Z36" s="15">
        <f>Table10[[#This Row],[Value 3.1 (1990)]]</f>
        <v>40.1</v>
      </c>
      <c r="AA36" s="15">
        <f>Table10[[#This Row],[Year]]</f>
        <v>1990</v>
      </c>
      <c r="AB36" s="15">
        <f>Table10[[#This Row],[Value 3.2 (2000)]]</f>
        <v>28.3</v>
      </c>
      <c r="AC36" s="15">
        <f>Table10[[#This Row],[Year2]]</f>
        <v>2000</v>
      </c>
      <c r="AD36" s="15">
        <f>Table10[[#This Row],[Value 3.3 (2012)]]</f>
        <v>21.9</v>
      </c>
      <c r="AE36" s="15">
        <f>Table10[[#This Row],[Year3]]</f>
        <v>2012</v>
      </c>
      <c r="AF36" s="15"/>
      <c r="AG36" s="15"/>
    </row>
    <row r="37" spans="1:33" ht="12.75" x14ac:dyDescent="0.2">
      <c r="A37" s="19" t="s">
        <v>35</v>
      </c>
      <c r="B37" s="14" t="str">
        <f t="shared" si="3"/>
        <v>No</v>
      </c>
      <c r="C37" s="14" t="str">
        <f t="shared" si="1"/>
        <v>Yes</v>
      </c>
      <c r="D37" s="119" t="str">
        <f>Table10[[#This Row],[Value 1.1 (1990)]]</f>
        <v>560</v>
      </c>
      <c r="E37" s="119" t="str">
        <f>Table10[[#This Row],[Value 1.2 (2000)]]</f>
        <v>370</v>
      </c>
      <c r="F37" s="119" t="str">
        <f>Table10[[#This Row],[Value 1.3 (2013)]]</f>
        <v>190</v>
      </c>
      <c r="G37" s="119">
        <f>Table10[[#This Row],[Target 2015_1]]</f>
        <v>140</v>
      </c>
      <c r="H37" s="32"/>
      <c r="I37" s="32">
        <v>2013</v>
      </c>
      <c r="J37" s="32"/>
      <c r="K37" s="14" t="str">
        <f t="shared" si="2"/>
        <v>Yes</v>
      </c>
      <c r="L37" s="32">
        <f>Table10[[#This Row],[Value 2.1 (1990)]]</f>
        <v>125.9</v>
      </c>
      <c r="M37" s="32"/>
      <c r="N37" s="32"/>
      <c r="O37" s="32">
        <f>Table10[[#This Row],[Value 2.2 (2000)]]</f>
        <v>91.4</v>
      </c>
      <c r="P37" s="32"/>
      <c r="Q37" s="32"/>
      <c r="R37" s="32">
        <f>Table10[[#This Row],[Value 2.3 (2013)]]</f>
        <v>52.7</v>
      </c>
      <c r="S37" s="32"/>
      <c r="T37" s="32"/>
      <c r="U37" s="32">
        <f>Table10[[#This Row],[Target 2015_2]]</f>
        <v>42</v>
      </c>
      <c r="V37" s="32"/>
      <c r="W37" s="32">
        <v>2013</v>
      </c>
      <c r="X37" s="32"/>
      <c r="Y37" s="14" t="str">
        <f>IF(AND(Z37&lt;&gt;"",Table1020[[#This Row],[year3]]&gt; 2011), "Yes", "No")</f>
        <v>No</v>
      </c>
      <c r="Z37" s="15">
        <f>Table10[[#This Row],[Value 3.1 (1990)]]</f>
        <v>62.7</v>
      </c>
      <c r="AA37" s="15">
        <f>Table10[[#This Row],[Year]]</f>
        <v>1989</v>
      </c>
      <c r="AB37" s="15">
        <f>Table10[[#This Row],[Value 3.2 (2000)]]</f>
        <v>54.2</v>
      </c>
      <c r="AC37" s="15">
        <f>Table10[[#This Row],[Year2]]</f>
        <v>1999</v>
      </c>
      <c r="AD37" s="15">
        <f>Table10[[#This Row],[Value 3.3 (2012)]]</f>
        <v>47.9</v>
      </c>
      <c r="AE37" s="15">
        <f>Table10[[#This Row],[Year3]]</f>
        <v>2006</v>
      </c>
      <c r="AF37" s="15"/>
      <c r="AG37" s="15"/>
    </row>
    <row r="38" spans="1:33" ht="12.75" x14ac:dyDescent="0.2">
      <c r="A38" s="19" t="s">
        <v>36</v>
      </c>
      <c r="B38" s="14" t="str">
        <f t="shared" si="3"/>
        <v>Yes</v>
      </c>
      <c r="C38" s="14" t="str">
        <f t="shared" si="1"/>
        <v>Yes</v>
      </c>
      <c r="D38" s="119" t="str">
        <f>Table10[[#This Row],[Value 1.1 (1990)]]</f>
        <v>430</v>
      </c>
      <c r="E38" s="119" t="str">
        <f>Table10[[#This Row],[Value 1.2 (2000)]]</f>
        <v>310</v>
      </c>
      <c r="F38" s="119" t="str">
        <f>Table10[[#This Row],[Value 1.3 (2013)]]</f>
        <v>190</v>
      </c>
      <c r="G38" s="119">
        <f>Table10[[#This Row],[Target 2015_1]]</f>
        <v>110</v>
      </c>
      <c r="H38" s="32"/>
      <c r="I38" s="32">
        <v>2013</v>
      </c>
      <c r="J38" s="32"/>
      <c r="K38" s="14" t="str">
        <f t="shared" si="2"/>
        <v>Yes</v>
      </c>
      <c r="L38" s="32">
        <f>Table10[[#This Row],[Value 2.1 (1990)]]</f>
        <v>84.3</v>
      </c>
      <c r="M38" s="32"/>
      <c r="N38" s="32"/>
      <c r="O38" s="32">
        <f>Table10[[#This Row],[Value 2.2 (2000)]]</f>
        <v>52.2</v>
      </c>
      <c r="P38" s="32"/>
      <c r="Q38" s="32"/>
      <c r="R38" s="32">
        <f>Table10[[#This Row],[Value 2.3 (2013)]]</f>
        <v>29.3</v>
      </c>
      <c r="S38" s="32"/>
      <c r="T38" s="32"/>
      <c r="U38" s="32">
        <f>Table10[[#This Row],[Target 2015_2]]</f>
        <v>28</v>
      </c>
      <c r="V38" s="32"/>
      <c r="W38" s="32">
        <v>2013</v>
      </c>
      <c r="X38" s="32"/>
      <c r="Y38" s="14" t="str">
        <f>IF(AND(Z38&lt;&gt;"",Table1020[[#This Row],[year3]]&gt; 2011), "Yes", "No")</f>
        <v>Yes</v>
      </c>
      <c r="Z38" s="15">
        <f>Table10[[#This Row],[Value 3.1 (1990)]]</f>
        <v>48.1</v>
      </c>
      <c r="AA38" s="15">
        <f>Table10[[#This Row],[Year]]</f>
        <v>1995</v>
      </c>
      <c r="AB38" s="15">
        <f>Table10[[#This Row],[Value 3.2 (2000)]]</f>
        <v>42.4</v>
      </c>
      <c r="AC38" s="15">
        <f>Table10[[#This Row],[Year2]]</f>
        <v>2000</v>
      </c>
      <c r="AD38" s="15">
        <f>Table10[[#This Row],[Value 3.3 (2012)]]</f>
        <v>36.4</v>
      </c>
      <c r="AE38" s="15">
        <f>Table10[[#This Row],[Year3]]</f>
        <v>2013</v>
      </c>
      <c r="AF38" s="15"/>
      <c r="AG38" s="15"/>
    </row>
    <row r="39" spans="1:33" ht="12.75" x14ac:dyDescent="0.2">
      <c r="A39" s="19" t="s">
        <v>37</v>
      </c>
      <c r="B39" s="14" t="str">
        <f t="shared" si="3"/>
        <v>No</v>
      </c>
      <c r="C39" s="14" t="str">
        <f t="shared" si="1"/>
        <v>Yes</v>
      </c>
      <c r="D39" s="119" t="str">
        <f>Table10[[#This Row],[Value 1.1 (1990)]]</f>
        <v>110</v>
      </c>
      <c r="E39" s="119" t="str">
        <f>Table10[[#This Row],[Value 1.2 (2000)]]</f>
        <v>71</v>
      </c>
      <c r="F39" s="119" t="str">
        <f>Table10[[#This Row],[Value 1.3 (2013)]]</f>
        <v>67</v>
      </c>
      <c r="G39" s="119">
        <f>Table10[[#This Row],[Target 2015_1]]</f>
        <v>28</v>
      </c>
      <c r="H39" s="32"/>
      <c r="I39" s="32">
        <v>2013</v>
      </c>
      <c r="J39" s="32"/>
      <c r="K39" s="14" t="str">
        <f t="shared" si="2"/>
        <v>Yes</v>
      </c>
      <c r="L39" s="32">
        <f>Table10[[#This Row],[Value 2.1 (1990)]]</f>
        <v>53</v>
      </c>
      <c r="M39" s="32"/>
      <c r="N39" s="32"/>
      <c r="O39" s="32">
        <f>Table10[[#This Row],[Value 2.2 (2000)]]</f>
        <v>45</v>
      </c>
      <c r="P39" s="32"/>
      <c r="Q39" s="32"/>
      <c r="R39" s="32">
        <f>Table10[[#This Row],[Value 2.3 (2013)]]</f>
        <v>34</v>
      </c>
      <c r="S39" s="32"/>
      <c r="T39" s="32"/>
      <c r="U39" s="32">
        <f>Table10[[#This Row],[Target 2015_2]]</f>
        <v>18</v>
      </c>
      <c r="V39" s="32"/>
      <c r="W39" s="32">
        <v>2013</v>
      </c>
      <c r="X39" s="32"/>
      <c r="Y39" s="14" t="str">
        <f>IF(AND(Z39&lt;&gt;"",Table1020[[#This Row],[year3]]&gt; 2011), "Yes", "No")</f>
        <v>No</v>
      </c>
      <c r="Z39" s="15">
        <f>Table10[[#This Row],[Value 3.1 (1990)]]</f>
        <v>27.6</v>
      </c>
      <c r="AA39" s="15">
        <f>Table10[[#This Row],[Year]]</f>
        <v>1991</v>
      </c>
      <c r="AB39" s="15">
        <f>Table10[[#This Row],[Value 3.2 (2000)]]</f>
        <v>28.3</v>
      </c>
      <c r="AC39" s="15">
        <f>Table10[[#This Row],[Year2]]</f>
        <v>2000</v>
      </c>
      <c r="AD39" s="15">
        <f>Table10[[#This Row],[Value 3.3 (2012)]]</f>
        <v>22.6</v>
      </c>
      <c r="AE39" s="15">
        <f>Table10[[#This Row],[Year3]]</f>
        <v>2011</v>
      </c>
      <c r="AF39" s="15"/>
      <c r="AG39" s="15"/>
    </row>
    <row r="40" spans="1:33" ht="12.75" x14ac:dyDescent="0.2">
      <c r="A40" s="19" t="s">
        <v>38</v>
      </c>
      <c r="B40" s="14" t="str">
        <f t="shared" si="3"/>
        <v>No</v>
      </c>
      <c r="C40" s="14" t="str">
        <f t="shared" si="1"/>
        <v>Yes</v>
      </c>
      <c r="D40" s="119" t="str">
        <f>Table10[[#This Row],[Value 1.1 (1990)]]</f>
        <v>490</v>
      </c>
      <c r="E40" s="119" t="str">
        <f>Table10[[#This Row],[Value 1.2 (2000)]]</f>
        <v>570</v>
      </c>
      <c r="F40" s="119" t="str">
        <f>Table10[[#This Row],[Value 1.3 (2013)]]</f>
        <v>400</v>
      </c>
      <c r="G40" s="119">
        <f>Table10[[#This Row],[Target 2015_1]]</f>
        <v>120</v>
      </c>
      <c r="H40" s="32"/>
      <c r="I40" s="32">
        <v>2013</v>
      </c>
      <c r="J40" s="32"/>
      <c r="K40" s="14" t="str">
        <f t="shared" si="2"/>
        <v>Yes</v>
      </c>
      <c r="L40" s="32">
        <f>Table10[[#This Row],[Value 2.1 (1990)]]</f>
        <v>98.7</v>
      </c>
      <c r="M40" s="32"/>
      <c r="N40" s="32"/>
      <c r="O40" s="32">
        <f>Table10[[#This Row],[Value 2.2 (2000)]]</f>
        <v>110.9</v>
      </c>
      <c r="P40" s="32"/>
      <c r="Q40" s="32"/>
      <c r="R40" s="32">
        <f>Table10[[#This Row],[Value 2.3 (2013)]]</f>
        <v>70.7</v>
      </c>
      <c r="S40" s="32"/>
      <c r="T40" s="32"/>
      <c r="U40" s="32">
        <f>Table10[[#This Row],[Target 2015_2]]</f>
        <v>33</v>
      </c>
      <c r="V40" s="32"/>
      <c r="W40" s="32">
        <v>2013</v>
      </c>
      <c r="X40" s="32"/>
      <c r="Y40" s="14" t="str">
        <f>IF(AND(Z40&lt;&gt;"",Table1020[[#This Row],[year3]]&gt; 2011), "Yes", "No")</f>
        <v>No</v>
      </c>
      <c r="Z40" s="15">
        <f>Table10[[#This Row],[Value 3.1 (1990)]]</f>
        <v>37</v>
      </c>
      <c r="AA40" s="15">
        <f>Table10[[#This Row],[Year]]</f>
        <v>1987</v>
      </c>
      <c r="AB40" s="15">
        <f>Table10[[#This Row],[Value 3.2 (2000)]]</f>
        <v>41</v>
      </c>
      <c r="AC40" s="15">
        <f>Table10[[#This Row],[Year2]]</f>
        <v>2000</v>
      </c>
      <c r="AD40" s="15">
        <f>Table10[[#This Row],[Value 3.3 (2012)]]</f>
        <v>35.200000000000003</v>
      </c>
      <c r="AE40" s="15">
        <f>Table10[[#This Row],[Year3]]</f>
        <v>2009</v>
      </c>
      <c r="AF40" s="15"/>
      <c r="AG40" s="15"/>
    </row>
    <row r="41" spans="1:33" ht="12.75" x14ac:dyDescent="0.2">
      <c r="A41" s="19" t="s">
        <v>39</v>
      </c>
      <c r="B41" s="14" t="str">
        <f t="shared" si="3"/>
        <v>Yes</v>
      </c>
      <c r="C41" s="14" t="str">
        <f t="shared" si="1"/>
        <v>Yes</v>
      </c>
      <c r="D41" s="119" t="str">
        <f>Table10[[#This Row],[Value 1.1 (1990)]]</f>
        <v>85</v>
      </c>
      <c r="E41" s="119" t="str">
        <f>Table10[[#This Row],[Value 1.2 (2000)]]</f>
        <v>100</v>
      </c>
      <c r="F41" s="119" t="str">
        <f>Table10[[#This Row],[Value 1.3 (2013)]]</f>
        <v>75</v>
      </c>
      <c r="G41" s="119">
        <f>Table10[[#This Row],[Target 2015_1]]</f>
        <v>21</v>
      </c>
      <c r="H41" s="32"/>
      <c r="I41" s="32">
        <v>2013</v>
      </c>
      <c r="J41" s="32"/>
      <c r="K41" s="14" t="str">
        <f t="shared" si="2"/>
        <v>Yes</v>
      </c>
      <c r="L41" s="32">
        <f>Table10[[#This Row],[Value 2.1 (1990)]]</f>
        <v>65.7</v>
      </c>
      <c r="M41" s="32"/>
      <c r="N41" s="32"/>
      <c r="O41" s="32">
        <f>Table10[[#This Row],[Value 2.2 (2000)]]</f>
        <v>49.2</v>
      </c>
      <c r="P41" s="32"/>
      <c r="Q41" s="32"/>
      <c r="R41" s="32">
        <f>Table10[[#This Row],[Value 2.3 (2013)]]</f>
        <v>24.2</v>
      </c>
      <c r="S41" s="32"/>
      <c r="T41" s="32"/>
      <c r="U41" s="32">
        <f>Table10[[#This Row],[Target 2015_2]]</f>
        <v>24</v>
      </c>
      <c r="V41" s="32"/>
      <c r="W41" s="32">
        <v>2013</v>
      </c>
      <c r="X41" s="32"/>
      <c r="Y41" s="14" t="str">
        <f>IF(AND(Z41&lt;&gt;"",Table1020[[#This Row],[year3]]&gt; 2011), "Yes", "No")</f>
        <v>Yes</v>
      </c>
      <c r="Z41" s="15">
        <f>Table10[[#This Row],[Value 3.1 (1990)]]</f>
        <v>36.200000000000003</v>
      </c>
      <c r="AA41" s="15">
        <f>Table10[[#This Row],[Year]]</f>
        <v>1997</v>
      </c>
      <c r="AB41" s="15">
        <f>Table10[[#This Row],[Value 3.2 (2000)]]</f>
        <v>18.100000000000001</v>
      </c>
      <c r="AC41" s="15">
        <f>Table10[[#This Row],[Year2]]</f>
        <v>2006</v>
      </c>
      <c r="AD41" s="15">
        <f>Table10[[#This Row],[Value 3.3 (2012)]]</f>
        <v>17.8</v>
      </c>
      <c r="AE41" s="15">
        <f>Table10[[#This Row],[Year3]]</f>
        <v>2012</v>
      </c>
      <c r="AF41" s="15"/>
      <c r="AG41" s="15"/>
    </row>
    <row r="42" spans="1:33" ht="12.75" x14ac:dyDescent="0.2">
      <c r="A42" s="19" t="s">
        <v>40</v>
      </c>
      <c r="B42" s="14" t="str">
        <f t="shared" si="3"/>
        <v>No</v>
      </c>
      <c r="C42" s="14" t="str">
        <f t="shared" si="1"/>
        <v>Yes</v>
      </c>
      <c r="D42" s="119" t="str">
        <f>Table10[[#This Row],[Value 1.1 (1990)]]</f>
        <v>1100</v>
      </c>
      <c r="E42" s="119" t="str">
        <f>Table10[[#This Row],[Value 1.2 (2000)]]</f>
        <v>600</v>
      </c>
      <c r="F42" s="119" t="str">
        <f>Table10[[#This Row],[Value 1.3 (2013)]]</f>
        <v>220</v>
      </c>
      <c r="G42" s="119">
        <f>Table10[[#This Row],[Target 2015_1]]</f>
        <v>280</v>
      </c>
      <c r="H42" s="32"/>
      <c r="I42" s="32">
        <v>2013</v>
      </c>
      <c r="J42" s="32"/>
      <c r="K42" s="14" t="str">
        <f t="shared" si="2"/>
        <v>Yes</v>
      </c>
      <c r="L42" s="32">
        <f>Table10[[#This Row],[Value 2.1 (1990)]]</f>
        <v>162</v>
      </c>
      <c r="M42" s="32"/>
      <c r="N42" s="32"/>
      <c r="O42" s="32">
        <f>Table10[[#This Row],[Value 2.2 (2000)]]</f>
        <v>117</v>
      </c>
      <c r="P42" s="32"/>
      <c r="Q42" s="32"/>
      <c r="R42" s="32">
        <f>Table10[[#This Row],[Value 2.3 (2013)]]</f>
        <v>71</v>
      </c>
      <c r="S42" s="32"/>
      <c r="T42" s="32"/>
      <c r="U42" s="32">
        <f>Table10[[#This Row],[Target 2015_2]]</f>
        <v>54</v>
      </c>
      <c r="V42" s="32"/>
      <c r="W42" s="32">
        <v>2013</v>
      </c>
      <c r="X42" s="32"/>
      <c r="Y42" s="14" t="str">
        <f>IF(AND(Z42&lt;&gt;"",Table1020[[#This Row],[year3]]&gt; 2011), "Yes", "No")</f>
        <v>No</v>
      </c>
      <c r="Z42" s="15">
        <f>Table10[[#This Row],[Value 3.1 (1990)]]</f>
        <v>53.6</v>
      </c>
      <c r="AA42" s="15">
        <f>Table10[[#This Row],[Year]]</f>
        <v>1993</v>
      </c>
      <c r="AB42" s="15">
        <f>Table10[[#This Row],[Value 3.2 (2000)]]</f>
        <v>48.2</v>
      </c>
      <c r="AC42" s="15">
        <f>Table10[[#This Row],[Year2]]</f>
        <v>2000</v>
      </c>
      <c r="AD42" s="15">
        <f>Table10[[#This Row],[Value 3.3 (2012)]]</f>
        <v>43.8</v>
      </c>
      <c r="AE42" s="15">
        <f>Table10[[#This Row],[Year3]]</f>
        <v>2011</v>
      </c>
      <c r="AF42" s="15"/>
      <c r="AG42" s="15"/>
    </row>
    <row r="43" spans="1:33" ht="12.75" x14ac:dyDescent="0.2">
      <c r="A43" s="19" t="s">
        <v>41</v>
      </c>
      <c r="B43" s="14" t="str">
        <f t="shared" si="3"/>
        <v>No</v>
      </c>
      <c r="C43" s="14" t="str">
        <f t="shared" si="1"/>
        <v>Yes</v>
      </c>
      <c r="D43" s="119" t="str">
        <f>Table10[[#This Row],[Value 1.1 (1990)]]</f>
        <v>720</v>
      </c>
      <c r="E43" s="119" t="str">
        <f>Table10[[#This Row],[Value 1.2 (2000)]]</f>
        <v>680</v>
      </c>
      <c r="F43" s="119" t="str">
        <f>Table10[[#This Row],[Value 1.3 (2013)]]</f>
        <v>490</v>
      </c>
      <c r="G43" s="119">
        <f>Table10[[#This Row],[Target 2015_1]]</f>
        <v>180</v>
      </c>
      <c r="H43" s="32"/>
      <c r="I43" s="32">
        <v>2013</v>
      </c>
      <c r="J43" s="32"/>
      <c r="K43" s="14" t="str">
        <f t="shared" si="2"/>
        <v>Yes</v>
      </c>
      <c r="L43" s="32">
        <f>Table10[[#This Row],[Value 2.1 (1990)]]</f>
        <v>86.3</v>
      </c>
      <c r="M43" s="32"/>
      <c r="N43" s="32"/>
      <c r="O43" s="32">
        <f>Table10[[#This Row],[Value 2.2 (2000)]]</f>
        <v>114.6</v>
      </c>
      <c r="P43" s="32"/>
      <c r="Q43" s="32"/>
      <c r="R43" s="32">
        <f>Table10[[#This Row],[Value 2.3 (2013)]]</f>
        <v>98</v>
      </c>
      <c r="S43" s="32"/>
      <c r="T43" s="32"/>
      <c r="U43" s="32">
        <f>Table10[[#This Row],[Target 2015_2]]</f>
        <v>28</v>
      </c>
      <c r="V43" s="32"/>
      <c r="W43" s="32">
        <v>2013</v>
      </c>
      <c r="X43" s="32"/>
      <c r="Y43" s="14" t="str">
        <f>IF(AND(Z43&lt;&gt;"",Table1020[[#This Row],[year3]]&gt; 2011), "Yes", "No")</f>
        <v>No</v>
      </c>
      <c r="Z43" s="15">
        <f>Table10[[#This Row],[Value 3.1 (1990)]]</f>
        <v>39.200000000000003</v>
      </c>
      <c r="AA43" s="15">
        <f>Table10[[#This Row],[Year]]</f>
        <v>1992</v>
      </c>
      <c r="AB43" s="15">
        <f>Table10[[#This Row],[Value 3.2 (2000)]]</f>
        <v>53</v>
      </c>
      <c r="AC43" s="15">
        <f>Table10[[#This Row],[Year2]]</f>
        <v>2000</v>
      </c>
      <c r="AD43" s="15">
        <f>Table10[[#This Row],[Value 3.3 (2012)]]</f>
        <v>41.8</v>
      </c>
      <c r="AE43" s="15">
        <f>Table10[[#This Row],[Year3]]</f>
        <v>2010</v>
      </c>
      <c r="AF43" s="15"/>
      <c r="AG43" s="15"/>
    </row>
    <row r="44" spans="1:33" ht="12.75" x14ac:dyDescent="0.2">
      <c r="A44" s="19" t="s">
        <v>42</v>
      </c>
      <c r="B44" s="14" t="str">
        <f t="shared" si="3"/>
        <v>No</v>
      </c>
      <c r="C44" s="14" t="str">
        <f t="shared" si="1"/>
        <v>Yes</v>
      </c>
      <c r="D44" s="119" t="str">
        <f>Table10[[#This Row],[Value 1.1 (1990)]]</f>
        <v>1200</v>
      </c>
      <c r="E44" s="119" t="str">
        <f>Table10[[#This Row],[Value 1.2 (2000)]]</f>
        <v>1100</v>
      </c>
      <c r="F44" s="119" t="str">
        <f>Table10[[#This Row],[Value 1.3 (2013)]]</f>
        <v>640</v>
      </c>
      <c r="G44" s="119">
        <f>Table10[[#This Row],[Target 2015_1]]</f>
        <v>300</v>
      </c>
      <c r="H44" s="32"/>
      <c r="I44" s="32">
        <v>2013</v>
      </c>
      <c r="J44" s="32"/>
      <c r="K44" s="14" t="str">
        <f t="shared" si="2"/>
        <v>Yes</v>
      </c>
      <c r="L44" s="32">
        <f>Table10[[#This Row],[Value 2.1 (1990)]]</f>
        <v>248</v>
      </c>
      <c r="M44" s="32"/>
      <c r="N44" s="32"/>
      <c r="O44" s="32">
        <f>Table10[[#This Row],[Value 2.2 (2000)]]</f>
        <v>175.2</v>
      </c>
      <c r="P44" s="32"/>
      <c r="Q44" s="32"/>
      <c r="R44" s="32">
        <f>Table10[[#This Row],[Value 2.3 (2013)]]</f>
        <v>71.099999999999994</v>
      </c>
      <c r="S44" s="32"/>
      <c r="T44" s="32"/>
      <c r="U44" s="32">
        <f>Table10[[#This Row],[Target 2015_2]]</f>
        <v>83</v>
      </c>
      <c r="V44" s="32"/>
      <c r="W44" s="32">
        <v>2013</v>
      </c>
      <c r="X44" s="32"/>
      <c r="Y44" s="14" t="str">
        <f>IF(AND(Z44&lt;&gt;"",Table1020[[#This Row],[year3]]&gt; 2011), "Yes", "No")</f>
        <v>No</v>
      </c>
      <c r="Z44" s="15" t="str">
        <f>Table10[[#This Row],[Value 3.1 (1990)]]</f>
        <v>No data</v>
      </c>
      <c r="AA44" s="15" t="str">
        <f>Table10[[#This Row],[Year]]</f>
        <v>No data</v>
      </c>
      <c r="AB44" s="15">
        <f>Table10[[#This Row],[Value 3.2 (2000)]]</f>
        <v>45.3</v>
      </c>
      <c r="AC44" s="15">
        <f>Table10[[#This Row],[Year2]]</f>
        <v>2000</v>
      </c>
      <c r="AD44" s="15">
        <f>Table10[[#This Row],[Value 3.3 (2012)]]</f>
        <v>39.4</v>
      </c>
      <c r="AE44" s="15">
        <f>Table10[[#This Row],[Year3]]</f>
        <v>2007</v>
      </c>
      <c r="AF44" s="15"/>
      <c r="AG44" s="15"/>
    </row>
    <row r="45" spans="1:33" ht="12.75" x14ac:dyDescent="0.2">
      <c r="A45" s="19" t="s">
        <v>43</v>
      </c>
      <c r="B45" s="14" t="str">
        <f t="shared" si="3"/>
        <v>No</v>
      </c>
      <c r="C45" s="14" t="str">
        <f t="shared" si="1"/>
        <v>Yes</v>
      </c>
      <c r="D45" s="119" t="str">
        <f>Table10[[#This Row],[Value 1.1 (1990)]]</f>
        <v>740</v>
      </c>
      <c r="E45" s="119" t="str">
        <f>Table10[[#This Row],[Value 1.2 (2000)]]</f>
        <v>550</v>
      </c>
      <c r="F45" s="119" t="str">
        <f>Table10[[#This Row],[Value 1.3 (2013)]]</f>
        <v>440</v>
      </c>
      <c r="G45" s="119">
        <f>Table10[[#This Row],[Target 2015_1]]</f>
        <v>190</v>
      </c>
      <c r="H45" s="32"/>
      <c r="I45" s="32">
        <v>2013</v>
      </c>
      <c r="J45" s="32"/>
      <c r="K45" s="14" t="str">
        <f t="shared" si="2"/>
        <v>Yes</v>
      </c>
      <c r="L45" s="32">
        <f>Table10[[#This Row],[Value 2.1 (1990)]]</f>
        <v>160.80000000000001</v>
      </c>
      <c r="M45" s="32"/>
      <c r="N45" s="32"/>
      <c r="O45" s="32">
        <f>Table10[[#This Row],[Value 2.2 (2000)]]</f>
        <v>110.6</v>
      </c>
      <c r="P45" s="32"/>
      <c r="Q45" s="32"/>
      <c r="R45" s="32">
        <f>Table10[[#This Row],[Value 2.3 (2013)]]</f>
        <v>56</v>
      </c>
      <c r="S45" s="32"/>
      <c r="T45" s="32"/>
      <c r="U45" s="32">
        <f>Table10[[#This Row],[Target 2015_2]]</f>
        <v>53</v>
      </c>
      <c r="V45" s="32"/>
      <c r="W45" s="32">
        <v>2013</v>
      </c>
      <c r="X45" s="32"/>
      <c r="Y45" s="14" t="str">
        <f>IF(AND(Z45&lt;&gt;"",Table1020[[#This Row],[year3]]&gt; 2011), "Yes", "No")</f>
        <v>No</v>
      </c>
      <c r="Z45" s="15">
        <f>Table10[[#This Row],[Value 3.1 (1990)]]</f>
        <v>60.9</v>
      </c>
      <c r="AA45" s="15">
        <f>Table10[[#This Row],[Year]]</f>
        <v>1992</v>
      </c>
      <c r="AB45" s="15">
        <f>Table10[[#This Row],[Value 3.2 (2000)]]</f>
        <v>58.2</v>
      </c>
      <c r="AC45" s="15">
        <f>Table10[[#This Row],[Year2]]</f>
        <v>1997</v>
      </c>
      <c r="AD45" s="15">
        <f>Table10[[#This Row],[Value 3.3 (2012)]]</f>
        <v>49.2</v>
      </c>
      <c r="AE45" s="15">
        <f>Table10[[#This Row],[Year3]]</f>
        <v>2009</v>
      </c>
      <c r="AF45" s="15"/>
      <c r="AG45" s="15"/>
    </row>
    <row r="46" spans="1:33" ht="12.75" x14ac:dyDescent="0.2">
      <c r="A46" s="19" t="s">
        <v>44</v>
      </c>
      <c r="B46" s="14" t="str">
        <f t="shared" si="3"/>
        <v>No</v>
      </c>
      <c r="C46" s="14" t="str">
        <f t="shared" si="1"/>
        <v>Yes</v>
      </c>
      <c r="D46" s="119" t="str">
        <f>Table10[[#This Row],[Value 1.1 (1990)]]</f>
        <v>1100</v>
      </c>
      <c r="E46" s="119" t="str">
        <f>Table10[[#This Row],[Value 1.2 (2000)]]</f>
        <v>750</v>
      </c>
      <c r="F46" s="119" t="str">
        <f>Table10[[#This Row],[Value 1.3 (2013)]]</f>
        <v>510</v>
      </c>
      <c r="G46" s="119">
        <f>Table10[[#This Row],[Target 2015_1]]</f>
        <v>280</v>
      </c>
      <c r="H46" s="32"/>
      <c r="I46" s="32">
        <v>2013</v>
      </c>
      <c r="J46" s="32"/>
      <c r="K46" s="14" t="str">
        <f t="shared" si="2"/>
        <v>Yes</v>
      </c>
      <c r="L46" s="32">
        <f>Table10[[#This Row],[Value 2.1 (1990)]]</f>
        <v>245.3</v>
      </c>
      <c r="M46" s="32"/>
      <c r="N46" s="32"/>
      <c r="O46" s="32">
        <f>Table10[[#This Row],[Value 2.2 (2000)]]</f>
        <v>174.2</v>
      </c>
      <c r="P46" s="32"/>
      <c r="Q46" s="32"/>
      <c r="R46" s="32">
        <f>Table10[[#This Row],[Value 2.3 (2013)]]</f>
        <v>67.900000000000006</v>
      </c>
      <c r="S46" s="32"/>
      <c r="T46" s="32"/>
      <c r="U46" s="32">
        <f>Table10[[#This Row],[Target 2015_2]]</f>
        <v>81</v>
      </c>
      <c r="V46" s="32"/>
      <c r="W46" s="32">
        <v>2013</v>
      </c>
      <c r="X46" s="32"/>
      <c r="Y46" s="14" t="str">
        <f>IF(AND(Z46&lt;&gt;"",Table1020[[#This Row],[year3]]&gt; 2011), "Yes", "No")</f>
        <v>No</v>
      </c>
      <c r="Z46" s="15">
        <f>Table10[[#This Row],[Value 3.1 (1990)]]</f>
        <v>55.8</v>
      </c>
      <c r="AA46" s="15">
        <f>Table10[[#This Row],[Year]]</f>
        <v>1992</v>
      </c>
      <c r="AB46" s="15">
        <f>Table10[[#This Row],[Value 3.2 (2000)]]</f>
        <v>54.6</v>
      </c>
      <c r="AC46" s="15">
        <f>Table10[[#This Row],[Year2]]</f>
        <v>2000</v>
      </c>
      <c r="AD46" s="15">
        <f>Table10[[#This Row],[Value 3.3 (2012)]]</f>
        <v>47.8</v>
      </c>
      <c r="AE46" s="15">
        <f>Table10[[#This Row],[Year3]]</f>
        <v>2010</v>
      </c>
      <c r="AF46" s="15"/>
      <c r="AG46" s="15"/>
    </row>
    <row r="47" spans="1:33" ht="12.75" x14ac:dyDescent="0.2">
      <c r="A47" s="19" t="s">
        <v>45</v>
      </c>
      <c r="B47" s="14" t="str">
        <f t="shared" si="3"/>
        <v>No</v>
      </c>
      <c r="C47" s="14" t="str">
        <f t="shared" si="1"/>
        <v>Yes</v>
      </c>
      <c r="D47" s="119" t="str">
        <f>Table10[[#This Row],[Value 1.1 (1990)]]</f>
        <v>1100</v>
      </c>
      <c r="E47" s="119" t="str">
        <f>Table10[[#This Row],[Value 1.2 (2000)]]</f>
        <v>860</v>
      </c>
      <c r="F47" s="119" t="str">
        <f>Table10[[#This Row],[Value 1.3 (2013)]]</f>
        <v>550</v>
      </c>
      <c r="G47" s="119">
        <f>Table10[[#This Row],[Target 2015_1]]</f>
        <v>280</v>
      </c>
      <c r="H47" s="32"/>
      <c r="I47" s="32">
        <v>2013</v>
      </c>
      <c r="J47" s="32"/>
      <c r="K47" s="14" t="str">
        <f t="shared" si="2"/>
        <v>Yes</v>
      </c>
      <c r="L47" s="32">
        <f>Table10[[#This Row],[Value 2.1 (1990)]]</f>
        <v>254.2</v>
      </c>
      <c r="M47" s="32"/>
      <c r="N47" s="32"/>
      <c r="O47" s="32">
        <f>Table10[[#This Row],[Value 2.2 (2000)]]</f>
        <v>219.9</v>
      </c>
      <c r="P47" s="32"/>
      <c r="Q47" s="32"/>
      <c r="R47" s="32">
        <f>Table10[[#This Row],[Value 2.3 (2013)]]</f>
        <v>122.7</v>
      </c>
      <c r="S47" s="32"/>
      <c r="T47" s="32"/>
      <c r="U47" s="32">
        <f>Table10[[#This Row],[Target 2015_2]]</f>
        <v>84</v>
      </c>
      <c r="V47" s="32"/>
      <c r="W47" s="32">
        <v>2013</v>
      </c>
      <c r="X47" s="32"/>
      <c r="Y47" s="14" t="str">
        <f>IF(AND(Z47&lt;&gt;"",Table1020[[#This Row],[year3]]&gt; 2011), "Yes", "No")</f>
        <v>No</v>
      </c>
      <c r="Z47" s="15">
        <f>Table10[[#This Row],[Value 3.1 (1990)]]</f>
        <v>35.799999999999997</v>
      </c>
      <c r="AA47" s="15">
        <f>Table10[[#This Row],[Year]]</f>
        <v>1987</v>
      </c>
      <c r="AB47" s="15">
        <f>Table10[[#This Row],[Value 3.2 (2000)]]</f>
        <v>42.7</v>
      </c>
      <c r="AC47" s="15">
        <f>Table10[[#This Row],[Year2]]</f>
        <v>2001</v>
      </c>
      <c r="AD47" s="15">
        <f>Table10[[#This Row],[Value 3.3 (2012)]]</f>
        <v>38.5</v>
      </c>
      <c r="AE47" s="15">
        <f>Table10[[#This Row],[Year3]]</f>
        <v>2006</v>
      </c>
      <c r="AF47" s="15"/>
      <c r="AG47" s="15"/>
    </row>
    <row r="48" spans="1:33" ht="12.75" x14ac:dyDescent="0.2">
      <c r="A48" s="19" t="s">
        <v>46</v>
      </c>
      <c r="B48" s="14" t="str">
        <f t="shared" si="3"/>
        <v>Yes</v>
      </c>
      <c r="C48" s="14" t="str">
        <f t="shared" si="1"/>
        <v>Yes</v>
      </c>
      <c r="D48" s="119" t="str">
        <f>Table10[[#This Row],[Value 1.1 (1990)]]</f>
        <v>630</v>
      </c>
      <c r="E48" s="119" t="str">
        <f>Table10[[#This Row],[Value 1.2 (2000)]]</f>
        <v>480</v>
      </c>
      <c r="F48" s="119" t="str">
        <f>Table10[[#This Row],[Value 1.3 (2013)]]</f>
        <v>320</v>
      </c>
      <c r="G48" s="119">
        <f>Table10[[#This Row],[Target 2015_1]]</f>
        <v>160</v>
      </c>
      <c r="H48" s="32"/>
      <c r="I48" s="32">
        <v>2013</v>
      </c>
      <c r="J48" s="32"/>
      <c r="K48" s="14" t="str">
        <f t="shared" si="2"/>
        <v>Yes</v>
      </c>
      <c r="L48" s="32">
        <f>Table10[[#This Row],[Value 2.1 (1990)]]</f>
        <v>118</v>
      </c>
      <c r="M48" s="32"/>
      <c r="N48" s="32"/>
      <c r="O48" s="32">
        <f>Table10[[#This Row],[Value 2.2 (2000)]]</f>
        <v>113</v>
      </c>
      <c r="P48" s="32"/>
      <c r="Q48" s="32"/>
      <c r="R48" s="32">
        <f>Table10[[#This Row],[Value 2.3 (2013)]]</f>
        <v>90</v>
      </c>
      <c r="S48" s="32"/>
      <c r="T48" s="32"/>
      <c r="U48" s="32">
        <f>Table10[[#This Row],[Target 2015_2]]</f>
        <v>43</v>
      </c>
      <c r="V48" s="32"/>
      <c r="W48" s="32">
        <v>2013</v>
      </c>
      <c r="X48" s="32"/>
      <c r="Y48" s="14" t="str">
        <f>IF(AND(Z48&lt;&gt;"",Table1020[[#This Row],[year3]]&gt; 2011), "Yes", "No")</f>
        <v>Yes</v>
      </c>
      <c r="Z48" s="15">
        <f>Table10[[#This Row],[Value 3.1 (1990)]]</f>
        <v>54.8</v>
      </c>
      <c r="AA48" s="15">
        <f>Table10[[#This Row],[Year]]</f>
        <v>1990</v>
      </c>
      <c r="AB48" s="15">
        <f>Table10[[#This Row],[Value 3.2 (2000)]]</f>
        <v>39.5</v>
      </c>
      <c r="AC48" s="15">
        <f>Table10[[#This Row],[Year2]]</f>
        <v>2000</v>
      </c>
      <c r="AD48" s="15">
        <f>Table10[[#This Row],[Value 3.3 (2012)]]</f>
        <v>22</v>
      </c>
      <c r="AE48" s="15">
        <f>Table10[[#This Row],[Year3]]</f>
        <v>2012</v>
      </c>
      <c r="AF48" s="15"/>
      <c r="AG48" s="15"/>
    </row>
    <row r="49" spans="1:33" ht="12.75" x14ac:dyDescent="0.2">
      <c r="A49" s="19" t="s">
        <v>47</v>
      </c>
      <c r="B49" s="14" t="str">
        <f t="shared" si="3"/>
        <v>Yes</v>
      </c>
      <c r="C49" s="14" t="str">
        <f t="shared" si="1"/>
        <v>Yes</v>
      </c>
      <c r="D49" s="119" t="str">
        <f>Table10[[#This Row],[Value 1.1 (1990)]]</f>
        <v>88</v>
      </c>
      <c r="E49" s="119" t="str">
        <f>Table10[[#This Row],[Value 1.2 (2000)]]</f>
        <v>67</v>
      </c>
      <c r="F49" s="119" t="str">
        <f>Table10[[#This Row],[Value 1.3 (2013)]]</f>
        <v>49</v>
      </c>
      <c r="G49" s="119">
        <f>Table10[[#This Row],[Target 2015_1]]</f>
        <v>22</v>
      </c>
      <c r="H49" s="32"/>
      <c r="I49" s="32">
        <v>2013</v>
      </c>
      <c r="J49" s="32"/>
      <c r="K49" s="14" t="str">
        <f t="shared" si="2"/>
        <v>Yes</v>
      </c>
      <c r="L49" s="32">
        <f>Table10[[#This Row],[Value 2.1 (1990)]]</f>
        <v>46.4</v>
      </c>
      <c r="M49" s="32"/>
      <c r="N49" s="32"/>
      <c r="O49" s="32">
        <f>Table10[[#This Row],[Value 2.2 (2000)]]</f>
        <v>25.6</v>
      </c>
      <c r="P49" s="32"/>
      <c r="Q49" s="32"/>
      <c r="R49" s="32">
        <f>Table10[[#This Row],[Value 2.3 (2013)]]</f>
        <v>14.5</v>
      </c>
      <c r="S49" s="32"/>
      <c r="T49" s="32"/>
      <c r="U49" s="32">
        <f>Table10[[#This Row],[Target 2015_2]]</f>
        <v>15</v>
      </c>
      <c r="V49" s="32"/>
      <c r="W49" s="32">
        <v>2013</v>
      </c>
      <c r="X49" s="32"/>
      <c r="Y49" s="14" t="str">
        <f>IF(AND(Z49&lt;&gt;"",Table1020[[#This Row],[year3]]&gt; 2011), "Yes", "No")</f>
        <v>Yes</v>
      </c>
      <c r="Z49" s="15">
        <f>Table10[[#This Row],[Value 3.1 (1990)]]</f>
        <v>26</v>
      </c>
      <c r="AA49" s="15">
        <f>Table10[[#This Row],[Year]]</f>
        <v>1989</v>
      </c>
      <c r="AB49" s="15">
        <f>Table10[[#This Row],[Value 3.2 (2000)]]</f>
        <v>21.7</v>
      </c>
      <c r="AC49" s="15">
        <f>Table10[[#This Row],[Year2]]</f>
        <v>1998</v>
      </c>
      <c r="AD49" s="15">
        <f>Table10[[#This Row],[Value 3.3 (2012)]]</f>
        <v>13.6</v>
      </c>
      <c r="AE49" s="15">
        <f>Table10[[#This Row],[Year3]]</f>
        <v>2012</v>
      </c>
      <c r="AF49" s="15"/>
      <c r="AG49" s="15"/>
    </row>
    <row r="50" spans="1:33" ht="12.75" x14ac:dyDescent="0.2">
      <c r="A50" s="19" t="s">
        <v>48</v>
      </c>
      <c r="B50" s="14" t="str">
        <f t="shared" si="3"/>
        <v>No</v>
      </c>
      <c r="C50" s="14" t="str">
        <f t="shared" si="1"/>
        <v>Yes</v>
      </c>
      <c r="D50" s="119" t="str">
        <f>Table10[[#This Row],[Value 1.1 (1990)]]</f>
        <v>310</v>
      </c>
      <c r="E50" s="119" t="str">
        <f>Table10[[#This Row],[Value 1.2 (2000)]]</f>
        <v>200</v>
      </c>
      <c r="F50" s="119" t="str">
        <f>Table10[[#This Row],[Value 1.3 (2013)]]</f>
        <v>120</v>
      </c>
      <c r="G50" s="119">
        <f>Table10[[#This Row],[Target 2015_1]]</f>
        <v>78</v>
      </c>
      <c r="H50" s="32"/>
      <c r="I50" s="32">
        <v>2013</v>
      </c>
      <c r="J50" s="32"/>
      <c r="K50" s="14" t="str">
        <f t="shared" si="2"/>
        <v>Yes</v>
      </c>
      <c r="L50" s="32">
        <f>Table10[[#This Row],[Value 2.1 (1990)]]</f>
        <v>80.7</v>
      </c>
      <c r="M50" s="32"/>
      <c r="N50" s="32"/>
      <c r="O50" s="32">
        <f>Table10[[#This Row],[Value 2.2 (2000)]]</f>
        <v>50.8</v>
      </c>
      <c r="P50" s="32"/>
      <c r="Q50" s="32"/>
      <c r="R50" s="32">
        <f>Table10[[#This Row],[Value 2.3 (2013)]]</f>
        <v>30.4</v>
      </c>
      <c r="S50" s="32"/>
      <c r="T50" s="32"/>
      <c r="U50" s="32">
        <f>Table10[[#This Row],[Target 2015_2]]</f>
        <v>27</v>
      </c>
      <c r="V50" s="32"/>
      <c r="W50" s="32">
        <v>2013</v>
      </c>
      <c r="X50" s="32"/>
      <c r="Y50" s="14" t="str">
        <f>IF(AND(Z50&lt;&gt;"",Table1020[[#This Row],[year3]]&gt; 2011), "Yes", "No")</f>
        <v>No</v>
      </c>
      <c r="Z50" s="15">
        <f>Table10[[#This Row],[Value 3.1 (1990)]]</f>
        <v>34.5</v>
      </c>
      <c r="AA50" s="15">
        <f>Table10[[#This Row],[Year]]</f>
        <v>1987</v>
      </c>
      <c r="AB50" s="15">
        <f>Table10[[#This Row],[Value 3.2 (2000)]]</f>
        <v>23.1</v>
      </c>
      <c r="AC50" s="15">
        <f>Table10[[#This Row],[Year2]]</f>
        <v>2003</v>
      </c>
      <c r="AD50" s="15">
        <f>Table10[[#This Row],[Value 3.3 (2012)]]</f>
        <v>14.9</v>
      </c>
      <c r="AE50" s="15">
        <f>Table10[[#This Row],[Year3]]</f>
        <v>2011</v>
      </c>
      <c r="AF50" s="15"/>
      <c r="AG50" s="15"/>
    </row>
    <row r="51" spans="1:33" ht="12.75" x14ac:dyDescent="0.2">
      <c r="A51" s="19" t="s">
        <v>49</v>
      </c>
      <c r="B51" s="14" t="str">
        <f t="shared" si="3"/>
        <v>No</v>
      </c>
      <c r="C51" s="14" t="str">
        <f t="shared" si="1"/>
        <v>Yes</v>
      </c>
      <c r="D51" s="119" t="str">
        <f>Table10[[#This Row],[Value 1.1 (1990)]]</f>
        <v>1300</v>
      </c>
      <c r="E51" s="119" t="str">
        <f>Table10[[#This Row],[Value 1.2 (2000)]]</f>
        <v>870</v>
      </c>
      <c r="F51" s="119" t="str">
        <f>Table10[[#This Row],[Value 1.3 (2013)]]</f>
        <v>480</v>
      </c>
      <c r="G51" s="119">
        <f>Table10[[#This Row],[Target 2015_1]]</f>
        <v>330</v>
      </c>
      <c r="H51" s="32"/>
      <c r="I51" s="32">
        <v>2013</v>
      </c>
      <c r="J51" s="32"/>
      <c r="K51" s="14" t="str">
        <f t="shared" si="2"/>
        <v>Yes</v>
      </c>
      <c r="L51" s="32">
        <f>Table10[[#This Row],[Value 2.1 (1990)]]</f>
        <v>237</v>
      </c>
      <c r="M51" s="32"/>
      <c r="N51" s="32"/>
      <c r="O51" s="32">
        <f>Table10[[#This Row],[Value 2.2 (2000)]]</f>
        <v>168.5</v>
      </c>
      <c r="P51" s="32"/>
      <c r="Q51" s="32"/>
      <c r="R51" s="32">
        <f>Table10[[#This Row],[Value 2.3 (2013)]]</f>
        <v>87.2</v>
      </c>
      <c r="S51" s="32"/>
      <c r="T51" s="32"/>
      <c r="U51" s="32">
        <f>Table10[[#This Row],[Target 2015_2]]</f>
        <v>78</v>
      </c>
      <c r="V51" s="32"/>
      <c r="W51" s="32">
        <v>2013</v>
      </c>
      <c r="X51" s="32"/>
      <c r="Y51" s="14" t="str">
        <f>IF(AND(Z51&lt;&gt;"",Table1020[[#This Row],[year3]]&gt; 2011), "Yes", "No")</f>
        <v>No</v>
      </c>
      <c r="Z51" s="15">
        <f>Table10[[#This Row],[Value 3.1 (1990)]]</f>
        <v>59.9</v>
      </c>
      <c r="AA51" s="15">
        <f>Table10[[#This Row],[Year]]</f>
        <v>1995</v>
      </c>
      <c r="AB51" s="15">
        <f>Table10[[#This Row],[Value 3.2 (2000)]]</f>
        <v>49.6</v>
      </c>
      <c r="AC51" s="15">
        <f>Table10[[#This Row],[Year2]]</f>
        <v>2001</v>
      </c>
      <c r="AD51" s="15">
        <f>Table10[[#This Row],[Value 3.3 (2012)]]</f>
        <v>43.1</v>
      </c>
      <c r="AE51" s="15">
        <f>Table10[[#This Row],[Year3]]</f>
        <v>2011</v>
      </c>
      <c r="AF51" s="15"/>
      <c r="AG51" s="15"/>
    </row>
    <row r="52" spans="1:33" ht="12.75" x14ac:dyDescent="0.2">
      <c r="A52" s="19" t="s">
        <v>50</v>
      </c>
      <c r="B52" s="14" t="str">
        <f t="shared" si="3"/>
        <v>No</v>
      </c>
      <c r="C52" s="14" t="str">
        <f t="shared" si="1"/>
        <v>Yes</v>
      </c>
      <c r="D52" s="119" t="str">
        <f>Table10[[#This Row],[Value 1.1 (1990)]]</f>
        <v>580</v>
      </c>
      <c r="E52" s="119" t="str">
        <f>Table10[[#This Row],[Value 1.2 (2000)]]</f>
        <v>360</v>
      </c>
      <c r="F52" s="119" t="str">
        <f>Table10[[#This Row],[Value 1.3 (2013)]]</f>
        <v>200</v>
      </c>
      <c r="G52" s="119">
        <f>Table10[[#This Row],[Target 2015_1]]</f>
        <v>150</v>
      </c>
      <c r="H52" s="32"/>
      <c r="I52" s="32">
        <v>2013</v>
      </c>
      <c r="J52" s="32"/>
      <c r="K52" s="14" t="str">
        <f t="shared" si="2"/>
        <v>Yes</v>
      </c>
      <c r="L52" s="32">
        <f>Table10[[#This Row],[Value 2.1 (1990)]]</f>
        <v>108.6</v>
      </c>
      <c r="M52" s="32"/>
      <c r="N52" s="32"/>
      <c r="O52" s="32">
        <f>Table10[[#This Row],[Value 2.2 (2000)]]</f>
        <v>79.5</v>
      </c>
      <c r="P52" s="32"/>
      <c r="Q52" s="32"/>
      <c r="R52" s="32">
        <f>Table10[[#This Row],[Value 2.3 (2013)]]</f>
        <v>50.5</v>
      </c>
      <c r="S52" s="32"/>
      <c r="T52" s="32"/>
      <c r="U52" s="32">
        <f>Table10[[#This Row],[Target 2015_2]]</f>
        <v>35</v>
      </c>
      <c r="V52" s="32"/>
      <c r="W52" s="32">
        <v>2013</v>
      </c>
      <c r="X52" s="32"/>
      <c r="Y52" s="14" t="str">
        <f>IF(AND(Z52&lt;&gt;"",Table1020[[#This Row],[year3]]&gt; 2011), "Yes", "No")</f>
        <v>No</v>
      </c>
      <c r="Z52" s="15">
        <f>Table10[[#This Row],[Value 3.1 (1990)]]</f>
        <v>53.6</v>
      </c>
      <c r="AA52" s="15">
        <f>Table10[[#This Row],[Year]]</f>
        <v>1991</v>
      </c>
      <c r="AB52" s="15">
        <f>Table10[[#This Row],[Value 3.2 (2000)]]</f>
        <v>40.799999999999997</v>
      </c>
      <c r="AC52" s="15">
        <f>Table10[[#This Row],[Year2]]</f>
        <v>2000</v>
      </c>
      <c r="AD52" s="15">
        <f>Table10[[#This Row],[Value 3.3 (2012)]]</f>
        <v>35.1</v>
      </c>
      <c r="AE52" s="15">
        <f>Table10[[#This Row],[Year3]]</f>
        <v>2009</v>
      </c>
      <c r="AF52" s="15"/>
      <c r="AG52" s="15"/>
    </row>
    <row r="53" spans="1:33" ht="12.75" x14ac:dyDescent="0.2">
      <c r="A53" s="19" t="s">
        <v>51</v>
      </c>
      <c r="B53" s="14" t="str">
        <f t="shared" si="3"/>
        <v>No</v>
      </c>
      <c r="C53" s="14" t="str">
        <f t="shared" si="1"/>
        <v>Yes</v>
      </c>
      <c r="D53" s="119" t="str">
        <f>Table10[[#This Row],[Value 1.1 (1990)]]</f>
        <v>790</v>
      </c>
      <c r="E53" s="119" t="str">
        <f>Table10[[#This Row],[Value 1.2 (2000)]]</f>
        <v>430</v>
      </c>
      <c r="F53" s="119" t="str">
        <f>Table10[[#This Row],[Value 1.3 (2013)]]</f>
        <v>190</v>
      </c>
      <c r="G53" s="119">
        <f>Table10[[#This Row],[Target 2015_1]]</f>
        <v>200</v>
      </c>
      <c r="H53" s="32"/>
      <c r="I53" s="32">
        <v>2013</v>
      </c>
      <c r="J53" s="32"/>
      <c r="K53" s="14" t="str">
        <f t="shared" si="2"/>
        <v>Yes</v>
      </c>
      <c r="L53" s="32">
        <f>Table10[[#This Row],[Value 2.1 (1990)]]</f>
        <v>142.30000000000001</v>
      </c>
      <c r="M53" s="32"/>
      <c r="N53" s="32"/>
      <c r="O53" s="32">
        <f>Table10[[#This Row],[Value 2.2 (2000)]]</f>
        <v>81.900000000000006</v>
      </c>
      <c r="P53" s="32"/>
      <c r="Q53" s="32"/>
      <c r="R53" s="32">
        <f>Table10[[#This Row],[Value 2.3 (2013)]]</f>
        <v>39.700000000000003</v>
      </c>
      <c r="S53" s="32"/>
      <c r="T53" s="32"/>
      <c r="U53" s="32">
        <f>Table10[[#This Row],[Target 2015_2]]</f>
        <v>47</v>
      </c>
      <c r="V53" s="32"/>
      <c r="W53" s="32">
        <v>2013</v>
      </c>
      <c r="X53" s="32"/>
      <c r="Y53" s="14" t="str">
        <f>IF(AND(Z53&lt;&gt;"",Table1020[[#This Row],[year3]]&gt; 2011), "Yes", "No")</f>
        <v>No</v>
      </c>
      <c r="Z53" s="15">
        <f>Table10[[#This Row],[Value 3.1 (1990)]]</f>
        <v>68.2</v>
      </c>
      <c r="AA53" s="15">
        <f>Table10[[#This Row],[Year]]</f>
        <v>1995</v>
      </c>
      <c r="AB53" s="15">
        <f>Table10[[#This Row],[Value 3.2 (2000)]]</f>
        <v>57.1</v>
      </c>
      <c r="AC53" s="15">
        <f>Table10[[#This Row],[Year2]]</f>
        <v>2001</v>
      </c>
      <c r="AD53" s="15">
        <f>Table10[[#This Row],[Value 3.3 (2012)]]</f>
        <v>40.5</v>
      </c>
      <c r="AE53" s="15">
        <f>Table10[[#This Row],[Year3]]</f>
        <v>2011</v>
      </c>
      <c r="AF53" s="15"/>
      <c r="AG53" s="15"/>
    </row>
    <row r="54" spans="1:33" ht="12.75" x14ac:dyDescent="0.2">
      <c r="A54" s="19" t="s">
        <v>52</v>
      </c>
      <c r="B54" s="14" t="str">
        <f t="shared" si="3"/>
        <v>Yes</v>
      </c>
      <c r="C54" s="14" t="str">
        <f t="shared" si="1"/>
        <v>Yes</v>
      </c>
      <c r="D54" s="119" t="str">
        <f>Table10[[#This Row],[Value 1.1 (1990)]]</f>
        <v>1000</v>
      </c>
      <c r="E54" s="119" t="str">
        <f>Table10[[#This Row],[Value 1.2 (2000)]]</f>
        <v>850</v>
      </c>
      <c r="F54" s="119" t="str">
        <f>Table10[[#This Row],[Value 1.3 (2013)]]</f>
        <v>630</v>
      </c>
      <c r="G54" s="119">
        <f>Table10[[#This Row],[Target 2015_1]]</f>
        <v>250</v>
      </c>
      <c r="H54" s="32"/>
      <c r="I54" s="32">
        <v>2013</v>
      </c>
      <c r="J54" s="32"/>
      <c r="K54" s="14" t="str">
        <f t="shared" si="2"/>
        <v>Yes</v>
      </c>
      <c r="L54" s="32">
        <f>Table10[[#This Row],[Value 2.1 (1990)]]</f>
        <v>327.3</v>
      </c>
      <c r="M54" s="32"/>
      <c r="N54" s="32"/>
      <c r="O54" s="32">
        <f>Table10[[#This Row],[Value 2.2 (2000)]]</f>
        <v>226.9</v>
      </c>
      <c r="P54" s="32"/>
      <c r="Q54" s="32"/>
      <c r="R54" s="32">
        <f>Table10[[#This Row],[Value 2.3 (2013)]]</f>
        <v>104.2</v>
      </c>
      <c r="S54" s="32"/>
      <c r="T54" s="32"/>
      <c r="U54" s="32">
        <f>Table10[[#This Row],[Target 2015_2]]</f>
        <v>109</v>
      </c>
      <c r="V54" s="32"/>
      <c r="W54" s="32">
        <v>2013</v>
      </c>
      <c r="X54" s="32"/>
      <c r="Y54" s="14" t="str">
        <f>IF(AND(Z54&lt;&gt;"",Table1020[[#This Row],[year3]]&gt; 2011), "Yes", "No")</f>
        <v>Yes</v>
      </c>
      <c r="Z54" s="15">
        <f>Table10[[#This Row],[Value 3.1 (1990)]]</f>
        <v>48.3</v>
      </c>
      <c r="AA54" s="15">
        <f>Table10[[#This Row],[Year]]</f>
        <v>1992</v>
      </c>
      <c r="AB54" s="15">
        <f>Table10[[#This Row],[Value 3.2 (2000)]]</f>
        <v>54.2</v>
      </c>
      <c r="AC54" s="15">
        <f>Table10[[#This Row],[Year2]]</f>
        <v>2000</v>
      </c>
      <c r="AD54" s="15">
        <f>Table10[[#This Row],[Value 3.3 (2012)]]</f>
        <v>43</v>
      </c>
      <c r="AE54" s="15">
        <f>Table10[[#This Row],[Year3]]</f>
        <v>2012</v>
      </c>
      <c r="AF54" s="15"/>
      <c r="AG54" s="15"/>
    </row>
    <row r="55" spans="1:33" ht="12.75" x14ac:dyDescent="0.2">
      <c r="A55" s="19" t="s">
        <v>53</v>
      </c>
      <c r="B55" s="14" t="str">
        <f t="shared" si="3"/>
        <v>Yes</v>
      </c>
      <c r="C55" s="14" t="str">
        <f t="shared" si="1"/>
        <v>Yes</v>
      </c>
      <c r="D55" s="119" t="str">
        <f>Table10[[#This Row],[Value 1.1 (1990)]]</f>
        <v>1200</v>
      </c>
      <c r="E55" s="119" t="str">
        <f>Table10[[#This Row],[Value 1.2 (2000)]]</f>
        <v>950</v>
      </c>
      <c r="F55" s="119" t="str">
        <f>Table10[[#This Row],[Value 1.3 (2013)]]</f>
        <v>560</v>
      </c>
      <c r="G55" s="119">
        <f>Table10[[#This Row],[Target 2015_1]]</f>
        <v>300</v>
      </c>
      <c r="H55" s="32"/>
      <c r="I55" s="32">
        <v>2013</v>
      </c>
      <c r="J55" s="32"/>
      <c r="K55" s="14" t="str">
        <f t="shared" si="2"/>
        <v>Yes</v>
      </c>
      <c r="L55" s="32">
        <f>Table10[[#This Row],[Value 2.1 (1990)]]</f>
        <v>213.2</v>
      </c>
      <c r="M55" s="32"/>
      <c r="N55" s="32"/>
      <c r="O55" s="32">
        <f>Table10[[#This Row],[Value 2.2 (2000)]]</f>
        <v>187.7</v>
      </c>
      <c r="P55" s="32"/>
      <c r="Q55" s="32"/>
      <c r="R55" s="32">
        <f>Table10[[#This Row],[Value 2.3 (2013)]]</f>
        <v>117.4</v>
      </c>
      <c r="S55" s="32"/>
      <c r="T55" s="32"/>
      <c r="U55" s="32">
        <f>Table10[[#This Row],[Target 2015_2]]</f>
        <v>71</v>
      </c>
      <c r="V55" s="32"/>
      <c r="W55" s="32">
        <v>2013</v>
      </c>
      <c r="X55" s="32"/>
      <c r="Y55" s="14" t="str">
        <f>IF(AND(Z55&lt;&gt;"",Table1020[[#This Row],[year3]]&gt; 2011), "Yes", "No")</f>
        <v>Yes</v>
      </c>
      <c r="Z55" s="15">
        <f>Table10[[#This Row],[Value 3.1 (1990)]]</f>
        <v>50.5</v>
      </c>
      <c r="AA55" s="15">
        <f>Table10[[#This Row],[Year]]</f>
        <v>1990</v>
      </c>
      <c r="AB55" s="15">
        <f>Table10[[#This Row],[Value 3.2 (2000)]]</f>
        <v>43</v>
      </c>
      <c r="AC55" s="15">
        <f>Table10[[#This Row],[Year2]]</f>
        <v>2003</v>
      </c>
      <c r="AD55" s="15">
        <f>Table10[[#This Row],[Value 3.3 (2012)]]</f>
        <v>36.4</v>
      </c>
      <c r="AE55" s="15">
        <f>Table10[[#This Row],[Year3]]</f>
        <v>2013</v>
      </c>
      <c r="AF55" s="15"/>
      <c r="AG55" s="15"/>
    </row>
    <row r="56" spans="1:33" ht="12.75" x14ac:dyDescent="0.2">
      <c r="A56" s="19" t="s">
        <v>54</v>
      </c>
      <c r="B56" s="14" t="str">
        <f t="shared" si="3"/>
        <v>Yes</v>
      </c>
      <c r="C56" s="14" t="str">
        <f t="shared" si="1"/>
        <v>Yes</v>
      </c>
      <c r="D56" s="119" t="str">
        <f>Table10[[#This Row],[Value 1.1 (1990)]]</f>
        <v>400</v>
      </c>
      <c r="E56" s="119" t="str">
        <f>Table10[[#This Row],[Value 1.2 (2000)]]</f>
        <v>280</v>
      </c>
      <c r="F56" s="119" t="str">
        <f>Table10[[#This Row],[Value 1.3 (2013)]]</f>
        <v>170</v>
      </c>
      <c r="G56" s="119">
        <f>Table10[[#This Row],[Target 2015_1]]</f>
        <v>100</v>
      </c>
      <c r="H56" s="32"/>
      <c r="I56" s="32">
        <v>2013</v>
      </c>
      <c r="J56" s="32"/>
      <c r="K56" s="14" t="str">
        <f t="shared" si="2"/>
        <v>Yes</v>
      </c>
      <c r="L56" s="32">
        <f>Table10[[#This Row],[Value 2.1 (1990)]]</f>
        <v>138.6</v>
      </c>
      <c r="M56" s="32"/>
      <c r="N56" s="32"/>
      <c r="O56" s="32">
        <f>Table10[[#This Row],[Value 2.2 (2000)]]</f>
        <v>112.6</v>
      </c>
      <c r="P56" s="32"/>
      <c r="Q56" s="32"/>
      <c r="R56" s="32">
        <f>Table10[[#This Row],[Value 2.3 (2013)]]</f>
        <v>85.5</v>
      </c>
      <c r="S56" s="32"/>
      <c r="T56" s="32"/>
      <c r="U56" s="32">
        <f>Table10[[#This Row],[Target 2015_2]]</f>
        <v>46</v>
      </c>
      <c r="V56" s="32"/>
      <c r="W56" s="32">
        <v>2013</v>
      </c>
      <c r="X56" s="32"/>
      <c r="Y56" s="14" t="str">
        <f>IF(AND(Z56&lt;&gt;"",Table1020[[#This Row],[year3]]&gt; 2011), "Yes", "No")</f>
        <v>Yes</v>
      </c>
      <c r="Z56" s="15">
        <f>Table10[[#This Row],[Value 3.1 (1990)]]</f>
        <v>54.5</v>
      </c>
      <c r="AA56" s="15">
        <f>Table10[[#This Row],[Year]]</f>
        <v>1991</v>
      </c>
      <c r="AB56" s="15">
        <f>Table10[[#This Row],[Value 3.2 (2000)]]</f>
        <v>41.5</v>
      </c>
      <c r="AC56" s="15">
        <f>Table10[[#This Row],[Year2]]</f>
        <v>2001</v>
      </c>
      <c r="AD56" s="15">
        <f>Table10[[#This Row],[Value 3.3 (2012)]]</f>
        <v>45</v>
      </c>
      <c r="AE56" s="15">
        <f>Table10[[#This Row],[Year3]]</f>
        <v>2012</v>
      </c>
      <c r="AF56" s="15"/>
      <c r="AG56" s="15"/>
    </row>
    <row r="57" spans="1:33" ht="12.75" x14ac:dyDescent="0.2">
      <c r="A57" s="19" t="s">
        <v>55</v>
      </c>
      <c r="B57" s="14" t="str">
        <f t="shared" si="3"/>
        <v>No</v>
      </c>
      <c r="C57" s="14" t="str">
        <f t="shared" si="1"/>
        <v>Yes</v>
      </c>
      <c r="D57" s="119" t="str">
        <f>Table10[[#This Row],[Value 1.1 (1990)]]</f>
        <v>470</v>
      </c>
      <c r="E57" s="119" t="str">
        <f>Table10[[#This Row],[Value 1.2 (2000)]]</f>
        <v>340</v>
      </c>
      <c r="F57" s="119" t="str">
        <f>Table10[[#This Row],[Value 1.3 (2013)]]</f>
        <v>220</v>
      </c>
      <c r="G57" s="119">
        <f>Table10[[#This Row],[Target 2015_1]]</f>
        <v>120</v>
      </c>
      <c r="H57" s="32"/>
      <c r="I57" s="32">
        <v>2013</v>
      </c>
      <c r="J57" s="32"/>
      <c r="K57" s="14" t="str">
        <f t="shared" si="2"/>
        <v>Yes</v>
      </c>
      <c r="L57" s="32">
        <f>Table10[[#This Row],[Value 2.1 (1990)]]</f>
        <v>89.1</v>
      </c>
      <c r="M57" s="32"/>
      <c r="N57" s="32"/>
      <c r="O57" s="32">
        <f>Table10[[#This Row],[Value 2.2 (2000)]]</f>
        <v>78.400000000000006</v>
      </c>
      <c r="P57" s="32"/>
      <c r="Q57" s="32"/>
      <c r="R57" s="32">
        <f>Table10[[#This Row],[Value 2.3 (2013)]]</f>
        <v>61.4</v>
      </c>
      <c r="S57" s="32"/>
      <c r="T57" s="32"/>
      <c r="U57" s="32">
        <f>Table10[[#This Row],[Target 2015_2]]</f>
        <v>30</v>
      </c>
      <c r="V57" s="32"/>
      <c r="W57" s="32">
        <v>2013</v>
      </c>
      <c r="X57" s="32"/>
      <c r="Y57" s="14" t="str">
        <f>IF(AND(Z57&lt;&gt;"",Table1020[[#This Row],[year3]]&gt; 2011), "Yes", "No")</f>
        <v>No</v>
      </c>
      <c r="Z57" s="15">
        <f>Table10[[#This Row],[Value 3.1 (1990)]]</f>
        <v>46</v>
      </c>
      <c r="AA57" s="15">
        <f>Table10[[#This Row],[Year]]</f>
        <v>1983</v>
      </c>
      <c r="AB57" s="15">
        <f>Table10[[#This Row],[Value 3.2 (2000)]]</f>
        <v>43.9</v>
      </c>
      <c r="AC57" s="15">
        <f>Table10[[#This Row],[Year2]]</f>
        <v>2005</v>
      </c>
      <c r="AD57" s="15">
        <f>Table10[[#This Row],[Value 3.3 (2012)]]</f>
        <v>49.5</v>
      </c>
      <c r="AE57" s="15">
        <f>Table10[[#This Row],[Year3]]</f>
        <v>2009</v>
      </c>
      <c r="AF57" s="15"/>
      <c r="AG57" s="15"/>
    </row>
    <row r="58" spans="1:33" ht="12.75" x14ac:dyDescent="0.2">
      <c r="A58" s="19" t="s">
        <v>56</v>
      </c>
      <c r="B58" s="14" t="str">
        <f t="shared" si="3"/>
        <v>Yes</v>
      </c>
      <c r="C58" s="14" t="str">
        <f t="shared" si="1"/>
        <v>Yes</v>
      </c>
      <c r="D58" s="119" t="str">
        <f>Table10[[#This Row],[Value 1.1 (1990)]]</f>
        <v>250</v>
      </c>
      <c r="E58" s="119" t="str">
        <f>Table10[[#This Row],[Value 1.2 (2000)]]</f>
        <v>160</v>
      </c>
      <c r="F58" s="119" t="str">
        <f>Table10[[#This Row],[Value 1.3 (2013)]]</f>
        <v>89</v>
      </c>
      <c r="G58" s="119">
        <f>Table10[[#This Row],[Target 2015_1]]</f>
        <v>63</v>
      </c>
      <c r="H58" s="32"/>
      <c r="I58" s="32">
        <v>2013</v>
      </c>
      <c r="J58" s="32"/>
      <c r="K58" s="14" t="str">
        <f t="shared" si="2"/>
        <v>Yes</v>
      </c>
      <c r="L58" s="32">
        <f>Table10[[#This Row],[Value 2.1 (1990)]]</f>
        <v>80</v>
      </c>
      <c r="M58" s="32"/>
      <c r="N58" s="32"/>
      <c r="O58" s="32">
        <f>Table10[[#This Row],[Value 2.2 (2000)]]</f>
        <v>39.799999999999997</v>
      </c>
      <c r="P58" s="32"/>
      <c r="Q58" s="32"/>
      <c r="R58" s="32">
        <f>Table10[[#This Row],[Value 2.3 (2013)]]</f>
        <v>16.7</v>
      </c>
      <c r="S58" s="32"/>
      <c r="T58" s="32"/>
      <c r="U58" s="32">
        <f>Table10[[#This Row],[Target 2015_2]]</f>
        <v>26</v>
      </c>
      <c r="V58" s="32"/>
      <c r="W58" s="32">
        <v>2013</v>
      </c>
      <c r="X58" s="32"/>
      <c r="Y58" s="14" t="str">
        <f>IF(AND(Z58&lt;&gt;"",Table1020[[#This Row],[year3]]&gt; 2011), "Yes", "No")</f>
        <v>Yes</v>
      </c>
      <c r="Z58" s="15">
        <f>Table10[[#This Row],[Value 3.1 (1990)]]</f>
        <v>37.299999999999997</v>
      </c>
      <c r="AA58" s="15">
        <f>Table10[[#This Row],[Year]]</f>
        <v>1991</v>
      </c>
      <c r="AB58" s="15">
        <f>Table10[[#This Row],[Value 3.2 (2000)]]</f>
        <v>31.3</v>
      </c>
      <c r="AC58" s="15">
        <f>Table10[[#This Row],[Year2]]</f>
        <v>2000</v>
      </c>
      <c r="AD58" s="15">
        <f>Table10[[#This Row],[Value 3.3 (2012)]]</f>
        <v>18.399999999999999</v>
      </c>
      <c r="AE58" s="15">
        <f>Table10[[#This Row],[Year3]]</f>
        <v>2012</v>
      </c>
      <c r="AF58" s="15"/>
      <c r="AG58" s="15"/>
    </row>
    <row r="59" spans="1:33" ht="12.75" x14ac:dyDescent="0.2">
      <c r="A59" s="19" t="s">
        <v>57</v>
      </c>
      <c r="B59" s="14" t="str">
        <f t="shared" si="3"/>
        <v>Yes</v>
      </c>
      <c r="C59" s="14" t="str">
        <f t="shared" si="1"/>
        <v>Yes</v>
      </c>
      <c r="D59" s="119" t="str">
        <f>Table10[[#This Row],[Value 1.1 (1990)]]</f>
        <v>110</v>
      </c>
      <c r="E59" s="119" t="str">
        <f>Table10[[#This Row],[Value 1.2 (2000)]]</f>
        <v>120</v>
      </c>
      <c r="F59" s="119" t="str">
        <f>Table10[[#This Row],[Value 1.3 (2013)]]</f>
        <v>120</v>
      </c>
      <c r="G59" s="119">
        <f>Table10[[#This Row],[Target 2015_1]]</f>
        <v>28</v>
      </c>
      <c r="H59" s="32"/>
      <c r="I59" s="32">
        <v>2013</v>
      </c>
      <c r="J59" s="32"/>
      <c r="K59" s="14" t="str">
        <f t="shared" si="2"/>
        <v>Yes</v>
      </c>
      <c r="L59" s="32">
        <f>Table10[[#This Row],[Value 2.1 (1990)]]</f>
        <v>58.6</v>
      </c>
      <c r="M59" s="32"/>
      <c r="N59" s="32"/>
      <c r="O59" s="32">
        <f>Table10[[#This Row],[Value 2.2 (2000)]]</f>
        <v>39.9</v>
      </c>
      <c r="P59" s="32"/>
      <c r="Q59" s="32"/>
      <c r="R59" s="32">
        <f>Table10[[#This Row],[Value 2.3 (2013)]]</f>
        <v>29.9</v>
      </c>
      <c r="S59" s="32"/>
      <c r="T59" s="32"/>
      <c r="U59" s="32">
        <f>Table10[[#This Row],[Target 2015_2]]</f>
        <v>20</v>
      </c>
      <c r="V59" s="32"/>
      <c r="W59" s="32">
        <v>2013</v>
      </c>
      <c r="X59" s="32"/>
      <c r="Y59" s="14" t="str">
        <f>IF(AND(Z59&lt;&gt;"",Table1020[[#This Row],[year3]]&gt; 2011), "Yes", "No")</f>
        <v>Yes</v>
      </c>
      <c r="Z59" s="15">
        <f>Table10[[#This Row],[Value 3.1 (1990)]]</f>
        <v>43.3</v>
      </c>
      <c r="AA59" s="15">
        <f>Table10[[#This Row],[Year]]</f>
        <v>1990</v>
      </c>
      <c r="AB59" s="15">
        <f>Table10[[#This Row],[Value 3.2 (2000)]]</f>
        <v>33.799999999999997</v>
      </c>
      <c r="AC59" s="15">
        <f>Table10[[#This Row],[Year2]]</f>
        <v>2003</v>
      </c>
      <c r="AD59" s="15">
        <f>Table10[[#This Row],[Value 3.3 (2012)]]</f>
        <v>30.3</v>
      </c>
      <c r="AE59" s="15">
        <f>Table10[[#This Row],[Year3]]</f>
        <v>2013</v>
      </c>
      <c r="AF59" s="15"/>
      <c r="AG59" s="15"/>
    </row>
    <row r="60" spans="1:33" ht="12.75" x14ac:dyDescent="0.2">
      <c r="A60" s="19" t="s">
        <v>58</v>
      </c>
      <c r="B60" s="14" t="str">
        <f t="shared" si="3"/>
        <v>No</v>
      </c>
      <c r="C60" s="14" t="str">
        <f t="shared" si="1"/>
        <v>Yes</v>
      </c>
      <c r="D60" s="119" t="str">
        <f>Table10[[#This Row],[Value 1.1 (1990)]]</f>
        <v>1400</v>
      </c>
      <c r="E60" s="119" t="str">
        <f>Table10[[#This Row],[Value 1.2 (2000)]]</f>
        <v>1000</v>
      </c>
      <c r="F60" s="119" t="str">
        <f>Table10[[#This Row],[Value 1.3 (2013)]]</f>
        <v>320</v>
      </c>
      <c r="G60" s="119">
        <f>Table10[[#This Row],[Target 2015_1]]</f>
        <v>350</v>
      </c>
      <c r="H60" s="32"/>
      <c r="I60" s="32">
        <v>2013</v>
      </c>
      <c r="J60" s="32"/>
      <c r="K60" s="14" t="str">
        <f t="shared" si="2"/>
        <v>Yes</v>
      </c>
      <c r="L60" s="32">
        <f>Table10[[#This Row],[Value 2.1 (1990)]]</f>
        <v>151.80000000000001</v>
      </c>
      <c r="M60" s="32"/>
      <c r="N60" s="32"/>
      <c r="O60" s="32">
        <f>Table10[[#This Row],[Value 2.2 (2000)]]</f>
        <v>181.9</v>
      </c>
      <c r="P60" s="32"/>
      <c r="Q60" s="32"/>
      <c r="R60" s="32">
        <f>Table10[[#This Row],[Value 2.3 (2013)]]</f>
        <v>52</v>
      </c>
      <c r="S60" s="32"/>
      <c r="T60" s="32"/>
      <c r="U60" s="32">
        <f>Table10[[#This Row],[Target 2015_2]]</f>
        <v>50</v>
      </c>
      <c r="V60" s="32"/>
      <c r="W60" s="32">
        <v>2013</v>
      </c>
      <c r="X60" s="32"/>
      <c r="Y60" s="14" t="str">
        <f>IF(AND(Z60&lt;&gt;"",Table1020[[#This Row],[year3]]&gt; 2011), "Yes", "No")</f>
        <v>No</v>
      </c>
      <c r="Z60" s="15">
        <f>Table10[[#This Row],[Value 3.1 (1990)]]</f>
        <v>56.8</v>
      </c>
      <c r="AA60" s="15">
        <f>Table10[[#This Row],[Year]]</f>
        <v>1992</v>
      </c>
      <c r="AB60" s="15">
        <f>Table10[[#This Row],[Value 3.2 (2000)]]</f>
        <v>48.3</v>
      </c>
      <c r="AC60" s="15">
        <f>Table10[[#This Row],[Year2]]</f>
        <v>2000</v>
      </c>
      <c r="AD60" s="15">
        <f>Table10[[#This Row],[Value 3.3 (2012)]]</f>
        <v>44.3</v>
      </c>
      <c r="AE60" s="15">
        <f>Table10[[#This Row],[Year3]]</f>
        <v>2010</v>
      </c>
      <c r="AF60" s="15"/>
      <c r="AG60" s="15"/>
    </row>
    <row r="61" spans="1:33" ht="12.75" x14ac:dyDescent="0.2">
      <c r="A61" s="19" t="s">
        <v>59</v>
      </c>
      <c r="B61" s="14" t="s">
        <v>154</v>
      </c>
      <c r="C61" s="14" t="str">
        <f t="shared" si="1"/>
        <v>Yes</v>
      </c>
      <c r="D61" s="119" t="str">
        <f>Table10[[#This Row],[Value 1.1 (1990)]]</f>
        <v>410</v>
      </c>
      <c r="E61" s="119" t="str">
        <f>Table10[[#This Row],[Value 1.2 (2000)]]</f>
        <v>300</v>
      </c>
      <c r="F61" s="119" t="str">
        <f>Table10[[#This Row],[Value 1.3 (2013)]]</f>
        <v>210</v>
      </c>
      <c r="G61" s="119">
        <f>Table10[[#This Row],[Target 2015_1]]</f>
        <v>100</v>
      </c>
      <c r="H61" s="15"/>
      <c r="I61" s="32">
        <v>2013</v>
      </c>
      <c r="J61" s="15"/>
      <c r="K61" s="14" t="str">
        <f t="shared" si="2"/>
        <v>Yes</v>
      </c>
      <c r="L61" s="32">
        <f>Table10[[#This Row],[Value 2.1 (1990)]]</f>
        <v>110.4</v>
      </c>
      <c r="M61" s="32"/>
      <c r="N61" s="32"/>
      <c r="O61" s="32">
        <f>Table10[[#This Row],[Value 2.2 (2000)]]</f>
        <v>89.3</v>
      </c>
      <c r="P61" s="32"/>
      <c r="Q61" s="32"/>
      <c r="R61" s="32">
        <f>Table10[[#This Row],[Value 2.3 (2013)]]</f>
        <v>51</v>
      </c>
      <c r="S61" s="32"/>
      <c r="T61" s="32"/>
      <c r="U61" s="32">
        <f>Table10[[#This Row],[Target 2015_2]]</f>
        <v>35</v>
      </c>
      <c r="V61" s="32"/>
      <c r="W61" s="32">
        <v>2013</v>
      </c>
      <c r="X61" s="32"/>
      <c r="Y61" s="14" t="str">
        <f>IF(AND(Z61&lt;&gt;"",Table1020[[#This Row],[year3]]&gt; 2011), "Yes", "No")</f>
        <v>No</v>
      </c>
      <c r="Z61" s="15">
        <f>Table10[[#This Row],[Value 3.1 (1990)]]</f>
        <v>32</v>
      </c>
      <c r="AA61" s="15">
        <f>Table10[[#This Row],[Year]]</f>
        <v>1986</v>
      </c>
      <c r="AB61" s="15">
        <f>Table10[[#This Row],[Value 3.2 (2000)]]</f>
        <v>35.200000000000003</v>
      </c>
      <c r="AC61" s="15">
        <f>Table10[[#This Row],[Year2]]</f>
        <v>2000</v>
      </c>
      <c r="AD61" s="15">
        <f>Table10[[#This Row],[Value 3.3 (2012)]]</f>
        <v>31.6</v>
      </c>
      <c r="AE61" s="15">
        <f>Table10[[#This Row],[Year3]]</f>
        <v>2008</v>
      </c>
      <c r="AF61" s="15"/>
      <c r="AG61" s="15"/>
    </row>
    <row r="62" spans="1:33" ht="12.75" x14ac:dyDescent="0.2">
      <c r="A62" s="19" t="s">
        <v>60</v>
      </c>
      <c r="B62" s="14" t="str">
        <f>IF(AND(C62="Yes", K62= "Yes", Y62="Yes"), "Yes", "No")</f>
        <v>Yes</v>
      </c>
      <c r="C62" s="14" t="str">
        <f t="shared" si="1"/>
        <v>Yes</v>
      </c>
      <c r="D62" s="119" t="str">
        <f>Table10[[#This Row],[Value 1.1 (1990)]]</f>
        <v>530</v>
      </c>
      <c r="E62" s="119" t="str">
        <f>Table10[[#This Row],[Value 1.2 (2000)]]</f>
        <v>480</v>
      </c>
      <c r="F62" s="119" t="str">
        <f>Table10[[#This Row],[Value 1.3 (2013)]]</f>
        <v>320</v>
      </c>
      <c r="G62" s="119">
        <f>Table10[[#This Row],[Target 2015_1]]</f>
        <v>130</v>
      </c>
      <c r="H62" s="32"/>
      <c r="I62" s="32">
        <v>2013</v>
      </c>
      <c r="J62" s="32"/>
      <c r="K62" s="14" t="str">
        <f t="shared" si="2"/>
        <v>Yes</v>
      </c>
      <c r="L62" s="32">
        <f>Table10[[#This Row],[Value 2.1 (1990)]]</f>
        <v>141</v>
      </c>
      <c r="M62" s="32"/>
      <c r="N62" s="32"/>
      <c r="O62" s="32">
        <f>Table10[[#This Row],[Value 2.2 (2000)]]</f>
        <v>137</v>
      </c>
      <c r="P62" s="32"/>
      <c r="Q62" s="32"/>
      <c r="R62" s="32">
        <f>Table10[[#This Row],[Value 2.3 (2013)]]</f>
        <v>55</v>
      </c>
      <c r="S62" s="32"/>
      <c r="T62" s="32"/>
      <c r="U62" s="32">
        <f>Table10[[#This Row],[Target 2015_2]]</f>
        <v>47</v>
      </c>
      <c r="V62" s="32"/>
      <c r="W62" s="32">
        <v>2013</v>
      </c>
      <c r="X62" s="32"/>
      <c r="Y62" s="14" t="str">
        <f>IF(AND(Z62&lt;&gt;"",Table1020[[#This Row],[year3]]&gt; 2011), "Yes", "No")</f>
        <v>Yes</v>
      </c>
      <c r="Z62" s="15">
        <f>Table10[[#This Row],[Value 3.1 (1990)]]</f>
        <v>34.4</v>
      </c>
      <c r="AA62" s="15">
        <f>Table10[[#This Row],[Year]]</f>
        <v>1992</v>
      </c>
      <c r="AB62" s="15">
        <f>Table10[[#This Row],[Value 3.2 (2000)]]</f>
        <v>29.5</v>
      </c>
      <c r="AC62" s="15">
        <f>Table10[[#This Row],[Year2]]</f>
        <v>2000</v>
      </c>
      <c r="AD62" s="15">
        <f>Table10[[#This Row],[Value 3.3 (2012)]]</f>
        <v>19.2</v>
      </c>
      <c r="AE62" s="15">
        <f>Table10[[#This Row],[Year3]]</f>
        <v>2013</v>
      </c>
      <c r="AF62" s="15"/>
      <c r="AG62" s="15"/>
    </row>
    <row r="63" spans="1:33" ht="12.75" x14ac:dyDescent="0.2">
      <c r="A63" s="19" t="s">
        <v>61</v>
      </c>
      <c r="B63" s="14" t="str">
        <f>IF(AND(C63="Yes", K63= "Yes", Y63="Yes"), "Yes", "No")</f>
        <v>No</v>
      </c>
      <c r="C63" s="14" t="str">
        <f t="shared" si="1"/>
        <v>Yes</v>
      </c>
      <c r="D63" s="119" t="str">
        <f>Table10[[#This Row],[Value 1.1 (1990)]]</f>
        <v>2300</v>
      </c>
      <c r="E63" s="119" t="str">
        <f>Table10[[#This Row],[Value 1.2 (2000)]]</f>
        <v>2200</v>
      </c>
      <c r="F63" s="119" t="str">
        <f>Table10[[#This Row],[Value 1.3 (2013)]]</f>
        <v>1100</v>
      </c>
      <c r="G63" s="119">
        <f>Table10[[#This Row],[Target 2015_1]]</f>
        <v>580</v>
      </c>
      <c r="H63" s="32"/>
      <c r="I63" s="32">
        <v>2013</v>
      </c>
      <c r="J63" s="32"/>
      <c r="K63" s="14" t="str">
        <f t="shared" si="2"/>
        <v>Yes</v>
      </c>
      <c r="L63" s="32">
        <f>Table10[[#This Row],[Value 2.1 (1990)]]</f>
        <v>267.7</v>
      </c>
      <c r="M63" s="32"/>
      <c r="N63" s="32"/>
      <c r="O63" s="32">
        <f>Table10[[#This Row],[Value 2.2 (2000)]]</f>
        <v>231.5</v>
      </c>
      <c r="P63" s="32"/>
      <c r="Q63" s="32"/>
      <c r="R63" s="32">
        <f>Table10[[#This Row],[Value 2.3 (2013)]]</f>
        <v>160.6</v>
      </c>
      <c r="S63" s="32"/>
      <c r="T63" s="32"/>
      <c r="U63" s="32">
        <f>Table10[[#This Row],[Target 2015_2]]</f>
        <v>86</v>
      </c>
      <c r="V63" s="32"/>
      <c r="W63" s="32">
        <v>2013</v>
      </c>
      <c r="X63" s="32"/>
      <c r="Y63" s="14" t="str">
        <f>IF(AND(Z63&lt;&gt;"",Table1020[[#This Row],[year3]]&gt; 2011), "Yes", "No")</f>
        <v>No</v>
      </c>
      <c r="Z63" s="15">
        <f>Table10[[#This Row],[Value 3.1 (1990)]]</f>
        <v>40.9</v>
      </c>
      <c r="AA63" s="15">
        <f>Table10[[#This Row],[Year]]</f>
        <v>1990</v>
      </c>
      <c r="AB63" s="15">
        <f>Table10[[#This Row],[Value 3.2 (2000)]]</f>
        <v>38.4</v>
      </c>
      <c r="AC63" s="15">
        <f>Table10[[#This Row],[Year2]]</f>
        <v>2000</v>
      </c>
      <c r="AD63" s="15">
        <f>Table10[[#This Row],[Value 3.3 (2012)]]</f>
        <v>44.9</v>
      </c>
      <c r="AE63" s="15">
        <f>Table10[[#This Row],[Year3]]</f>
        <v>2010</v>
      </c>
      <c r="AF63" s="15"/>
      <c r="AG63" s="15"/>
    </row>
    <row r="64" spans="1:33" ht="12.75" x14ac:dyDescent="0.2">
      <c r="A64" s="19" t="s">
        <v>62</v>
      </c>
      <c r="B64" s="14" t="str">
        <f>IF(AND(C64="Yes", K64= "Yes", Y64="Yes"), "Yes", "No")</f>
        <v>No</v>
      </c>
      <c r="C64" s="14" t="str">
        <f t="shared" si="1"/>
        <v>Yes</v>
      </c>
      <c r="D64" s="119" t="str">
        <f>Table10[[#This Row],[Value 1.1 (1990)]]</f>
        <v>320</v>
      </c>
      <c r="E64" s="119" t="str">
        <f>Table10[[#This Row],[Value 1.2 (2000)]]</f>
        <v>210</v>
      </c>
      <c r="F64" s="119" t="str">
        <f>Table10[[#This Row],[Value 1.3 (2013)]]</f>
        <v>130</v>
      </c>
      <c r="G64" s="119">
        <f>Table10[[#This Row],[Target 2015_1]]</f>
        <v>80</v>
      </c>
      <c r="H64" s="32"/>
      <c r="I64" s="32">
        <v>2013</v>
      </c>
      <c r="J64" s="32"/>
      <c r="K64" s="14" t="str">
        <f t="shared" si="2"/>
        <v>Yes</v>
      </c>
      <c r="L64" s="32">
        <f>Table10[[#This Row],[Value 2.1 (1990)]]</f>
        <v>38.700000000000003</v>
      </c>
      <c r="M64" s="32"/>
      <c r="N64" s="32"/>
      <c r="O64" s="32">
        <f>Table10[[#This Row],[Value 2.2 (2000)]]</f>
        <v>34.4</v>
      </c>
      <c r="P64" s="32"/>
      <c r="Q64" s="32"/>
      <c r="R64" s="32">
        <f>Table10[[#This Row],[Value 2.3 (2013)]]</f>
        <v>30.1</v>
      </c>
      <c r="S64" s="32"/>
      <c r="T64" s="32"/>
      <c r="U64" s="32">
        <f>Table10[[#This Row],[Target 2015_2]]</f>
        <v>13</v>
      </c>
      <c r="V64" s="32"/>
      <c r="W64" s="32">
        <v>2013</v>
      </c>
      <c r="X64" s="32"/>
      <c r="Y64" s="14" t="str">
        <f>IF(AND(Z64&lt;&gt;"",Table1020[[#This Row],[year3]]&gt; 2011), "Yes", "No")</f>
        <v>No</v>
      </c>
      <c r="Z64" s="15">
        <f>Table10[[#This Row],[Value 3.1 (1990)]]</f>
        <v>33.700000000000003</v>
      </c>
      <c r="AA64" s="15">
        <f>Table10[[#This Row],[Year]]</f>
        <v>1989</v>
      </c>
      <c r="AB64" s="15" t="str">
        <f>Table10[[#This Row],[Value 3.2 (2000)]]</f>
        <v>No data</v>
      </c>
      <c r="AC64" s="15" t="str">
        <f>Table10[[#This Row],[Year2]]</f>
        <v>No data</v>
      </c>
      <c r="AD64" s="15">
        <f>Table10[[#This Row],[Value 3.3 (2012)]]</f>
        <v>32.799999999999997</v>
      </c>
      <c r="AE64" s="15">
        <f>Table10[[#This Row],[Year3]]</f>
        <v>2007</v>
      </c>
      <c r="AF64" s="15"/>
      <c r="AG64" s="15"/>
    </row>
    <row r="65" spans="1:33" ht="12.75" x14ac:dyDescent="0.2">
      <c r="A65" s="19" t="s">
        <v>63</v>
      </c>
      <c r="B65" s="14" t="str">
        <f>IF(AND(C65="Yes", K65= "Yes", Y65="Yes"), "Yes", "No")</f>
        <v>No</v>
      </c>
      <c r="C65" s="14" t="str">
        <f t="shared" si="1"/>
        <v>Yes</v>
      </c>
      <c r="D65" s="119" t="str">
        <f>Table10[[#This Row],[Value 1.1 (1990)]]</f>
        <v>1300</v>
      </c>
      <c r="E65" s="119" t="str">
        <f>Table10[[#This Row],[Value 1.2 (2000)]]</f>
        <v>1200</v>
      </c>
      <c r="F65" s="119" t="str">
        <f>Table10[[#This Row],[Value 1.3 (2013)]]</f>
        <v>850</v>
      </c>
      <c r="G65" s="119">
        <f>Table10[[#This Row],[Target 2015_1]]</f>
        <v>330</v>
      </c>
      <c r="H65" s="32"/>
      <c r="I65" s="32">
        <v>2013</v>
      </c>
      <c r="J65" s="32"/>
      <c r="K65" s="14" t="str">
        <f t="shared" si="2"/>
        <v>Yes</v>
      </c>
      <c r="L65" s="32">
        <f>Table10[[#This Row],[Value 2.1 (1990)]]</f>
        <v>179.7</v>
      </c>
      <c r="M65" s="32"/>
      <c r="N65" s="32"/>
      <c r="O65" s="32">
        <f>Table10[[#This Row],[Value 2.2 (2000)]]</f>
        <v>173.6</v>
      </c>
      <c r="P65" s="32"/>
      <c r="Q65" s="32"/>
      <c r="R65" s="32">
        <f>Table10[[#This Row],[Value 2.3 (2013)]]</f>
        <v>145.6</v>
      </c>
      <c r="S65" s="32"/>
      <c r="T65" s="32"/>
      <c r="U65" s="32">
        <f>Table10[[#This Row],[Target 2015_2]]</f>
        <v>59</v>
      </c>
      <c r="V65" s="32"/>
      <c r="W65" s="32">
        <v>2013</v>
      </c>
      <c r="X65" s="32"/>
      <c r="Y65" s="14" t="str">
        <f>IF(AND(Z65&lt;&gt;"",Table1020[[#This Row],[year3]]&gt; 2011), "Yes", "No")</f>
        <v>No</v>
      </c>
      <c r="Z65" s="15" t="str">
        <f>Table10[[#This Row],[Value 3.1 (1990)]]</f>
        <v>No data</v>
      </c>
      <c r="AA65" s="15" t="str">
        <f>Table10[[#This Row],[Year]]</f>
        <v>No data</v>
      </c>
      <c r="AB65" s="15">
        <f>Table10[[#This Row],[Value 3.2 (2000)]]</f>
        <v>29.2</v>
      </c>
      <c r="AC65" s="15">
        <f>Table10[[#This Row],[Year2]]</f>
        <v>2000</v>
      </c>
      <c r="AD65" s="15">
        <f>Table10[[#This Row],[Value 3.3 (2012)]]</f>
        <v>42.1</v>
      </c>
      <c r="AE65" s="15">
        <f>Table10[[#This Row],[Year3]]</f>
        <v>2006</v>
      </c>
      <c r="AF65" s="15"/>
      <c r="AG65" s="15"/>
    </row>
    <row r="66" spans="1:33" ht="12.75" x14ac:dyDescent="0.2">
      <c r="A66" s="19" t="s">
        <v>64</v>
      </c>
      <c r="B66" s="14" t="str">
        <f>IF(AND(C66="Yes", K66= "Yes", Y66="Yes"), "Yes", "No")</f>
        <v>No</v>
      </c>
      <c r="C66" s="14" t="str">
        <f t="shared" si="1"/>
        <v>Yes</v>
      </c>
      <c r="D66" s="119" t="str">
        <f>Table10[[#This Row],[Value 1.1 (1990)]]</f>
        <v>150</v>
      </c>
      <c r="E66" s="119" t="str">
        <f>Table10[[#This Row],[Value 1.2 (2000)]]</f>
        <v>150</v>
      </c>
      <c r="F66" s="119" t="str">
        <f>Table10[[#This Row],[Value 1.3 (2013)]]</f>
        <v>140</v>
      </c>
      <c r="G66" s="119">
        <f>Table10[[#This Row],[Target 2015_1]]</f>
        <v>38</v>
      </c>
      <c r="H66" s="32"/>
      <c r="I66" s="32">
        <v>2013</v>
      </c>
      <c r="J66" s="32"/>
      <c r="K66" s="14" t="str">
        <f t="shared" si="2"/>
        <v>Yes</v>
      </c>
      <c r="L66" s="32">
        <f>Table10[[#This Row],[Value 2.1 (1990)]]</f>
        <v>61</v>
      </c>
      <c r="M66" s="32"/>
      <c r="N66" s="32"/>
      <c r="O66" s="32">
        <f>Table10[[#This Row],[Value 2.2 (2000)]]</f>
        <v>74.3</v>
      </c>
      <c r="P66" s="32"/>
      <c r="Q66" s="32"/>
      <c r="R66" s="32">
        <f>Table10[[#This Row],[Value 2.3 (2013)]]</f>
        <v>43.9</v>
      </c>
      <c r="S66" s="32"/>
      <c r="T66" s="32"/>
      <c r="U66" s="32">
        <f>Table10[[#This Row],[Target 2015_2]]</f>
        <v>20</v>
      </c>
      <c r="V66" s="32"/>
      <c r="W66" s="32">
        <v>2013</v>
      </c>
      <c r="X66" s="32"/>
      <c r="Y66" s="14" t="str">
        <f>IF(AND(Z66&lt;&gt;"",Table1020[[#This Row],[year3]]&gt; 2011), "Yes", "No")</f>
        <v>No</v>
      </c>
      <c r="Z66" s="15">
        <f>Table10[[#This Row],[Value 3.1 (1990)]]</f>
        <v>31.5</v>
      </c>
      <c r="AA66" s="15">
        <f>Table10[[#This Row],[Year]]</f>
        <v>1994</v>
      </c>
      <c r="AB66" s="15">
        <f>Table10[[#This Row],[Value 3.2 (2000)]]</f>
        <v>30.1</v>
      </c>
      <c r="AC66" s="15">
        <f>Table10[[#This Row],[Year2]]</f>
        <v>1999</v>
      </c>
      <c r="AD66" s="15">
        <f>Table10[[#This Row],[Value 3.3 (2012)]]</f>
        <v>23.9</v>
      </c>
      <c r="AE66" s="15">
        <f>Table10[[#This Row],[Year3]]</f>
        <v>2008</v>
      </c>
      <c r="AF66" s="15"/>
      <c r="AG66" s="15"/>
    </row>
    <row r="67" spans="1:33" ht="12.75" x14ac:dyDescent="0.2">
      <c r="A67" s="19" t="s">
        <v>65</v>
      </c>
      <c r="B67" s="14" t="s">
        <v>154</v>
      </c>
      <c r="C67" s="14" t="str">
        <f t="shared" si="1"/>
        <v>Yes</v>
      </c>
      <c r="D67" s="119" t="str">
        <f>Table10[[#This Row],[Value 1.1 (1990)]]</f>
        <v>1800</v>
      </c>
      <c r="E67" s="119" t="str">
        <f>Table10[[#This Row],[Value 1.2 (2000)]]</f>
        <v>1200</v>
      </c>
      <c r="F67" s="119" t="str">
        <f>Table10[[#This Row],[Value 1.3 (2013)]]</f>
        <v>730</v>
      </c>
      <c r="G67" s="119">
        <f>Table10[[#This Row],[Target 2015_1]]</f>
        <v>450</v>
      </c>
      <c r="H67" s="15"/>
      <c r="I67" s="32">
        <v>2013</v>
      </c>
      <c r="J67" s="15"/>
      <c r="K67" s="14" t="str">
        <f t="shared" si="2"/>
        <v>Yes</v>
      </c>
      <c r="L67" s="15">
        <f>Table10[[#This Row],[Value 2.1 (1990)]]</f>
        <v>253</v>
      </c>
      <c r="M67" s="15"/>
      <c r="N67" s="15"/>
      <c r="O67" s="15">
        <f>Table10[[#This Row],[Value 2.2 (2000)]]</f>
        <v>183</v>
      </c>
      <c r="P67" s="15"/>
      <c r="Q67" s="15"/>
      <c r="R67" s="15">
        <f>Table10[[#This Row],[Value 2.3 (2013)]]</f>
        <v>99</v>
      </c>
      <c r="S67" s="15"/>
      <c r="T67" s="15"/>
      <c r="U67" s="15">
        <f>Table10[[#This Row],[Target 2015_2]]</f>
        <v>84</v>
      </c>
      <c r="V67" s="15"/>
      <c r="W67" s="32">
        <v>2013</v>
      </c>
      <c r="X67" s="15"/>
      <c r="Y67" s="14" t="str">
        <f>IF(AND(Z67&lt;&gt;"",Table1020[[#This Row],[year3]]&gt; 2011), "Yes", "No")</f>
        <v>No</v>
      </c>
      <c r="Z67" s="15" t="str">
        <f>Table10[[#This Row],[Value 3.1 (1990)]]</f>
        <v>No data</v>
      </c>
      <c r="AA67" s="15" t="str">
        <f>Table10[[#This Row],[Year]]</f>
        <v>No data</v>
      </c>
      <c r="AB67" s="15">
        <f>Table10[[#This Row],[Value 3.2 (2000)]]</f>
        <v>36.200000000000003</v>
      </c>
      <c r="AC67" s="15">
        <f>Table10[[#This Row],[Year2]]</f>
        <v>2006</v>
      </c>
      <c r="AD67" s="15">
        <f>Table10[[#This Row],[Value 3.3 (2012)]]</f>
        <v>31.1</v>
      </c>
      <c r="AE67" s="15">
        <f>Table10[[#This Row],[Year3]]</f>
        <v>2010</v>
      </c>
      <c r="AF67" s="15"/>
      <c r="AG67" s="15"/>
    </row>
    <row r="68" spans="1:33" ht="12.75" x14ac:dyDescent="0.2">
      <c r="A68" s="19" t="s">
        <v>66</v>
      </c>
      <c r="B68" s="14" t="s">
        <v>154</v>
      </c>
      <c r="C68" s="14" t="str">
        <f t="shared" si="1"/>
        <v>Yes</v>
      </c>
      <c r="D68" s="119" t="str">
        <f>Table10[[#This Row],[Value 1.1 (1990)]]</f>
        <v>720</v>
      </c>
      <c r="E68" s="119" t="str">
        <f>Table10[[#This Row],[Value 1.2 (2000)]]</f>
        <v>540</v>
      </c>
      <c r="F68" s="119" t="str">
        <f>Table10[[#This Row],[Value 1.3 (2013)]]</f>
        <v>360</v>
      </c>
      <c r="G68" s="119">
        <f>Table10[[#This Row],[Target 2015_1]]</f>
        <v>180</v>
      </c>
      <c r="H68" s="15"/>
      <c r="I68" s="32">
        <v>2013</v>
      </c>
      <c r="J68" s="15"/>
      <c r="K68" s="14" t="str">
        <f t="shared" si="2"/>
        <v>Yes</v>
      </c>
      <c r="L68" s="15">
        <f>Table10[[#This Row],[Value 2.1 (1990)]]</f>
        <v>128</v>
      </c>
      <c r="M68" s="15"/>
      <c r="N68" s="15"/>
      <c r="O68" s="15">
        <f>Table10[[#This Row],[Value 2.2 (2000)]]</f>
        <v>107.8</v>
      </c>
      <c r="P68" s="15"/>
      <c r="Q68" s="15"/>
      <c r="R68" s="15">
        <f>Table10[[#This Row],[Value 2.3 (2013)]]</f>
        <v>76.599999999999994</v>
      </c>
      <c r="S68" s="15"/>
      <c r="T68" s="15"/>
      <c r="U68" s="15">
        <f>Table10[[#This Row],[Target 2015_2]]</f>
        <v>43</v>
      </c>
      <c r="V68" s="15"/>
      <c r="W68" s="32">
        <v>2013</v>
      </c>
      <c r="X68" s="15"/>
      <c r="Y68" s="14" t="str">
        <f>IF(AND(Z68&lt;&gt;"",Table1020[[#This Row],[year3]]&gt; 2011), "Yes", "No")</f>
        <v>No</v>
      </c>
      <c r="Z68" s="15" t="str">
        <f>Table10[[#This Row],[Value 3.1 (1990)]]</f>
        <v>No data</v>
      </c>
      <c r="AA68" s="15" t="str">
        <f>Table10[[#This Row],[Year]]</f>
        <v>No data</v>
      </c>
      <c r="AB68" s="15">
        <f>Table10[[#This Row],[Value 3.2 (2000)]]</f>
        <v>38.299999999999997</v>
      </c>
      <c r="AC68" s="15">
        <f>Table10[[#This Row],[Year2]]</f>
        <v>2006</v>
      </c>
      <c r="AD68" s="15">
        <f>Table10[[#This Row],[Value 3.3 (2012)]]</f>
        <v>35</v>
      </c>
      <c r="AE68" s="15">
        <f>Table10[[#This Row],[Year3]]</f>
        <v>2010</v>
      </c>
      <c r="AF68" s="15"/>
      <c r="AG68" s="15"/>
    </row>
    <row r="69" spans="1:33" ht="12.75" x14ac:dyDescent="0.2">
      <c r="A69" s="19" t="s">
        <v>67</v>
      </c>
      <c r="B69" s="14" t="str">
        <f t="shared" ref="B69:B79" si="4">IF(AND(C69="Yes", K69= "Yes", Y69="Yes"), "Yes", "No")</f>
        <v>No</v>
      </c>
      <c r="C69" s="14" t="str">
        <f t="shared" ref="C69:C79" si="5">IF(AND(D69&lt;&gt;"", I69&gt;2011), "Yes", "No")</f>
        <v>Yes</v>
      </c>
      <c r="D69" s="119" t="str">
        <f>Table10[[#This Row],[Value 1.1 (1990)]]</f>
        <v>550</v>
      </c>
      <c r="E69" s="119" t="str">
        <f>Table10[[#This Row],[Value 1.2 (2000)]]</f>
        <v>520</v>
      </c>
      <c r="F69" s="119" t="str">
        <f>Table10[[#This Row],[Value 1.3 (2013)]]</f>
        <v>310</v>
      </c>
      <c r="G69" s="119">
        <f>Table10[[#This Row],[Target 2015_1]]</f>
        <v>140</v>
      </c>
      <c r="H69" s="32"/>
      <c r="I69" s="32">
        <v>2013</v>
      </c>
      <c r="J69" s="32"/>
      <c r="K69" s="14" t="str">
        <f t="shared" si="2"/>
        <v>Yes</v>
      </c>
      <c r="L69" s="32">
        <f>Table10[[#This Row],[Value 2.1 (1990)]]</f>
        <v>73.900000000000006</v>
      </c>
      <c r="M69" s="32"/>
      <c r="N69" s="32"/>
      <c r="O69" s="32">
        <f>Table10[[#This Row],[Value 2.2 (2000)]]</f>
        <v>122.5</v>
      </c>
      <c r="P69" s="32"/>
      <c r="Q69" s="32"/>
      <c r="R69" s="32">
        <f>Table10[[#This Row],[Value 2.3 (2013)]]</f>
        <v>80</v>
      </c>
      <c r="S69" s="32"/>
      <c r="T69" s="32"/>
      <c r="U69" s="32">
        <f>Table10[[#This Row],[Target 2015_2]]</f>
        <v>24</v>
      </c>
      <c r="V69" s="32"/>
      <c r="W69" s="32">
        <v>2013</v>
      </c>
      <c r="X69" s="32"/>
      <c r="Y69" s="14" t="str">
        <f>IF(AND(Z69&lt;&gt;"",Table1020[[#This Row],[year3]]&gt; 2011), "Yes", "No")</f>
        <v>No</v>
      </c>
      <c r="Z69" s="15" t="str">
        <f>Table10[[#This Row],[Value 3.1 (1990)]]</f>
        <v>No data</v>
      </c>
      <c r="AA69" s="15" t="str">
        <f>Table10[[#This Row],[Year]]</f>
        <v>No data</v>
      </c>
      <c r="AB69" s="15">
        <f>Table10[[#This Row],[Value 3.2 (2000)]]</f>
        <v>36.6</v>
      </c>
      <c r="AC69" s="15">
        <f>Table10[[#This Row],[Year2]]</f>
        <v>2000</v>
      </c>
      <c r="AD69" s="15">
        <f>Table10[[#This Row],[Value 3.3 (2012)]]</f>
        <v>31</v>
      </c>
      <c r="AE69" s="15">
        <f>Table10[[#This Row],[Year3]]</f>
        <v>2010</v>
      </c>
      <c r="AF69" s="15"/>
      <c r="AG69" s="15"/>
    </row>
    <row r="70" spans="1:33" ht="12.75" x14ac:dyDescent="0.2">
      <c r="A70" s="19" t="s">
        <v>68</v>
      </c>
      <c r="B70" s="14" t="str">
        <f t="shared" si="4"/>
        <v>Yes</v>
      </c>
      <c r="C70" s="14" t="str">
        <f t="shared" si="5"/>
        <v>Yes</v>
      </c>
      <c r="D70" s="119" t="str">
        <f>Table10[[#This Row],[Value 1.1 (1990)]]</f>
        <v>68</v>
      </c>
      <c r="E70" s="119" t="str">
        <f>Table10[[#This Row],[Value 1.2 (2000)]]</f>
        <v>89</v>
      </c>
      <c r="F70" s="119" t="str">
        <f>Table10[[#This Row],[Value 1.3 (2013)]]</f>
        <v>44</v>
      </c>
      <c r="G70" s="119">
        <f>Table10[[#This Row],[Target 2015_1]]</f>
        <v>17</v>
      </c>
      <c r="H70" s="32"/>
      <c r="I70" s="32">
        <v>2013</v>
      </c>
      <c r="J70" s="32"/>
      <c r="K70" s="14" t="str">
        <f t="shared" ref="K70:K79" si="6">IF(AND(L70&lt;&gt;"", W70&gt;2011), "Yes", "No")</f>
        <v>Yes</v>
      </c>
      <c r="L70" s="32">
        <f>Table10[[#This Row],[Value 2.1 (1990)]]</f>
        <v>108.2</v>
      </c>
      <c r="M70" s="32"/>
      <c r="N70" s="32"/>
      <c r="O70" s="32">
        <f>Table10[[#This Row],[Value 2.2 (2000)]]</f>
        <v>93.5</v>
      </c>
      <c r="P70" s="32"/>
      <c r="Q70" s="32"/>
      <c r="R70" s="32">
        <f>Table10[[#This Row],[Value 2.3 (2013)]]</f>
        <v>47.7</v>
      </c>
      <c r="S70" s="32"/>
      <c r="T70" s="32"/>
      <c r="U70" s="32">
        <f>Table10[[#This Row],[Target 2015_2]]</f>
        <v>35</v>
      </c>
      <c r="V70" s="32"/>
      <c r="W70" s="32">
        <v>2013</v>
      </c>
      <c r="X70" s="32"/>
      <c r="Y70" s="14" t="str">
        <f>IF(AND(Z70&lt;&gt;"",Table1020[[#This Row],[year3]]&gt; 2011), "Yes", "No")</f>
        <v>Yes</v>
      </c>
      <c r="Z70" s="15" t="str">
        <f>Table10[[#This Row],[Value 3.1 (1990)]]</f>
        <v>No data</v>
      </c>
      <c r="AA70" s="15" t="str">
        <f>Table10[[#This Row],[Year]]</f>
        <v>No data</v>
      </c>
      <c r="AB70" s="15">
        <f>Table10[[#This Row],[Value 3.2 (2000)]]</f>
        <v>42.1</v>
      </c>
      <c r="AC70" s="15">
        <f>Table10[[#This Row],[Year2]]</f>
        <v>2000</v>
      </c>
      <c r="AD70" s="15">
        <f>Table10[[#This Row],[Value 3.3 (2012)]]</f>
        <v>26.8</v>
      </c>
      <c r="AE70" s="15">
        <f>Table10[[#This Row],[Year3]]</f>
        <v>2012</v>
      </c>
      <c r="AF70" s="15"/>
      <c r="AG70" s="15"/>
    </row>
    <row r="71" spans="1:33" ht="12.75" x14ac:dyDescent="0.2">
      <c r="A71" s="19" t="s">
        <v>70</v>
      </c>
      <c r="B71" s="14" t="str">
        <f t="shared" si="4"/>
        <v>No</v>
      </c>
      <c r="C71" s="14" t="str">
        <f t="shared" si="5"/>
        <v>Yes</v>
      </c>
      <c r="D71" s="119" t="str">
        <f>Table10[[#This Row],[Value 1.1 (1990)]]</f>
        <v>660</v>
      </c>
      <c r="E71" s="119" t="str">
        <f>Table10[[#This Row],[Value 1.2 (2000)]]</f>
        <v>580</v>
      </c>
      <c r="F71" s="119" t="str">
        <f>Table10[[#This Row],[Value 1.3 (2013)]]</f>
        <v>450</v>
      </c>
      <c r="G71" s="119">
        <f>Table10[[#This Row],[Target 2015_1]]</f>
        <v>170</v>
      </c>
      <c r="H71" s="32"/>
      <c r="I71" s="32">
        <v>2013</v>
      </c>
      <c r="J71" s="32"/>
      <c r="K71" s="14" t="str">
        <f t="shared" si="6"/>
        <v>Yes</v>
      </c>
      <c r="L71" s="32">
        <f>Table10[[#This Row],[Value 2.1 (1990)]]</f>
        <v>146.4</v>
      </c>
      <c r="M71" s="32"/>
      <c r="N71" s="32"/>
      <c r="O71" s="32">
        <f>Table10[[#This Row],[Value 2.2 (2000)]]</f>
        <v>121.8</v>
      </c>
      <c r="P71" s="32"/>
      <c r="Q71" s="32"/>
      <c r="R71" s="32">
        <f>Table10[[#This Row],[Value 2.3 (2013)]]</f>
        <v>84.7</v>
      </c>
      <c r="S71" s="32"/>
      <c r="T71" s="32"/>
      <c r="U71" s="32">
        <f>Table10[[#This Row],[Target 2015_2]]</f>
        <v>48</v>
      </c>
      <c r="V71" s="32"/>
      <c r="W71" s="32">
        <v>2013</v>
      </c>
      <c r="X71" s="32"/>
      <c r="Y71" s="14" t="str">
        <f>IF(AND(Z71&lt;&gt;"",Table1020[[#This Row],[year3]]&gt; 2011), "Yes", "No")</f>
        <v>No</v>
      </c>
      <c r="Z71" s="15">
        <f>Table10[[#This Row],[Value 3.1 (1990)]]</f>
        <v>40.700000000000003</v>
      </c>
      <c r="AA71" s="15">
        <f>Table10[[#This Row],[Year]]</f>
        <v>1988</v>
      </c>
      <c r="AB71" s="15">
        <f>Table10[[#This Row],[Value 3.2 (2000)]]</f>
        <v>33.200000000000003</v>
      </c>
      <c r="AC71" s="15">
        <f>Table10[[#This Row],[Year2]]</f>
        <v>1998</v>
      </c>
      <c r="AD71" s="15">
        <f>Table10[[#This Row],[Value 3.3 (2012)]]</f>
        <v>29.8</v>
      </c>
      <c r="AE71" s="15">
        <f>Table10[[#This Row],[Year3]]</f>
        <v>2010</v>
      </c>
      <c r="AF71" s="15"/>
      <c r="AG71" s="15"/>
    </row>
    <row r="72" spans="1:33" ht="12.75" x14ac:dyDescent="0.2">
      <c r="A72" s="19" t="s">
        <v>71</v>
      </c>
      <c r="B72" s="14" t="str">
        <f t="shared" si="4"/>
        <v>Yes</v>
      </c>
      <c r="C72" s="14" t="str">
        <f t="shared" si="5"/>
        <v>Yes</v>
      </c>
      <c r="D72" s="119" t="str">
        <f>Table10[[#This Row],[Value 1.1 (1990)]]</f>
        <v>66</v>
      </c>
      <c r="E72" s="119" t="str">
        <f>Table10[[#This Row],[Value 1.2 (2000)]]</f>
        <v>81</v>
      </c>
      <c r="F72" s="119" t="str">
        <f>Table10[[#This Row],[Value 1.3 (2013)]]</f>
        <v>61</v>
      </c>
      <c r="G72" s="119">
        <f>Table10[[#This Row],[Target 2015_1]]</f>
        <v>17</v>
      </c>
      <c r="H72" s="32"/>
      <c r="I72" s="32">
        <v>2013</v>
      </c>
      <c r="J72" s="32"/>
      <c r="K72" s="14" t="str">
        <f t="shared" si="6"/>
        <v>Yes</v>
      </c>
      <c r="L72" s="32">
        <f>Table10[[#This Row],[Value 2.1 (1990)]]</f>
        <v>91</v>
      </c>
      <c r="M72" s="32"/>
      <c r="N72" s="32"/>
      <c r="O72" s="32">
        <f>Table10[[#This Row],[Value 2.2 (2000)]]</f>
        <v>82</v>
      </c>
      <c r="P72" s="32"/>
      <c r="Q72" s="32"/>
      <c r="R72" s="32">
        <f>Table10[[#This Row],[Value 2.3 (2013)]]</f>
        <v>55</v>
      </c>
      <c r="S72" s="32"/>
      <c r="T72" s="32"/>
      <c r="U72" s="32">
        <f>Table10[[#This Row],[Target 2015_2]]</f>
        <v>30</v>
      </c>
      <c r="V72" s="32"/>
      <c r="W72" s="32">
        <v>2013</v>
      </c>
      <c r="X72" s="32"/>
      <c r="Y72" s="14" t="str">
        <f>IF(AND(Z72&lt;&gt;"",Table1020[[#This Row],[year3]]&gt; 2011), "Yes", "No")</f>
        <v>Yes</v>
      </c>
      <c r="Z72" s="15" t="str">
        <f>Table10[[#This Row],[Value 3.1 (1990)]]</f>
        <v>No data</v>
      </c>
      <c r="AA72" s="15" t="str">
        <f>Table10[[#This Row],[Year]]</f>
        <v>No data</v>
      </c>
      <c r="AB72" s="15">
        <f>Table10[[#This Row],[Value 3.2 (2000)]]</f>
        <v>28.1</v>
      </c>
      <c r="AC72" s="15">
        <f>Table10[[#This Row],[Year2]]</f>
        <v>2000</v>
      </c>
      <c r="AD72" s="15" t="str">
        <f>Table10[[#This Row],[Value 3.3 (2012)]]</f>
        <v>No data</v>
      </c>
      <c r="AE72" s="15" t="str">
        <f>Table10[[#This Row],[Year3]]</f>
        <v>No data</v>
      </c>
      <c r="AF72" s="15"/>
      <c r="AG72" s="15"/>
    </row>
    <row r="73" spans="1:33" ht="12.75" x14ac:dyDescent="0.2">
      <c r="A73" s="19" t="s">
        <v>72</v>
      </c>
      <c r="B73" s="14" t="str">
        <f t="shared" si="4"/>
        <v>No</v>
      </c>
      <c r="C73" s="14" t="str">
        <f t="shared" si="5"/>
        <v>Yes</v>
      </c>
      <c r="D73" s="119" t="str">
        <f>Table10[[#This Row],[Value 1.1 (1990)]]</f>
        <v>780</v>
      </c>
      <c r="E73" s="119" t="str">
        <f>Table10[[#This Row],[Value 1.2 (2000)]]</f>
        <v>650</v>
      </c>
      <c r="F73" s="119" t="str">
        <f>Table10[[#This Row],[Value 1.3 (2013)]]</f>
        <v>360</v>
      </c>
      <c r="G73" s="119">
        <f>Table10[[#This Row],[Target 2015_1]]</f>
        <v>200</v>
      </c>
      <c r="H73" s="32"/>
      <c r="I73" s="32">
        <v>2013</v>
      </c>
      <c r="J73" s="32"/>
      <c r="K73" s="14" t="str">
        <f t="shared" si="6"/>
        <v>Yes</v>
      </c>
      <c r="L73" s="32">
        <f>Table10[[#This Row],[Value 2.1 (1990)]]</f>
        <v>178.7</v>
      </c>
      <c r="M73" s="32"/>
      <c r="N73" s="32"/>
      <c r="O73" s="32">
        <f>Table10[[#This Row],[Value 2.2 (2000)]]</f>
        <v>147</v>
      </c>
      <c r="P73" s="32"/>
      <c r="Q73" s="32"/>
      <c r="R73" s="32">
        <f>Table10[[#This Row],[Value 2.3 (2013)]]</f>
        <v>66.099999999999994</v>
      </c>
      <c r="S73" s="32"/>
      <c r="T73" s="32"/>
      <c r="U73" s="32">
        <f>Table10[[#This Row],[Target 2015_2]]</f>
        <v>59</v>
      </c>
      <c r="V73" s="32"/>
      <c r="W73" s="32">
        <v>2013</v>
      </c>
      <c r="X73" s="32"/>
      <c r="Y73" s="14" t="str">
        <f>IF(AND(Z73&lt;&gt;"",Table1020[[#This Row],[year3]]&gt; 2011), "Yes", "No")</f>
        <v>No</v>
      </c>
      <c r="Z73" s="15">
        <f>Table10[[#This Row],[Value 3.1 (1990)]]</f>
        <v>47.6</v>
      </c>
      <c r="AA73" s="15">
        <f>Table10[[#This Row],[Year]]</f>
        <v>1988</v>
      </c>
      <c r="AB73" s="15">
        <f>Table10[[#This Row],[Value 3.2 (2000)]]</f>
        <v>44.8</v>
      </c>
      <c r="AC73" s="15">
        <f>Table10[[#This Row],[Year2]]</f>
        <v>2000</v>
      </c>
      <c r="AD73" s="15">
        <f>Table10[[#This Row],[Value 3.3 (2012)]]</f>
        <v>33.700000000000003</v>
      </c>
      <c r="AE73" s="15">
        <f>Table10[[#This Row],[Year3]]</f>
        <v>2011</v>
      </c>
      <c r="AF73" s="15"/>
      <c r="AG73" s="15"/>
    </row>
    <row r="74" spans="1:33" ht="12.75" x14ac:dyDescent="0.2">
      <c r="A74" s="19" t="s">
        <v>69</v>
      </c>
      <c r="B74" s="14" t="str">
        <f t="shared" si="4"/>
        <v>No</v>
      </c>
      <c r="C74" s="14" t="str">
        <f t="shared" si="5"/>
        <v>Yes</v>
      </c>
      <c r="D74" s="119" t="str">
        <f>Table10[[#This Row],[Value 1.1 (1990)]]</f>
        <v>910</v>
      </c>
      <c r="E74" s="119" t="str">
        <f>Table10[[#This Row],[Value 1.2 (2000)]]</f>
        <v>770</v>
      </c>
      <c r="F74" s="119" t="str">
        <f>Table10[[#This Row],[Value 1.3 (2013)]]</f>
        <v>410</v>
      </c>
      <c r="G74" s="119">
        <f>Table10[[#This Row],[Target 2015_1]]</f>
        <v>230</v>
      </c>
      <c r="H74" s="32"/>
      <c r="I74" s="32">
        <v>2013</v>
      </c>
      <c r="J74" s="32"/>
      <c r="K74" s="14" t="str">
        <f t="shared" si="6"/>
        <v>Yes</v>
      </c>
      <c r="L74" s="32">
        <f>Table10[[#This Row],[Value 2.1 (1990)]]</f>
        <v>167</v>
      </c>
      <c r="M74" s="32"/>
      <c r="N74" s="32"/>
      <c r="O74" s="32">
        <f>Table10[[#This Row],[Value 2.2 (2000)]]</f>
        <v>131.5</v>
      </c>
      <c r="P74" s="32"/>
      <c r="Q74" s="32"/>
      <c r="R74" s="32">
        <f>Table10[[#This Row],[Value 2.3 (2013)]]</f>
        <v>51.8</v>
      </c>
      <c r="S74" s="32"/>
      <c r="T74" s="32"/>
      <c r="U74" s="32">
        <f>Table10[[#This Row],[Target 2015_2]]</f>
        <v>55</v>
      </c>
      <c r="V74" s="32"/>
      <c r="W74" s="32">
        <v>2013</v>
      </c>
      <c r="X74" s="32"/>
      <c r="Y74" s="14" t="str">
        <f>IF(AND(Z74&lt;&gt;"",Table1020[[#This Row],[year3]]&gt; 2011), "Yes", "No")</f>
        <v>No</v>
      </c>
      <c r="Z74" s="15">
        <f>Table10[[#This Row],[Value 3.1 (1990)]]</f>
        <v>49.7</v>
      </c>
      <c r="AA74" s="15">
        <f>Table10[[#This Row],[Year]]</f>
        <v>1991</v>
      </c>
      <c r="AB74" s="15">
        <f>Table10[[#This Row],[Value 3.2 (2000)]]</f>
        <v>48.3</v>
      </c>
      <c r="AC74" s="15">
        <f>Table10[[#This Row],[Year2]]</f>
        <v>1999</v>
      </c>
      <c r="AD74" s="15">
        <f>Table10[[#This Row],[Value 3.3 (2012)]]</f>
        <v>34.799999999999997</v>
      </c>
      <c r="AE74" s="15">
        <f>Table10[[#This Row],[Year3]]</f>
        <v>2011</v>
      </c>
      <c r="AF74" s="15"/>
      <c r="AG74" s="15"/>
    </row>
    <row r="75" spans="1:33" ht="12.75" x14ac:dyDescent="0.2">
      <c r="A75" s="19" t="s">
        <v>73</v>
      </c>
      <c r="B75" s="14" t="str">
        <f t="shared" si="4"/>
        <v>No</v>
      </c>
      <c r="C75" s="14" t="str">
        <f t="shared" si="5"/>
        <v>Yes</v>
      </c>
      <c r="D75" s="119" t="str">
        <f>Table10[[#This Row],[Value 1.1 (1990)]]</f>
        <v>66</v>
      </c>
      <c r="E75" s="119" t="str">
        <f>Table10[[#This Row],[Value 1.2 (2000)]]</f>
        <v>48</v>
      </c>
      <c r="F75" s="119" t="str">
        <f>Table10[[#This Row],[Value 1.3 (2013)]]</f>
        <v>36</v>
      </c>
      <c r="G75" s="119">
        <f>Table10[[#This Row],[Target 2015_1]]</f>
        <v>17</v>
      </c>
      <c r="H75" s="32"/>
      <c r="I75" s="32">
        <v>2013</v>
      </c>
      <c r="J75" s="32"/>
      <c r="K75" s="14" t="str">
        <f t="shared" si="6"/>
        <v>Yes</v>
      </c>
      <c r="L75" s="32">
        <f>Table10[[#This Row],[Value 2.1 (1990)]]</f>
        <v>71</v>
      </c>
      <c r="M75" s="32"/>
      <c r="N75" s="32"/>
      <c r="O75" s="32">
        <f>Table10[[#This Row],[Value 2.2 (2000)]]</f>
        <v>64</v>
      </c>
      <c r="P75" s="32"/>
      <c r="Q75" s="32"/>
      <c r="R75" s="32">
        <f>Table10[[#This Row],[Value 2.3 (2013)]]</f>
        <v>43</v>
      </c>
      <c r="S75" s="32"/>
      <c r="T75" s="32"/>
      <c r="U75" s="32">
        <f>Table10[[#This Row],[Target 2015_2]]</f>
        <v>25</v>
      </c>
      <c r="V75" s="32"/>
      <c r="W75" s="32">
        <v>2013</v>
      </c>
      <c r="X75" s="32"/>
      <c r="Y75" s="14" t="str">
        <f>IF(AND(Z75&lt;&gt;"",Table1020[[#This Row],[year3]]&gt; 2011), "Yes", "No")</f>
        <v>No</v>
      </c>
      <c r="Z75" s="15">
        <f>Table10[[#This Row],[Value 3.1 (1990)]]</f>
        <v>39.5</v>
      </c>
      <c r="AA75" s="15">
        <f>Table10[[#This Row],[Year]]</f>
        <v>1996</v>
      </c>
      <c r="AB75" s="15">
        <f>Table10[[#This Row],[Value 3.2 (2000)]]</f>
        <v>25.3</v>
      </c>
      <c r="AC75" s="15">
        <f>Table10[[#This Row],[Year2]]</f>
        <v>2002</v>
      </c>
      <c r="AD75" s="15">
        <f>Table10[[#This Row],[Value 3.3 (2012)]]</f>
        <v>19.600000000000001</v>
      </c>
      <c r="AE75" s="15">
        <f>Table10[[#This Row],[Year3]]</f>
        <v>2006</v>
      </c>
      <c r="AF75" s="15"/>
      <c r="AG75" s="15"/>
    </row>
    <row r="76" spans="1:33" ht="12.75" x14ac:dyDescent="0.2">
      <c r="A76" s="19" t="s">
        <v>74</v>
      </c>
      <c r="B76" s="14" t="str">
        <f t="shared" si="4"/>
        <v>No</v>
      </c>
      <c r="C76" s="14" t="str">
        <f t="shared" si="5"/>
        <v>Yes</v>
      </c>
      <c r="D76" s="119" t="str">
        <f>Table10[[#This Row],[Value 1.1 (1990)]]</f>
        <v>140</v>
      </c>
      <c r="E76" s="119" t="str">
        <f>Table10[[#This Row],[Value 1.2 (2000)]]</f>
        <v>82</v>
      </c>
      <c r="F76" s="119" t="str">
        <f>Table10[[#This Row],[Value 1.3 (2013)]]</f>
        <v>49</v>
      </c>
      <c r="G76" s="119">
        <f>Table10[[#This Row],[Target 2015_1]]</f>
        <v>35</v>
      </c>
      <c r="H76" s="32"/>
      <c r="I76" s="32">
        <v>2013</v>
      </c>
      <c r="J76" s="32"/>
      <c r="K76" s="14" t="str">
        <f t="shared" si="6"/>
        <v>Yes</v>
      </c>
      <c r="L76" s="32">
        <f>Table10[[#This Row],[Value 2.1 (1990)]]</f>
        <v>51</v>
      </c>
      <c r="M76" s="32"/>
      <c r="N76" s="32"/>
      <c r="O76" s="32">
        <f>Table10[[#This Row],[Value 2.2 (2000)]]</f>
        <v>35</v>
      </c>
      <c r="P76" s="32"/>
      <c r="Q76" s="32"/>
      <c r="R76" s="32">
        <f>Table10[[#This Row],[Value 2.3 (2013)]]</f>
        <v>24</v>
      </c>
      <c r="S76" s="32"/>
      <c r="T76" s="32"/>
      <c r="U76" s="32">
        <f>Table10[[#This Row],[Target 2015_2]]</f>
        <v>17</v>
      </c>
      <c r="V76" s="32"/>
      <c r="W76" s="32">
        <v>2013</v>
      </c>
      <c r="X76" s="32"/>
      <c r="Y76" s="14" t="str">
        <f>IF(AND(Z76&lt;&gt;"",Table1020[[#This Row],[year3]]&gt; 2011), "Yes", "No")</f>
        <v>No</v>
      </c>
      <c r="Z76" s="15">
        <f>Table10[[#This Row],[Value 3.1 (1990)]]</f>
        <v>61.3</v>
      </c>
      <c r="AA76" s="15">
        <f>Table10[[#This Row],[Year]]</f>
        <v>1988</v>
      </c>
      <c r="AB76" s="15">
        <f>Table10[[#This Row],[Value 3.2 (2000)]]</f>
        <v>43.4</v>
      </c>
      <c r="AC76" s="15">
        <f>Table10[[#This Row],[Year2]]</f>
        <v>2000</v>
      </c>
      <c r="AD76" s="15">
        <f>Table10[[#This Row],[Value 3.3 (2012)]]</f>
        <v>23.3</v>
      </c>
      <c r="AE76" s="15">
        <f>Table10[[#This Row],[Year3]]</f>
        <v>2011</v>
      </c>
      <c r="AF76" s="15"/>
      <c r="AG76" s="15"/>
    </row>
    <row r="77" spans="1:33" ht="12.75" x14ac:dyDescent="0.2">
      <c r="A77" s="19" t="s">
        <v>75</v>
      </c>
      <c r="B77" s="14" t="str">
        <f t="shared" si="4"/>
        <v>No</v>
      </c>
      <c r="C77" s="14" t="str">
        <f t="shared" si="5"/>
        <v>Yes</v>
      </c>
      <c r="D77" s="119" t="str">
        <f>Table10[[#This Row],[Value 1.1 (1990)]]</f>
        <v>460</v>
      </c>
      <c r="E77" s="119" t="str">
        <f>Table10[[#This Row],[Value 1.2 (2000)]]</f>
        <v>370</v>
      </c>
      <c r="F77" s="119" t="str">
        <f>Table10[[#This Row],[Value 1.3 (2013)]]</f>
        <v>270</v>
      </c>
      <c r="G77" s="119">
        <f>Table10[[#This Row],[Target 2015_1]]</f>
        <v>120</v>
      </c>
      <c r="H77" s="32"/>
      <c r="I77" s="32">
        <v>2013</v>
      </c>
      <c r="J77" s="32"/>
      <c r="K77" s="14" t="str">
        <f t="shared" si="6"/>
        <v>Yes</v>
      </c>
      <c r="L77" s="32">
        <f>Table10[[#This Row],[Value 2.1 (1990)]]</f>
        <v>125</v>
      </c>
      <c r="M77" s="32"/>
      <c r="N77" s="32"/>
      <c r="O77" s="32">
        <f>Table10[[#This Row],[Value 2.2 (2000)]]</f>
        <v>96</v>
      </c>
      <c r="P77" s="32"/>
      <c r="Q77" s="32"/>
      <c r="R77" s="32">
        <f>Table10[[#This Row],[Value 2.3 (2013)]]</f>
        <v>51</v>
      </c>
      <c r="S77" s="32"/>
      <c r="T77" s="32"/>
      <c r="U77" s="32">
        <f>Table10[[#This Row],[Target 2015_2]]</f>
        <v>42</v>
      </c>
      <c r="V77" s="32"/>
      <c r="W77" s="32">
        <v>2013</v>
      </c>
      <c r="X77" s="32"/>
      <c r="Y77" s="14" t="str">
        <f>IF(AND(Z77&lt;&gt;"",Table1020[[#This Row],[year3]]&gt; 2011), "Yes", "No")</f>
        <v>No</v>
      </c>
      <c r="Z77" s="15">
        <f>Table10[[#This Row],[Value 3.1 (1990)]]</f>
        <v>52.4</v>
      </c>
      <c r="AA77" s="15">
        <f>Table10[[#This Row],[Year]]</f>
        <v>1991</v>
      </c>
      <c r="AB77" s="15">
        <f>Table10[[#This Row],[Value 3.2 (2000)]]</f>
        <v>57.7</v>
      </c>
      <c r="AC77" s="15">
        <f>Table10[[#This Row],[Year2]]</f>
        <v>2003</v>
      </c>
      <c r="AD77" s="15">
        <f>Table10[[#This Row],[Value 3.3 (2012)]]</f>
        <v>46.6</v>
      </c>
      <c r="AE77" s="15">
        <f>Table10[[#This Row],[Year3]]</f>
        <v>2011</v>
      </c>
      <c r="AF77" s="15"/>
      <c r="AG77" s="15"/>
    </row>
    <row r="78" spans="1:33" ht="12.75" x14ac:dyDescent="0.2">
      <c r="A78" s="19" t="s">
        <v>76</v>
      </c>
      <c r="B78" s="14" t="str">
        <f t="shared" si="4"/>
        <v>No</v>
      </c>
      <c r="C78" s="14" t="str">
        <f t="shared" si="5"/>
        <v>Yes</v>
      </c>
      <c r="D78" s="119" t="str">
        <f>Table10[[#This Row],[Value 1.1 (1990)]]</f>
        <v>580</v>
      </c>
      <c r="E78" s="119" t="str">
        <f>Table10[[#This Row],[Value 1.2 (2000)]]</f>
        <v>610</v>
      </c>
      <c r="F78" s="119" t="str">
        <f>Table10[[#This Row],[Value 1.3 (2013)]]</f>
        <v>280</v>
      </c>
      <c r="G78" s="119">
        <f>Table10[[#This Row],[Target 2015_1]]</f>
        <v>150</v>
      </c>
      <c r="H78" s="32"/>
      <c r="I78" s="32">
        <v>2013</v>
      </c>
      <c r="J78" s="32"/>
      <c r="K78" s="14" t="str">
        <f t="shared" si="6"/>
        <v>Yes</v>
      </c>
      <c r="L78" s="32">
        <f>Table10[[#This Row],[Value 2.1 (1990)]]</f>
        <v>193</v>
      </c>
      <c r="M78" s="32"/>
      <c r="N78" s="32"/>
      <c r="O78" s="32">
        <f>Table10[[#This Row],[Value 2.2 (2000)]]</f>
        <v>169</v>
      </c>
      <c r="P78" s="32"/>
      <c r="Q78" s="32"/>
      <c r="R78" s="32">
        <f>Table10[[#This Row],[Value 2.3 (2013)]]</f>
        <v>87</v>
      </c>
      <c r="S78" s="32"/>
      <c r="T78" s="32"/>
      <c r="U78" s="32">
        <f>Table10[[#This Row],[Target 2015_2]]</f>
        <v>64</v>
      </c>
      <c r="V78" s="32"/>
      <c r="W78" s="32">
        <v>2013</v>
      </c>
      <c r="X78" s="32"/>
      <c r="Y78" s="14" t="str">
        <f>IF(AND(Z78&lt;&gt;"",Table1020[[#This Row],[year3]]&gt; 2011), "Yes", "No")</f>
        <v>No</v>
      </c>
      <c r="Z78" s="15">
        <f>Table10[[#This Row],[Value 3.1 (1990)]]</f>
        <v>46.4</v>
      </c>
      <c r="AA78" s="15">
        <f>Table10[[#This Row],[Year]]</f>
        <v>1992</v>
      </c>
      <c r="AB78" s="15">
        <f>Table10[[#This Row],[Value 3.2 (2000)]]</f>
        <v>52.5</v>
      </c>
      <c r="AC78" s="15">
        <f>Table10[[#This Row],[Year2]]</f>
        <v>2002</v>
      </c>
      <c r="AD78" s="15">
        <f>Table10[[#This Row],[Value 3.3 (2012)]]</f>
        <v>45.8</v>
      </c>
      <c r="AE78" s="15">
        <f>Table10[[#This Row],[Year3]]</f>
        <v>2007</v>
      </c>
      <c r="AF78" s="15"/>
      <c r="AG78" s="15"/>
    </row>
    <row r="79" spans="1:33" ht="12.75" x14ac:dyDescent="0.2">
      <c r="A79" s="19" t="s">
        <v>77</v>
      </c>
      <c r="B79" s="14" t="str">
        <f t="shared" si="4"/>
        <v>No</v>
      </c>
      <c r="C79" s="14" t="str">
        <f t="shared" si="5"/>
        <v>Yes</v>
      </c>
      <c r="D79" s="119" t="str">
        <f>Table10[[#This Row],[Value 1.1 (1990)]]</f>
        <v>520</v>
      </c>
      <c r="E79" s="119" t="str">
        <f>Table10[[#This Row],[Value 1.2 (2000)]]</f>
        <v>680</v>
      </c>
      <c r="F79" s="119" t="str">
        <f>Table10[[#This Row],[Value 1.3 (2013)]]</f>
        <v>470</v>
      </c>
      <c r="G79" s="119">
        <f>Table10[[#This Row],[Target 2015_1]]</f>
        <v>130</v>
      </c>
      <c r="H79" s="32"/>
      <c r="I79" s="32">
        <v>2013</v>
      </c>
      <c r="J79" s="32"/>
      <c r="K79" s="14" t="str">
        <f t="shared" si="6"/>
        <v>Yes</v>
      </c>
      <c r="L79" s="32">
        <f>Table10[[#This Row],[Value 2.1 (1990)]]</f>
        <v>74.599999999999994</v>
      </c>
      <c r="M79" s="32"/>
      <c r="N79" s="32"/>
      <c r="O79" s="32">
        <f>Table10[[#This Row],[Value 2.2 (2000)]]</f>
        <v>102.6</v>
      </c>
      <c r="P79" s="32"/>
      <c r="Q79" s="32"/>
      <c r="R79" s="32">
        <f>Table10[[#This Row],[Value 2.3 (2013)]]</f>
        <v>88.5</v>
      </c>
      <c r="S79" s="32"/>
      <c r="T79" s="32"/>
      <c r="U79" s="32">
        <f>Table10[[#This Row],[Target 2015_2]]</f>
        <v>25</v>
      </c>
      <c r="V79" s="32"/>
      <c r="W79" s="32">
        <v>2013</v>
      </c>
      <c r="X79" s="32"/>
      <c r="Y79" s="14" t="str">
        <f>IF(AND(Z79&lt;&gt;"",Table1020[[#This Row],[year3]]&gt; 2011), "Yes", "No")</f>
        <v>No</v>
      </c>
      <c r="Z79" s="15">
        <f>Table10[[#This Row],[Value 3.1 (1990)]]</f>
        <v>31</v>
      </c>
      <c r="AA79" s="15">
        <f>Table10[[#This Row],[Year]]</f>
        <v>1988</v>
      </c>
      <c r="AB79" s="15">
        <f>Table10[[#This Row],[Value 3.2 (2000)]]</f>
        <v>33.700000000000003</v>
      </c>
      <c r="AC79" s="15">
        <f>Table10[[#This Row],[Year2]]</f>
        <v>1999</v>
      </c>
      <c r="AD79" s="15">
        <f>Table10[[#This Row],[Value 3.3 (2012)]]</f>
        <v>32.299999999999997</v>
      </c>
      <c r="AE79" s="15">
        <f>Table10[[#This Row],[Year3]]</f>
        <v>2010</v>
      </c>
      <c r="AF79" s="15"/>
      <c r="AG79" s="15"/>
    </row>
    <row r="80" spans="1:33" x14ac:dyDescent="0.2">
      <c r="A80" s="44" t="s">
        <v>255</v>
      </c>
      <c r="B80" s="44">
        <f>COUNTIF(Table1020[Yes/No], "Yes")</f>
        <v>19</v>
      </c>
      <c r="C80" s="44">
        <f>COUNTIF(Table1020[Yes/No 1], "Yes")</f>
        <v>75</v>
      </c>
      <c r="D80" s="19"/>
      <c r="E80" s="19"/>
      <c r="F80" s="19"/>
      <c r="G80" s="19"/>
      <c r="H80" s="19"/>
      <c r="I80" s="19"/>
      <c r="J80" s="19"/>
      <c r="K80" s="44">
        <f>COUNTIF(Table1020[Yes/No 2], "Yes")</f>
        <v>75</v>
      </c>
      <c r="L80" s="19"/>
      <c r="M80" s="19"/>
      <c r="N80" s="19"/>
      <c r="O80" s="19"/>
      <c r="P80" s="19"/>
      <c r="Q80" s="19"/>
      <c r="R80" s="19"/>
      <c r="S80" s="19"/>
      <c r="T80" s="19"/>
      <c r="U80" s="19"/>
      <c r="V80" s="19"/>
      <c r="W80" s="19"/>
      <c r="X80" s="19"/>
      <c r="Y80" s="44">
        <f>COUNTIF(Table1020[Yes/No 3], "Yes")</f>
        <v>20</v>
      </c>
      <c r="Z80" s="19"/>
      <c r="AA80" s="19"/>
      <c r="AB80" s="19"/>
      <c r="AC80" s="19"/>
      <c r="AD80" s="19"/>
      <c r="AE80" s="19"/>
      <c r="AF80" s="19"/>
      <c r="AG80" s="19"/>
    </row>
    <row r="81" spans="1:33" x14ac:dyDescent="0.2">
      <c r="A81" s="44" t="s">
        <v>256</v>
      </c>
      <c r="B81" s="44">
        <f>COUNTIF(Table1020[Yes/No], "No")</f>
        <v>52</v>
      </c>
      <c r="C81" s="44">
        <f>COUNTIF(Table1020[Yes/No 1], "No")</f>
        <v>0</v>
      </c>
      <c r="D81" s="19"/>
      <c r="E81" s="19"/>
      <c r="F81" s="19"/>
      <c r="G81" s="19"/>
      <c r="H81" s="19"/>
      <c r="I81" s="19"/>
      <c r="J81" s="19"/>
      <c r="K81" s="44">
        <f>COUNTIF(Table1020[Yes/No 2], "No")</f>
        <v>0</v>
      </c>
      <c r="L81" s="19"/>
      <c r="M81" s="19"/>
      <c r="N81" s="19"/>
      <c r="O81" s="19"/>
      <c r="P81" s="19"/>
      <c r="Q81" s="19"/>
      <c r="R81" s="19"/>
      <c r="S81" s="19"/>
      <c r="T81" s="19"/>
      <c r="U81" s="19"/>
      <c r="V81" s="19"/>
      <c r="W81" s="19"/>
      <c r="X81" s="19"/>
      <c r="Y81" s="44">
        <f>COUNTIF(Table1020[Yes/No 3], "No")</f>
        <v>55</v>
      </c>
      <c r="Z81" s="19"/>
      <c r="AA81" s="19"/>
      <c r="AB81" s="19"/>
      <c r="AC81" s="19"/>
      <c r="AD81" s="19"/>
      <c r="AE81" s="19"/>
      <c r="AF81" s="19"/>
      <c r="AG81" s="19"/>
    </row>
    <row r="82" spans="1:33" x14ac:dyDescent="0.2">
      <c r="A82" s="44" t="s">
        <v>299</v>
      </c>
      <c r="B82" s="44">
        <f>COUNTIF(Table1020[Yes/No], "No data")</f>
        <v>4</v>
      </c>
      <c r="C82" s="44">
        <f>COUNTIF(Table1020[Yes/No 1], "No data")</f>
        <v>0</v>
      </c>
      <c r="D82" s="19"/>
      <c r="E82" s="19"/>
      <c r="F82" s="19"/>
      <c r="G82" s="19"/>
      <c r="H82" s="19"/>
      <c r="I82" s="19"/>
      <c r="J82" s="19"/>
      <c r="K82" s="44">
        <f>COUNTIF(Table1020[Yes/No 2], "No data")</f>
        <v>0</v>
      </c>
      <c r="L82" s="19"/>
      <c r="M82" s="19"/>
      <c r="N82" s="19"/>
      <c r="O82" s="19"/>
      <c r="P82" s="19"/>
      <c r="Q82" s="19"/>
      <c r="R82" s="19"/>
      <c r="S82" s="19"/>
      <c r="T82" s="19"/>
      <c r="U82" s="19"/>
      <c r="V82" s="19"/>
      <c r="W82" s="19"/>
      <c r="X82" s="19"/>
      <c r="Y82" s="44">
        <f>COUNTIF(Table1020[Yes/No 3], "No data")</f>
        <v>0</v>
      </c>
      <c r="Z82" s="19"/>
      <c r="AA82" s="19"/>
      <c r="AB82" s="19"/>
      <c r="AC82" s="19"/>
      <c r="AD82" s="19"/>
      <c r="AE82" s="19"/>
      <c r="AF82" s="19"/>
      <c r="AG82" s="19"/>
    </row>
  </sheetData>
  <mergeCells count="4">
    <mergeCell ref="A2:G2"/>
    <mergeCell ref="C3:J3"/>
    <mergeCell ref="K3:X3"/>
    <mergeCell ref="Y3:AG3"/>
  </mergeCells>
  <pageMargins left="0.23622047244094491" right="0.23622047244094491" top="0.74803149606299213" bottom="0.74803149606299213" header="0.31496062992125984" footer="0.31496062992125984"/>
  <pageSetup paperSize="9" scale="65" orientation="portrait"/>
  <colBreaks count="1" manualBreakCount="1">
    <brk id="10" max="1048575" man="1"/>
  </colBreak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view="pageBreakPreview" topLeftCell="A63" zoomScaleSheetLayoutView="100" workbookViewId="0">
      <selection activeCell="B5" sqref="B5"/>
    </sheetView>
  </sheetViews>
  <sheetFormatPr defaultColWidth="8.85546875" defaultRowHeight="12" x14ac:dyDescent="0.2"/>
  <cols>
    <col min="1" max="1" width="27.42578125" style="1" bestFit="1" customWidth="1"/>
    <col min="2" max="2" width="11.7109375" style="1" customWidth="1"/>
    <col min="3" max="3" width="12.85546875" style="1" customWidth="1"/>
    <col min="4" max="4" width="9.7109375" style="1" customWidth="1"/>
    <col min="5" max="5" width="8.42578125" style="1" customWidth="1"/>
    <col min="6" max="6" width="7.7109375" style="1" customWidth="1"/>
    <col min="7" max="7" width="26" style="1" customWidth="1"/>
    <col min="8" max="8" width="9.7109375" style="1" customWidth="1"/>
    <col min="9" max="9" width="8.42578125" style="1" customWidth="1"/>
    <col min="10" max="10" width="7.7109375" style="1" customWidth="1"/>
    <col min="11" max="11" width="26" style="1" customWidth="1"/>
    <col min="12" max="12" width="9.7109375" style="1" customWidth="1"/>
    <col min="13" max="13" width="8.42578125" style="1" customWidth="1"/>
    <col min="14" max="14" width="7.7109375" style="1" customWidth="1"/>
    <col min="15" max="15" width="27.42578125" style="1" customWidth="1"/>
    <col min="16" max="16" width="9.7109375" style="1" customWidth="1"/>
    <col min="17" max="17" width="8.42578125" style="1" customWidth="1"/>
    <col min="18" max="18" width="7.7109375" style="1" customWidth="1"/>
    <col min="19" max="19" width="18.28515625" style="1" customWidth="1"/>
    <col min="20" max="20" width="9.7109375" style="1" customWidth="1"/>
    <col min="21" max="21" width="8.42578125" style="1" customWidth="1"/>
    <col min="22" max="22" width="7.7109375" style="1" customWidth="1"/>
    <col min="23" max="23" width="26" style="1" customWidth="1"/>
    <col min="24" max="24" width="9.7109375" style="1" customWidth="1"/>
    <col min="25" max="25" width="8.42578125" style="1" customWidth="1"/>
    <col min="26" max="26" width="7.7109375" style="1" customWidth="1"/>
    <col min="27" max="27" width="17.42578125" style="1" customWidth="1"/>
    <col min="28" max="28" width="9.7109375" style="1" customWidth="1"/>
    <col min="29" max="29" width="8.42578125" style="1" customWidth="1"/>
    <col min="30" max="30" width="7.7109375" style="1" customWidth="1"/>
    <col min="31" max="31" width="20.7109375" style="1" customWidth="1"/>
    <col min="32" max="32" width="9.7109375" style="1" customWidth="1"/>
    <col min="33" max="33" width="8.42578125" style="1" customWidth="1"/>
    <col min="34" max="34" width="7.7109375" style="1" bestFit="1" customWidth="1"/>
    <col min="35" max="35" width="17.42578125" style="1" bestFit="1" customWidth="1"/>
    <col min="36" max="16384" width="8.85546875" style="1"/>
  </cols>
  <sheetData>
    <row r="1" spans="1:35" x14ac:dyDescent="0.2">
      <c r="A1" s="68" t="s">
        <v>364</v>
      </c>
      <c r="B1" s="116" t="s">
        <v>448</v>
      </c>
      <c r="C1" s="116"/>
      <c r="D1" s="116"/>
      <c r="E1" s="68"/>
      <c r="F1" s="68"/>
      <c r="G1" s="68"/>
    </row>
    <row r="2" spans="1:35" ht="16.5" customHeight="1" x14ac:dyDescent="0.25">
      <c r="A2" s="190" t="s">
        <v>281</v>
      </c>
      <c r="B2" s="191"/>
      <c r="C2" s="191"/>
      <c r="D2" s="191"/>
      <c r="E2" s="191"/>
      <c r="F2" s="191"/>
      <c r="G2" s="191"/>
    </row>
    <row r="3" spans="1:35" ht="33.75" x14ac:dyDescent="0.2">
      <c r="A3" s="75"/>
      <c r="B3" s="78" t="s">
        <v>795</v>
      </c>
      <c r="C3" s="98" t="s">
        <v>355</v>
      </c>
      <c r="D3" s="208" t="s">
        <v>138</v>
      </c>
      <c r="E3" s="208"/>
      <c r="F3" s="204"/>
      <c r="G3" s="204"/>
      <c r="H3" s="208" t="s">
        <v>139</v>
      </c>
      <c r="I3" s="208"/>
      <c r="J3" s="204"/>
      <c r="K3" s="204"/>
      <c r="L3" s="208" t="s">
        <v>140</v>
      </c>
      <c r="M3" s="208"/>
      <c r="N3" s="204"/>
      <c r="O3" s="204"/>
      <c r="P3" s="208" t="s">
        <v>141</v>
      </c>
      <c r="Q3" s="208"/>
      <c r="R3" s="204"/>
      <c r="S3" s="204"/>
      <c r="T3" s="208" t="s">
        <v>142</v>
      </c>
      <c r="U3" s="208"/>
      <c r="V3" s="204"/>
      <c r="W3" s="204"/>
      <c r="X3" s="208" t="s">
        <v>143</v>
      </c>
      <c r="Y3" s="208"/>
      <c r="Z3" s="204"/>
      <c r="AA3" s="204"/>
      <c r="AB3" s="208" t="s">
        <v>146</v>
      </c>
      <c r="AC3" s="208"/>
      <c r="AD3" s="204"/>
      <c r="AE3" s="204"/>
      <c r="AF3" s="208" t="s">
        <v>144</v>
      </c>
      <c r="AG3" s="208"/>
      <c r="AH3" s="204"/>
      <c r="AI3" s="204"/>
    </row>
    <row r="4" spans="1:35" x14ac:dyDescent="0.2">
      <c r="A4" s="74" t="s">
        <v>0</v>
      </c>
      <c r="B4" s="74" t="s">
        <v>2</v>
      </c>
      <c r="C4" s="81" t="s">
        <v>356</v>
      </c>
      <c r="D4" s="81" t="s">
        <v>267</v>
      </c>
      <c r="E4" s="81" t="s">
        <v>122</v>
      </c>
      <c r="F4" s="81" t="s">
        <v>123</v>
      </c>
      <c r="G4" s="81" t="s">
        <v>119</v>
      </c>
      <c r="H4" s="81" t="s">
        <v>268</v>
      </c>
      <c r="I4" s="81" t="s">
        <v>120</v>
      </c>
      <c r="J4" s="81" t="s">
        <v>124</v>
      </c>
      <c r="K4" s="81" t="s">
        <v>121</v>
      </c>
      <c r="L4" s="81" t="s">
        <v>269</v>
      </c>
      <c r="M4" s="81" t="s">
        <v>241</v>
      </c>
      <c r="N4" s="81" t="s">
        <v>242</v>
      </c>
      <c r="O4" s="81" t="s">
        <v>243</v>
      </c>
      <c r="P4" s="81" t="s">
        <v>270</v>
      </c>
      <c r="Q4" s="81" t="s">
        <v>258</v>
      </c>
      <c r="R4" s="81" t="s">
        <v>259</v>
      </c>
      <c r="S4" s="81" t="s">
        <v>260</v>
      </c>
      <c r="T4" s="81" t="s">
        <v>271</v>
      </c>
      <c r="U4" s="81" t="s">
        <v>261</v>
      </c>
      <c r="V4" s="81" t="s">
        <v>262</v>
      </c>
      <c r="W4" s="81" t="s">
        <v>263</v>
      </c>
      <c r="X4" s="81" t="s">
        <v>272</v>
      </c>
      <c r="Y4" s="81" t="s">
        <v>264</v>
      </c>
      <c r="Z4" s="81" t="s">
        <v>265</v>
      </c>
      <c r="AA4" s="81" t="s">
        <v>266</v>
      </c>
      <c r="AB4" s="81" t="s">
        <v>273</v>
      </c>
      <c r="AC4" s="81" t="s">
        <v>274</v>
      </c>
      <c r="AD4" s="81" t="s">
        <v>275</v>
      </c>
      <c r="AE4" s="81" t="s">
        <v>276</v>
      </c>
      <c r="AF4" s="81" t="s">
        <v>277</v>
      </c>
      <c r="AG4" s="81" t="s">
        <v>278</v>
      </c>
      <c r="AH4" s="81" t="s">
        <v>279</v>
      </c>
      <c r="AI4" s="81" t="s">
        <v>280</v>
      </c>
    </row>
    <row r="5" spans="1:35" x14ac:dyDescent="0.2">
      <c r="A5" s="10" t="s">
        <v>3</v>
      </c>
      <c r="B5" s="14" t="str">
        <f t="shared" ref="B5:B28" si="0">IF(AND(D5= "Yes", H5= "Yes", L5= "Yes", P5= "Yes", T5= "Yes", X5= "Yes", AB5= "Yes", AF5= "Yes"), "Yes", "No")</f>
        <v>No</v>
      </c>
      <c r="C5" s="32"/>
      <c r="D5" s="14" t="s">
        <v>154</v>
      </c>
      <c r="E5" s="32"/>
      <c r="F5" s="32"/>
      <c r="G5" s="32" t="s">
        <v>438</v>
      </c>
      <c r="H5" s="14" t="str">
        <f>IF(AND(I5&lt;&gt; "", J5&gt;2011), "Yes", "No")</f>
        <v>No</v>
      </c>
      <c r="I5" s="32">
        <f>Table9[[#This Row],[National Average2]]</f>
        <v>14.657087624099999</v>
      </c>
      <c r="J5" s="32">
        <f>Table9[[#This Row],[Year 2]]</f>
        <v>2010</v>
      </c>
      <c r="K5" s="32" t="s">
        <v>439</v>
      </c>
      <c r="L5" s="14" t="str">
        <f>IF(AND(M5&lt;&gt; "", N5&gt;2012), "Yes", "No")</f>
        <v>Yes</v>
      </c>
      <c r="M5" s="32">
        <f>Table9[[#This Row],[National Average3]]</f>
        <v>2.4844720496894408</v>
      </c>
      <c r="N5" s="32">
        <f>Table9[[#This Row],[Year 3]]</f>
        <v>2014</v>
      </c>
      <c r="O5" s="32" t="s">
        <v>439</v>
      </c>
      <c r="P5" s="14" t="str">
        <f>IF(AND(Q5&lt;&gt; "", R5&gt;2011), "Yes", "No")</f>
        <v>No</v>
      </c>
      <c r="Q5" s="32">
        <f>Table9[[#This Row],[National Average4]]</f>
        <v>38.652551174199999</v>
      </c>
      <c r="R5" s="32">
        <f>Table9[[#This Row],[Year 4]]</f>
        <v>2010</v>
      </c>
      <c r="S5" s="32" t="s">
        <v>440</v>
      </c>
      <c r="T5" s="14" t="s">
        <v>154</v>
      </c>
      <c r="U5" s="32"/>
      <c r="V5" s="32">
        <f>Table9[[#This Row],[Year 5]]</f>
        <v>2010</v>
      </c>
      <c r="W5" s="32" t="s">
        <v>440</v>
      </c>
      <c r="X5" s="14" t="s">
        <v>154</v>
      </c>
      <c r="Y5" s="32"/>
      <c r="Z5" s="32"/>
      <c r="AA5" s="32" t="s">
        <v>440</v>
      </c>
      <c r="AB5" s="14" t="str">
        <f>IF(AND(AC5&lt;&gt; "", AD5&gt;2011), "Yes", "No")</f>
        <v>No</v>
      </c>
      <c r="AC5" s="32">
        <f>Table9[[#This Row],[National Average7]]</f>
        <v>30.374572000000001</v>
      </c>
      <c r="AD5" s="32">
        <f>Table9[[#This Row],[Year 7]]</f>
        <v>2010</v>
      </c>
      <c r="AE5" s="32" t="s">
        <v>441</v>
      </c>
      <c r="AF5" s="14" t="str">
        <f>IF(AND(AG5&lt;&gt; "", AH5&gt;2011), "Yes", "No")</f>
        <v>No</v>
      </c>
      <c r="AG5" s="32">
        <f>Table9[[#This Row],[National Average8]]</f>
        <v>60.543292760800007</v>
      </c>
      <c r="AH5" s="32">
        <f>Table9[[#This Row],[Year 8]]</f>
        <v>2010</v>
      </c>
      <c r="AI5" s="32" t="s">
        <v>440</v>
      </c>
    </row>
    <row r="6" spans="1:35" x14ac:dyDescent="0.2">
      <c r="A6" s="10" t="s">
        <v>4</v>
      </c>
      <c r="B6" s="14" t="str">
        <f t="shared" si="0"/>
        <v>No</v>
      </c>
      <c r="C6" s="32"/>
      <c r="D6" s="14" t="s">
        <v>154</v>
      </c>
      <c r="E6" s="32"/>
      <c r="F6" s="32"/>
      <c r="G6" s="32"/>
      <c r="H6" s="14" t="str">
        <f t="shared" ref="H6:H18" si="1">IF(AND(I6&lt;&gt; "", J6&gt;2011), "Yes", "No")</f>
        <v>No</v>
      </c>
      <c r="I6" s="32" t="str">
        <f>Table9[[#This Row],[National Average2]]</f>
        <v>No data</v>
      </c>
      <c r="J6" s="32">
        <f>Table9[[#This Row],[Year 2]]</f>
        <v>0</v>
      </c>
      <c r="K6" s="32"/>
      <c r="L6" s="14" t="str">
        <f t="shared" ref="L6:L18" si="2">IF(AND(M6&lt;&gt; "", N6&gt;2012), "Yes", "No")</f>
        <v>Yes</v>
      </c>
      <c r="M6" s="32">
        <f>Table9[[#This Row],[National Average3]]</f>
        <v>39.19101123595506</v>
      </c>
      <c r="N6" s="32">
        <f>Table9[[#This Row],[Year 3]]</f>
        <v>2014</v>
      </c>
      <c r="O6" s="32"/>
      <c r="P6" s="14" t="str">
        <f t="shared" ref="P6:P69" si="3">IF(AND(Q6&lt;&gt; "", R6&gt;2011), "Yes", "No")</f>
        <v>No</v>
      </c>
      <c r="Q6" s="32" t="str">
        <f>Table9[[#This Row],[National Average4]]</f>
        <v>No data</v>
      </c>
      <c r="R6" s="32">
        <f>Table9[[#This Row],[Year 4]]</f>
        <v>0</v>
      </c>
      <c r="S6" s="32"/>
      <c r="T6" s="14" t="s">
        <v>154</v>
      </c>
      <c r="U6" s="32"/>
      <c r="V6" s="32"/>
      <c r="W6" s="32"/>
      <c r="X6" s="14" t="s">
        <v>154</v>
      </c>
      <c r="Y6" s="32"/>
      <c r="Z6" s="32"/>
      <c r="AA6" s="32"/>
      <c r="AB6" s="14" t="str">
        <f t="shared" ref="AB6:AB69" si="4">IF(AND(AC6&lt;&gt; "", AD6&gt;2011), "Yes", "No")</f>
        <v>No</v>
      </c>
      <c r="AC6" s="32" t="str">
        <f>Table9[[#This Row],[National Average7]]</f>
        <v>No data</v>
      </c>
      <c r="AD6" s="32">
        <f>Table9[[#This Row],[Year 7]]</f>
        <v>0</v>
      </c>
      <c r="AE6" s="32"/>
      <c r="AF6" s="14" t="s">
        <v>154</v>
      </c>
      <c r="AG6" s="32"/>
      <c r="AH6" s="32"/>
      <c r="AI6" s="32"/>
    </row>
    <row r="7" spans="1:35" x14ac:dyDescent="0.2">
      <c r="A7" s="10" t="s">
        <v>5</v>
      </c>
      <c r="B7" s="14" t="str">
        <f t="shared" si="0"/>
        <v>No</v>
      </c>
      <c r="C7" s="32"/>
      <c r="D7" s="14" t="str">
        <f>IF(AND(E7&lt;&gt; "", F7&gt;2011), "Yes", "No")</f>
        <v>No</v>
      </c>
      <c r="E7" s="32">
        <f>Table9[[#This Row],[National Average]]</f>
        <v>69.357120990799999</v>
      </c>
      <c r="F7" s="32">
        <f>Table9[[#This Row],[Year 1]]</f>
        <v>2006</v>
      </c>
      <c r="G7" s="32"/>
      <c r="H7" s="14" t="str">
        <f t="shared" si="1"/>
        <v>No</v>
      </c>
      <c r="I7" s="32">
        <f>Table9[[#This Row],[National Average2]]</f>
        <v>45.246252417600004</v>
      </c>
      <c r="J7" s="32">
        <f>Table9[[#This Row],[Year 2]]</f>
        <v>2006</v>
      </c>
      <c r="K7" s="32"/>
      <c r="L7" s="14" t="str">
        <f t="shared" si="2"/>
        <v>Yes</v>
      </c>
      <c r="M7" s="32">
        <f>Table9[[#This Row],[National Average3]]</f>
        <v>26.70807453416149</v>
      </c>
      <c r="N7" s="32">
        <f>Table9[[#This Row],[Year 3]]</f>
        <v>2014</v>
      </c>
      <c r="O7" s="32"/>
      <c r="P7" s="14" t="str">
        <f t="shared" si="3"/>
        <v>No</v>
      </c>
      <c r="Q7" s="32">
        <f>Table9[[#This Row],[National Average4]]</f>
        <v>88.613325357400001</v>
      </c>
      <c r="R7" s="32">
        <f>Table9[[#This Row],[Year 4]]</f>
        <v>2006</v>
      </c>
      <c r="S7" s="32"/>
      <c r="T7" s="14" t="s">
        <v>154</v>
      </c>
      <c r="U7" s="32"/>
      <c r="V7" s="32">
        <f>Table9[[#This Row],[Year 5]]</f>
        <v>2006</v>
      </c>
      <c r="W7" s="32"/>
      <c r="X7" s="14" t="str">
        <f>IF(AND(Y7&lt;&gt; "", Z7&gt;2011), "Yes", "No")</f>
        <v>No</v>
      </c>
      <c r="Y7" s="32">
        <f>Table9[[#This Row],[National Average6]]</f>
        <v>11.771890000000001</v>
      </c>
      <c r="Z7" s="32">
        <f>Table9[[#This Row],[Year 6]]</f>
        <v>2006</v>
      </c>
      <c r="AA7" s="32"/>
      <c r="AB7" s="14" t="str">
        <f t="shared" si="4"/>
        <v>No</v>
      </c>
      <c r="AC7" s="32">
        <f>Table9[[#This Row],[National Average7]]</f>
        <v>70.768272876699996</v>
      </c>
      <c r="AD7" s="32">
        <f>Table9[[#This Row],[Year 7]]</f>
        <v>2006</v>
      </c>
      <c r="AE7" s="32"/>
      <c r="AF7" s="14" t="str">
        <f t="shared" ref="AF7:AF18" si="5">IF(AND(AG7&lt;&gt; "", AH7&gt;2011), "Yes", "No")</f>
        <v>No</v>
      </c>
      <c r="AG7" s="32">
        <f>Table9[[#This Row],[National Average8]]</f>
        <v>32.543906569499995</v>
      </c>
      <c r="AH7" s="32">
        <f>Table9[[#This Row],[Year 8]]</f>
        <v>2006</v>
      </c>
      <c r="AI7" s="32"/>
    </row>
    <row r="8" spans="1:35" x14ac:dyDescent="0.2">
      <c r="A8" s="10" t="s">
        <v>6</v>
      </c>
      <c r="B8" s="14" t="str">
        <f t="shared" si="0"/>
        <v>No</v>
      </c>
      <c r="C8" s="32"/>
      <c r="D8" s="14" t="str">
        <f t="shared" ref="D8:D10" si="6">IF(AND(E8&lt;&gt; "", F8&gt;2011), "Yes", "No")</f>
        <v>No</v>
      </c>
      <c r="E8" s="32">
        <f>Table9[[#This Row],[National Average]]</f>
        <v>84.322559833499994</v>
      </c>
      <c r="F8" s="32">
        <f>Table9[[#This Row],[Year 1]]</f>
        <v>2011</v>
      </c>
      <c r="G8" s="32"/>
      <c r="H8" s="14" t="str">
        <f t="shared" si="1"/>
        <v>No</v>
      </c>
      <c r="I8" s="32">
        <f>Table9[[#This Row],[National Average2]]</f>
        <v>23.8474979997</v>
      </c>
      <c r="J8" s="32">
        <f>Table9[[#This Row],[Year 2]]</f>
        <v>2011</v>
      </c>
      <c r="K8" s="32"/>
      <c r="L8" s="14" t="str">
        <f t="shared" si="2"/>
        <v>Yes</v>
      </c>
      <c r="M8" s="32">
        <f>Table9[[#This Row],[National Average3]]</f>
        <v>13.043478260869565</v>
      </c>
      <c r="N8" s="32">
        <f>Table9[[#This Row],[Year 3]]</f>
        <v>2014</v>
      </c>
      <c r="O8" s="32"/>
      <c r="P8" s="14" t="str">
        <f t="shared" si="3"/>
        <v>No</v>
      </c>
      <c r="Q8" s="32">
        <f>Table9[[#This Row],[National Average4]]</f>
        <v>27.7074724436</v>
      </c>
      <c r="R8" s="32">
        <f>Table9[[#This Row],[Year 4]]</f>
        <v>2011</v>
      </c>
      <c r="S8" s="32"/>
      <c r="T8" s="14" t="str">
        <f>IF(AND(U8&lt;&gt; "", V8&gt;2011), "Yes", "No")</f>
        <v>No</v>
      </c>
      <c r="U8" s="32">
        <f>Table9[[#This Row],[National Average5]]</f>
        <v>41.604417562500004</v>
      </c>
      <c r="V8" s="32">
        <f>Table9[[#This Row],[Year 5]]</f>
        <v>2011</v>
      </c>
      <c r="W8" s="32"/>
      <c r="X8" s="14" t="str">
        <f t="shared" ref="X8:X71" si="7">IF(AND(Y8&lt;&gt; "", Z8&gt;2011), "Yes", "No")</f>
        <v>No</v>
      </c>
      <c r="Y8" s="32">
        <f>Table9[[#This Row],[National Average6]]</f>
        <v>64.088279999999997</v>
      </c>
      <c r="Z8" s="32">
        <f>Table9[[#This Row],[Year 6]]</f>
        <v>2011</v>
      </c>
      <c r="AA8" s="32"/>
      <c r="AB8" s="14" t="str">
        <f t="shared" si="4"/>
        <v>No</v>
      </c>
      <c r="AC8" s="32">
        <f>Table9[[#This Row],[National Average7]]</f>
        <v>93.421155214300001</v>
      </c>
      <c r="AD8" s="32">
        <f>Table9[[#This Row],[Year 7]]</f>
        <v>2011</v>
      </c>
      <c r="AE8" s="32"/>
      <c r="AF8" s="14" t="str">
        <f t="shared" si="5"/>
        <v>No</v>
      </c>
      <c r="AG8" s="32">
        <f>Table9[[#This Row],[National Average8]]</f>
        <v>33.209004998200001</v>
      </c>
      <c r="AH8" s="32">
        <f>Table9[[#This Row],[Year 8]]</f>
        <v>2011</v>
      </c>
      <c r="AI8" s="32"/>
    </row>
    <row r="9" spans="1:35" x14ac:dyDescent="0.2">
      <c r="A9" s="10" t="s">
        <v>7</v>
      </c>
      <c r="B9" s="14" t="str">
        <f t="shared" si="0"/>
        <v>No</v>
      </c>
      <c r="C9" s="32"/>
      <c r="D9" s="14" t="str">
        <f t="shared" si="6"/>
        <v>No</v>
      </c>
      <c r="E9" s="32">
        <f>Table9[[#This Row],[National Average]]</f>
        <v>28.430620000000001</v>
      </c>
      <c r="F9" s="32">
        <f>Table9[[#This Row],[Year 1]]</f>
        <v>2011</v>
      </c>
      <c r="G9" s="32"/>
      <c r="H9" s="14" t="str">
        <f t="shared" si="1"/>
        <v>No</v>
      </c>
      <c r="I9" s="32">
        <f>Table9[[#This Row],[National Average2]]</f>
        <v>58.203780000000002</v>
      </c>
      <c r="J9" s="32">
        <f>Table9[[#This Row],[Year 2]]</f>
        <v>2011</v>
      </c>
      <c r="K9" s="32"/>
      <c r="L9" s="14" t="str">
        <f t="shared" si="2"/>
        <v>Yes</v>
      </c>
      <c r="M9" s="32">
        <f>Table9[[#This Row],[National Average3]]</f>
        <v>44.574095682613766</v>
      </c>
      <c r="N9" s="32">
        <f>Table9[[#This Row],[Year 3]]</f>
        <v>2014</v>
      </c>
      <c r="O9" s="32"/>
      <c r="P9" s="14" t="str">
        <f t="shared" si="3"/>
        <v>No</v>
      </c>
      <c r="Q9" s="32">
        <f>Table9[[#This Row],[National Average4]]</f>
        <v>84.114500000000007</v>
      </c>
      <c r="R9" s="32">
        <f>Table9[[#This Row],[Year 4]]</f>
        <v>2011</v>
      </c>
      <c r="S9" s="32"/>
      <c r="T9" s="14" t="str">
        <f t="shared" ref="T9:T10" si="8">IF(AND(U9&lt;&gt; "", V9&gt;2011), "Yes", "No")</f>
        <v>No</v>
      </c>
      <c r="U9" s="32">
        <f>Table9[[#This Row],[National Average5]]</f>
        <v>27.983889999999999</v>
      </c>
      <c r="V9" s="32">
        <f>Table9[[#This Row],[Year 5]]</f>
        <v>2011</v>
      </c>
      <c r="W9" s="32"/>
      <c r="X9" s="14" t="str">
        <f t="shared" si="7"/>
        <v>No</v>
      </c>
      <c r="Y9" s="32" t="str">
        <f>Table9[[#This Row],[National Average6]]</f>
        <v>n/a</v>
      </c>
      <c r="Z9" s="32">
        <f>Table9[[#This Row],[Year 6]]</f>
        <v>2011</v>
      </c>
      <c r="AA9" s="32"/>
      <c r="AB9" s="14" t="str">
        <f t="shared" si="4"/>
        <v>No</v>
      </c>
      <c r="AC9" s="32">
        <f>Table9[[#This Row],[National Average7]]</f>
        <v>73.94744</v>
      </c>
      <c r="AD9" s="32">
        <f>Table9[[#This Row],[Year 7]]</f>
        <v>2011</v>
      </c>
      <c r="AE9" s="32"/>
      <c r="AF9" s="14" t="str">
        <f t="shared" si="5"/>
        <v>No</v>
      </c>
      <c r="AG9" s="32">
        <f>Table9[[#This Row],[National Average8]]</f>
        <v>30.951060000000002</v>
      </c>
      <c r="AH9" s="32">
        <f>Table9[[#This Row],[Year 8]]</f>
        <v>2011</v>
      </c>
      <c r="AI9" s="32"/>
    </row>
    <row r="10" spans="1:35" x14ac:dyDescent="0.2">
      <c r="A10" s="10" t="s">
        <v>8</v>
      </c>
      <c r="B10" s="14" t="str">
        <f t="shared" si="0"/>
        <v>No</v>
      </c>
      <c r="C10" s="32"/>
      <c r="D10" s="14" t="str">
        <f t="shared" si="6"/>
        <v>No</v>
      </c>
      <c r="E10" s="32">
        <f>Table9[[#This Row],[National Average]]</f>
        <v>74.994605779599993</v>
      </c>
      <c r="F10" s="32">
        <f>Table9[[#This Row],[Year 1]]</f>
        <v>2008</v>
      </c>
      <c r="G10" s="32"/>
      <c r="H10" s="14" t="str">
        <f t="shared" si="1"/>
        <v>No</v>
      </c>
      <c r="I10" s="32">
        <f>Table9[[#This Row],[National Average2]]</f>
        <v>72.073501348500002</v>
      </c>
      <c r="J10" s="32">
        <f>Table9[[#This Row],[Year 2]]</f>
        <v>2008</v>
      </c>
      <c r="K10" s="32"/>
      <c r="L10" s="14" t="str">
        <f t="shared" si="2"/>
        <v>Yes</v>
      </c>
      <c r="M10" s="32">
        <f>Table9[[#This Row],[National Average3]]</f>
        <v>65.634674922600624</v>
      </c>
      <c r="N10" s="32">
        <f>Table9[[#This Row],[Year 3]]</f>
        <v>2014</v>
      </c>
      <c r="O10" s="32"/>
      <c r="P10" s="14" t="str">
        <f t="shared" si="3"/>
        <v>No</v>
      </c>
      <c r="Q10" s="32">
        <f>Table9[[#This Row],[National Average4]]</f>
        <v>71.106445789299997</v>
      </c>
      <c r="R10" s="32">
        <f>Table9[[#This Row],[Year 4]]</f>
        <v>2008</v>
      </c>
      <c r="S10" s="32"/>
      <c r="T10" s="14" t="str">
        <f t="shared" si="8"/>
        <v>No</v>
      </c>
      <c r="U10" s="32">
        <f>Table9[[#This Row],[National Average5]]</f>
        <v>76.429766416500001</v>
      </c>
      <c r="V10" s="32">
        <f>Table9[[#This Row],[Year 5]]</f>
        <v>2008</v>
      </c>
      <c r="W10" s="32"/>
      <c r="X10" s="14" t="str">
        <f t="shared" si="7"/>
        <v>No</v>
      </c>
      <c r="Y10" s="32">
        <f>Table9[[#This Row],[National Average6]]</f>
        <v>56.673220000000001</v>
      </c>
      <c r="Z10" s="32">
        <f>Table9[[#This Row],[Year 6]]</f>
        <v>2008</v>
      </c>
      <c r="AA10" s="32"/>
      <c r="AB10" s="14" t="str">
        <f t="shared" si="4"/>
        <v>No</v>
      </c>
      <c r="AC10" s="32">
        <f>Table9[[#This Row],[National Average7]]</f>
        <v>85.802912712099996</v>
      </c>
      <c r="AD10" s="32">
        <f>Table9[[#This Row],[Year 7]]</f>
        <v>2008</v>
      </c>
      <c r="AE10" s="32"/>
      <c r="AF10" s="14" t="str">
        <f t="shared" si="5"/>
        <v>No</v>
      </c>
      <c r="AG10" s="32">
        <f>Table9[[#This Row],[National Average8]]</f>
        <v>50.868356227900001</v>
      </c>
      <c r="AH10" s="32">
        <f>Table9[[#This Row],[Year 8]]</f>
        <v>2008</v>
      </c>
      <c r="AI10" s="32"/>
    </row>
    <row r="11" spans="1:35" x14ac:dyDescent="0.2">
      <c r="A11" s="10" t="s">
        <v>9</v>
      </c>
      <c r="B11" s="14" t="str">
        <f t="shared" si="0"/>
        <v>No</v>
      </c>
      <c r="C11" s="32"/>
      <c r="D11" s="14" t="s">
        <v>154</v>
      </c>
      <c r="E11" s="32"/>
      <c r="F11" s="32"/>
      <c r="G11" s="32"/>
      <c r="H11" s="14" t="str">
        <f t="shared" si="1"/>
        <v>No</v>
      </c>
      <c r="I11" s="32" t="str">
        <f>Table9[[#This Row],[National Average2]]</f>
        <v>No data</v>
      </c>
      <c r="J11" s="32">
        <f>Table9[[#This Row],[Year 2]]</f>
        <v>0</v>
      </c>
      <c r="K11" s="32"/>
      <c r="L11" s="14" t="str">
        <f t="shared" si="2"/>
        <v>Yes</v>
      </c>
      <c r="M11" s="32">
        <f>Table9[[#This Row],[National Average3]]</f>
        <v>95.902008466180305</v>
      </c>
      <c r="N11" s="32">
        <f>Table9[[#This Row],[Year 3]]</f>
        <v>2014</v>
      </c>
      <c r="O11" s="32"/>
      <c r="P11" s="14" t="str">
        <f t="shared" si="3"/>
        <v>No</v>
      </c>
      <c r="Q11" s="32" t="str">
        <f>Table9[[#This Row],[National Average4]]</f>
        <v>No data</v>
      </c>
      <c r="R11" s="32">
        <f>Table9[[#This Row],[Year 4]]</f>
        <v>0</v>
      </c>
      <c r="S11" s="32"/>
      <c r="T11" s="14" t="s">
        <v>154</v>
      </c>
      <c r="U11" s="32"/>
      <c r="V11" s="32"/>
      <c r="W11" s="32"/>
      <c r="X11" s="14" t="str">
        <f t="shared" si="7"/>
        <v>No</v>
      </c>
      <c r="Y11" s="32" t="str">
        <f>Table9[[#This Row],[National Average6]]</f>
        <v>No data</v>
      </c>
      <c r="Z11" s="32">
        <f>Table9[[#This Row],[Year 6]]</f>
        <v>0</v>
      </c>
      <c r="AA11" s="32"/>
      <c r="AB11" s="14" t="str">
        <f t="shared" si="4"/>
        <v>No</v>
      </c>
      <c r="AC11" s="32" t="str">
        <f>Table9[[#This Row],[National Average7]]</f>
        <v>No data</v>
      </c>
      <c r="AD11" s="32">
        <f>Table9[[#This Row],[Year 7]]</f>
        <v>0</v>
      </c>
      <c r="AE11" s="32"/>
      <c r="AF11" s="14" t="str">
        <f t="shared" si="5"/>
        <v>No</v>
      </c>
      <c r="AG11" s="32" t="str">
        <f>Table9[[#This Row],[National Average8]]</f>
        <v>No data</v>
      </c>
      <c r="AH11" s="32">
        <f>Table9[[#This Row],[Year 8]]</f>
        <v>0</v>
      </c>
      <c r="AI11" s="32"/>
    </row>
    <row r="12" spans="1:35" x14ac:dyDescent="0.2">
      <c r="A12" s="10" t="s">
        <v>10</v>
      </c>
      <c r="B12" s="14" t="str">
        <f t="shared" si="0"/>
        <v>No</v>
      </c>
      <c r="C12" s="32"/>
      <c r="D12" s="14" t="str">
        <f t="shared" ref="D12:D24" si="9">IF(AND(E12&lt;&gt; "", F12&gt;2011), "Yes", "No")</f>
        <v>No</v>
      </c>
      <c r="E12" s="32" t="str">
        <f>Table9[[#This Row],[National Average]]</f>
        <v>n/a</v>
      </c>
      <c r="F12" s="32">
        <f>Table9[[#This Row],[Year 1]]</f>
        <v>2006</v>
      </c>
      <c r="G12" s="32"/>
      <c r="H12" s="14" t="str">
        <f t="shared" si="1"/>
        <v>No</v>
      </c>
      <c r="I12" s="32">
        <f>Table9[[#This Row],[National Average2]]</f>
        <v>90.4401242733</v>
      </c>
      <c r="J12" s="32">
        <f>Table9[[#This Row],[Year 2]]</f>
        <v>2006</v>
      </c>
      <c r="K12" s="32"/>
      <c r="L12" s="14" t="s">
        <v>154</v>
      </c>
      <c r="M12" s="32">
        <f>Table9[[#This Row],[National Average3]]</f>
        <v>0</v>
      </c>
      <c r="N12" s="32">
        <f>Table9[[#This Row],[Year 3]]</f>
        <v>2014</v>
      </c>
      <c r="O12" s="32"/>
      <c r="P12" s="14" t="str">
        <f t="shared" si="3"/>
        <v>No</v>
      </c>
      <c r="Q12" s="32" t="str">
        <f>Table9[[#This Row],[National Average4]]</f>
        <v>n/a</v>
      </c>
      <c r="R12" s="32">
        <f>Table9[[#This Row],[Year 4]]</f>
        <v>2006</v>
      </c>
      <c r="S12" s="32"/>
      <c r="T12" s="14" t="s">
        <v>154</v>
      </c>
      <c r="U12" s="32"/>
      <c r="V12" s="32"/>
      <c r="W12" s="32"/>
      <c r="X12" s="14" t="str">
        <f t="shared" si="7"/>
        <v>No</v>
      </c>
      <c r="Y12" s="32" t="str">
        <f>Table9[[#This Row],[National Average6]]</f>
        <v>n/a</v>
      </c>
      <c r="Z12" s="32">
        <f>Table9[[#This Row],[Year 6]]</f>
        <v>2006</v>
      </c>
      <c r="AA12" s="32"/>
      <c r="AB12" s="14" t="str">
        <f t="shared" si="4"/>
        <v>No</v>
      </c>
      <c r="AC12" s="32" t="str">
        <f>Table9[[#This Row],[National Average7]]</f>
        <v>n/a</v>
      </c>
      <c r="AD12" s="32">
        <f>Table9[[#This Row],[Year 7]]</f>
        <v>2006</v>
      </c>
      <c r="AE12" s="32"/>
      <c r="AF12" s="14" t="str">
        <f t="shared" si="5"/>
        <v>No</v>
      </c>
      <c r="AG12" s="32">
        <f>Table9[[#This Row],[National Average8]]</f>
        <v>47.3698943853</v>
      </c>
      <c r="AH12" s="32">
        <f>Table9[[#This Row],[Year 8]]</f>
        <v>2006</v>
      </c>
      <c r="AI12" s="32"/>
    </row>
    <row r="13" spans="1:35" x14ac:dyDescent="0.2">
      <c r="A13" s="10" t="s">
        <v>11</v>
      </c>
      <c r="B13" s="14" t="str">
        <f t="shared" si="0"/>
        <v>No</v>
      </c>
      <c r="C13" s="32"/>
      <c r="D13" s="14" t="str">
        <f t="shared" si="9"/>
        <v>No</v>
      </c>
      <c r="E13" s="32">
        <f>Table9[[#This Row],[National Average]]</f>
        <v>39.765071868900002</v>
      </c>
      <c r="F13" s="32">
        <f>Table9[[#This Row],[Year 1]]</f>
        <v>2010</v>
      </c>
      <c r="G13" s="32"/>
      <c r="H13" s="14" t="str">
        <f t="shared" si="1"/>
        <v>No</v>
      </c>
      <c r="I13" s="32">
        <f>Table9[[#This Row],[National Average2]]</f>
        <v>33.667540550199995</v>
      </c>
      <c r="J13" s="32">
        <f>Table9[[#This Row],[Year 2]]</f>
        <v>2010</v>
      </c>
      <c r="K13" s="32"/>
      <c r="L13" s="14" t="str">
        <f t="shared" si="2"/>
        <v>Yes</v>
      </c>
      <c r="M13" s="32">
        <f>Table9[[#This Row],[National Average3]]</f>
        <v>62.089937338739396</v>
      </c>
      <c r="N13" s="32">
        <f>Table9[[#This Row],[Year 3]]</f>
        <v>2014</v>
      </c>
      <c r="O13" s="32"/>
      <c r="P13" s="14" t="str">
        <f t="shared" si="3"/>
        <v>No</v>
      </c>
      <c r="Q13" s="32">
        <f>Table9[[#This Row],[National Average4]]</f>
        <v>67.146486043899998</v>
      </c>
      <c r="R13" s="32">
        <f>Table9[[#This Row],[Year 4]]</f>
        <v>2010</v>
      </c>
      <c r="S13" s="32"/>
      <c r="T13" s="14" t="str">
        <f t="shared" ref="T13:T14" si="10">IF(AND(U13&lt;&gt; "", V13&gt;2011), "Yes", "No")</f>
        <v>No</v>
      </c>
      <c r="U13" s="32">
        <f>Table9[[#This Row],[National Average5]]</f>
        <v>26.314136385899999</v>
      </c>
      <c r="V13" s="32">
        <f>Table9[[#This Row],[Year 5]]</f>
        <v>2010</v>
      </c>
      <c r="W13" s="32"/>
      <c r="X13" s="14" t="str">
        <f t="shared" si="7"/>
        <v>No</v>
      </c>
      <c r="Y13" s="32">
        <f>Table9[[#This Row],[National Average6]]</f>
        <v>26.155119999999997</v>
      </c>
      <c r="Z13" s="32">
        <f>Table9[[#This Row],[Year 6]]</f>
        <v>2010</v>
      </c>
      <c r="AA13" s="32"/>
      <c r="AB13" s="14" t="str">
        <f t="shared" si="4"/>
        <v>No</v>
      </c>
      <c r="AC13" s="32">
        <f>Table9[[#This Row],[National Average7]]</f>
        <v>89.519321918500012</v>
      </c>
      <c r="AD13" s="32">
        <f>Table9[[#This Row],[Year 7]]</f>
        <v>2010</v>
      </c>
      <c r="AE13" s="32"/>
      <c r="AF13" s="14" t="str">
        <f t="shared" si="5"/>
        <v>No</v>
      </c>
      <c r="AG13" s="32">
        <f>Table9[[#This Row],[National Average8]]</f>
        <v>55.473566055300005</v>
      </c>
      <c r="AH13" s="32">
        <f>Table9[[#This Row],[Year 8]]</f>
        <v>2010</v>
      </c>
      <c r="AI13" s="32"/>
    </row>
    <row r="14" spans="1:35" x14ac:dyDescent="0.2">
      <c r="A14" s="10" t="s">
        <v>12</v>
      </c>
      <c r="B14" s="14" t="str">
        <f t="shared" si="0"/>
        <v>No</v>
      </c>
      <c r="C14" s="32"/>
      <c r="D14" s="14" t="str">
        <f t="shared" si="9"/>
        <v>No</v>
      </c>
      <c r="E14" s="32">
        <f>Table9[[#This Row],[National Average]]</f>
        <v>40.291142463700005</v>
      </c>
      <c r="F14" s="32">
        <f>Table9[[#This Row],[Year 1]]</f>
        <v>2010</v>
      </c>
      <c r="G14" s="32"/>
      <c r="H14" s="14" t="str">
        <f t="shared" si="1"/>
        <v>No</v>
      </c>
      <c r="I14" s="32">
        <f>Table9[[#This Row],[National Average2]]</f>
        <v>33.393445610999997</v>
      </c>
      <c r="J14" s="32">
        <f>Table9[[#This Row],[Year 2]]</f>
        <v>2010</v>
      </c>
      <c r="K14" s="32"/>
      <c r="L14" s="14" t="str">
        <f t="shared" si="2"/>
        <v>Yes</v>
      </c>
      <c r="M14" s="32">
        <f>Table9[[#This Row],[National Average3]]</f>
        <v>57.915492957746487</v>
      </c>
      <c r="N14" s="32">
        <f>Table9[[#This Row],[Year 3]]</f>
        <v>2014</v>
      </c>
      <c r="O14" s="32"/>
      <c r="P14" s="14" t="str">
        <f t="shared" si="3"/>
        <v>No</v>
      </c>
      <c r="Q14" s="32">
        <f>Table9[[#This Row],[National Average4]]</f>
        <v>60.269713401799997</v>
      </c>
      <c r="R14" s="32">
        <f>Table9[[#This Row],[Year 4]]</f>
        <v>2010</v>
      </c>
      <c r="S14" s="32"/>
      <c r="T14" s="14" t="str">
        <f t="shared" si="10"/>
        <v>No</v>
      </c>
      <c r="U14" s="32">
        <f>Table9[[#This Row],[National Average5]]</f>
        <v>7.5212441384999993</v>
      </c>
      <c r="V14" s="32">
        <f>Table9[[#This Row],[Year 5]]</f>
        <v>2010</v>
      </c>
      <c r="W14" s="32"/>
      <c r="X14" s="14" t="str">
        <f t="shared" si="7"/>
        <v>No</v>
      </c>
      <c r="Y14" s="32">
        <f>Table9[[#This Row],[National Average6]]</f>
        <v>73.870130000000003</v>
      </c>
      <c r="Z14" s="32">
        <f>Table9[[#This Row],[Year 6]]</f>
        <v>2010</v>
      </c>
      <c r="AA14" s="32"/>
      <c r="AB14" s="14" t="str">
        <f t="shared" si="4"/>
        <v>No</v>
      </c>
      <c r="AC14" s="32">
        <f>Table9[[#This Row],[National Average7]]</f>
        <v>95.749050378800007</v>
      </c>
      <c r="AD14" s="32">
        <f>Table9[[#This Row],[Year 7]]</f>
        <v>2010</v>
      </c>
      <c r="AE14" s="32"/>
      <c r="AF14" s="14" t="str">
        <f t="shared" si="5"/>
        <v>No</v>
      </c>
      <c r="AG14" s="32">
        <f>Table9[[#This Row],[National Average8]]</f>
        <v>54.662966728200004</v>
      </c>
      <c r="AH14" s="32">
        <f>Table9[[#This Row],[Year 8]]</f>
        <v>2010</v>
      </c>
      <c r="AI14" s="32"/>
    </row>
    <row r="15" spans="1:35" x14ac:dyDescent="0.2">
      <c r="A15" s="10" t="s">
        <v>13</v>
      </c>
      <c r="B15" s="14" t="str">
        <f t="shared" si="0"/>
        <v>No</v>
      </c>
      <c r="C15" s="32"/>
      <c r="D15" s="14" t="str">
        <f t="shared" si="9"/>
        <v>No</v>
      </c>
      <c r="E15" s="32">
        <f>Table9[[#This Row],[National Average]]</f>
        <v>75.5851626396</v>
      </c>
      <c r="F15" s="32">
        <f>Table9[[#This Row],[Year 1]]</f>
        <v>2010</v>
      </c>
      <c r="G15" s="32"/>
      <c r="H15" s="14" t="str">
        <f t="shared" si="1"/>
        <v>No</v>
      </c>
      <c r="I15" s="32">
        <f>Table9[[#This Row],[National Average2]]</f>
        <v>59.364950656899993</v>
      </c>
      <c r="J15" s="32">
        <f>Table9[[#This Row],[Year 2]]</f>
        <v>2010</v>
      </c>
      <c r="K15" s="32"/>
      <c r="L15" s="14" t="str">
        <f t="shared" si="2"/>
        <v>Yes</v>
      </c>
      <c r="M15" s="32">
        <f>Table9[[#This Row],[National Average3]]</f>
        <v>79.482439926062838</v>
      </c>
      <c r="N15" s="32">
        <f>Table9[[#This Row],[Year 3]]</f>
        <v>2014</v>
      </c>
      <c r="O15" s="32"/>
      <c r="P15" s="14" t="str">
        <f t="shared" si="3"/>
        <v>No</v>
      </c>
      <c r="Q15" s="32">
        <f>Table9[[#This Row],[National Average4]]</f>
        <v>71.026653051400004</v>
      </c>
      <c r="R15" s="32">
        <f>Table9[[#This Row],[Year 4]]</f>
        <v>2010</v>
      </c>
      <c r="S15" s="32"/>
      <c r="T15" s="14" t="s">
        <v>154</v>
      </c>
      <c r="U15" s="32"/>
      <c r="V15" s="32"/>
      <c r="W15" s="32"/>
      <c r="X15" s="14" t="str">
        <f t="shared" si="7"/>
        <v>No</v>
      </c>
      <c r="Y15" s="32">
        <f>Table9[[#This Row],[National Average6]]</f>
        <v>72.792209999999997</v>
      </c>
      <c r="Z15" s="32">
        <f>Table9[[#This Row],[Year 6]]</f>
        <v>2010</v>
      </c>
      <c r="AA15" s="32"/>
      <c r="AB15" s="14" t="str">
        <f t="shared" si="4"/>
        <v>No</v>
      </c>
      <c r="AC15" s="32">
        <f>Table9[[#This Row],[National Average7]]</f>
        <v>84.812855720499996</v>
      </c>
      <c r="AD15" s="32">
        <f>Table9[[#This Row],[Year 7]]</f>
        <v>2010</v>
      </c>
      <c r="AE15" s="32"/>
      <c r="AF15" s="14" t="str">
        <f t="shared" si="5"/>
        <v>No</v>
      </c>
      <c r="AG15" s="32">
        <f>Table9[[#This Row],[National Average8]]</f>
        <v>76.7024457455</v>
      </c>
      <c r="AH15" s="32">
        <f>Table9[[#This Row],[Year 8]]</f>
        <v>2010</v>
      </c>
      <c r="AI15" s="32"/>
    </row>
    <row r="16" spans="1:35" x14ac:dyDescent="0.2">
      <c r="A16" s="10" t="s">
        <v>14</v>
      </c>
      <c r="B16" s="14" t="str">
        <f t="shared" si="0"/>
        <v>No</v>
      </c>
      <c r="C16" s="32"/>
      <c r="D16" s="14" t="str">
        <f t="shared" si="9"/>
        <v>No</v>
      </c>
      <c r="E16" s="32">
        <f>Table9[[#This Row],[National Average]]</f>
        <v>49.866169691099998</v>
      </c>
      <c r="F16" s="32">
        <f>Table9[[#This Row],[Year 1]]</f>
        <v>2011</v>
      </c>
      <c r="G16" s="32"/>
      <c r="H16" s="14" t="str">
        <f t="shared" si="1"/>
        <v>No</v>
      </c>
      <c r="I16" s="32">
        <f>Table9[[#This Row],[National Average2]]</f>
        <v>62.185668945300002</v>
      </c>
      <c r="J16" s="32">
        <f>Table9[[#This Row],[Year 2]]</f>
        <v>2011</v>
      </c>
      <c r="K16" s="32"/>
      <c r="L16" s="14" t="str">
        <f t="shared" si="2"/>
        <v>Yes</v>
      </c>
      <c r="M16" s="32">
        <f>Table9[[#This Row],[National Average3]]</f>
        <v>60.630559916274208</v>
      </c>
      <c r="N16" s="32">
        <f>Table9[[#This Row],[Year 3]]</f>
        <v>2014</v>
      </c>
      <c r="O16" s="32"/>
      <c r="P16" s="14" t="str">
        <f t="shared" si="3"/>
        <v>No</v>
      </c>
      <c r="Q16" s="32">
        <f>Table9[[#This Row],[National Average4]]</f>
        <v>63.567709922799999</v>
      </c>
      <c r="R16" s="32">
        <f>Table9[[#This Row],[Year 4]]</f>
        <v>2011</v>
      </c>
      <c r="S16" s="32"/>
      <c r="T16" s="14" t="s">
        <v>154</v>
      </c>
      <c r="U16" s="32"/>
      <c r="V16" s="32"/>
      <c r="W16" s="32"/>
      <c r="X16" s="14" t="str">
        <f t="shared" si="7"/>
        <v>No</v>
      </c>
      <c r="Y16" s="32">
        <f>Table9[[#This Row],[National Average6]]</f>
        <v>20.803699999999999</v>
      </c>
      <c r="Z16" s="32">
        <f>Table9[[#This Row],[Year 6]]</f>
        <v>2011</v>
      </c>
      <c r="AA16" s="32"/>
      <c r="AB16" s="14" t="str">
        <f t="shared" si="4"/>
        <v>No</v>
      </c>
      <c r="AC16" s="32">
        <f>Table9[[#This Row],[National Average7]]</f>
        <v>68.784785270699999</v>
      </c>
      <c r="AD16" s="32">
        <f>Table9[[#This Row],[Year 7]]</f>
        <v>2011</v>
      </c>
      <c r="AE16" s="32"/>
      <c r="AF16" s="14" t="str">
        <f t="shared" si="5"/>
        <v>No</v>
      </c>
      <c r="AG16" s="32">
        <f>Table9[[#This Row],[National Average8]]</f>
        <v>29.9443364143</v>
      </c>
      <c r="AH16" s="32">
        <f>Table9[[#This Row],[Year 8]]</f>
        <v>2011</v>
      </c>
      <c r="AI16" s="32"/>
    </row>
    <row r="17" spans="1:35" x14ac:dyDescent="0.2">
      <c r="A17" s="10" t="s">
        <v>15</v>
      </c>
      <c r="B17" s="14" t="str">
        <f t="shared" si="0"/>
        <v>No</v>
      </c>
      <c r="C17" s="32"/>
      <c r="D17" s="14" t="str">
        <f t="shared" si="9"/>
        <v>No</v>
      </c>
      <c r="E17" s="32">
        <f>Table9[[#This Row],[National Average]]</f>
        <v>36.290815472600002</v>
      </c>
      <c r="F17" s="32">
        <f>Table9[[#This Row],[Year 1]]</f>
        <v>2010</v>
      </c>
      <c r="G17" s="32"/>
      <c r="H17" s="14" t="str">
        <f t="shared" si="1"/>
        <v>No</v>
      </c>
      <c r="I17" s="32">
        <f>Table9[[#This Row],[National Average2]]</f>
        <v>38.133588433299998</v>
      </c>
      <c r="J17" s="32">
        <f>Table9[[#This Row],[Year 2]]</f>
        <v>2010</v>
      </c>
      <c r="K17" s="32"/>
      <c r="L17" s="14" t="str">
        <f t="shared" si="2"/>
        <v>Yes</v>
      </c>
      <c r="M17" s="32">
        <f>Table9[[#This Row],[National Average3]]</f>
        <v>33.075767332045501</v>
      </c>
      <c r="N17" s="32">
        <f>Table9[[#This Row],[Year 3]]</f>
        <v>2014</v>
      </c>
      <c r="O17" s="32"/>
      <c r="P17" s="14" t="str">
        <f t="shared" si="3"/>
        <v>No</v>
      </c>
      <c r="Q17" s="32">
        <f>Table9[[#This Row],[National Average4]]</f>
        <v>53.814452886599994</v>
      </c>
      <c r="R17" s="32">
        <f>Table9[[#This Row],[Year 4]]</f>
        <v>2010</v>
      </c>
      <c r="S17" s="32"/>
      <c r="T17" s="14" t="s">
        <v>154</v>
      </c>
      <c r="U17" s="32"/>
      <c r="V17" s="32"/>
      <c r="W17" s="32"/>
      <c r="X17" s="14" t="str">
        <f t="shared" si="7"/>
        <v>No</v>
      </c>
      <c r="Y17" s="32">
        <f>Table9[[#This Row],[National Average6]]</f>
        <v>33.447769999999998</v>
      </c>
      <c r="Z17" s="32">
        <f>Table9[[#This Row],[Year 6]]</f>
        <v>2010</v>
      </c>
      <c r="AA17" s="32"/>
      <c r="AB17" s="14" t="str">
        <f t="shared" si="4"/>
        <v>No</v>
      </c>
      <c r="AC17" s="32">
        <f>Table9[[#This Row],[National Average7]]</f>
        <v>32.126826047899996</v>
      </c>
      <c r="AD17" s="32">
        <f>Table9[[#This Row],[Year 7]]</f>
        <v>2010</v>
      </c>
      <c r="AE17" s="32"/>
      <c r="AF17" s="14" t="str">
        <f t="shared" si="5"/>
        <v>No</v>
      </c>
      <c r="AG17" s="32">
        <f>Table9[[#This Row],[National Average8]]</f>
        <v>29.8106491566</v>
      </c>
      <c r="AH17" s="32">
        <f>Table9[[#This Row],[Year 8]]</f>
        <v>2010</v>
      </c>
      <c r="AI17" s="32"/>
    </row>
    <row r="18" spans="1:35" x14ac:dyDescent="0.2">
      <c r="A18" s="10" t="s">
        <v>16</v>
      </c>
      <c r="B18" s="14" t="str">
        <f t="shared" si="0"/>
        <v>No</v>
      </c>
      <c r="C18" s="32"/>
      <c r="D18" s="14" t="str">
        <f t="shared" si="9"/>
        <v>No</v>
      </c>
      <c r="E18" s="32">
        <f>Table9[[#This Row],[National Average]]</f>
        <v>11.8149623275</v>
      </c>
      <c r="F18" s="32">
        <f>Table9[[#This Row],[Year 1]]</f>
        <v>2010</v>
      </c>
      <c r="G18" s="32"/>
      <c r="H18" s="14" t="str">
        <f t="shared" si="1"/>
        <v>No</v>
      </c>
      <c r="I18" s="32">
        <f>Table9[[#This Row],[National Average2]]</f>
        <v>23.152258</v>
      </c>
      <c r="J18" s="32">
        <f>Table9[[#This Row],[Year 2]]</f>
        <v>2010</v>
      </c>
      <c r="K18" s="32"/>
      <c r="L18" s="14" t="str">
        <f t="shared" si="2"/>
        <v>Yes</v>
      </c>
      <c r="M18" s="32">
        <f>Table9[[#This Row],[National Average3]]</f>
        <v>18.696664080682702</v>
      </c>
      <c r="N18" s="32">
        <f>Table9[[#This Row],[Year 3]]</f>
        <v>2014</v>
      </c>
      <c r="O18" s="32"/>
      <c r="P18" s="14" t="str">
        <f t="shared" si="3"/>
        <v>No</v>
      </c>
      <c r="Q18" s="32">
        <f>Table9[[#This Row],[National Average4]]</f>
        <v>22.713702999999999</v>
      </c>
      <c r="R18" s="32">
        <f>Table9[[#This Row],[Year 4]]</f>
        <v>2010</v>
      </c>
      <c r="S18" s="32"/>
      <c r="T18" s="14" t="s">
        <v>154</v>
      </c>
      <c r="U18" s="32"/>
      <c r="V18" s="32"/>
      <c r="W18" s="32"/>
      <c r="X18" s="14" t="str">
        <f t="shared" si="7"/>
        <v>No</v>
      </c>
      <c r="Y18" s="32">
        <f>Table9[[#This Row],[National Average6]]</f>
        <v>3.401805</v>
      </c>
      <c r="Z18" s="32">
        <f>Table9[[#This Row],[Year 6]]</f>
        <v>2010</v>
      </c>
      <c r="AA18" s="32"/>
      <c r="AB18" s="14" t="str">
        <f t="shared" si="4"/>
        <v>No</v>
      </c>
      <c r="AC18" s="32">
        <f>Table9[[#This Row],[National Average7]]</f>
        <v>19.511368999999998</v>
      </c>
      <c r="AD18" s="32">
        <f>Table9[[#This Row],[Year 7]]</f>
        <v>2010</v>
      </c>
      <c r="AE18" s="32"/>
      <c r="AF18" s="14" t="str">
        <f t="shared" si="5"/>
        <v>No</v>
      </c>
      <c r="AG18" s="32">
        <f>Table9[[#This Row],[National Average8]]</f>
        <v>26.114865999999999</v>
      </c>
      <c r="AH18" s="32">
        <f>Table9[[#This Row],[Year 8]]</f>
        <v>2010</v>
      </c>
      <c r="AI18" s="32"/>
    </row>
    <row r="19" spans="1:35" x14ac:dyDescent="0.2">
      <c r="A19" s="10" t="s">
        <v>17</v>
      </c>
      <c r="B19" s="14" t="str">
        <f t="shared" si="0"/>
        <v>No</v>
      </c>
      <c r="C19" s="32"/>
      <c r="D19" s="14" t="str">
        <f t="shared" si="9"/>
        <v>No</v>
      </c>
      <c r="E19" s="32" t="str">
        <f>Table9[[#This Row],[National Average]]</f>
        <v>No data</v>
      </c>
      <c r="F19" s="32">
        <f>Table9[[#This Row],[Year 1]]</f>
        <v>0</v>
      </c>
      <c r="G19" s="32"/>
      <c r="H19" s="14" t="s">
        <v>154</v>
      </c>
      <c r="I19" s="32"/>
      <c r="J19" s="32"/>
      <c r="K19" s="32"/>
      <c r="L19" s="14" t="s">
        <v>154</v>
      </c>
      <c r="M19" s="32">
        <f>Table9[[#This Row],[National Average3]]</f>
        <v>0</v>
      </c>
      <c r="N19" s="32">
        <f>Table9[[#This Row],[Year 3]]</f>
        <v>2014</v>
      </c>
      <c r="O19" s="32"/>
      <c r="P19" s="14" t="str">
        <f t="shared" si="3"/>
        <v>No</v>
      </c>
      <c r="Q19" s="32" t="str">
        <f>Table9[[#This Row],[National Average4]]</f>
        <v>No data</v>
      </c>
      <c r="R19" s="32">
        <f>Table9[[#This Row],[Year 4]]</f>
        <v>0</v>
      </c>
      <c r="S19" s="32"/>
      <c r="T19" s="14" t="s">
        <v>154</v>
      </c>
      <c r="U19" s="32"/>
      <c r="V19" s="32"/>
      <c r="W19" s="32"/>
      <c r="X19" s="14" t="str">
        <f t="shared" si="7"/>
        <v>No</v>
      </c>
      <c r="Y19" s="32" t="str">
        <f>Table9[[#This Row],[National Average6]]</f>
        <v>No data</v>
      </c>
      <c r="Z19" s="32">
        <f>Table9[[#This Row],[Year 6]]</f>
        <v>0</v>
      </c>
      <c r="AA19" s="32"/>
      <c r="AB19" s="14" t="str">
        <f t="shared" si="4"/>
        <v>No</v>
      </c>
      <c r="AC19" s="32" t="str">
        <f>Table9[[#This Row],[National Average7]]</f>
        <v>No data</v>
      </c>
      <c r="AD19" s="32">
        <f>Table9[[#This Row],[Year 7]]</f>
        <v>0</v>
      </c>
      <c r="AE19" s="32"/>
      <c r="AF19" s="14" t="s">
        <v>154</v>
      </c>
      <c r="AG19" s="32"/>
      <c r="AH19" s="32"/>
      <c r="AI19" s="32"/>
    </row>
    <row r="20" spans="1:35" x14ac:dyDescent="0.2">
      <c r="A20" s="10" t="s">
        <v>18</v>
      </c>
      <c r="B20" s="14" t="str">
        <f t="shared" si="0"/>
        <v>No</v>
      </c>
      <c r="C20" s="32"/>
      <c r="D20" s="14" t="str">
        <f t="shared" si="9"/>
        <v>Yes</v>
      </c>
      <c r="E20" s="32">
        <f>Table9[[#This Row],[National Average]]</f>
        <v>37.448219999999999</v>
      </c>
      <c r="F20" s="32">
        <f>Table9[[#This Row],[Year 1]]</f>
        <v>2012</v>
      </c>
      <c r="G20" s="32"/>
      <c r="H20" s="14" t="str">
        <f t="shared" ref="H20:H32" si="11">IF(AND(I20&lt;&gt; "", J20&gt;2011), "Yes", "No")</f>
        <v>Yes</v>
      </c>
      <c r="I20" s="32">
        <f>Table9[[#This Row],[National Average2]]</f>
        <v>48.888480000000001</v>
      </c>
      <c r="J20" s="32">
        <f>Table9[[#This Row],[Year 2]]</f>
        <v>2012</v>
      </c>
      <c r="K20" s="32"/>
      <c r="L20" s="14" t="s">
        <v>154</v>
      </c>
      <c r="M20" s="32">
        <f>Table9[[#This Row],[National Average3]]</f>
        <v>0</v>
      </c>
      <c r="N20" s="32">
        <f>Table9[[#This Row],[Year 3]]</f>
        <v>2014</v>
      </c>
      <c r="O20" s="32"/>
      <c r="P20" s="14" t="str">
        <f t="shared" si="3"/>
        <v>Yes</v>
      </c>
      <c r="Q20" s="32">
        <f>Table9[[#This Row],[National Average4]]</f>
        <v>82.183669999999992</v>
      </c>
      <c r="R20" s="32">
        <f>Table9[[#This Row],[Year 4]]</f>
        <v>2012</v>
      </c>
      <c r="S20" s="32"/>
      <c r="T20" s="14" t="str">
        <f t="shared" ref="T20:T22" si="12">IF(AND(U20&lt;&gt; "", V20&gt;2011), "Yes", "No")</f>
        <v>Yes</v>
      </c>
      <c r="U20" s="32">
        <f>Table9[[#This Row],[National Average5]]</f>
        <v>13.689390000000001</v>
      </c>
      <c r="V20" s="32">
        <f>Table9[[#This Row],[Year 5]]</f>
        <v>2012</v>
      </c>
      <c r="W20" s="32"/>
      <c r="X20" s="14" t="str">
        <f t="shared" si="7"/>
        <v>Yes</v>
      </c>
      <c r="Y20" s="32" t="str">
        <f>Table9[[#This Row],[National Average6]]</f>
        <v>n/a</v>
      </c>
      <c r="Z20" s="32">
        <f>Table9[[#This Row],[Year 6]]</f>
        <v>2012</v>
      </c>
      <c r="AA20" s="32"/>
      <c r="AB20" s="14" t="str">
        <f t="shared" si="4"/>
        <v>Yes</v>
      </c>
      <c r="AC20" s="32">
        <f>Table9[[#This Row],[National Average7]]</f>
        <v>73.083430000000007</v>
      </c>
      <c r="AD20" s="32">
        <f>Table9[[#This Row],[Year 7]]</f>
        <v>2012</v>
      </c>
      <c r="AE20" s="32"/>
      <c r="AF20" s="14" t="str">
        <f t="shared" ref="AF20:AF48" si="13">IF(AND(AG20&lt;&gt; "", AH20&gt;2011), "Yes", "No")</f>
        <v>Yes</v>
      </c>
      <c r="AG20" s="32">
        <f>Table9[[#This Row],[National Average8]]</f>
        <v>38.138339999999999</v>
      </c>
      <c r="AH20" s="32">
        <f>Table9[[#This Row],[Year 8]]</f>
        <v>2012</v>
      </c>
      <c r="AI20" s="32"/>
    </row>
    <row r="21" spans="1:35" x14ac:dyDescent="0.2">
      <c r="A21" s="10" t="s">
        <v>19</v>
      </c>
      <c r="B21" s="14" t="str">
        <f t="shared" si="0"/>
        <v>No</v>
      </c>
      <c r="C21" s="32"/>
      <c r="D21" s="14" t="str">
        <f t="shared" si="9"/>
        <v>No</v>
      </c>
      <c r="E21" s="32">
        <f>Table9[[#This Row],[National Average]]</f>
        <v>70.897555351299999</v>
      </c>
      <c r="F21" s="32">
        <f>Table9[[#This Row],[Year 1]]</f>
        <v>2011</v>
      </c>
      <c r="G21" s="32"/>
      <c r="H21" s="14" t="str">
        <f t="shared" si="11"/>
        <v>No</v>
      </c>
      <c r="I21" s="32">
        <f>Table9[[#This Row],[National Average2]]</f>
        <v>78.906172513999991</v>
      </c>
      <c r="J21" s="32">
        <f>Table9[[#This Row],[Year 2]]</f>
        <v>2011</v>
      </c>
      <c r="K21" s="32"/>
      <c r="L21" s="14" t="str">
        <f>IF(AND(M21&lt;&gt; "", N21&gt;2011), "Yes", "No")</f>
        <v>Yes</v>
      </c>
      <c r="M21" s="32">
        <f>Table9[[#This Row],[National Average3]]</f>
        <v>22.894092974484444</v>
      </c>
      <c r="N21" s="32">
        <f>Table9[[#This Row],[Year 3]]</f>
        <v>2014</v>
      </c>
      <c r="O21" s="32"/>
      <c r="P21" s="14" t="str">
        <f t="shared" si="3"/>
        <v>No</v>
      </c>
      <c r="Q21" s="32">
        <f>Table9[[#This Row],[National Average4]]</f>
        <v>93.554145097700001</v>
      </c>
      <c r="R21" s="32">
        <f>Table9[[#This Row],[Year 4]]</f>
        <v>2011</v>
      </c>
      <c r="S21" s="32"/>
      <c r="T21" s="14" t="str">
        <f t="shared" si="12"/>
        <v>No</v>
      </c>
      <c r="U21" s="32">
        <f>Table9[[#This Row],[National Average5]]</f>
        <v>28.108033537900003</v>
      </c>
      <c r="V21" s="32">
        <f>Table9[[#This Row],[Year 5]]</f>
        <v>2011</v>
      </c>
      <c r="W21" s="32"/>
      <c r="X21" s="14" t="str">
        <f t="shared" si="7"/>
        <v>No</v>
      </c>
      <c r="Y21" s="32">
        <f>Table9[[#This Row],[National Average6]]</f>
        <v>20.489150000000002</v>
      </c>
      <c r="Z21" s="32">
        <f>Table9[[#This Row],[Year 6]]</f>
        <v>2011</v>
      </c>
      <c r="AA21" s="32"/>
      <c r="AB21" s="14" t="str">
        <f t="shared" si="4"/>
        <v>No</v>
      </c>
      <c r="AC21" s="32">
        <f>Table9[[#This Row],[National Average7]]</f>
        <v>69.126659631700008</v>
      </c>
      <c r="AD21" s="32">
        <f>Table9[[#This Row],[Year 7]]</f>
        <v>2011</v>
      </c>
      <c r="AE21" s="32"/>
      <c r="AF21" s="14" t="str">
        <f t="shared" si="13"/>
        <v>No</v>
      </c>
      <c r="AG21" s="32">
        <f>Table9[[#This Row],[National Average8]]</f>
        <v>52.103400230399998</v>
      </c>
      <c r="AH21" s="32">
        <f>Table9[[#This Row],[Year 8]]</f>
        <v>2011</v>
      </c>
      <c r="AI21" s="32"/>
    </row>
    <row r="22" spans="1:35" x14ac:dyDescent="0.2">
      <c r="A22" s="10" t="s">
        <v>20</v>
      </c>
      <c r="B22" s="14" t="str">
        <f t="shared" si="0"/>
        <v>No</v>
      </c>
      <c r="C22" s="32"/>
      <c r="D22" s="14" t="str">
        <f t="shared" si="9"/>
        <v>No</v>
      </c>
      <c r="E22" s="32">
        <f>Table9[[#This Row],[National Average]]</f>
        <v>40.136405825600001</v>
      </c>
      <c r="F22" s="32">
        <f>Table9[[#This Row],[Year 1]]</f>
        <v>2011</v>
      </c>
      <c r="G22" s="32"/>
      <c r="H22" s="14" t="str">
        <f t="shared" si="11"/>
        <v>No</v>
      </c>
      <c r="I22" s="32">
        <f>Table9[[#This Row],[National Average2]]</f>
        <v>44.166025519400002</v>
      </c>
      <c r="J22" s="32">
        <f>Table9[[#This Row],[Year 2]]</f>
        <v>2011</v>
      </c>
      <c r="K22" s="32"/>
      <c r="L22" s="14" t="str">
        <f>IF(AND(M22&lt;&gt; "", N22&gt;2011), "Yes", "No")</f>
        <v>Yes</v>
      </c>
      <c r="M22" s="32">
        <f>Table9[[#This Row],[National Average3]]</f>
        <v>74.5917275391988</v>
      </c>
      <c r="N22" s="32">
        <f>Table9[[#This Row],[Year 3]]</f>
        <v>2014</v>
      </c>
      <c r="O22" s="32"/>
      <c r="P22" s="14" t="str">
        <f t="shared" si="3"/>
        <v>No</v>
      </c>
      <c r="Q22" s="32">
        <f>Table9[[#This Row],[National Average4]]</f>
        <v>59.4240069389</v>
      </c>
      <c r="R22" s="32">
        <f>Table9[[#This Row],[Year 4]]</f>
        <v>2011</v>
      </c>
      <c r="S22" s="32"/>
      <c r="T22" s="14" t="str">
        <f t="shared" si="12"/>
        <v>No</v>
      </c>
      <c r="U22" s="32">
        <f>Table9[[#This Row],[National Average5]]</f>
        <v>34.502741694500003</v>
      </c>
      <c r="V22" s="32">
        <f>Table9[[#This Row],[Year 5]]</f>
        <v>2011</v>
      </c>
      <c r="W22" s="32"/>
      <c r="X22" s="14" t="str">
        <f t="shared" si="7"/>
        <v>No</v>
      </c>
      <c r="Y22" s="32">
        <f>Table9[[#This Row],[National Average6]]</f>
        <v>12.14165</v>
      </c>
      <c r="Z22" s="32">
        <f>Table9[[#This Row],[Year 6]]</f>
        <v>2011</v>
      </c>
      <c r="AA22" s="32"/>
      <c r="AB22" s="14" t="str">
        <f t="shared" si="4"/>
        <v>No</v>
      </c>
      <c r="AC22" s="32">
        <f>Table9[[#This Row],[National Average7]]</f>
        <v>63.831335306199996</v>
      </c>
      <c r="AD22" s="32">
        <f>Table9[[#This Row],[Year 7]]</f>
        <v>2011</v>
      </c>
      <c r="AE22" s="32"/>
      <c r="AF22" s="14" t="str">
        <f t="shared" si="13"/>
        <v>No</v>
      </c>
      <c r="AG22" s="32">
        <f>Table9[[#This Row],[National Average8]]</f>
        <v>38.171771168700005</v>
      </c>
      <c r="AH22" s="32">
        <f>Table9[[#This Row],[Year 8]]</f>
        <v>2011</v>
      </c>
      <c r="AI22" s="32"/>
    </row>
    <row r="23" spans="1:35" x14ac:dyDescent="0.2">
      <c r="A23" s="10" t="s">
        <v>21</v>
      </c>
      <c r="B23" s="14" t="str">
        <f t="shared" si="0"/>
        <v>No</v>
      </c>
      <c r="C23" s="32"/>
      <c r="D23" s="14" t="str">
        <f t="shared" si="9"/>
        <v>No</v>
      </c>
      <c r="E23" s="32" t="str">
        <f>Table9[[#This Row],[National Average]]</f>
        <v>No data</v>
      </c>
      <c r="F23" s="32">
        <f>Table9[[#This Row],[Year 1]]</f>
        <v>0</v>
      </c>
      <c r="G23" s="32"/>
      <c r="H23" s="14" t="str">
        <f t="shared" si="11"/>
        <v>No</v>
      </c>
      <c r="I23" s="32" t="str">
        <f>Table9[[#This Row],[National Average2]]</f>
        <v>No data</v>
      </c>
      <c r="J23" s="32">
        <f>Table9[[#This Row],[Year 2]]</f>
        <v>0</v>
      </c>
      <c r="K23" s="32"/>
      <c r="L23" s="14" t="s">
        <v>154</v>
      </c>
      <c r="M23" s="32">
        <f>Table9[[#This Row],[National Average3]]</f>
        <v>0</v>
      </c>
      <c r="N23" s="32">
        <f>Table9[[#This Row],[Year 3]]</f>
        <v>2014</v>
      </c>
      <c r="O23" s="32"/>
      <c r="P23" s="14" t="str">
        <f t="shared" si="3"/>
        <v>No</v>
      </c>
      <c r="Q23" s="32" t="str">
        <f>Table9[[#This Row],[National Average4]]</f>
        <v>No data</v>
      </c>
      <c r="R23" s="32">
        <f>Table9[[#This Row],[Year 4]]</f>
        <v>0</v>
      </c>
      <c r="S23" s="32"/>
      <c r="T23" s="14" t="s">
        <v>154</v>
      </c>
      <c r="U23" s="32"/>
      <c r="V23" s="32"/>
      <c r="W23" s="32"/>
      <c r="X23" s="14" t="str">
        <f t="shared" si="7"/>
        <v>No</v>
      </c>
      <c r="Y23" s="32" t="str">
        <f>Table9[[#This Row],[National Average6]]</f>
        <v>No data</v>
      </c>
      <c r="Z23" s="32">
        <f>Table9[[#This Row],[Year 6]]</f>
        <v>0</v>
      </c>
      <c r="AA23" s="32"/>
      <c r="AB23" s="14" t="str">
        <f t="shared" si="4"/>
        <v>No</v>
      </c>
      <c r="AC23" s="32" t="str">
        <f>Table9[[#This Row],[National Average7]]</f>
        <v>No data</v>
      </c>
      <c r="AD23" s="32">
        <f>Table9[[#This Row],[Year 7]]</f>
        <v>0</v>
      </c>
      <c r="AE23" s="32"/>
      <c r="AF23" s="14" t="str">
        <f t="shared" si="13"/>
        <v>No</v>
      </c>
      <c r="AG23" s="32" t="str">
        <f>Table9[[#This Row],[National Average8]]</f>
        <v>No data</v>
      </c>
      <c r="AH23" s="32">
        <f>Table9[[#This Row],[Year 8]]</f>
        <v>0</v>
      </c>
      <c r="AI23" s="32"/>
    </row>
    <row r="24" spans="1:35" x14ac:dyDescent="0.2">
      <c r="A24" s="10" t="s">
        <v>22</v>
      </c>
      <c r="B24" s="14" t="str">
        <f t="shared" si="0"/>
        <v>Yes</v>
      </c>
      <c r="C24" s="32"/>
      <c r="D24" s="14" t="str">
        <f t="shared" si="9"/>
        <v>Yes</v>
      </c>
      <c r="E24" s="32">
        <f>Table9[[#This Row],[National Average]]</f>
        <v>42.476380000000006</v>
      </c>
      <c r="F24" s="32">
        <f>Table9[[#This Row],[Year 1]]</f>
        <v>2013</v>
      </c>
      <c r="G24" s="32"/>
      <c r="H24" s="14" t="str">
        <f t="shared" si="11"/>
        <v>Yes</v>
      </c>
      <c r="I24" s="32">
        <f>Table9[[#This Row],[National Average2]]</f>
        <v>47.99241</v>
      </c>
      <c r="J24" s="32">
        <f>Table9[[#This Row],[Year 2]]</f>
        <v>2013</v>
      </c>
      <c r="K24" s="32"/>
      <c r="L24" s="14" t="str">
        <f t="shared" ref="L24:L26" si="14">IF(AND(M24&lt;&gt; "", N24&gt;2011), "Yes", "No")</f>
        <v>Yes</v>
      </c>
      <c r="M24" s="32">
        <f>Table9[[#This Row],[National Average3]]</f>
        <v>33.421678294422577</v>
      </c>
      <c r="N24" s="32">
        <f>Table9[[#This Row],[Year 3]]</f>
        <v>2014</v>
      </c>
      <c r="O24" s="32"/>
      <c r="P24" s="14" t="str">
        <f t="shared" si="3"/>
        <v>Yes</v>
      </c>
      <c r="Q24" s="32">
        <f>Table9[[#This Row],[National Average4]]</f>
        <v>80.120850000000004</v>
      </c>
      <c r="R24" s="32">
        <f>Table9[[#This Row],[Year 4]]</f>
        <v>2013</v>
      </c>
      <c r="S24" s="32"/>
      <c r="T24" s="14" t="str">
        <f>IF(AND(U24&lt;&gt; "", V24&gt;2011), "Yes", "No")</f>
        <v>Yes</v>
      </c>
      <c r="U24" s="32">
        <f>Table9[[#This Row],[National Average5]]</f>
        <v>8.2291600000000003</v>
      </c>
      <c r="V24" s="32">
        <f>Table9[[#This Row],[Year 5]]</f>
        <v>2013</v>
      </c>
      <c r="W24" s="32"/>
      <c r="X24" s="14" t="str">
        <f t="shared" si="7"/>
        <v>Yes</v>
      </c>
      <c r="Y24" s="32" t="str">
        <f>Table9[[#This Row],[National Average6]]</f>
        <v>n/a</v>
      </c>
      <c r="Z24" s="32">
        <f>Table9[[#This Row],[Year 6]]</f>
        <v>2013</v>
      </c>
      <c r="AA24" s="32"/>
      <c r="AB24" s="14" t="str">
        <f t="shared" si="4"/>
        <v>Yes</v>
      </c>
      <c r="AC24" s="32">
        <f>Table9[[#This Row],[National Average7]]</f>
        <v>60.63617</v>
      </c>
      <c r="AD24" s="32">
        <f>Table9[[#This Row],[Year 7]]</f>
        <v>2013</v>
      </c>
      <c r="AE24" s="32"/>
      <c r="AF24" s="14" t="str">
        <f t="shared" si="13"/>
        <v>Yes</v>
      </c>
      <c r="AG24" s="32">
        <f>Table9[[#This Row],[National Average8]]</f>
        <v>41.640369999999997</v>
      </c>
      <c r="AH24" s="32">
        <f>Table9[[#This Row],[Year 8]]</f>
        <v>2013</v>
      </c>
      <c r="AI24" s="32"/>
    </row>
    <row r="25" spans="1:35" x14ac:dyDescent="0.2">
      <c r="A25" s="10" t="s">
        <v>23</v>
      </c>
      <c r="B25" s="14" t="str">
        <f t="shared" si="0"/>
        <v>No</v>
      </c>
      <c r="C25" s="32"/>
      <c r="D25" s="14" t="s">
        <v>154</v>
      </c>
      <c r="E25" s="32"/>
      <c r="F25" s="32"/>
      <c r="G25" s="32"/>
      <c r="H25" s="14" t="str">
        <f t="shared" si="11"/>
        <v>No</v>
      </c>
      <c r="I25" s="32" t="str">
        <f>Table9[[#This Row],[National Average2]]</f>
        <v>n/a</v>
      </c>
      <c r="J25" s="32">
        <f>Table9[[#This Row],[Year 2]]</f>
        <v>2006</v>
      </c>
      <c r="K25" s="32"/>
      <c r="L25" s="14" t="str">
        <f t="shared" si="14"/>
        <v>Yes</v>
      </c>
      <c r="M25" s="32">
        <f>Table9[[#This Row],[National Average3]]</f>
        <v>36.283185840707965</v>
      </c>
      <c r="N25" s="32">
        <f>Table9[[#This Row],[Year 3]]</f>
        <v>2014</v>
      </c>
      <c r="O25" s="32"/>
      <c r="P25" s="14" t="str">
        <f t="shared" si="3"/>
        <v>No</v>
      </c>
      <c r="Q25" s="32">
        <f>Table9[[#This Row],[National Average4]]</f>
        <v>92.913800477999999</v>
      </c>
      <c r="R25" s="32">
        <f>Table9[[#This Row],[Year 4]]</f>
        <v>2006</v>
      </c>
      <c r="S25" s="32"/>
      <c r="T25" s="14" t="s">
        <v>154</v>
      </c>
      <c r="U25" s="32"/>
      <c r="V25" s="32"/>
      <c r="W25" s="32"/>
      <c r="X25" s="14" t="str">
        <f t="shared" si="7"/>
        <v>No</v>
      </c>
      <c r="Y25" s="32">
        <f>Table9[[#This Row],[National Average6]]</f>
        <v>1.2719400000000001</v>
      </c>
      <c r="Z25" s="32">
        <f>Table9[[#This Row],[Year 6]]</f>
        <v>2006</v>
      </c>
      <c r="AA25" s="32"/>
      <c r="AB25" s="14" t="str">
        <f t="shared" si="4"/>
        <v>No</v>
      </c>
      <c r="AC25" s="32">
        <f>Table9[[#This Row],[National Average7]]</f>
        <v>60.390245914499999</v>
      </c>
      <c r="AD25" s="32">
        <f>Table9[[#This Row],[Year 7]]</f>
        <v>2006</v>
      </c>
      <c r="AE25" s="32"/>
      <c r="AF25" s="14" t="str">
        <f t="shared" si="13"/>
        <v>No</v>
      </c>
      <c r="AG25" s="32">
        <f>Table9[[#This Row],[National Average8]]</f>
        <v>62.112283706699998</v>
      </c>
      <c r="AH25" s="32">
        <f>Table9[[#This Row],[Year 8]]</f>
        <v>2006</v>
      </c>
      <c r="AI25" s="32"/>
    </row>
    <row r="26" spans="1:35" x14ac:dyDescent="0.2">
      <c r="A26" s="10" t="s">
        <v>24</v>
      </c>
      <c r="B26" s="14" t="str">
        <f t="shared" si="0"/>
        <v>No</v>
      </c>
      <c r="C26" s="32"/>
      <c r="D26" s="14" t="str">
        <f t="shared" ref="D26:D64" si="15">IF(AND(E26&lt;&gt; "", F26&gt;2011), "Yes", "No")</f>
        <v>No</v>
      </c>
      <c r="E26" s="32">
        <f>Table9[[#This Row],[National Average]]</f>
        <v>86.9599997997</v>
      </c>
      <c r="F26" s="32">
        <f>Table9[[#This Row],[Year 1]]</f>
        <v>2008</v>
      </c>
      <c r="G26" s="32"/>
      <c r="H26" s="14" t="str">
        <f t="shared" si="11"/>
        <v>No</v>
      </c>
      <c r="I26" s="32">
        <f>Table9[[#This Row],[National Average2]]</f>
        <v>66.5185749531</v>
      </c>
      <c r="J26" s="32">
        <f>Table9[[#This Row],[Year 2]]</f>
        <v>2008</v>
      </c>
      <c r="K26" s="32"/>
      <c r="L26" s="14" t="str">
        <f t="shared" si="14"/>
        <v>Yes</v>
      </c>
      <c r="M26" s="32">
        <f>Table9[[#This Row],[National Average3]]</f>
        <v>14.615384615384617</v>
      </c>
      <c r="N26" s="32">
        <f>Table9[[#This Row],[Year 3]]</f>
        <v>2014</v>
      </c>
      <c r="O26" s="32"/>
      <c r="P26" s="14" t="str">
        <f t="shared" si="3"/>
        <v>No</v>
      </c>
      <c r="Q26" s="32">
        <f>Table9[[#This Row],[National Average4]]</f>
        <v>78.863596916199995</v>
      </c>
      <c r="R26" s="32">
        <f>Table9[[#This Row],[Year 4]]</f>
        <v>2008</v>
      </c>
      <c r="S26" s="32"/>
      <c r="T26" s="14" t="str">
        <f>IF(AND(U26&lt;&gt; "", V26&gt;2011), "Yes", "No")</f>
        <v>No</v>
      </c>
      <c r="U26" s="32">
        <f>Table9[[#This Row],[National Average5]]</f>
        <v>8.1004798412000003</v>
      </c>
      <c r="V26" s="32">
        <f>Table9[[#This Row],[Year 5]]</f>
        <v>2008</v>
      </c>
      <c r="W26" s="32"/>
      <c r="X26" s="14" t="str">
        <f t="shared" si="7"/>
        <v>No</v>
      </c>
      <c r="Y26" s="32">
        <f>Table9[[#This Row],[National Average6]]</f>
        <v>52.828889999999994</v>
      </c>
      <c r="Z26" s="32">
        <f>Table9[[#This Row],[Year 6]]</f>
        <v>2008</v>
      </c>
      <c r="AA26" s="32"/>
      <c r="AB26" s="14" t="str">
        <f t="shared" si="4"/>
        <v>No</v>
      </c>
      <c r="AC26" s="32">
        <f>Table9[[#This Row],[National Average7]]</f>
        <v>97.757166624099995</v>
      </c>
      <c r="AD26" s="32">
        <f>Table9[[#This Row],[Year 7]]</f>
        <v>2008</v>
      </c>
      <c r="AE26" s="32"/>
      <c r="AF26" s="14" t="str">
        <f t="shared" si="13"/>
        <v>No</v>
      </c>
      <c r="AG26" s="32">
        <f>Table9[[#This Row],[National Average8]]</f>
        <v>73.295384645499993</v>
      </c>
      <c r="AH26" s="32">
        <f>Table9[[#This Row],[Year 8]]</f>
        <v>2008</v>
      </c>
      <c r="AI26" s="32"/>
    </row>
    <row r="27" spans="1:35" x14ac:dyDescent="0.2">
      <c r="A27" s="10" t="s">
        <v>25</v>
      </c>
      <c r="B27" s="14" t="str">
        <f t="shared" si="0"/>
        <v>No</v>
      </c>
      <c r="C27" s="32"/>
      <c r="D27" s="14" t="str">
        <f t="shared" si="15"/>
        <v>No</v>
      </c>
      <c r="E27" s="32" t="str">
        <f>Table9[[#This Row],[National Average]]</f>
        <v>No data</v>
      </c>
      <c r="F27" s="32">
        <f>Table9[[#This Row],[Year 1]]</f>
        <v>0</v>
      </c>
      <c r="G27" s="32"/>
      <c r="H27" s="14" t="str">
        <f t="shared" si="11"/>
        <v>No</v>
      </c>
      <c r="I27" s="32" t="str">
        <f>Table9[[#This Row],[National Average2]]</f>
        <v>No data</v>
      </c>
      <c r="J27" s="32">
        <f>Table9[[#This Row],[Year 2]]</f>
        <v>0</v>
      </c>
      <c r="K27" s="32"/>
      <c r="L27" s="14" t="s">
        <v>154</v>
      </c>
      <c r="M27" s="32">
        <f>Table9[[#This Row],[National Average3]]</f>
        <v>0</v>
      </c>
      <c r="N27" s="32">
        <f>Table9[[#This Row],[Year 3]]</f>
        <v>2014</v>
      </c>
      <c r="O27" s="32"/>
      <c r="P27" s="14" t="str">
        <f t="shared" si="3"/>
        <v>No</v>
      </c>
      <c r="Q27" s="32" t="str">
        <f>Table9[[#This Row],[National Average4]]</f>
        <v>No data</v>
      </c>
      <c r="R27" s="32">
        <f>Table9[[#This Row],[Year 4]]</f>
        <v>0</v>
      </c>
      <c r="S27" s="32"/>
      <c r="T27" s="14" t="s">
        <v>154</v>
      </c>
      <c r="U27" s="32"/>
      <c r="V27" s="32"/>
      <c r="W27" s="32"/>
      <c r="X27" s="14" t="str">
        <f t="shared" si="7"/>
        <v>No</v>
      </c>
      <c r="Y27" s="32" t="str">
        <f>Table9[[#This Row],[National Average6]]</f>
        <v>No data</v>
      </c>
      <c r="Z27" s="32">
        <f>Table9[[#This Row],[Year 6]]</f>
        <v>0</v>
      </c>
      <c r="AA27" s="32"/>
      <c r="AB27" s="14" t="str">
        <f t="shared" si="4"/>
        <v>No</v>
      </c>
      <c r="AC27" s="32" t="str">
        <f>Table9[[#This Row],[National Average7]]</f>
        <v>No data</v>
      </c>
      <c r="AD27" s="32">
        <f>Table9[[#This Row],[Year 7]]</f>
        <v>0</v>
      </c>
      <c r="AE27" s="32"/>
      <c r="AF27" s="14" t="str">
        <f t="shared" si="13"/>
        <v>No</v>
      </c>
      <c r="AG27" s="32" t="str">
        <f>Table9[[#This Row],[National Average8]]</f>
        <v>No data</v>
      </c>
      <c r="AH27" s="32">
        <f>Table9[[#This Row],[Year 8]]</f>
        <v>0</v>
      </c>
      <c r="AI27" s="32"/>
    </row>
    <row r="28" spans="1:35" x14ac:dyDescent="0.2">
      <c r="A28" s="10" t="s">
        <v>26</v>
      </c>
      <c r="B28" s="14" t="str">
        <f t="shared" si="0"/>
        <v>No</v>
      </c>
      <c r="C28" s="32"/>
      <c r="D28" s="14" t="str">
        <f t="shared" si="15"/>
        <v>No</v>
      </c>
      <c r="E28" s="32" t="str">
        <f>Table9[[#This Row],[National Average]]</f>
        <v>No data</v>
      </c>
      <c r="F28" s="32">
        <f>Table9[[#This Row],[Year 1]]</f>
        <v>0</v>
      </c>
      <c r="G28" s="32"/>
      <c r="H28" s="14" t="str">
        <f t="shared" si="11"/>
        <v>No</v>
      </c>
      <c r="I28" s="32" t="str">
        <f>Table9[[#This Row],[National Average2]]</f>
        <v>No data</v>
      </c>
      <c r="J28" s="32">
        <f>Table9[[#This Row],[Year 2]]</f>
        <v>0</v>
      </c>
      <c r="K28" s="32"/>
      <c r="L28" s="14" t="str">
        <f t="shared" ref="L28:L38" si="16">IF(AND(M28&lt;&gt; "", N28&gt;2011), "Yes", "No")</f>
        <v>Yes</v>
      </c>
      <c r="M28" s="32">
        <f>Table9[[#This Row],[National Average3]]</f>
        <v>37.837837837837839</v>
      </c>
      <c r="N28" s="32">
        <f>Table9[[#This Row],[Year 3]]</f>
        <v>2014</v>
      </c>
      <c r="O28" s="32"/>
      <c r="P28" s="14" t="str">
        <f t="shared" si="3"/>
        <v>No</v>
      </c>
      <c r="Q28" s="32" t="str">
        <f>Table9[[#This Row],[National Average4]]</f>
        <v>No data</v>
      </c>
      <c r="R28" s="32">
        <f>Table9[[#This Row],[Year 4]]</f>
        <v>0</v>
      </c>
      <c r="S28" s="32"/>
      <c r="T28" s="14" t="s">
        <v>154</v>
      </c>
      <c r="U28" s="32"/>
      <c r="V28" s="32"/>
      <c r="W28" s="32"/>
      <c r="X28" s="14" t="str">
        <f t="shared" si="7"/>
        <v>No</v>
      </c>
      <c r="Y28" s="32" t="str">
        <f>Table9[[#This Row],[National Average6]]</f>
        <v>No data</v>
      </c>
      <c r="Z28" s="32">
        <f>Table9[[#This Row],[Year 6]]</f>
        <v>0</v>
      </c>
      <c r="AA28" s="32"/>
      <c r="AB28" s="14" t="str">
        <f t="shared" si="4"/>
        <v>No</v>
      </c>
      <c r="AC28" s="32" t="str">
        <f>Table9[[#This Row],[National Average7]]</f>
        <v>No data</v>
      </c>
      <c r="AD28" s="32">
        <f>Table9[[#This Row],[Year 7]]</f>
        <v>0</v>
      </c>
      <c r="AE28" s="32"/>
      <c r="AF28" s="14" t="str">
        <f t="shared" si="13"/>
        <v>No</v>
      </c>
      <c r="AG28" s="32" t="str">
        <f>Table9[[#This Row],[National Average8]]</f>
        <v>No data</v>
      </c>
      <c r="AH28" s="32">
        <f>Table9[[#This Row],[Year 8]]</f>
        <v>0</v>
      </c>
      <c r="AI28" s="32"/>
    </row>
    <row r="29" spans="1:35" x14ac:dyDescent="0.2">
      <c r="A29" s="10" t="s">
        <v>27</v>
      </c>
      <c r="B29" s="14" t="str">
        <f>IF(AND(D29= "Yes", H29= "Yes", L29= "Yes", P29= "Yes", T29= "Yes", X29= "Yes", AB29= "Yes", AF29= "Yes"), "Yes", "No")</f>
        <v>No</v>
      </c>
      <c r="C29" s="32"/>
      <c r="D29" s="14" t="str">
        <f t="shared" si="15"/>
        <v>No</v>
      </c>
      <c r="E29" s="32">
        <f>Table9[[#This Row],[National Average]]</f>
        <v>52.113622426999996</v>
      </c>
      <c r="F29" s="32">
        <f>Table9[[#This Row],[Year 1]]</f>
        <v>2011</v>
      </c>
      <c r="G29" s="32"/>
      <c r="H29" s="14" t="str">
        <f t="shared" si="11"/>
        <v>No</v>
      </c>
      <c r="I29" s="32">
        <f>Table9[[#This Row],[National Average2]]</f>
        <v>19.0720975399</v>
      </c>
      <c r="J29" s="32">
        <f>Table9[[#This Row],[Year 2]]</f>
        <v>2011</v>
      </c>
      <c r="K29" s="32"/>
      <c r="L29" s="14" t="str">
        <f t="shared" si="16"/>
        <v>Yes</v>
      </c>
      <c r="M29" s="32">
        <f>Table9[[#This Row],[National Average3]]</f>
        <v>55.090163440082016</v>
      </c>
      <c r="N29" s="32">
        <f>Table9[[#This Row],[Year 3]]</f>
        <v>2014</v>
      </c>
      <c r="O29" s="32"/>
      <c r="P29" s="14" t="str">
        <f t="shared" si="3"/>
        <v>No</v>
      </c>
      <c r="Q29" s="32">
        <f>Table9[[#This Row],[National Average4]]</f>
        <v>10.8036085963</v>
      </c>
      <c r="R29" s="32">
        <f>Table9[[#This Row],[Year 4]]</f>
        <v>2011</v>
      </c>
      <c r="S29" s="32"/>
      <c r="T29" s="14" t="s">
        <v>154</v>
      </c>
      <c r="U29" s="32"/>
      <c r="V29" s="32">
        <f>Table9[[#This Row],[Year 5]]</f>
        <v>2011</v>
      </c>
      <c r="W29" s="32"/>
      <c r="X29" s="14" t="str">
        <f t="shared" si="7"/>
        <v>No</v>
      </c>
      <c r="Y29" s="32">
        <f>Table9[[#This Row],[National Average6]]</f>
        <v>51.961780000000005</v>
      </c>
      <c r="Z29" s="32">
        <f>Table9[[#This Row],[Year 6]]</f>
        <v>2011</v>
      </c>
      <c r="AA29" s="32"/>
      <c r="AB29" s="14" t="str">
        <f t="shared" si="4"/>
        <v>No</v>
      </c>
      <c r="AC29" s="32">
        <f>Table9[[#This Row],[National Average7]]</f>
        <v>37.039852142299999</v>
      </c>
      <c r="AD29" s="32">
        <f>Table9[[#This Row],[Year 7]]</f>
        <v>2011</v>
      </c>
      <c r="AE29" s="32"/>
      <c r="AF29" s="14" t="str">
        <f t="shared" si="13"/>
        <v>No</v>
      </c>
      <c r="AG29" s="32">
        <f>Table9[[#This Row],[National Average8]]</f>
        <v>27.0059078932</v>
      </c>
      <c r="AH29" s="32">
        <f>Table9[[#This Row],[Year 8]]</f>
        <v>2011</v>
      </c>
      <c r="AI29" s="32"/>
    </row>
    <row r="30" spans="1:35" x14ac:dyDescent="0.2">
      <c r="A30" s="10" t="s">
        <v>28</v>
      </c>
      <c r="B30" s="14" t="str">
        <f t="shared" ref="B30:B79" si="17">IF(AND(D30= "Yes", H30= "Yes", L30= "Yes", P30= "Yes", T30= "Yes", X30= "Yes", AB30= "Yes", AF30= "Yes"), "Yes", "No")</f>
        <v>Yes</v>
      </c>
      <c r="C30" s="32"/>
      <c r="D30" s="14" t="str">
        <f t="shared" si="15"/>
        <v>Yes</v>
      </c>
      <c r="E30" s="32">
        <f>Table9[[#This Row],[National Average]]</f>
        <v>54.069399833700004</v>
      </c>
      <c r="F30" s="32">
        <f>Table9[[#This Row],[Year 1]]</f>
        <v>2012</v>
      </c>
      <c r="G30" s="32"/>
      <c r="H30" s="14" t="str">
        <f t="shared" si="11"/>
        <v>Yes</v>
      </c>
      <c r="I30" s="32">
        <f>Table9[[#This Row],[National Average2]]</f>
        <v>77.630048990199995</v>
      </c>
      <c r="J30" s="32">
        <f>Table9[[#This Row],[Year 2]]</f>
        <v>2012</v>
      </c>
      <c r="K30" s="32"/>
      <c r="L30" s="14" t="str">
        <f t="shared" si="16"/>
        <v>Yes</v>
      </c>
      <c r="M30" s="32">
        <f>Table9[[#This Row],[National Average3]]</f>
        <v>61.738208797032321</v>
      </c>
      <c r="N30" s="32">
        <f>Table9[[#This Row],[Year 3]]</f>
        <v>2014</v>
      </c>
      <c r="O30" s="32"/>
      <c r="P30" s="14" t="str">
        <f t="shared" si="3"/>
        <v>Yes</v>
      </c>
      <c r="Q30" s="32">
        <f>Table9[[#This Row],[National Average4]]</f>
        <v>89.969724416700004</v>
      </c>
      <c r="R30" s="32">
        <f>Table9[[#This Row],[Year 4]]</f>
        <v>2012</v>
      </c>
      <c r="S30" s="32"/>
      <c r="T30" s="14" t="str">
        <f t="shared" ref="T30:T32" si="18">IF(AND(U30&lt;&gt; "", V30&gt;2011), "Yes", "No")</f>
        <v>Yes</v>
      </c>
      <c r="U30" s="32">
        <f>Table9[[#This Row],[National Average5]]</f>
        <v>25.514757633200002</v>
      </c>
      <c r="V30" s="32">
        <f>Table9[[#This Row],[Year 5]]</f>
        <v>2012</v>
      </c>
      <c r="W30" s="32"/>
      <c r="X30" s="14" t="str">
        <f t="shared" si="7"/>
        <v>Yes</v>
      </c>
      <c r="Y30" s="32">
        <f>Table9[[#This Row],[National Average6]]</f>
        <v>5.9969000000000001</v>
      </c>
      <c r="Z30" s="32">
        <f>Table9[[#This Row],[Year 6]]</f>
        <v>2012</v>
      </c>
      <c r="AA30" s="32"/>
      <c r="AB30" s="14" t="str">
        <f t="shared" si="4"/>
        <v>Yes</v>
      </c>
      <c r="AC30" s="32">
        <f>Table9[[#This Row],[National Average7]]</f>
        <v>72.8522121906</v>
      </c>
      <c r="AD30" s="32">
        <f>Table9[[#This Row],[Year 7]]</f>
        <v>2012</v>
      </c>
      <c r="AE30" s="32"/>
      <c r="AF30" s="14" t="str">
        <f t="shared" si="13"/>
        <v>Yes</v>
      </c>
      <c r="AG30" s="32">
        <f>Table9[[#This Row],[National Average8]]</f>
        <v>67.69624948500001</v>
      </c>
      <c r="AH30" s="32">
        <f>Table9[[#This Row],[Year 8]]</f>
        <v>2012</v>
      </c>
      <c r="AI30" s="32"/>
    </row>
    <row r="31" spans="1:35" x14ac:dyDescent="0.2">
      <c r="A31" s="10" t="s">
        <v>29</v>
      </c>
      <c r="B31" s="14" t="str">
        <f t="shared" si="17"/>
        <v>No</v>
      </c>
      <c r="C31" s="32"/>
      <c r="D31" s="14" t="str">
        <f t="shared" si="15"/>
        <v>No</v>
      </c>
      <c r="E31" s="32" t="str">
        <f>Table9[[#This Row],[National Average]]</f>
        <v>n/a</v>
      </c>
      <c r="F31" s="32">
        <f>Table9[[#This Row],[Year 1]]</f>
        <v>2005</v>
      </c>
      <c r="G31" s="32"/>
      <c r="H31" s="14" t="str">
        <f t="shared" si="11"/>
        <v>No</v>
      </c>
      <c r="I31" s="32" t="str">
        <f>Table9[[#This Row],[National Average2]]</f>
        <v>n/a</v>
      </c>
      <c r="J31" s="32">
        <f>Table9[[#This Row],[Year 2]]</f>
        <v>2005</v>
      </c>
      <c r="K31" s="32"/>
      <c r="L31" s="14" t="str">
        <f t="shared" si="16"/>
        <v>Yes</v>
      </c>
      <c r="M31" s="32">
        <f>Table9[[#This Row],[National Average3]]</f>
        <v>84.375</v>
      </c>
      <c r="N31" s="32">
        <f>Table9[[#This Row],[Year 3]]</f>
        <v>2014</v>
      </c>
      <c r="O31" s="32"/>
      <c r="P31" s="14" t="str">
        <f t="shared" si="3"/>
        <v>No</v>
      </c>
      <c r="Q31" s="32">
        <f>Table9[[#This Row],[National Average4]]</f>
        <v>56.771385669700003</v>
      </c>
      <c r="R31" s="32">
        <f>Table9[[#This Row],[Year 4]]</f>
        <v>2005</v>
      </c>
      <c r="S31" s="32"/>
      <c r="T31" s="14" t="str">
        <f t="shared" si="18"/>
        <v>No</v>
      </c>
      <c r="U31" s="32" t="str">
        <f>Table9[[#This Row],[National Average5]]</f>
        <v>n/a</v>
      </c>
      <c r="V31" s="32">
        <f>Table9[[#This Row],[Year 5]]</f>
        <v>2005</v>
      </c>
      <c r="W31" s="32"/>
      <c r="X31" s="14" t="str">
        <f t="shared" si="7"/>
        <v>No</v>
      </c>
      <c r="Y31" s="32">
        <f>Table9[[#This Row],[National Average6]]</f>
        <v>40.76717</v>
      </c>
      <c r="Z31" s="32">
        <f>Table9[[#This Row],[Year 6]]</f>
        <v>2005</v>
      </c>
      <c r="AA31" s="32"/>
      <c r="AB31" s="14" t="str">
        <f t="shared" si="4"/>
        <v>No</v>
      </c>
      <c r="AC31" s="32">
        <f>Table9[[#This Row],[National Average7]]</f>
        <v>86.255210638000008</v>
      </c>
      <c r="AD31" s="32">
        <f>Table9[[#This Row],[Year 7]]</f>
        <v>2005</v>
      </c>
      <c r="AE31" s="32"/>
      <c r="AF31" s="14" t="str">
        <f t="shared" si="13"/>
        <v>No</v>
      </c>
      <c r="AG31" s="32">
        <f>Table9[[#This Row],[National Average8]]</f>
        <v>68.907666206399995</v>
      </c>
      <c r="AH31" s="32">
        <f>Table9[[#This Row],[Year 8]]</f>
        <v>2005</v>
      </c>
      <c r="AI31" s="32"/>
    </row>
    <row r="32" spans="1:35" x14ac:dyDescent="0.2">
      <c r="A32" s="10" t="s">
        <v>30</v>
      </c>
      <c r="B32" s="14" t="str">
        <f t="shared" si="17"/>
        <v>No</v>
      </c>
      <c r="C32" s="32"/>
      <c r="D32" s="14" t="str">
        <f t="shared" si="15"/>
        <v>No</v>
      </c>
      <c r="E32" s="32">
        <f>Table9[[#This Row],[National Average]]</f>
        <v>57.311159372300004</v>
      </c>
      <c r="F32" s="32">
        <f>Table9[[#This Row],[Year 1]]</f>
        <v>2011</v>
      </c>
      <c r="G32" s="32"/>
      <c r="H32" s="14" t="str">
        <f t="shared" si="11"/>
        <v>No</v>
      </c>
      <c r="I32" s="32">
        <f>Table9[[#This Row],[National Average2]]</f>
        <v>86.618262529399999</v>
      </c>
      <c r="J32" s="32">
        <f>Table9[[#This Row],[Year 2]]</f>
        <v>2011</v>
      </c>
      <c r="K32" s="32"/>
      <c r="L32" s="14" t="str">
        <f t="shared" si="16"/>
        <v>Yes</v>
      </c>
      <c r="M32" s="32">
        <f>Table9[[#This Row],[National Average3]]</f>
        <v>62.198253723677453</v>
      </c>
      <c r="N32" s="32">
        <f>Table9[[#This Row],[Year 3]]</f>
        <v>2014</v>
      </c>
      <c r="O32" s="32"/>
      <c r="P32" s="14" t="str">
        <f t="shared" si="3"/>
        <v>No</v>
      </c>
      <c r="Q32" s="32">
        <f>Table9[[#This Row],[National Average4]]</f>
        <v>68.370175361600005</v>
      </c>
      <c r="R32" s="32">
        <f>Table9[[#This Row],[Year 4]]</f>
        <v>2011</v>
      </c>
      <c r="S32" s="32"/>
      <c r="T32" s="14" t="str">
        <f t="shared" si="18"/>
        <v>No</v>
      </c>
      <c r="U32" s="32">
        <f>Table9[[#This Row],[National Average5]]</f>
        <v>15.288771688899999</v>
      </c>
      <c r="V32" s="32">
        <f>Table9[[#This Row],[Year 5]]</f>
        <v>2011</v>
      </c>
      <c r="W32" s="32"/>
      <c r="X32" s="14" t="str">
        <f t="shared" si="7"/>
        <v>No</v>
      </c>
      <c r="Y32" s="32">
        <f>Table9[[#This Row],[National Average6]]</f>
        <v>45.010850000000005</v>
      </c>
      <c r="Z32" s="32">
        <f>Table9[[#This Row],[Year 6]]</f>
        <v>2011</v>
      </c>
      <c r="AA32" s="32"/>
      <c r="AB32" s="14" t="str">
        <f t="shared" si="4"/>
        <v>No</v>
      </c>
      <c r="AC32" s="32">
        <f>Table9[[#This Row],[National Average7]]</f>
        <v>92.882549762699995</v>
      </c>
      <c r="AD32" s="32">
        <f>Table9[[#This Row],[Year 7]]</f>
        <v>2011</v>
      </c>
      <c r="AE32" s="32"/>
      <c r="AF32" s="14" t="str">
        <f t="shared" si="13"/>
        <v>No</v>
      </c>
      <c r="AG32" s="32">
        <f>Table9[[#This Row],[National Average8]]</f>
        <v>41.271159052800002</v>
      </c>
      <c r="AH32" s="32">
        <f>Table9[[#This Row],[Year 8]]</f>
        <v>2011</v>
      </c>
      <c r="AI32" s="32"/>
    </row>
    <row r="33" spans="1:35" x14ac:dyDescent="0.2">
      <c r="A33" s="10" t="s">
        <v>31</v>
      </c>
      <c r="B33" s="14" t="str">
        <f t="shared" si="17"/>
        <v>No</v>
      </c>
      <c r="C33" s="32"/>
      <c r="D33" s="14" t="str">
        <f t="shared" si="15"/>
        <v>No</v>
      </c>
      <c r="E33" s="32">
        <f>Table9[[#This Row],[National Average]]</f>
        <v>77.999996999999993</v>
      </c>
      <c r="F33" s="32">
        <f>Table9[[#This Row],[Year 1]]</f>
        <v>2008</v>
      </c>
      <c r="G33" s="32"/>
      <c r="H33" s="14" t="s">
        <v>154</v>
      </c>
      <c r="I33" s="32"/>
      <c r="J33" s="32"/>
      <c r="K33" s="32"/>
      <c r="L33" s="14" t="str">
        <f t="shared" si="16"/>
        <v>Yes</v>
      </c>
      <c r="M33" s="32">
        <f>Table9[[#This Row],[National Average3]]</f>
        <v>21.600877192982455</v>
      </c>
      <c r="N33" s="32">
        <f>Table9[[#This Row],[Year 3]]</f>
        <v>2014</v>
      </c>
      <c r="O33" s="32"/>
      <c r="P33" s="14" t="str">
        <f t="shared" si="3"/>
        <v>No</v>
      </c>
      <c r="Q33" s="32">
        <f>Table9[[#This Row],[National Average4]]</f>
        <v>51.945304999999998</v>
      </c>
      <c r="R33" s="32">
        <f>Table9[[#This Row],[Year 4]]</f>
        <v>2008</v>
      </c>
      <c r="S33" s="32"/>
      <c r="T33" s="14" t="s">
        <v>154</v>
      </c>
      <c r="U33" s="32"/>
      <c r="V33" s="32"/>
      <c r="W33" s="32"/>
      <c r="X33" s="14" t="str">
        <f t="shared" si="7"/>
        <v>No</v>
      </c>
      <c r="Y33" s="32">
        <f>Table9[[#This Row],[National Average6]]</f>
        <v>49.6</v>
      </c>
      <c r="Z33" s="32">
        <f>Table9[[#This Row],[Year 6]]</f>
        <v>2008</v>
      </c>
      <c r="AA33" s="32"/>
      <c r="AB33" s="14" t="str">
        <f t="shared" si="4"/>
        <v>No</v>
      </c>
      <c r="AC33" s="32">
        <f>Table9[[#This Row],[National Average7]]</f>
        <v>83.841228000000001</v>
      </c>
      <c r="AD33" s="32">
        <f>Table9[[#This Row],[Year 7]]</f>
        <v>2008</v>
      </c>
      <c r="AE33" s="32"/>
      <c r="AF33" s="14" t="str">
        <f t="shared" si="13"/>
        <v>No</v>
      </c>
      <c r="AG33" s="32">
        <f>Table9[[#This Row],[National Average8]]</f>
        <v>48.541307000000003</v>
      </c>
      <c r="AH33" s="32">
        <f>Table9[[#This Row],[Year 8]]</f>
        <v>2008</v>
      </c>
      <c r="AI33" s="32"/>
    </row>
    <row r="34" spans="1:35" x14ac:dyDescent="0.2">
      <c r="A34" s="10" t="s">
        <v>32</v>
      </c>
      <c r="B34" s="14" t="str">
        <f t="shared" si="17"/>
        <v>Yes</v>
      </c>
      <c r="C34" s="32"/>
      <c r="D34" s="14" t="str">
        <f t="shared" si="15"/>
        <v>Yes</v>
      </c>
      <c r="E34" s="32">
        <f>Table9[[#This Row],[National Average]]</f>
        <v>19.0837</v>
      </c>
      <c r="F34" s="32">
        <f>Table9[[#This Row],[Year 1]]</f>
        <v>2012</v>
      </c>
      <c r="G34" s="32"/>
      <c r="H34" s="14" t="str">
        <f t="shared" ref="H34:H79" si="19">IF(AND(I34&lt;&gt; "", J34&gt;2011), "Yes", "No")</f>
        <v>Yes</v>
      </c>
      <c r="I34" s="32">
        <f>Table9[[#This Row],[National Average2]]</f>
        <v>56.573479999999996</v>
      </c>
      <c r="J34" s="32">
        <f>Table9[[#This Row],[Year 2]]</f>
        <v>2012</v>
      </c>
      <c r="K34" s="32"/>
      <c r="L34" s="14" t="str">
        <f t="shared" si="16"/>
        <v>Yes</v>
      </c>
      <c r="M34" s="32">
        <f>Table9[[#This Row],[National Average3]]</f>
        <v>45.756569012382961</v>
      </c>
      <c r="N34" s="32">
        <f>Table9[[#This Row],[Year 3]]</f>
        <v>2014</v>
      </c>
      <c r="O34" s="32"/>
      <c r="P34" s="14" t="str">
        <f t="shared" si="3"/>
        <v>Yes</v>
      </c>
      <c r="Q34" s="32">
        <f>Table9[[#This Row],[National Average4]]</f>
        <v>45.294150000000002</v>
      </c>
      <c r="R34" s="32">
        <f>Table9[[#This Row],[Year 4]]</f>
        <v>2012</v>
      </c>
      <c r="S34" s="32"/>
      <c r="T34" s="14" t="str">
        <f>IF(AND(U34&lt;&gt; "", V34&gt;2011), "Yes", "No")</f>
        <v>Yes</v>
      </c>
      <c r="U34" s="32">
        <f>Table9[[#This Row],[National Average5]]</f>
        <v>25.16189</v>
      </c>
      <c r="V34" s="32">
        <f>Table9[[#This Row],[Year 5]]</f>
        <v>2012</v>
      </c>
      <c r="W34" s="32"/>
      <c r="X34" s="14" t="str">
        <f t="shared" si="7"/>
        <v>Yes</v>
      </c>
      <c r="Y34" s="32" t="str">
        <f>Table9[[#This Row],[National Average6]]</f>
        <v>n/a</v>
      </c>
      <c r="Z34" s="32">
        <f>Table9[[#This Row],[Year 6]]</f>
        <v>2012</v>
      </c>
      <c r="AA34" s="32"/>
      <c r="AB34" s="14" t="str">
        <f t="shared" si="4"/>
        <v>Yes</v>
      </c>
      <c r="AC34" s="32">
        <f>Table9[[#This Row],[National Average7]]</f>
        <v>49.992110000000004</v>
      </c>
      <c r="AD34" s="32">
        <f>Table9[[#This Row],[Year 7]]</f>
        <v>2012</v>
      </c>
      <c r="AE34" s="32"/>
      <c r="AF34" s="14" t="str">
        <f t="shared" si="13"/>
        <v>Yes</v>
      </c>
      <c r="AG34" s="32">
        <f>Table9[[#This Row],[National Average8]]</f>
        <v>37.316539999999996</v>
      </c>
      <c r="AH34" s="32">
        <f>Table9[[#This Row],[Year 8]]</f>
        <v>2012</v>
      </c>
      <c r="AI34" s="32"/>
    </row>
    <row r="35" spans="1:35" x14ac:dyDescent="0.2">
      <c r="A35" s="10" t="s">
        <v>33</v>
      </c>
      <c r="B35" s="14" t="str">
        <f t="shared" si="17"/>
        <v>No</v>
      </c>
      <c r="C35" s="32"/>
      <c r="D35" s="14" t="str">
        <f t="shared" si="15"/>
        <v>No</v>
      </c>
      <c r="E35" s="32">
        <f>Table9[[#This Row],[National Average]]</f>
        <v>29.320767521899999</v>
      </c>
      <c r="F35" s="32">
        <f>Table9[[#This Row],[Year 1]]</f>
        <v>2006</v>
      </c>
      <c r="G35" s="32"/>
      <c r="H35" s="14" t="str">
        <f t="shared" si="19"/>
        <v>No</v>
      </c>
      <c r="I35" s="32" t="str">
        <f>Table9[[#This Row],[National Average2]]</f>
        <v>n/a</v>
      </c>
      <c r="J35" s="32">
        <f>Table9[[#This Row],[Year 2]]</f>
        <v>2006</v>
      </c>
      <c r="K35" s="32"/>
      <c r="L35" s="14" t="str">
        <f t="shared" si="16"/>
        <v>Yes</v>
      </c>
      <c r="M35" s="32">
        <f>Table9[[#This Row],[National Average3]]</f>
        <v>55.691439322671684</v>
      </c>
      <c r="N35" s="32">
        <f>Table9[[#This Row],[Year 3]]</f>
        <v>2014</v>
      </c>
      <c r="O35" s="32"/>
      <c r="P35" s="14" t="str">
        <f t="shared" si="3"/>
        <v>No</v>
      </c>
      <c r="Q35" s="32">
        <f>Table9[[#This Row],[National Average4]]</f>
        <v>38.841158151600006</v>
      </c>
      <c r="R35" s="32">
        <f>Table9[[#This Row],[Year 4]]</f>
        <v>2006</v>
      </c>
      <c r="S35" s="32"/>
      <c r="T35" s="14" t="s">
        <v>154</v>
      </c>
      <c r="U35" s="32"/>
      <c r="V35" s="32"/>
      <c r="W35" s="32"/>
      <c r="X35" s="14" t="str">
        <f t="shared" si="7"/>
        <v>No</v>
      </c>
      <c r="Y35" s="32">
        <f>Table9[[#This Row],[National Average6]]</f>
        <v>16.25797</v>
      </c>
      <c r="Z35" s="32">
        <f>Table9[[#This Row],[Year 6]]</f>
        <v>2006</v>
      </c>
      <c r="AA35" s="32"/>
      <c r="AB35" s="14" t="str">
        <f t="shared" si="4"/>
        <v>No</v>
      </c>
      <c r="AC35" s="32">
        <f>Table9[[#This Row],[National Average7]]</f>
        <v>64.529162645300005</v>
      </c>
      <c r="AD35" s="32">
        <f>Table9[[#This Row],[Year 7]]</f>
        <v>2006</v>
      </c>
      <c r="AE35" s="32"/>
      <c r="AF35" s="14" t="str">
        <f t="shared" si="13"/>
        <v>No</v>
      </c>
      <c r="AG35" s="32">
        <f>Table9[[#This Row],[National Average8]]</f>
        <v>56.471836566900002</v>
      </c>
      <c r="AH35" s="32">
        <f>Table9[[#This Row],[Year 8]]</f>
        <v>2006</v>
      </c>
      <c r="AI35" s="32"/>
    </row>
    <row r="36" spans="1:35" x14ac:dyDescent="0.2">
      <c r="A36" s="10" t="s">
        <v>34</v>
      </c>
      <c r="B36" s="14" t="str">
        <f t="shared" si="17"/>
        <v>Yes</v>
      </c>
      <c r="C36" s="32"/>
      <c r="D36" s="14" t="str">
        <f t="shared" si="15"/>
        <v>Yes</v>
      </c>
      <c r="E36" s="32">
        <f>Table9[[#This Row],[National Average]]</f>
        <v>49.402871727899999</v>
      </c>
      <c r="F36" s="32">
        <f>Table9[[#This Row],[Year 1]]</f>
        <v>2012</v>
      </c>
      <c r="G36" s="32"/>
      <c r="H36" s="14" t="str">
        <f t="shared" si="19"/>
        <v>Yes</v>
      </c>
      <c r="I36" s="32">
        <f>Table9[[#This Row],[National Average2]]</f>
        <v>67.252683639500006</v>
      </c>
      <c r="J36" s="32">
        <f>Table9[[#This Row],[Year 2]]</f>
        <v>2012</v>
      </c>
      <c r="K36" s="32"/>
      <c r="L36" s="14" t="str">
        <f t="shared" si="16"/>
        <v>Yes</v>
      </c>
      <c r="M36" s="32">
        <f>Table9[[#This Row],[National Average3]]</f>
        <v>92.956243329775873</v>
      </c>
      <c r="N36" s="32">
        <f>Table9[[#This Row],[Year 3]]</f>
        <v>2014</v>
      </c>
      <c r="O36" s="32"/>
      <c r="P36" s="14" t="str">
        <f t="shared" si="3"/>
        <v>Yes</v>
      </c>
      <c r="Q36" s="32">
        <f>Table9[[#This Row],[National Average4]]</f>
        <v>37.329345941499994</v>
      </c>
      <c r="R36" s="32">
        <f>Table9[[#This Row],[Year 4]]</f>
        <v>2012</v>
      </c>
      <c r="S36" s="32"/>
      <c r="T36" s="14" t="str">
        <f>IF(AND(U36&lt;&gt; "", V36&gt;2011), "Yes", "No")</f>
        <v>Yes</v>
      </c>
      <c r="U36" s="32">
        <f>Table9[[#This Row],[National Average5]]</f>
        <v>19.174289703399999</v>
      </c>
      <c r="V36" s="32">
        <f>Table9[[#This Row],[Year 5]]</f>
        <v>2012</v>
      </c>
      <c r="W36" s="32"/>
      <c r="X36" s="14" t="str">
        <f t="shared" si="7"/>
        <v>Yes</v>
      </c>
      <c r="Y36" s="32">
        <f>Table9[[#This Row],[National Average6]]</f>
        <v>39.723370000000003</v>
      </c>
      <c r="Z36" s="32">
        <f>Table9[[#This Row],[Year 6]]</f>
        <v>2012</v>
      </c>
      <c r="AA36" s="32"/>
      <c r="AB36" s="14" t="str">
        <f t="shared" si="4"/>
        <v>Yes</v>
      </c>
      <c r="AC36" s="32">
        <f>Table9[[#This Row],[National Average7]]</f>
        <v>62.7546608448</v>
      </c>
      <c r="AD36" s="32">
        <f>Table9[[#This Row],[Year 7]]</f>
        <v>2012</v>
      </c>
      <c r="AE36" s="32"/>
      <c r="AF36" s="14" t="str">
        <f t="shared" si="13"/>
        <v>Yes</v>
      </c>
      <c r="AG36" s="32">
        <f>Table9[[#This Row],[National Average8]]</f>
        <v>39.018750190700004</v>
      </c>
      <c r="AH36" s="32">
        <f>Table9[[#This Row],[Year 8]]</f>
        <v>2012</v>
      </c>
      <c r="AI36" s="32"/>
    </row>
    <row r="37" spans="1:35" x14ac:dyDescent="0.2">
      <c r="A37" s="10" t="s">
        <v>35</v>
      </c>
      <c r="B37" s="14" t="str">
        <f t="shared" si="17"/>
        <v>No</v>
      </c>
      <c r="C37" s="32"/>
      <c r="D37" s="14" t="str">
        <f t="shared" si="15"/>
        <v>No</v>
      </c>
      <c r="E37" s="32">
        <f>Table9[[#This Row],[National Average]]</f>
        <v>81.588727235799993</v>
      </c>
      <c r="F37" s="32">
        <f>Table9[[#This Row],[Year 1]]</f>
        <v>2005</v>
      </c>
      <c r="G37" s="32"/>
      <c r="H37" s="14" t="str">
        <f t="shared" si="19"/>
        <v>No</v>
      </c>
      <c r="I37" s="32">
        <f>Table9[[#This Row],[National Average2]]</f>
        <v>36.966717243199994</v>
      </c>
      <c r="J37" s="32">
        <f>Table9[[#This Row],[Year 2]]</f>
        <v>2005</v>
      </c>
      <c r="K37" s="32"/>
      <c r="L37" s="14" t="str">
        <f t="shared" si="16"/>
        <v>Yes</v>
      </c>
      <c r="M37" s="32">
        <f>Table9[[#This Row],[National Average3]]</f>
        <v>17.75258861873035</v>
      </c>
      <c r="N37" s="32">
        <f>Table9[[#This Row],[Year 3]]</f>
        <v>2014</v>
      </c>
      <c r="O37" s="32"/>
      <c r="P37" s="14" t="str">
        <f t="shared" si="3"/>
        <v>No</v>
      </c>
      <c r="Q37" s="32">
        <f>Table9[[#This Row],[National Average4]]</f>
        <v>46.587434411000004</v>
      </c>
      <c r="R37" s="32">
        <f>Table9[[#This Row],[Year 4]]</f>
        <v>2005</v>
      </c>
      <c r="S37" s="32"/>
      <c r="T37" s="14" t="s">
        <v>154</v>
      </c>
      <c r="U37" s="32"/>
      <c r="V37" s="32">
        <f>Table9[[#This Row],[Year 5]]</f>
        <v>2005</v>
      </c>
      <c r="W37" s="32"/>
      <c r="X37" s="14" t="str">
        <f t="shared" si="7"/>
        <v>No</v>
      </c>
      <c r="Y37" s="32">
        <f>Table9[[#This Row],[National Average6]]</f>
        <v>46.402409999999996</v>
      </c>
      <c r="Z37" s="32">
        <f>Table9[[#This Row],[Year 6]]</f>
        <v>2005</v>
      </c>
      <c r="AA37" s="32"/>
      <c r="AB37" s="14" t="str">
        <f t="shared" si="4"/>
        <v>No</v>
      </c>
      <c r="AC37" s="32">
        <f>Table9[[#This Row],[National Average7]]</f>
        <v>55.440902709999996</v>
      </c>
      <c r="AD37" s="32">
        <f>Table9[[#This Row],[Year 7]]</f>
        <v>2005</v>
      </c>
      <c r="AE37" s="32"/>
      <c r="AF37" s="14" t="str">
        <f t="shared" si="13"/>
        <v>No</v>
      </c>
      <c r="AG37" s="32">
        <f>Table9[[#This Row],[National Average8]]</f>
        <v>70.32110691070001</v>
      </c>
      <c r="AH37" s="32">
        <f>Table9[[#This Row],[Year 8]]</f>
        <v>2005</v>
      </c>
      <c r="AI37" s="32"/>
    </row>
    <row r="38" spans="1:35" x14ac:dyDescent="0.2">
      <c r="A38" s="10" t="s">
        <v>36</v>
      </c>
      <c r="B38" s="14" t="str">
        <f t="shared" si="17"/>
        <v>Yes</v>
      </c>
      <c r="C38" s="32"/>
      <c r="D38" s="14" t="str">
        <f t="shared" si="15"/>
        <v>Yes</v>
      </c>
      <c r="E38" s="32">
        <f>Table9[[#This Row],[National Average]]</f>
        <v>84.471815824499998</v>
      </c>
      <c r="F38" s="32">
        <f>Table9[[#This Row],[Year 1]]</f>
        <v>2012</v>
      </c>
      <c r="G38" s="32"/>
      <c r="H38" s="14" t="str">
        <f t="shared" si="19"/>
        <v>Yes</v>
      </c>
      <c r="I38" s="32">
        <f>Table9[[#This Row],[National Average2]]</f>
        <v>87.771427631400002</v>
      </c>
      <c r="J38" s="32">
        <f>Table9[[#This Row],[Year 2]]</f>
        <v>2012</v>
      </c>
      <c r="K38" s="32"/>
      <c r="L38" s="14" t="str">
        <f t="shared" si="16"/>
        <v>Yes</v>
      </c>
      <c r="M38" s="32">
        <f>Table9[[#This Row],[National Average3]]</f>
        <v>9.0258379888268152</v>
      </c>
      <c r="N38" s="32">
        <f>Table9[[#This Row],[Year 3]]</f>
        <v>2014</v>
      </c>
      <c r="O38" s="32"/>
      <c r="P38" s="14" t="str">
        <f t="shared" si="3"/>
        <v>Yes</v>
      </c>
      <c r="Q38" s="32">
        <f>Table9[[#This Row],[National Average4]]</f>
        <v>83.127760887099996</v>
      </c>
      <c r="R38" s="32">
        <f>Table9[[#This Row],[Year 4]]</f>
        <v>2012</v>
      </c>
      <c r="S38" s="32"/>
      <c r="T38" s="14" t="str">
        <f>IF(AND(U38&lt;&gt; "", V38&gt;2011), "Yes", "No")</f>
        <v>Yes</v>
      </c>
      <c r="U38" s="32">
        <f>Table9[[#This Row],[National Average5]]</f>
        <v>48.004308342899996</v>
      </c>
      <c r="V38" s="32">
        <f>Table9[[#This Row],[Year 5]]</f>
        <v>2012</v>
      </c>
      <c r="W38" s="32"/>
      <c r="X38" s="14" t="str">
        <f t="shared" si="7"/>
        <v>Yes</v>
      </c>
      <c r="Y38" s="32">
        <f>Table9[[#This Row],[National Average6]]</f>
        <v>41.458579999999998</v>
      </c>
      <c r="Z38" s="32">
        <f>Table9[[#This Row],[Year 6]]</f>
        <v>2012</v>
      </c>
      <c r="AA38" s="32"/>
      <c r="AB38" s="14" t="str">
        <f t="shared" si="4"/>
        <v>Yes</v>
      </c>
      <c r="AC38" s="32">
        <f>Table9[[#This Row],[National Average7]]</f>
        <v>72.209525108299999</v>
      </c>
      <c r="AD38" s="32">
        <f>Table9[[#This Row],[Year 7]]</f>
        <v>2012</v>
      </c>
      <c r="AE38" s="32"/>
      <c r="AF38" s="14" t="str">
        <f t="shared" si="13"/>
        <v>Yes</v>
      </c>
      <c r="AG38" s="32">
        <f>Table9[[#This Row],[National Average8]]</f>
        <v>75.327825546300005</v>
      </c>
      <c r="AH38" s="32">
        <f>Table9[[#This Row],[Year 8]]</f>
        <v>2012</v>
      </c>
      <c r="AI38" s="32"/>
    </row>
    <row r="39" spans="1:35" x14ac:dyDescent="0.2">
      <c r="A39" s="10" t="s">
        <v>37</v>
      </c>
      <c r="B39" s="14" t="str">
        <f t="shared" si="17"/>
        <v>No</v>
      </c>
      <c r="C39" s="32"/>
      <c r="D39" s="14" t="str">
        <f t="shared" si="15"/>
        <v>No</v>
      </c>
      <c r="E39" s="32">
        <f>Table9[[#This Row],[National Average]]</f>
        <v>87.041509151499994</v>
      </c>
      <c r="F39" s="32">
        <f>Table9[[#This Row],[Year 1]]</f>
        <v>2011</v>
      </c>
      <c r="G39" s="32"/>
      <c r="H39" s="14" t="str">
        <f t="shared" si="19"/>
        <v>No</v>
      </c>
      <c r="I39" s="32">
        <f>Table9[[#This Row],[National Average2]]</f>
        <v>49.6295571327</v>
      </c>
      <c r="J39" s="32">
        <f>Table9[[#This Row],[Year 2]]</f>
        <v>2011</v>
      </c>
      <c r="K39" s="32"/>
      <c r="L39" s="14" t="s">
        <v>154</v>
      </c>
      <c r="M39" s="32">
        <f>Table9[[#This Row],[National Average3]]</f>
        <v>0</v>
      </c>
      <c r="N39" s="32">
        <f>Table9[[#This Row],[Year 3]]</f>
        <v>2014</v>
      </c>
      <c r="O39" s="32"/>
      <c r="P39" s="14" t="str">
        <f t="shared" si="3"/>
        <v>No</v>
      </c>
      <c r="Q39" s="32">
        <f>Table9[[#This Row],[National Average4]]</f>
        <v>90.870863199200002</v>
      </c>
      <c r="R39" s="32">
        <f>Table9[[#This Row],[Year 4]]</f>
        <v>2011</v>
      </c>
      <c r="S39" s="32"/>
      <c r="T39" s="14" t="s">
        <v>154</v>
      </c>
      <c r="U39" s="32"/>
      <c r="V39" s="32"/>
      <c r="W39" s="32"/>
      <c r="X39" s="14" t="str">
        <f t="shared" si="7"/>
        <v>No</v>
      </c>
      <c r="Y39" s="32">
        <f>Table9[[#This Row],[National Average6]]</f>
        <v>19.077920000000002</v>
      </c>
      <c r="Z39" s="32">
        <f>Table9[[#This Row],[Year 6]]</f>
        <v>2011</v>
      </c>
      <c r="AA39" s="32"/>
      <c r="AB39" s="14" t="str">
        <f t="shared" si="4"/>
        <v>No</v>
      </c>
      <c r="AC39" s="32">
        <f>Table9[[#This Row],[National Average7]]</f>
        <v>70.129108428999999</v>
      </c>
      <c r="AD39" s="32">
        <f>Table9[[#This Row],[Year 7]]</f>
        <v>2011</v>
      </c>
      <c r="AE39" s="32"/>
      <c r="AF39" s="14" t="str">
        <f t="shared" si="13"/>
        <v>No</v>
      </c>
      <c r="AG39" s="32">
        <f>Table9[[#This Row],[National Average8]]</f>
        <v>74.439096450800008</v>
      </c>
      <c r="AH39" s="32">
        <f>Table9[[#This Row],[Year 8]]</f>
        <v>2011</v>
      </c>
      <c r="AI39" s="32"/>
    </row>
    <row r="40" spans="1:35" x14ac:dyDescent="0.2">
      <c r="A40" s="10" t="s">
        <v>38</v>
      </c>
      <c r="B40" s="14" t="str">
        <f t="shared" si="17"/>
        <v>No</v>
      </c>
      <c r="C40" s="32"/>
      <c r="D40" s="14" t="str">
        <f t="shared" si="15"/>
        <v>No</v>
      </c>
      <c r="E40" s="32">
        <f>Table9[[#This Row],[National Average]]</f>
        <v>63.966172933599999</v>
      </c>
      <c r="F40" s="32">
        <f>Table9[[#This Row],[Year 1]]</f>
        <v>2008</v>
      </c>
      <c r="G40" s="32"/>
      <c r="H40" s="14" t="str">
        <f t="shared" si="19"/>
        <v>No</v>
      </c>
      <c r="I40" s="32">
        <f>Table9[[#This Row],[National Average2]]</f>
        <v>47.126331925400002</v>
      </c>
      <c r="J40" s="32">
        <f>Table9[[#This Row],[Year 2]]</f>
        <v>2008</v>
      </c>
      <c r="K40" s="32"/>
      <c r="L40" s="14" t="str">
        <f t="shared" ref="L40:L47" si="20">IF(AND(M40&lt;&gt; "", N40&gt;2011), "Yes", "No")</f>
        <v>Yes</v>
      </c>
      <c r="M40" s="32">
        <f>Table9[[#This Row],[National Average3]]</f>
        <v>63.262310845690571</v>
      </c>
      <c r="N40" s="32">
        <f>Table9[[#This Row],[Year 3]]</f>
        <v>2014</v>
      </c>
      <c r="O40" s="32"/>
      <c r="P40" s="14" t="str">
        <f t="shared" si="3"/>
        <v>No</v>
      </c>
      <c r="Q40" s="32">
        <f>Table9[[#This Row],[National Average4]]</f>
        <v>43.7727481127</v>
      </c>
      <c r="R40" s="32">
        <f>Table9[[#This Row],[Year 4]]</f>
        <v>2008</v>
      </c>
      <c r="S40" s="32"/>
      <c r="T40" s="14" t="s">
        <v>154</v>
      </c>
      <c r="U40" s="32"/>
      <c r="V40" s="32">
        <f>Table9[[#This Row],[Year 5]]</f>
        <v>2008</v>
      </c>
      <c r="W40" s="32"/>
      <c r="X40" s="14" t="str">
        <f t="shared" si="7"/>
        <v>No</v>
      </c>
      <c r="Y40" s="32">
        <f>Table9[[#This Row],[National Average6]]</f>
        <v>31.878079999999997</v>
      </c>
      <c r="Z40" s="32">
        <f>Table9[[#This Row],[Year 6]]</f>
        <v>2008</v>
      </c>
      <c r="AA40" s="32"/>
      <c r="AB40" s="14" t="str">
        <f t="shared" si="4"/>
        <v>No</v>
      </c>
      <c r="AC40" s="32">
        <f>Table9[[#This Row],[National Average7]]</f>
        <v>86.591559648500009</v>
      </c>
      <c r="AD40" s="32">
        <f>Table9[[#This Row],[Year 7]]</f>
        <v>2008</v>
      </c>
      <c r="AE40" s="32"/>
      <c r="AF40" s="14" t="str">
        <f t="shared" si="13"/>
        <v>No</v>
      </c>
      <c r="AG40" s="32">
        <f>Table9[[#This Row],[National Average8]]</f>
        <v>55.897897481900003</v>
      </c>
      <c r="AH40" s="32">
        <f>Table9[[#This Row],[Year 8]]</f>
        <v>2008</v>
      </c>
      <c r="AI40" s="32"/>
    </row>
    <row r="41" spans="1:35" x14ac:dyDescent="0.2">
      <c r="A41" s="10" t="s">
        <v>39</v>
      </c>
      <c r="B41" s="14" t="str">
        <f t="shared" si="17"/>
        <v>Yes</v>
      </c>
      <c r="C41" s="32"/>
      <c r="D41" s="14" t="str">
        <f t="shared" si="15"/>
        <v>Yes</v>
      </c>
      <c r="E41" s="32">
        <f>Table9[[#This Row],[National Average]]</f>
        <v>66.819890000000001</v>
      </c>
      <c r="F41" s="32">
        <f>Table9[[#This Row],[Year 1]]</f>
        <v>2012</v>
      </c>
      <c r="G41" s="32"/>
      <c r="H41" s="14" t="str">
        <f t="shared" si="19"/>
        <v>Yes</v>
      </c>
      <c r="I41" s="32">
        <f>Table9[[#This Row],[National Average2]]</f>
        <v>83.578379999999996</v>
      </c>
      <c r="J41" s="32">
        <f>Table9[[#This Row],[Year 2]]</f>
        <v>2012</v>
      </c>
      <c r="K41" s="32"/>
      <c r="L41" s="14" t="str">
        <f t="shared" si="20"/>
        <v>Yes</v>
      </c>
      <c r="M41" s="32">
        <f>Table9[[#This Row],[National Average3]]</f>
        <v>94.85294117647058</v>
      </c>
      <c r="N41" s="32">
        <f>Table9[[#This Row],[Year 3]]</f>
        <v>2014</v>
      </c>
      <c r="O41" s="32"/>
      <c r="P41" s="14" t="str">
        <f t="shared" si="3"/>
        <v>Yes</v>
      </c>
      <c r="Q41" s="32">
        <f>Table9[[#This Row],[National Average4]]</f>
        <v>99.137529999999998</v>
      </c>
      <c r="R41" s="32">
        <f>Table9[[#This Row],[Year 4]]</f>
        <v>2012</v>
      </c>
      <c r="S41" s="32"/>
      <c r="T41" s="14" t="str">
        <f t="shared" ref="T41:T42" si="21">IF(AND(U41&lt;&gt; "", V41&gt;2011), "Yes", "No")</f>
        <v>Yes</v>
      </c>
      <c r="U41" s="32">
        <f>Table9[[#This Row],[National Average5]]</f>
        <v>79.833889999999997</v>
      </c>
      <c r="V41" s="32">
        <f>Table9[[#This Row],[Year 5]]</f>
        <v>2012</v>
      </c>
      <c r="W41" s="32"/>
      <c r="X41" s="14" t="str">
        <f t="shared" si="7"/>
        <v>Yes</v>
      </c>
      <c r="Y41" s="32" t="str">
        <f>Table9[[#This Row],[National Average6]]</f>
        <v>n/a</v>
      </c>
      <c r="Z41" s="32">
        <f>Table9[[#This Row],[Year 6]]</f>
        <v>2012</v>
      </c>
      <c r="AA41" s="32"/>
      <c r="AB41" s="14" t="str">
        <f t="shared" si="4"/>
        <v>Yes</v>
      </c>
      <c r="AC41" s="32">
        <f>Table9[[#This Row],[National Average7]]</f>
        <v>87.446770000000001</v>
      </c>
      <c r="AD41" s="32">
        <f>Table9[[#This Row],[Year 7]]</f>
        <v>2012</v>
      </c>
      <c r="AE41" s="32"/>
      <c r="AF41" s="14" t="str">
        <f t="shared" si="13"/>
        <v>Yes</v>
      </c>
      <c r="AG41" s="32">
        <f>Table9[[#This Row],[National Average8]]</f>
        <v>33.168430000000001</v>
      </c>
      <c r="AH41" s="32">
        <f>Table9[[#This Row],[Year 8]]</f>
        <v>2012</v>
      </c>
      <c r="AI41" s="32"/>
    </row>
    <row r="42" spans="1:35" x14ac:dyDescent="0.2">
      <c r="A42" s="10" t="s">
        <v>40</v>
      </c>
      <c r="B42" s="14" t="str">
        <f t="shared" si="17"/>
        <v>No</v>
      </c>
      <c r="C42" s="32"/>
      <c r="D42" s="14" t="str">
        <f t="shared" si="15"/>
        <v>No</v>
      </c>
      <c r="E42" s="32" t="str">
        <f>Table9[[#This Row],[National Average]]</f>
        <v>n/a</v>
      </c>
      <c r="F42" s="32">
        <f>Table9[[#This Row],[Year 1]]</f>
        <v>2011</v>
      </c>
      <c r="G42" s="32"/>
      <c r="H42" s="14" t="str">
        <f t="shared" si="19"/>
        <v>No</v>
      </c>
      <c r="I42" s="32">
        <f>Table9[[#This Row],[National Average2]]</f>
        <v>36.870425939599997</v>
      </c>
      <c r="J42" s="32">
        <f>Table9[[#This Row],[Year 2]]</f>
        <v>2011</v>
      </c>
      <c r="K42" s="32"/>
      <c r="L42" s="14" t="str">
        <f t="shared" si="20"/>
        <v>Yes</v>
      </c>
      <c r="M42" s="32">
        <f>Table9[[#This Row],[National Average3]]</f>
        <v>36.144578313253014</v>
      </c>
      <c r="N42" s="32">
        <f>Table9[[#This Row],[Year 3]]</f>
        <v>2014</v>
      </c>
      <c r="O42" s="32"/>
      <c r="P42" s="14" t="str">
        <f t="shared" si="3"/>
        <v>No</v>
      </c>
      <c r="Q42" s="32">
        <f>Table9[[#This Row],[National Average4]]</f>
        <v>41.546839475600002</v>
      </c>
      <c r="R42" s="32">
        <f>Table9[[#This Row],[Year 4]]</f>
        <v>2011</v>
      </c>
      <c r="S42" s="32"/>
      <c r="T42" s="14" t="str">
        <f t="shared" si="21"/>
        <v>No</v>
      </c>
      <c r="U42" s="32">
        <f>Table9[[#This Row],[National Average5]]</f>
        <v>9.0151302515999987</v>
      </c>
      <c r="V42" s="32">
        <f>Table9[[#This Row],[Year 5]]</f>
        <v>2011</v>
      </c>
      <c r="W42" s="32"/>
      <c r="X42" s="14" t="str">
        <f t="shared" si="7"/>
        <v>No</v>
      </c>
      <c r="Y42" s="32">
        <f>Table9[[#This Row],[National Average6]]</f>
        <v>39.77458</v>
      </c>
      <c r="Z42" s="32">
        <f>Table9[[#This Row],[Year 6]]</f>
        <v>2011</v>
      </c>
      <c r="AA42" s="32"/>
      <c r="AB42" s="14" t="str">
        <f t="shared" si="4"/>
        <v>No</v>
      </c>
      <c r="AC42" s="32">
        <f>Table9[[#This Row],[National Average7]]</f>
        <v>55.464512109800005</v>
      </c>
      <c r="AD42" s="32">
        <f>Table9[[#This Row],[Year 7]]</f>
        <v>2011</v>
      </c>
      <c r="AE42" s="32"/>
      <c r="AF42" s="14" t="str">
        <f t="shared" si="13"/>
        <v>No</v>
      </c>
      <c r="AG42" s="32">
        <f>Table9[[#This Row],[National Average8]]</f>
        <v>54.419839382199996</v>
      </c>
      <c r="AH42" s="32">
        <f>Table9[[#This Row],[Year 8]]</f>
        <v>2011</v>
      </c>
      <c r="AI42" s="32"/>
    </row>
    <row r="43" spans="1:35" x14ac:dyDescent="0.2">
      <c r="A43" s="10" t="s">
        <v>41</v>
      </c>
      <c r="B43" s="14" t="str">
        <f t="shared" si="17"/>
        <v>No</v>
      </c>
      <c r="C43" s="32"/>
      <c r="D43" s="14" t="str">
        <f t="shared" si="15"/>
        <v>No</v>
      </c>
      <c r="E43" s="32">
        <f>Table9[[#This Row],[National Average]]</f>
        <v>67.185330390900006</v>
      </c>
      <c r="F43" s="32">
        <f>Table9[[#This Row],[Year 1]]</f>
        <v>2009</v>
      </c>
      <c r="G43" s="32"/>
      <c r="H43" s="14" t="str">
        <f t="shared" si="19"/>
        <v>No</v>
      </c>
      <c r="I43" s="32">
        <f>Table9[[#This Row],[National Average2]]</f>
        <v>70.415300130799992</v>
      </c>
      <c r="J43" s="32">
        <f>Table9[[#This Row],[Year 2]]</f>
        <v>2009</v>
      </c>
      <c r="K43" s="32"/>
      <c r="L43" s="14" t="str">
        <f t="shared" si="20"/>
        <v>Yes</v>
      </c>
      <c r="M43" s="32">
        <f>Table9[[#This Row],[National Average3]]</f>
        <v>52.96809539155656</v>
      </c>
      <c r="N43" s="32">
        <f>Table9[[#This Row],[Year 3]]</f>
        <v>2014</v>
      </c>
      <c r="O43" s="32"/>
      <c r="P43" s="14" t="str">
        <f t="shared" si="3"/>
        <v>No</v>
      </c>
      <c r="Q43" s="32">
        <f>Table9[[#This Row],[National Average4]]</f>
        <v>61.530894041100005</v>
      </c>
      <c r="R43" s="32">
        <f>Table9[[#This Row],[Year 4]]</f>
        <v>2009</v>
      </c>
      <c r="S43" s="32"/>
      <c r="T43" s="14" t="s">
        <v>154</v>
      </c>
      <c r="U43" s="32"/>
      <c r="V43" s="32">
        <f>Table9[[#This Row],[Year 5]]</f>
        <v>2009</v>
      </c>
      <c r="W43" s="32"/>
      <c r="X43" s="14" t="str">
        <f t="shared" si="7"/>
        <v>No</v>
      </c>
      <c r="Y43" s="32">
        <f>Table9[[#This Row],[National Average6]]</f>
        <v>52.894269999999999</v>
      </c>
      <c r="Z43" s="32">
        <f>Table9[[#This Row],[Year 6]]</f>
        <v>2009</v>
      </c>
      <c r="AA43" s="32"/>
      <c r="AB43" s="14" t="str">
        <f t="shared" si="4"/>
        <v>No</v>
      </c>
      <c r="AC43" s="32">
        <f>Table9[[#This Row],[National Average7]]</f>
        <v>84.037524461700002</v>
      </c>
      <c r="AD43" s="32">
        <f>Table9[[#This Row],[Year 7]]</f>
        <v>2009</v>
      </c>
      <c r="AE43" s="32"/>
      <c r="AF43" s="14" t="str">
        <f t="shared" si="13"/>
        <v>No</v>
      </c>
      <c r="AG43" s="32">
        <f>Table9[[#This Row],[National Average8]]</f>
        <v>65.539181232499999</v>
      </c>
      <c r="AH43" s="32">
        <f>Table9[[#This Row],[Year 8]]</f>
        <v>2009</v>
      </c>
      <c r="AI43" s="32"/>
    </row>
    <row r="44" spans="1:35" x14ac:dyDescent="0.2">
      <c r="A44" s="10" t="s">
        <v>42</v>
      </c>
      <c r="B44" s="14" t="str">
        <f t="shared" si="17"/>
        <v>Yes</v>
      </c>
      <c r="C44" s="32"/>
      <c r="D44" s="14" t="str">
        <f t="shared" si="15"/>
        <v>Yes</v>
      </c>
      <c r="E44" s="32">
        <f>Table9[[#This Row],[National Average]]</f>
        <v>39.416200000000003</v>
      </c>
      <c r="F44" s="32">
        <f>Table9[[#This Row],[Year 1]]</f>
        <v>2013</v>
      </c>
      <c r="G44" s="32"/>
      <c r="H44" s="14" t="str">
        <f t="shared" si="19"/>
        <v>Yes</v>
      </c>
      <c r="I44" s="32">
        <f>Table9[[#This Row],[National Average2]]</f>
        <v>78.117440000000002</v>
      </c>
      <c r="J44" s="32">
        <f>Table9[[#This Row],[Year 2]]</f>
        <v>2013</v>
      </c>
      <c r="K44" s="32"/>
      <c r="L44" s="14" t="str">
        <f t="shared" si="20"/>
        <v>Yes</v>
      </c>
      <c r="M44" s="32">
        <f>Table9[[#This Row],[National Average3]]</f>
        <v>69.420174741858617</v>
      </c>
      <c r="N44" s="32">
        <f>Table9[[#This Row],[Year 3]]</f>
        <v>2014</v>
      </c>
      <c r="O44" s="32"/>
      <c r="P44" s="14" t="str">
        <f t="shared" si="3"/>
        <v>Yes</v>
      </c>
      <c r="Q44" s="32">
        <f>Table9[[#This Row],[National Average4]]</f>
        <v>61.129460000000002</v>
      </c>
      <c r="R44" s="32">
        <f>Table9[[#This Row],[Year 4]]</f>
        <v>2013</v>
      </c>
      <c r="S44" s="32"/>
      <c r="T44" s="14" t="str">
        <f>IF(AND(U44&lt;&gt; "", V44&gt;2011), "Yes", "No")</f>
        <v>Yes</v>
      </c>
      <c r="U44" s="32">
        <f>Table9[[#This Row],[National Average5]]</f>
        <v>34.590159999999997</v>
      </c>
      <c r="V44" s="32">
        <f>Table9[[#This Row],[Year 5]]</f>
        <v>2013</v>
      </c>
      <c r="W44" s="32"/>
      <c r="X44" s="14" t="str">
        <f t="shared" si="7"/>
        <v>Yes</v>
      </c>
      <c r="Y44" s="32" t="str">
        <f>Table9[[#This Row],[National Average6]]</f>
        <v>n/a</v>
      </c>
      <c r="Z44" s="32">
        <f>Table9[[#This Row],[Year 6]]</f>
        <v>2013</v>
      </c>
      <c r="AA44" s="32"/>
      <c r="AB44" s="14" t="str">
        <f t="shared" si="4"/>
        <v>Yes</v>
      </c>
      <c r="AC44" s="32">
        <f>Table9[[#This Row],[National Average7]]</f>
        <v>71.515419999999992</v>
      </c>
      <c r="AD44" s="32">
        <f>Table9[[#This Row],[Year 7]]</f>
        <v>2013</v>
      </c>
      <c r="AE44" s="32"/>
      <c r="AF44" s="14" t="str">
        <f t="shared" si="13"/>
        <v>Yes</v>
      </c>
      <c r="AG44" s="32">
        <f>Table9[[#This Row],[National Average8]]</f>
        <v>50.713529999999999</v>
      </c>
      <c r="AH44" s="32">
        <f>Table9[[#This Row],[Year 8]]</f>
        <v>2013</v>
      </c>
      <c r="AI44" s="32"/>
    </row>
    <row r="45" spans="1:35" x14ac:dyDescent="0.2">
      <c r="A45" s="10" t="s">
        <v>43</v>
      </c>
      <c r="B45" s="14" t="str">
        <f t="shared" si="17"/>
        <v>No</v>
      </c>
      <c r="C45" s="32"/>
      <c r="D45" s="14" t="str">
        <f t="shared" si="15"/>
        <v>No</v>
      </c>
      <c r="E45" s="32">
        <f>Table9[[#This Row],[National Average]]</f>
        <v>67.916643619499993</v>
      </c>
      <c r="F45" s="32">
        <f>Table9[[#This Row],[Year 1]]</f>
        <v>2008</v>
      </c>
      <c r="G45" s="32"/>
      <c r="H45" s="14" t="str">
        <f t="shared" si="19"/>
        <v>No</v>
      </c>
      <c r="I45" s="32">
        <f>Table9[[#This Row],[National Average2]]</f>
        <v>49.349579214999999</v>
      </c>
      <c r="J45" s="32">
        <f>Table9[[#This Row],[Year 2]]</f>
        <v>2008</v>
      </c>
      <c r="K45" s="32"/>
      <c r="L45" s="14" t="str">
        <f t="shared" si="20"/>
        <v>Yes</v>
      </c>
      <c r="M45" s="32">
        <f>Table9[[#This Row],[National Average3]]</f>
        <v>2.7752909579230081</v>
      </c>
      <c r="N45" s="32">
        <f>Table9[[#This Row],[Year 3]]</f>
        <v>2014</v>
      </c>
      <c r="O45" s="32"/>
      <c r="P45" s="14" t="str">
        <f t="shared" si="3"/>
        <v>No</v>
      </c>
      <c r="Q45" s="32">
        <f>Table9[[#This Row],[National Average4]]</f>
        <v>43.911173939699999</v>
      </c>
      <c r="R45" s="32">
        <f>Table9[[#This Row],[Year 4]]</f>
        <v>2008</v>
      </c>
      <c r="S45" s="32"/>
      <c r="T45" s="14" t="s">
        <v>154</v>
      </c>
      <c r="U45" s="32"/>
      <c r="V45" s="32">
        <f>Table9[[#This Row],[Year 5]]</f>
        <v>2008</v>
      </c>
      <c r="W45" s="32"/>
      <c r="X45" s="14" t="str">
        <f t="shared" si="7"/>
        <v>No</v>
      </c>
      <c r="Y45" s="32">
        <f>Table9[[#This Row],[National Average6]]</f>
        <v>49.797190000000001</v>
      </c>
      <c r="Z45" s="32">
        <f>Table9[[#This Row],[Year 6]]</f>
        <v>2008</v>
      </c>
      <c r="AA45" s="32"/>
      <c r="AB45" s="14" t="str">
        <f t="shared" si="4"/>
        <v>No</v>
      </c>
      <c r="AC45" s="32">
        <f>Table9[[#This Row],[National Average7]]</f>
        <v>73.105007409999999</v>
      </c>
      <c r="AD45" s="32">
        <f>Table9[[#This Row],[Year 7]]</f>
        <v>2008</v>
      </c>
      <c r="AE45" s="32"/>
      <c r="AF45" s="14" t="str">
        <f t="shared" si="13"/>
        <v>No</v>
      </c>
      <c r="AG45" s="32">
        <f>Table9[[#This Row],[National Average8]]</f>
        <v>42.013016343099999</v>
      </c>
      <c r="AH45" s="32">
        <f>Table9[[#This Row],[Year 8]]</f>
        <v>2008</v>
      </c>
      <c r="AI45" s="32"/>
    </row>
    <row r="46" spans="1:35" x14ac:dyDescent="0.2">
      <c r="A46" s="10" t="s">
        <v>44</v>
      </c>
      <c r="B46" s="14" t="str">
        <f t="shared" si="17"/>
        <v>No</v>
      </c>
      <c r="C46" s="32"/>
      <c r="D46" s="14" t="str">
        <f t="shared" si="15"/>
        <v>No</v>
      </c>
      <c r="E46" s="32">
        <f>Table9[[#This Row],[National Average]]</f>
        <v>63.813394308100001</v>
      </c>
      <c r="F46" s="32">
        <f>Table9[[#This Row],[Year 1]]</f>
        <v>2010</v>
      </c>
      <c r="G46" s="32"/>
      <c r="H46" s="14" t="str">
        <f t="shared" si="19"/>
        <v>No</v>
      </c>
      <c r="I46" s="32">
        <f>Table9[[#This Row],[National Average2]]</f>
        <v>45.470276474999999</v>
      </c>
      <c r="J46" s="32">
        <f>Table9[[#This Row],[Year 2]]</f>
        <v>2010</v>
      </c>
      <c r="K46" s="32"/>
      <c r="L46" s="14" t="str">
        <f t="shared" si="20"/>
        <v>Yes</v>
      </c>
      <c r="M46" s="32">
        <f>Table9[[#This Row],[National Average3]]</f>
        <v>79.283997252747255</v>
      </c>
      <c r="N46" s="32">
        <f>Table9[[#This Row],[Year 3]]</f>
        <v>2014</v>
      </c>
      <c r="O46" s="32"/>
      <c r="P46" s="14" t="str">
        <f t="shared" si="3"/>
        <v>No</v>
      </c>
      <c r="Q46" s="32">
        <f>Table9[[#This Row],[National Average4]]</f>
        <v>71.327191591299993</v>
      </c>
      <c r="R46" s="32">
        <f>Table9[[#This Row],[Year 4]]</f>
        <v>2010</v>
      </c>
      <c r="S46" s="32"/>
      <c r="T46" s="14" t="str">
        <f t="shared" ref="T46:T47" si="22">IF(AND(U46&lt;&gt; "", V46&gt;2011), "Yes", "No")</f>
        <v>No</v>
      </c>
      <c r="U46" s="32" t="str">
        <f>Table9[[#This Row],[National Average5]]</f>
        <v>n/a</v>
      </c>
      <c r="V46" s="32">
        <f>Table9[[#This Row],[Year 5]]</f>
        <v>2010</v>
      </c>
      <c r="W46" s="32"/>
      <c r="X46" s="14" t="str">
        <f t="shared" si="7"/>
        <v>No</v>
      </c>
      <c r="Y46" s="32">
        <f>Table9[[#This Row],[National Average6]]</f>
        <v>70.76373000000001</v>
      </c>
      <c r="Z46" s="32">
        <f>Table9[[#This Row],[Year 6]]</f>
        <v>2010</v>
      </c>
      <c r="AA46" s="32"/>
      <c r="AB46" s="14" t="str">
        <f t="shared" si="4"/>
        <v>No</v>
      </c>
      <c r="AC46" s="32">
        <f>Table9[[#This Row],[National Average7]]</f>
        <v>93.189299106600004</v>
      </c>
      <c r="AD46" s="32">
        <f>Table9[[#This Row],[Year 7]]</f>
        <v>2010</v>
      </c>
      <c r="AE46" s="32"/>
      <c r="AF46" s="14" t="str">
        <f t="shared" si="13"/>
        <v>No</v>
      </c>
      <c r="AG46" s="32">
        <f>Table9[[#This Row],[National Average8]]</f>
        <v>70.375651121100006</v>
      </c>
      <c r="AH46" s="32">
        <f>Table9[[#This Row],[Year 8]]</f>
        <v>2010</v>
      </c>
      <c r="AI46" s="32"/>
    </row>
    <row r="47" spans="1:35" x14ac:dyDescent="0.2">
      <c r="A47" s="10" t="s">
        <v>45</v>
      </c>
      <c r="B47" s="14" t="str">
        <f t="shared" si="17"/>
        <v>Yes</v>
      </c>
      <c r="C47" s="32"/>
      <c r="D47" s="14" t="str">
        <f t="shared" si="15"/>
        <v>Yes</v>
      </c>
      <c r="E47" s="32">
        <f>Table9[[#This Row],[National Average]]</f>
        <v>28.460519999999999</v>
      </c>
      <c r="F47" s="32">
        <f>Table9[[#This Row],[Year 1]]</f>
        <v>2012</v>
      </c>
      <c r="G47" s="32"/>
      <c r="H47" s="14" t="str">
        <f t="shared" si="19"/>
        <v>Yes</v>
      </c>
      <c r="I47" s="32">
        <f>Table9[[#This Row],[National Average2]]</f>
        <v>41.240139999999997</v>
      </c>
      <c r="J47" s="32">
        <f>Table9[[#This Row],[Year 2]]</f>
        <v>2012</v>
      </c>
      <c r="K47" s="32"/>
      <c r="L47" s="14" t="str">
        <f t="shared" si="20"/>
        <v>Yes</v>
      </c>
      <c r="M47" s="32">
        <f>Table9[[#This Row],[National Average3]]</f>
        <v>29.29777436684574</v>
      </c>
      <c r="N47" s="32">
        <f>Table9[[#This Row],[Year 3]]</f>
        <v>2014</v>
      </c>
      <c r="O47" s="32"/>
      <c r="P47" s="14" t="str">
        <f t="shared" si="3"/>
        <v>Yes</v>
      </c>
      <c r="Q47" s="32">
        <f>Table9[[#This Row],[National Average4]]</f>
        <v>58.647130000000004</v>
      </c>
      <c r="R47" s="32">
        <f>Table9[[#This Row],[Year 4]]</f>
        <v>2012</v>
      </c>
      <c r="S47" s="32"/>
      <c r="T47" s="14" t="str">
        <f t="shared" si="22"/>
        <v>Yes</v>
      </c>
      <c r="U47" s="32">
        <f>Table9[[#This Row],[National Average5]]</f>
        <v>15.61999</v>
      </c>
      <c r="V47" s="32">
        <f>Table9[[#This Row],[Year 5]]</f>
        <v>2012</v>
      </c>
      <c r="W47" s="32"/>
      <c r="X47" s="14" t="str">
        <f t="shared" si="7"/>
        <v>Yes</v>
      </c>
      <c r="Y47" s="32" t="str">
        <f>Table9[[#This Row],[National Average6]]</f>
        <v>n/a</v>
      </c>
      <c r="Z47" s="32">
        <f>Table9[[#This Row],[Year 6]]</f>
        <v>2012</v>
      </c>
      <c r="AA47" s="32"/>
      <c r="AB47" s="14" t="str">
        <f t="shared" si="4"/>
        <v>Yes</v>
      </c>
      <c r="AC47" s="32">
        <f>Table9[[#This Row],[National Average7]]</f>
        <v>63.681600000000003</v>
      </c>
      <c r="AD47" s="32">
        <f>Table9[[#This Row],[Year 7]]</f>
        <v>2012</v>
      </c>
      <c r="AE47" s="32"/>
      <c r="AF47" s="14" t="str">
        <f t="shared" si="13"/>
        <v>Yes</v>
      </c>
      <c r="AG47" s="32">
        <f>Table9[[#This Row],[National Average8]]</f>
        <v>26.685569999999998</v>
      </c>
      <c r="AH47" s="32">
        <f>Table9[[#This Row],[Year 8]]</f>
        <v>2012</v>
      </c>
      <c r="AI47" s="32"/>
    </row>
    <row r="48" spans="1:35" x14ac:dyDescent="0.2">
      <c r="A48" s="10" t="s">
        <v>46</v>
      </c>
      <c r="B48" s="14" t="str">
        <f t="shared" si="17"/>
        <v>No</v>
      </c>
      <c r="C48" s="32"/>
      <c r="D48" s="14" t="str">
        <f t="shared" si="15"/>
        <v>No</v>
      </c>
      <c r="E48" s="32">
        <f>Table9[[#This Row],[National Average]]</f>
        <v>27.745658159300003</v>
      </c>
      <c r="F48" s="32">
        <f>Table9[[#This Row],[Year 1]]</f>
        <v>2007</v>
      </c>
      <c r="G48" s="32"/>
      <c r="H48" s="14" t="str">
        <f t="shared" si="19"/>
        <v>No</v>
      </c>
      <c r="I48" s="32" t="str">
        <f>Table9[[#This Row],[National Average2]]</f>
        <v>n/a</v>
      </c>
      <c r="J48" s="32">
        <f>Table9[[#This Row],[Year 2]]</f>
        <v>2007</v>
      </c>
      <c r="K48" s="32"/>
      <c r="L48" s="14" t="s">
        <v>154</v>
      </c>
      <c r="M48" s="32">
        <f>Table9[[#This Row],[National Average3]]</f>
        <v>0</v>
      </c>
      <c r="N48" s="32">
        <f>Table9[[#This Row],[Year 3]]</f>
        <v>2014</v>
      </c>
      <c r="O48" s="32"/>
      <c r="P48" s="14" t="str">
        <f t="shared" si="3"/>
        <v>No</v>
      </c>
      <c r="Q48" s="32">
        <f>Table9[[#This Row],[National Average4]]</f>
        <v>60.880106687500003</v>
      </c>
      <c r="R48" s="32">
        <f>Table9[[#This Row],[Year 4]]</f>
        <v>2007</v>
      </c>
      <c r="S48" s="32"/>
      <c r="T48" s="14" t="s">
        <v>154</v>
      </c>
      <c r="U48" s="32"/>
      <c r="V48" s="32">
        <f>Table9[[#This Row],[Year 5]]</f>
        <v>2007</v>
      </c>
      <c r="W48" s="32"/>
      <c r="X48" s="14" t="str">
        <f t="shared" si="7"/>
        <v>No</v>
      </c>
      <c r="Y48" s="32">
        <f>Table9[[#This Row],[National Average6]]</f>
        <v>11.489470000000001</v>
      </c>
      <c r="Z48" s="32">
        <f>Table9[[#This Row],[Year 6]]</f>
        <v>2007</v>
      </c>
      <c r="AA48" s="32"/>
      <c r="AB48" s="14" t="str">
        <f t="shared" si="4"/>
        <v>No</v>
      </c>
      <c r="AC48" s="32">
        <f>Table9[[#This Row],[National Average7]]</f>
        <v>55.539417266799994</v>
      </c>
      <c r="AD48" s="32">
        <f>Table9[[#This Row],[Year 7]]</f>
        <v>2007</v>
      </c>
      <c r="AE48" s="32"/>
      <c r="AF48" s="14" t="str">
        <f t="shared" si="13"/>
        <v>No</v>
      </c>
      <c r="AG48" s="32">
        <f>Table9[[#This Row],[National Average8]]</f>
        <v>44.4661080837</v>
      </c>
      <c r="AH48" s="32">
        <f>Table9[[#This Row],[Year 8]]</f>
        <v>2007</v>
      </c>
      <c r="AI48" s="32"/>
    </row>
    <row r="49" spans="1:35" x14ac:dyDescent="0.2">
      <c r="A49" s="10" t="s">
        <v>47</v>
      </c>
      <c r="B49" s="14" t="str">
        <f t="shared" si="17"/>
        <v>No</v>
      </c>
      <c r="C49" s="32"/>
      <c r="D49" s="14" t="str">
        <f t="shared" si="15"/>
        <v>No</v>
      </c>
      <c r="E49" s="32" t="str">
        <f>Table9[[#This Row],[National Average]]</f>
        <v>No data</v>
      </c>
      <c r="F49" s="32">
        <f>Table9[[#This Row],[Year 1]]</f>
        <v>0</v>
      </c>
      <c r="G49" s="32"/>
      <c r="H49" s="14" t="str">
        <f t="shared" si="19"/>
        <v>No</v>
      </c>
      <c r="I49" s="32" t="str">
        <f>Table9[[#This Row],[National Average2]]</f>
        <v>No data</v>
      </c>
      <c r="J49" s="32">
        <f>Table9[[#This Row],[Year 2]]</f>
        <v>0</v>
      </c>
      <c r="K49" s="32"/>
      <c r="L49" s="14" t="str">
        <f t="shared" ref="L49:L58" si="23">IF(AND(M49&lt;&gt; "", N49&gt;2011), "Yes", "No")</f>
        <v>Yes</v>
      </c>
      <c r="M49" s="32">
        <f>Table9[[#This Row],[National Average3]]</f>
        <v>74.695534506089317</v>
      </c>
      <c r="N49" s="32">
        <f>Table9[[#This Row],[Year 3]]</f>
        <v>2014</v>
      </c>
      <c r="O49" s="32"/>
      <c r="P49" s="14" t="str">
        <f t="shared" si="3"/>
        <v>No</v>
      </c>
      <c r="Q49" s="32" t="str">
        <f>Table9[[#This Row],[National Average4]]</f>
        <v>No data</v>
      </c>
      <c r="R49" s="32">
        <f>Table9[[#This Row],[Year 4]]</f>
        <v>0</v>
      </c>
      <c r="S49" s="32"/>
      <c r="T49" s="14" t="s">
        <v>154</v>
      </c>
      <c r="U49" s="32"/>
      <c r="V49" s="32"/>
      <c r="W49" s="32"/>
      <c r="X49" s="14" t="str">
        <f t="shared" si="7"/>
        <v>No</v>
      </c>
      <c r="Y49" s="32" t="str">
        <f>Table9[[#This Row],[National Average6]]</f>
        <v>No data</v>
      </c>
      <c r="Z49" s="32">
        <f>Table9[[#This Row],[Year 6]]</f>
        <v>0</v>
      </c>
      <c r="AA49" s="32"/>
      <c r="AB49" s="14" t="str">
        <f t="shared" si="4"/>
        <v>No</v>
      </c>
      <c r="AC49" s="32" t="str">
        <f>Table9[[#This Row],[National Average7]]</f>
        <v>No data</v>
      </c>
      <c r="AD49" s="32">
        <f>Table9[[#This Row],[Year 7]]</f>
        <v>0</v>
      </c>
      <c r="AE49" s="32"/>
      <c r="AF49" s="14" t="s">
        <v>154</v>
      </c>
      <c r="AG49" s="32"/>
      <c r="AH49" s="32"/>
      <c r="AI49" s="32"/>
    </row>
    <row r="50" spans="1:35" x14ac:dyDescent="0.2">
      <c r="A50" s="10" t="s">
        <v>48</v>
      </c>
      <c r="B50" s="14" t="str">
        <f t="shared" si="17"/>
        <v>No</v>
      </c>
      <c r="C50" s="32"/>
      <c r="D50" s="14" t="str">
        <f t="shared" si="15"/>
        <v>No</v>
      </c>
      <c r="E50" s="32">
        <f>Table9[[#This Row],[National Average]]</f>
        <v>86.6425096989</v>
      </c>
      <c r="F50" s="32">
        <f>Table9[[#This Row],[Year 1]]</f>
        <v>2003</v>
      </c>
      <c r="G50" s="32"/>
      <c r="H50" s="14" t="str">
        <f t="shared" si="19"/>
        <v>No</v>
      </c>
      <c r="I50" s="32">
        <f>Table9[[#This Row],[National Average2]]</f>
        <v>30.482101440400001</v>
      </c>
      <c r="J50" s="32">
        <f>Table9[[#This Row],[Year 2]]</f>
        <v>2003</v>
      </c>
      <c r="K50" s="32"/>
      <c r="L50" s="14" t="str">
        <f t="shared" si="23"/>
        <v>Yes</v>
      </c>
      <c r="M50" s="32">
        <f>Table9[[#This Row],[National Average3]]</f>
        <v>39.393939393939391</v>
      </c>
      <c r="N50" s="32">
        <f>Table9[[#This Row],[Year 3]]</f>
        <v>2014</v>
      </c>
      <c r="O50" s="32"/>
      <c r="P50" s="14" t="str">
        <f t="shared" si="3"/>
        <v>No</v>
      </c>
      <c r="Q50" s="32">
        <f>Table9[[#This Row],[National Average4]]</f>
        <v>62.627685070000005</v>
      </c>
      <c r="R50" s="32">
        <f>Table9[[#This Row],[Year 4]]</f>
        <v>2003</v>
      </c>
      <c r="S50" s="32"/>
      <c r="T50" s="14" t="s">
        <v>154</v>
      </c>
      <c r="U50" s="32"/>
      <c r="V50" s="32"/>
      <c r="W50" s="32"/>
      <c r="X50" s="14" t="str">
        <f t="shared" si="7"/>
        <v>No</v>
      </c>
      <c r="Y50" s="32">
        <f>Table9[[#This Row],[National Average6]]</f>
        <v>30.991720000000001</v>
      </c>
      <c r="Z50" s="32">
        <f>Table9[[#This Row],[Year 6]]</f>
        <v>2003</v>
      </c>
      <c r="AA50" s="32"/>
      <c r="AB50" s="14" t="str">
        <f t="shared" si="4"/>
        <v>No</v>
      </c>
      <c r="AC50" s="32">
        <f>Table9[[#This Row],[National Average7]]</f>
        <v>94.918173551600006</v>
      </c>
      <c r="AD50" s="32">
        <f>Table9[[#This Row],[Year 7]]</f>
        <v>2003</v>
      </c>
      <c r="AE50" s="32"/>
      <c r="AF50" s="14" t="str">
        <f t="shared" ref="AF50:AF79" si="24">IF(AND(AG50&lt;&gt; "", AH50&gt;2011), "Yes", "No")</f>
        <v>No</v>
      </c>
      <c r="AG50" s="32">
        <f>Table9[[#This Row],[National Average8]]</f>
        <v>37.767207622499996</v>
      </c>
      <c r="AH50" s="32">
        <f>Table9[[#This Row],[Year 8]]</f>
        <v>2003</v>
      </c>
      <c r="AI50" s="32"/>
    </row>
    <row r="51" spans="1:35" x14ac:dyDescent="0.2">
      <c r="A51" s="10" t="s">
        <v>49</v>
      </c>
      <c r="B51" s="14" t="str">
        <f t="shared" si="17"/>
        <v>No</v>
      </c>
      <c r="C51" s="32"/>
      <c r="D51" s="14" t="str">
        <f t="shared" si="15"/>
        <v>No</v>
      </c>
      <c r="E51" s="32">
        <f>Table9[[#This Row],[National Average]]</f>
        <v>32.745578885100002</v>
      </c>
      <c r="F51" s="32">
        <f>Table9[[#This Row],[Year 1]]</f>
        <v>2011</v>
      </c>
      <c r="G51" s="32"/>
      <c r="H51" s="14" t="str">
        <f t="shared" si="19"/>
        <v>No</v>
      </c>
      <c r="I51" s="32">
        <f>Table9[[#This Row],[National Average2]]</f>
        <v>50.641256570799996</v>
      </c>
      <c r="J51" s="32">
        <f>Table9[[#This Row],[Year 2]]</f>
        <v>2011</v>
      </c>
      <c r="K51" s="32"/>
      <c r="L51" s="14" t="str">
        <f t="shared" si="23"/>
        <v>Yes</v>
      </c>
      <c r="M51" s="32">
        <f>Table9[[#This Row],[National Average3]]</f>
        <v>83.664765633583357</v>
      </c>
      <c r="N51" s="32">
        <f>Table9[[#This Row],[Year 3]]</f>
        <v>2014</v>
      </c>
      <c r="O51" s="32"/>
      <c r="P51" s="14" t="str">
        <f t="shared" si="3"/>
        <v>No</v>
      </c>
      <c r="Q51" s="32">
        <f>Table9[[#This Row],[National Average4]]</f>
        <v>54.314702749300004</v>
      </c>
      <c r="R51" s="32">
        <f>Table9[[#This Row],[Year 4]]</f>
        <v>2011</v>
      </c>
      <c r="S51" s="32"/>
      <c r="T51" s="14" t="s">
        <v>154</v>
      </c>
      <c r="U51" s="32"/>
      <c r="V51" s="32"/>
      <c r="W51" s="32"/>
      <c r="X51" s="14" t="str">
        <f t="shared" si="7"/>
        <v>No</v>
      </c>
      <c r="Y51" s="32">
        <f>Table9[[#This Row],[National Average6]]</f>
        <v>41.101460000000003</v>
      </c>
      <c r="Z51" s="32">
        <f>Table9[[#This Row],[Year 6]]</f>
        <v>2011</v>
      </c>
      <c r="AA51" s="32"/>
      <c r="AB51" s="14" t="str">
        <f t="shared" si="4"/>
        <v>No</v>
      </c>
      <c r="AC51" s="32">
        <f>Table9[[#This Row],[National Average7]]</f>
        <v>76.948601007499988</v>
      </c>
      <c r="AD51" s="32">
        <f>Table9[[#This Row],[Year 7]]</f>
        <v>2011</v>
      </c>
      <c r="AE51" s="32"/>
      <c r="AF51" s="14" t="str">
        <f t="shared" si="24"/>
        <v>No</v>
      </c>
      <c r="AG51" s="32">
        <f>Table9[[#This Row],[National Average8]]</f>
        <v>50.1969575882</v>
      </c>
      <c r="AH51" s="32">
        <f>Table9[[#This Row],[Year 8]]</f>
        <v>2011</v>
      </c>
      <c r="AI51" s="32"/>
    </row>
    <row r="52" spans="1:35" x14ac:dyDescent="0.2">
      <c r="A52" s="10" t="s">
        <v>50</v>
      </c>
      <c r="B52" s="14" t="str">
        <f t="shared" si="17"/>
        <v>No</v>
      </c>
      <c r="C52" s="32"/>
      <c r="D52" s="14" t="str">
        <f t="shared" si="15"/>
        <v>No</v>
      </c>
      <c r="E52" s="32" t="str">
        <f>Table9[[#This Row],[National Average]]</f>
        <v>No data</v>
      </c>
      <c r="F52" s="32">
        <f>Table9[[#This Row],[Year 1]]</f>
        <v>0</v>
      </c>
      <c r="G52" s="32"/>
      <c r="H52" s="14" t="str">
        <f t="shared" si="19"/>
        <v>No</v>
      </c>
      <c r="I52" s="32" t="str">
        <f>Table9[[#This Row],[National Average2]]</f>
        <v>No data</v>
      </c>
      <c r="J52" s="32">
        <f>Table9[[#This Row],[Year 2]]</f>
        <v>0</v>
      </c>
      <c r="K52" s="32"/>
      <c r="L52" s="14" t="str">
        <f t="shared" si="23"/>
        <v>Yes</v>
      </c>
      <c r="M52" s="32">
        <f>Table9[[#This Row],[National Average3]]</f>
        <v>71.518544436668989</v>
      </c>
      <c r="N52" s="32">
        <f>Table9[[#This Row],[Year 3]]</f>
        <v>2014</v>
      </c>
      <c r="O52" s="32"/>
      <c r="P52" s="14" t="str">
        <f t="shared" si="3"/>
        <v>No</v>
      </c>
      <c r="Q52" s="32" t="str">
        <f>Table9[[#This Row],[National Average4]]</f>
        <v>No data</v>
      </c>
      <c r="R52" s="32">
        <f>Table9[[#This Row],[Year 4]]</f>
        <v>0</v>
      </c>
      <c r="S52" s="32"/>
      <c r="T52" s="14" t="s">
        <v>154</v>
      </c>
      <c r="U52" s="32"/>
      <c r="V52" s="32"/>
      <c r="W52" s="32"/>
      <c r="X52" s="14" t="str">
        <f t="shared" si="7"/>
        <v>No</v>
      </c>
      <c r="Y52" s="32" t="str">
        <f>Table9[[#This Row],[National Average6]]</f>
        <v>No data</v>
      </c>
      <c r="Z52" s="32">
        <f>Table9[[#This Row],[Year 6]]</f>
        <v>0</v>
      </c>
      <c r="AA52" s="32"/>
      <c r="AB52" s="14" t="str">
        <f t="shared" si="4"/>
        <v>No</v>
      </c>
      <c r="AC52" s="32" t="str">
        <f>Table9[[#This Row],[National Average7]]</f>
        <v>No data</v>
      </c>
      <c r="AD52" s="32">
        <f>Table9[[#This Row],[Year 7]]</f>
        <v>0</v>
      </c>
      <c r="AE52" s="32"/>
      <c r="AF52" s="14" t="str">
        <f t="shared" si="24"/>
        <v>No</v>
      </c>
      <c r="AG52" s="32" t="str">
        <f>Table9[[#This Row],[National Average8]]</f>
        <v>No data</v>
      </c>
      <c r="AH52" s="32">
        <f>Table9[[#This Row],[Year 8]]</f>
        <v>0</v>
      </c>
      <c r="AI52" s="32"/>
    </row>
    <row r="53" spans="1:35" x14ac:dyDescent="0.2">
      <c r="A53" s="10" t="s">
        <v>51</v>
      </c>
      <c r="B53" s="14" t="str">
        <f t="shared" si="17"/>
        <v>No</v>
      </c>
      <c r="C53" s="32"/>
      <c r="D53" s="14" t="str">
        <f t="shared" si="15"/>
        <v>No</v>
      </c>
      <c r="E53" s="32">
        <f>Table9[[#This Row],[National Average]]</f>
        <v>64.338427782099998</v>
      </c>
      <c r="F53" s="32">
        <f>Table9[[#This Row],[Year 1]]</f>
        <v>2011</v>
      </c>
      <c r="G53" s="32"/>
      <c r="H53" s="14" t="str">
        <f t="shared" si="19"/>
        <v>No</v>
      </c>
      <c r="I53" s="32">
        <f>Table9[[#This Row],[National Average2]]</f>
        <v>50.089204311400003</v>
      </c>
      <c r="J53" s="32">
        <f>Table9[[#This Row],[Year 2]]</f>
        <v>2011</v>
      </c>
      <c r="K53" s="32"/>
      <c r="L53" s="14" t="str">
        <f t="shared" si="23"/>
        <v>Yes</v>
      </c>
      <c r="M53" s="32">
        <f>Table9[[#This Row],[National Average3]]</f>
        <v>27.149321266968325</v>
      </c>
      <c r="N53" s="32">
        <f>Table9[[#This Row],[Year 3]]</f>
        <v>2014</v>
      </c>
      <c r="O53" s="32"/>
      <c r="P53" s="14" t="str">
        <f t="shared" si="3"/>
        <v>No</v>
      </c>
      <c r="Q53" s="32">
        <f>Table9[[#This Row],[National Average4]]</f>
        <v>36.047115922000003</v>
      </c>
      <c r="R53" s="32">
        <f>Table9[[#This Row],[Year 4]]</f>
        <v>2011</v>
      </c>
      <c r="S53" s="32"/>
      <c r="T53" s="14" t="str">
        <f t="shared" ref="T53:T56" si="25">IF(AND(U53&lt;&gt; "", V53&gt;2011), "Yes", "No")</f>
        <v>No</v>
      </c>
      <c r="U53" s="32">
        <f>Table9[[#This Row],[National Average5]]</f>
        <v>30.073466896999999</v>
      </c>
      <c r="V53" s="32">
        <f>Table9[[#This Row],[Year 5]]</f>
        <v>2011</v>
      </c>
      <c r="W53" s="32"/>
      <c r="X53" s="14" t="str">
        <f t="shared" si="7"/>
        <v>No</v>
      </c>
      <c r="Y53" s="32">
        <f>Table9[[#This Row],[National Average6]]</f>
        <v>69.64858000000001</v>
      </c>
      <c r="Z53" s="32">
        <f>Table9[[#This Row],[Year 6]]</f>
        <v>2011</v>
      </c>
      <c r="AA53" s="32"/>
      <c r="AB53" s="14" t="str">
        <f t="shared" si="4"/>
        <v>No</v>
      </c>
      <c r="AC53" s="32">
        <f>Table9[[#This Row],[National Average7]]</f>
        <v>91.839641332599996</v>
      </c>
      <c r="AD53" s="32">
        <f>Table9[[#This Row],[Year 7]]</f>
        <v>2011</v>
      </c>
      <c r="AE53" s="32"/>
      <c r="AF53" s="14" t="str">
        <f t="shared" si="24"/>
        <v>No</v>
      </c>
      <c r="AG53" s="32">
        <f>Table9[[#This Row],[National Average8]]</f>
        <v>49.498021602599998</v>
      </c>
      <c r="AH53" s="32">
        <f>Table9[[#This Row],[Year 8]]</f>
        <v>2011</v>
      </c>
      <c r="AI53" s="32"/>
    </row>
    <row r="54" spans="1:35" x14ac:dyDescent="0.2">
      <c r="A54" s="10" t="s">
        <v>52</v>
      </c>
      <c r="B54" s="14" t="str">
        <f t="shared" si="17"/>
        <v>Yes</v>
      </c>
      <c r="C54" s="32"/>
      <c r="D54" s="14" t="str">
        <f t="shared" si="15"/>
        <v>Yes</v>
      </c>
      <c r="E54" s="32">
        <f>Table9[[#This Row],[National Average]]</f>
        <v>46.474456787099996</v>
      </c>
      <c r="F54" s="32">
        <f>Table9[[#This Row],[Year 1]]</f>
        <v>2012</v>
      </c>
      <c r="G54" s="32"/>
      <c r="H54" s="14" t="str">
        <f t="shared" si="19"/>
        <v>Yes</v>
      </c>
      <c r="I54" s="32">
        <f>Table9[[#This Row],[National Average2]]</f>
        <v>32.778444886199999</v>
      </c>
      <c r="J54" s="32">
        <f>Table9[[#This Row],[Year 2]]</f>
        <v>2012</v>
      </c>
      <c r="K54" s="32"/>
      <c r="L54" s="14" t="str">
        <f t="shared" si="23"/>
        <v>Yes</v>
      </c>
      <c r="M54" s="32">
        <f>Table9[[#This Row],[National Average3]]</f>
        <v>52.672064777327932</v>
      </c>
      <c r="N54" s="32">
        <f>Table9[[#This Row],[Year 3]]</f>
        <v>2014</v>
      </c>
      <c r="O54" s="32"/>
      <c r="P54" s="14" t="str">
        <f t="shared" si="3"/>
        <v>Yes</v>
      </c>
      <c r="Q54" s="32">
        <f>Table9[[#This Row],[National Average4]]</f>
        <v>29.297590255700001</v>
      </c>
      <c r="R54" s="32">
        <f>Table9[[#This Row],[Year 4]]</f>
        <v>2012</v>
      </c>
      <c r="S54" s="32"/>
      <c r="T54" s="14" t="str">
        <f t="shared" si="25"/>
        <v>Yes</v>
      </c>
      <c r="U54" s="32">
        <f>Table9[[#This Row],[National Average5]]</f>
        <v>12.9703447223</v>
      </c>
      <c r="V54" s="32">
        <f>Table9[[#This Row],[Year 5]]</f>
        <v>2012</v>
      </c>
      <c r="W54" s="32"/>
      <c r="X54" s="14" t="str">
        <f t="shared" si="7"/>
        <v>Yes</v>
      </c>
      <c r="Y54" s="32">
        <f>Table9[[#This Row],[National Average6]]</f>
        <v>23.253160000000001</v>
      </c>
      <c r="Z54" s="32">
        <f>Table9[[#This Row],[Year 6]]</f>
        <v>2012</v>
      </c>
      <c r="AA54" s="32"/>
      <c r="AB54" s="14" t="str">
        <f t="shared" si="4"/>
        <v>Yes</v>
      </c>
      <c r="AC54" s="32">
        <f>Table9[[#This Row],[National Average7]]</f>
        <v>68.531835079199993</v>
      </c>
      <c r="AD54" s="32">
        <f>Table9[[#This Row],[Year 7]]</f>
        <v>2012</v>
      </c>
      <c r="AE54" s="32"/>
      <c r="AF54" s="14" t="str">
        <f t="shared" si="24"/>
        <v>Yes</v>
      </c>
      <c r="AG54" s="32">
        <f>Table9[[#This Row],[National Average8]]</f>
        <v>53.195607662199997</v>
      </c>
      <c r="AH54" s="32">
        <f>Table9[[#This Row],[Year 8]]</f>
        <v>2012</v>
      </c>
      <c r="AI54" s="32"/>
    </row>
    <row r="55" spans="1:35" x14ac:dyDescent="0.2">
      <c r="A55" s="10" t="s">
        <v>53</v>
      </c>
      <c r="B55" s="14" t="str">
        <f t="shared" si="17"/>
        <v>Yes</v>
      </c>
      <c r="C55" s="32"/>
      <c r="D55" s="14" t="str">
        <f t="shared" si="15"/>
        <v>Yes</v>
      </c>
      <c r="E55" s="32">
        <f>Table9[[#This Row],[National Average]]</f>
        <v>48.481679999999997</v>
      </c>
      <c r="F55" s="32">
        <f>Table9[[#This Row],[Year 1]]</f>
        <v>2013</v>
      </c>
      <c r="G55" s="32"/>
      <c r="H55" s="14" t="str">
        <f t="shared" si="19"/>
        <v>Yes</v>
      </c>
      <c r="I55" s="32">
        <f>Table9[[#This Row],[National Average2]]</f>
        <v>51.092449999999999</v>
      </c>
      <c r="J55" s="32">
        <f>Table9[[#This Row],[Year 2]]</f>
        <v>2013</v>
      </c>
      <c r="K55" s="32"/>
      <c r="L55" s="14" t="str">
        <f t="shared" si="23"/>
        <v>Yes</v>
      </c>
      <c r="M55" s="32">
        <f>Table9[[#This Row],[National Average3]]</f>
        <v>27.243684645233678</v>
      </c>
      <c r="N55" s="32">
        <f>Table9[[#This Row],[Year 3]]</f>
        <v>2014</v>
      </c>
      <c r="O55" s="32"/>
      <c r="P55" s="14" t="str">
        <f t="shared" si="3"/>
        <v>Yes</v>
      </c>
      <c r="Q55" s="32">
        <f>Table9[[#This Row],[National Average4]]</f>
        <v>38.145849999999996</v>
      </c>
      <c r="R55" s="32">
        <f>Table9[[#This Row],[Year 4]]</f>
        <v>2013</v>
      </c>
      <c r="S55" s="32"/>
      <c r="T55" s="14" t="str">
        <f t="shared" si="25"/>
        <v>Yes</v>
      </c>
      <c r="U55" s="32">
        <f>Table9[[#This Row],[National Average5]]</f>
        <v>14.081360000000002</v>
      </c>
      <c r="V55" s="32">
        <f>Table9[[#This Row],[Year 5]]</f>
        <v>2013</v>
      </c>
      <c r="W55" s="32"/>
      <c r="X55" s="14" t="str">
        <f t="shared" si="7"/>
        <v>Yes</v>
      </c>
      <c r="Y55" s="32" t="str">
        <f>Table9[[#This Row],[National Average6]]</f>
        <v>n/a</v>
      </c>
      <c r="Z55" s="32">
        <f>Table9[[#This Row],[Year 6]]</f>
        <v>2013</v>
      </c>
      <c r="AA55" s="32"/>
      <c r="AB55" s="14" t="str">
        <f t="shared" si="4"/>
        <v>Yes</v>
      </c>
      <c r="AC55" s="32">
        <f>Table9[[#This Row],[National Average7]]</f>
        <v>38.50712</v>
      </c>
      <c r="AD55" s="32">
        <f>Table9[[#This Row],[Year 7]]</f>
        <v>2013</v>
      </c>
      <c r="AE55" s="32"/>
      <c r="AF55" s="14" t="str">
        <f t="shared" si="24"/>
        <v>Yes</v>
      </c>
      <c r="AG55" s="32">
        <f>Table9[[#This Row],[National Average8]]</f>
        <v>34.487319999999997</v>
      </c>
      <c r="AH55" s="32">
        <f>Table9[[#This Row],[Year 8]]</f>
        <v>2013</v>
      </c>
      <c r="AI55" s="32"/>
    </row>
    <row r="56" spans="1:35" x14ac:dyDescent="0.2">
      <c r="A56" s="10" t="s">
        <v>54</v>
      </c>
      <c r="B56" s="14" t="str">
        <f t="shared" si="17"/>
        <v>Yes</v>
      </c>
      <c r="C56" s="32"/>
      <c r="D56" s="14" t="str">
        <f t="shared" si="15"/>
        <v>Yes</v>
      </c>
      <c r="E56" s="32">
        <f>Table9[[#This Row],[National Average]]</f>
        <v>63.807362318000003</v>
      </c>
      <c r="F56" s="32">
        <f>Table9[[#This Row],[Year 1]]</f>
        <v>2012</v>
      </c>
      <c r="G56" s="32"/>
      <c r="H56" s="14" t="str">
        <f t="shared" si="19"/>
        <v>Yes</v>
      </c>
      <c r="I56" s="32">
        <f>Table9[[#This Row],[National Average2]]</f>
        <v>36.563587188699998</v>
      </c>
      <c r="J56" s="32">
        <f>Table9[[#This Row],[Year 2]]</f>
        <v>2012</v>
      </c>
      <c r="K56" s="32"/>
      <c r="L56" s="14" t="str">
        <f t="shared" si="23"/>
        <v>Yes</v>
      </c>
      <c r="M56" s="32">
        <f>Table9[[#This Row],[National Average3]]</f>
        <v>8.5889570552147241</v>
      </c>
      <c r="N56" s="32">
        <f>Table9[[#This Row],[Year 3]]</f>
        <v>2014</v>
      </c>
      <c r="O56" s="32"/>
      <c r="P56" s="14" t="str">
        <f t="shared" si="3"/>
        <v>Yes</v>
      </c>
      <c r="Q56" s="32">
        <f>Table9[[#This Row],[National Average4]]</f>
        <v>52.121549844699999</v>
      </c>
      <c r="R56" s="32">
        <f>Table9[[#This Row],[Year 4]]</f>
        <v>2012</v>
      </c>
      <c r="S56" s="32"/>
      <c r="T56" s="14" t="str">
        <f t="shared" si="25"/>
        <v>Yes</v>
      </c>
      <c r="U56" s="32">
        <f>Table9[[#This Row],[National Average5]]</f>
        <v>42.888787388799997</v>
      </c>
      <c r="V56" s="32">
        <f>Table9[[#This Row],[Year 5]]</f>
        <v>2012</v>
      </c>
      <c r="W56" s="32"/>
      <c r="X56" s="14" t="str">
        <f t="shared" si="7"/>
        <v>Yes</v>
      </c>
      <c r="Y56" s="32">
        <f>Table9[[#This Row],[National Average6]]</f>
        <v>37.763559999999998</v>
      </c>
      <c r="Z56" s="32">
        <f>Table9[[#This Row],[Year 6]]</f>
        <v>2012</v>
      </c>
      <c r="AA56" s="32"/>
      <c r="AB56" s="14" t="str">
        <f t="shared" si="4"/>
        <v>Yes</v>
      </c>
      <c r="AC56" s="32">
        <f>Table9[[#This Row],[National Average7]]</f>
        <v>65.293407440199999</v>
      </c>
      <c r="AD56" s="32">
        <f>Table9[[#This Row],[Year 7]]</f>
        <v>2012</v>
      </c>
      <c r="AE56" s="32"/>
      <c r="AF56" s="14" t="str">
        <f t="shared" si="24"/>
        <v>Yes</v>
      </c>
      <c r="AG56" s="32">
        <f>Table9[[#This Row],[National Average8]]</f>
        <v>81.467872858000007</v>
      </c>
      <c r="AH56" s="32">
        <f>Table9[[#This Row],[Year 8]]</f>
        <v>2012</v>
      </c>
      <c r="AI56" s="32"/>
    </row>
    <row r="57" spans="1:35" x14ac:dyDescent="0.2">
      <c r="A57" s="10" t="s">
        <v>55</v>
      </c>
      <c r="B57" s="14" t="str">
        <f t="shared" si="17"/>
        <v>No</v>
      </c>
      <c r="C57" s="32"/>
      <c r="D57" s="14" t="str">
        <f t="shared" si="15"/>
        <v>No</v>
      </c>
      <c r="E57" s="32" t="str">
        <f>Table9[[#This Row],[National Average]]</f>
        <v>No data</v>
      </c>
      <c r="F57" s="32">
        <f>Table9[[#This Row],[Year 1]]</f>
        <v>0</v>
      </c>
      <c r="G57" s="32"/>
      <c r="H57" s="14" t="str">
        <f t="shared" si="19"/>
        <v>No</v>
      </c>
      <c r="I57" s="32" t="str">
        <f>Table9[[#This Row],[National Average2]]</f>
        <v>No data</v>
      </c>
      <c r="J57" s="32">
        <f>Table9[[#This Row],[Year 2]]</f>
        <v>0</v>
      </c>
      <c r="K57" s="32"/>
      <c r="L57" s="14" t="str">
        <f t="shared" si="23"/>
        <v>Yes</v>
      </c>
      <c r="M57" s="32">
        <f>Table9[[#This Row],[National Average3]]</f>
        <v>40.822179732313572</v>
      </c>
      <c r="N57" s="32">
        <f>Table9[[#This Row],[Year 3]]</f>
        <v>2014</v>
      </c>
      <c r="O57" s="32"/>
      <c r="P57" s="14" t="str">
        <f t="shared" si="3"/>
        <v>No</v>
      </c>
      <c r="Q57" s="32" t="str">
        <f>Table9[[#This Row],[National Average4]]</f>
        <v>No data</v>
      </c>
      <c r="R57" s="32">
        <f>Table9[[#This Row],[Year 4]]</f>
        <v>0</v>
      </c>
      <c r="S57" s="32"/>
      <c r="T57" s="14" t="s">
        <v>154</v>
      </c>
      <c r="U57" s="32"/>
      <c r="V57" s="32"/>
      <c r="W57" s="32"/>
      <c r="X57" s="14" t="str">
        <f t="shared" si="7"/>
        <v>No</v>
      </c>
      <c r="Y57" s="32" t="str">
        <f>Table9[[#This Row],[National Average6]]</f>
        <v>No data</v>
      </c>
      <c r="Z57" s="32">
        <f>Table9[[#This Row],[Year 6]]</f>
        <v>0</v>
      </c>
      <c r="AA57" s="32"/>
      <c r="AB57" s="14" t="str">
        <f t="shared" si="4"/>
        <v>No</v>
      </c>
      <c r="AC57" s="32" t="str">
        <f>Table9[[#This Row],[National Average7]]</f>
        <v>No data</v>
      </c>
      <c r="AD57" s="32">
        <f>Table9[[#This Row],[Year 7]]</f>
        <v>0</v>
      </c>
      <c r="AE57" s="32"/>
      <c r="AF57" s="14" t="str">
        <f t="shared" si="24"/>
        <v>No</v>
      </c>
      <c r="AG57" s="32" t="str">
        <f>Table9[[#This Row],[National Average8]]</f>
        <v>No data</v>
      </c>
      <c r="AH57" s="32">
        <f>Table9[[#This Row],[Year 8]]</f>
        <v>0</v>
      </c>
      <c r="AI57" s="32"/>
    </row>
    <row r="58" spans="1:35" x14ac:dyDescent="0.2">
      <c r="A58" s="10" t="s">
        <v>56</v>
      </c>
      <c r="B58" s="14" t="str">
        <f t="shared" si="17"/>
        <v>No</v>
      </c>
      <c r="C58" s="32"/>
      <c r="D58" s="14" t="str">
        <f t="shared" si="15"/>
        <v>Yes</v>
      </c>
      <c r="E58" s="32">
        <f>Table9[[#This Row],[National Average]]</f>
        <v>90.27288556100001</v>
      </c>
      <c r="F58" s="32">
        <f>Table9[[#This Row],[Year 1]]</f>
        <v>2012</v>
      </c>
      <c r="G58" s="32"/>
      <c r="H58" s="14" t="str">
        <f t="shared" si="19"/>
        <v>Yes</v>
      </c>
      <c r="I58" s="32">
        <f>Table9[[#This Row],[National Average2]]</f>
        <v>94.37562227250001</v>
      </c>
      <c r="J58" s="32">
        <f>Table9[[#This Row],[Year 2]]</f>
        <v>2012</v>
      </c>
      <c r="K58" s="32"/>
      <c r="L58" s="14" t="str">
        <f t="shared" si="23"/>
        <v>Yes</v>
      </c>
      <c r="M58" s="32">
        <f>Table9[[#This Row],[National Average3]]</f>
        <v>70.142180094786738</v>
      </c>
      <c r="N58" s="32">
        <f>Table9[[#This Row],[Year 3]]</f>
        <v>2014</v>
      </c>
      <c r="O58" s="32"/>
      <c r="P58" s="14" t="str">
        <f t="shared" si="3"/>
        <v>Yes</v>
      </c>
      <c r="Q58" s="32">
        <f>Table9[[#This Row],[National Average4]]</f>
        <v>86.732286214799998</v>
      </c>
      <c r="R58" s="32">
        <f>Table9[[#This Row],[Year 4]]</f>
        <v>2012</v>
      </c>
      <c r="S58" s="32"/>
      <c r="T58" s="14" t="s">
        <v>154</v>
      </c>
      <c r="U58" s="32"/>
      <c r="V58" s="32">
        <f>Table9[[#This Row],[Year 5]]</f>
        <v>2012</v>
      </c>
      <c r="W58" s="32"/>
      <c r="X58" s="14" t="str">
        <f t="shared" si="7"/>
        <v>Yes</v>
      </c>
      <c r="Y58" s="32" t="str">
        <f>Table9[[#This Row],[National Average6]]</f>
        <v>n/a</v>
      </c>
      <c r="Z58" s="32">
        <f>Table9[[#This Row],[Year 6]]</f>
        <v>2012</v>
      </c>
      <c r="AA58" s="32"/>
      <c r="AB58" s="14" t="str">
        <f t="shared" si="4"/>
        <v>Yes</v>
      </c>
      <c r="AC58" s="32">
        <f>Table9[[#This Row],[National Average7]]</f>
        <v>83.697831630700009</v>
      </c>
      <c r="AD58" s="32">
        <f>Table9[[#This Row],[Year 7]]</f>
        <v>2012</v>
      </c>
      <c r="AE58" s="32"/>
      <c r="AF58" s="14" t="str">
        <f t="shared" si="24"/>
        <v>Yes</v>
      </c>
      <c r="AG58" s="32">
        <f>Table9[[#This Row],[National Average8]]</f>
        <v>67.167371511499994</v>
      </c>
      <c r="AH58" s="32">
        <f>Table9[[#This Row],[Year 8]]</f>
        <v>2012</v>
      </c>
      <c r="AI58" s="32"/>
    </row>
    <row r="59" spans="1:35" x14ac:dyDescent="0.2">
      <c r="A59" s="10" t="s">
        <v>57</v>
      </c>
      <c r="B59" s="14" t="str">
        <f t="shared" si="17"/>
        <v>No</v>
      </c>
      <c r="C59" s="32"/>
      <c r="D59" s="14" t="str">
        <f t="shared" si="15"/>
        <v>Yes</v>
      </c>
      <c r="E59" s="32">
        <f>Table9[[#This Row],[National Average]]</f>
        <v>75.899510000000006</v>
      </c>
      <c r="F59" s="32">
        <f>Table9[[#This Row],[Year 1]]</f>
        <v>2013</v>
      </c>
      <c r="G59" s="32"/>
      <c r="H59" s="14" t="str">
        <f t="shared" si="19"/>
        <v>Yes</v>
      </c>
      <c r="I59" s="32">
        <f>Table9[[#This Row],[National Average2]]</f>
        <v>84.316850000000002</v>
      </c>
      <c r="J59" s="32">
        <f>Table9[[#This Row],[Year 2]]</f>
        <v>2013</v>
      </c>
      <c r="K59" s="32"/>
      <c r="L59" s="14" t="s">
        <v>154</v>
      </c>
      <c r="M59" s="32">
        <f>Table9[[#This Row],[National Average3]]</f>
        <v>0</v>
      </c>
      <c r="N59" s="32">
        <f>Table9[[#This Row],[Year 3]]</f>
        <v>2014</v>
      </c>
      <c r="O59" s="32"/>
      <c r="P59" s="14" t="str">
        <f t="shared" si="3"/>
        <v>Yes</v>
      </c>
      <c r="Q59" s="32">
        <f>Table9[[#This Row],[National Average4]]</f>
        <v>72.752130000000008</v>
      </c>
      <c r="R59" s="32">
        <f>Table9[[#This Row],[Year 4]]</f>
        <v>2013</v>
      </c>
      <c r="S59" s="32"/>
      <c r="T59" s="14" t="str">
        <f t="shared" ref="T59:T60" si="26">IF(AND(U59&lt;&gt; "", V59&gt;2011), "Yes", "No")</f>
        <v>Yes</v>
      </c>
      <c r="U59" s="32">
        <f>Table9[[#This Row],[National Average5]]</f>
        <v>52.827729999999995</v>
      </c>
      <c r="V59" s="32">
        <f>Table9[[#This Row],[Year 5]]</f>
        <v>2013</v>
      </c>
      <c r="W59" s="32"/>
      <c r="X59" s="14" t="str">
        <f t="shared" si="7"/>
        <v>Yes</v>
      </c>
      <c r="Y59" s="32" t="str">
        <f>Table9[[#This Row],[National Average6]]</f>
        <v>n/a</v>
      </c>
      <c r="Z59" s="32">
        <f>Table9[[#This Row],[Year 6]]</f>
        <v>2013</v>
      </c>
      <c r="AA59" s="32"/>
      <c r="AB59" s="14" t="str">
        <f t="shared" si="4"/>
        <v>Yes</v>
      </c>
      <c r="AC59" s="32">
        <f>Table9[[#This Row],[National Average7]]</f>
        <v>86.211960000000005</v>
      </c>
      <c r="AD59" s="32">
        <f>Table9[[#This Row],[Year 7]]</f>
        <v>2013</v>
      </c>
      <c r="AE59" s="32"/>
      <c r="AF59" s="14" t="str">
        <f t="shared" si="24"/>
        <v>Yes</v>
      </c>
      <c r="AG59" s="32">
        <f>Table9[[#This Row],[National Average8]]</f>
        <v>63.780610000000003</v>
      </c>
      <c r="AH59" s="32">
        <f>Table9[[#This Row],[Year 8]]</f>
        <v>2013</v>
      </c>
      <c r="AI59" s="32"/>
    </row>
    <row r="60" spans="1:35" x14ac:dyDescent="0.2">
      <c r="A60" s="10" t="s">
        <v>58</v>
      </c>
      <c r="B60" s="14" t="str">
        <f t="shared" si="17"/>
        <v>No</v>
      </c>
      <c r="C60" s="32"/>
      <c r="D60" s="14" t="str">
        <f t="shared" si="15"/>
        <v>No</v>
      </c>
      <c r="E60" s="32">
        <f>Table9[[#This Row],[National Average]]</f>
        <v>71.263927221300008</v>
      </c>
      <c r="F60" s="32">
        <f>Table9[[#This Row],[Year 1]]</f>
        <v>2010</v>
      </c>
      <c r="G60" s="32"/>
      <c r="H60" s="14" t="str">
        <f t="shared" si="19"/>
        <v>No</v>
      </c>
      <c r="I60" s="32">
        <f>Table9[[#This Row],[National Average2]]</f>
        <v>35.418498516100001</v>
      </c>
      <c r="J60" s="32">
        <f>Table9[[#This Row],[Year 2]]</f>
        <v>2010</v>
      </c>
      <c r="K60" s="32"/>
      <c r="L60" s="14" t="s">
        <v>154</v>
      </c>
      <c r="M60" s="32">
        <f>Table9[[#This Row],[National Average3]]</f>
        <v>0</v>
      </c>
      <c r="N60" s="32">
        <f>Table9[[#This Row],[Year 3]]</f>
        <v>2014</v>
      </c>
      <c r="O60" s="32"/>
      <c r="P60" s="14" t="str">
        <f t="shared" si="3"/>
        <v>No</v>
      </c>
      <c r="Q60" s="32">
        <f>Table9[[#This Row],[National Average4]]</f>
        <v>69.024097919500008</v>
      </c>
      <c r="R60" s="32">
        <f>Table9[[#This Row],[Year 4]]</f>
        <v>2010</v>
      </c>
      <c r="S60" s="32"/>
      <c r="T60" s="14" t="str">
        <f t="shared" si="26"/>
        <v>No</v>
      </c>
      <c r="U60" s="32">
        <f>Table9[[#This Row],[National Average5]]</f>
        <v>4.7073900699999998</v>
      </c>
      <c r="V60" s="32">
        <f>Table9[[#This Row],[Year 5]]</f>
        <v>2010</v>
      </c>
      <c r="W60" s="32"/>
      <c r="X60" s="14" t="str">
        <f t="shared" si="7"/>
        <v>No</v>
      </c>
      <c r="Y60" s="32">
        <f>Table9[[#This Row],[National Average6]]</f>
        <v>83.845659999999995</v>
      </c>
      <c r="Z60" s="32">
        <f>Table9[[#This Row],[Year 6]]</f>
        <v>2010</v>
      </c>
      <c r="AA60" s="32"/>
      <c r="AB60" s="14" t="str">
        <f t="shared" si="4"/>
        <v>No</v>
      </c>
      <c r="AC60" s="32">
        <f>Table9[[#This Row],[National Average7]]</f>
        <v>96.940714120899997</v>
      </c>
      <c r="AD60" s="32">
        <f>Table9[[#This Row],[Year 7]]</f>
        <v>2010</v>
      </c>
      <c r="AE60" s="32"/>
      <c r="AF60" s="14" t="str">
        <f t="shared" si="24"/>
        <v>No</v>
      </c>
      <c r="AG60" s="32">
        <f>Table9[[#This Row],[National Average8]]</f>
        <v>50.236505269999995</v>
      </c>
      <c r="AH60" s="32">
        <f>Table9[[#This Row],[Year 8]]</f>
        <v>2010</v>
      </c>
      <c r="AI60" s="32"/>
    </row>
    <row r="61" spans="1:35" x14ac:dyDescent="0.2">
      <c r="A61" s="10" t="s">
        <v>59</v>
      </c>
      <c r="B61" s="14" t="str">
        <f t="shared" si="17"/>
        <v>No</v>
      </c>
      <c r="C61" s="32"/>
      <c r="D61" s="14" t="str">
        <f t="shared" si="15"/>
        <v>No</v>
      </c>
      <c r="E61" s="32">
        <f>Table9[[#This Row],[National Average]]</f>
        <v>50.809866189999994</v>
      </c>
      <c r="F61" s="32">
        <f>Table9[[#This Row],[Year 1]]</f>
        <v>2008</v>
      </c>
      <c r="G61" s="32"/>
      <c r="H61" s="14" t="str">
        <f t="shared" si="19"/>
        <v>No</v>
      </c>
      <c r="I61" s="32">
        <f>Table9[[#This Row],[National Average2]]</f>
        <v>72.382134199099994</v>
      </c>
      <c r="J61" s="32">
        <f>Table9[[#This Row],[Year 2]]</f>
        <v>2008</v>
      </c>
      <c r="K61" s="32"/>
      <c r="L61" s="14" t="str">
        <f t="shared" ref="L61:L63" si="27">IF(AND(M61&lt;&gt; "", N61&gt;2011), "Yes", "No")</f>
        <v>Yes</v>
      </c>
      <c r="M61" s="32">
        <f>Table9[[#This Row],[National Average3]]</f>
        <v>41.891891891891895</v>
      </c>
      <c r="N61" s="32">
        <f>Table9[[#This Row],[Year 3]]</f>
        <v>2014</v>
      </c>
      <c r="O61" s="32"/>
      <c r="P61" s="14" t="str">
        <f t="shared" si="3"/>
        <v>No</v>
      </c>
      <c r="Q61" s="32">
        <f>Table9[[#This Row],[National Average4]]</f>
        <v>81.705266237299995</v>
      </c>
      <c r="R61" s="32">
        <f>Table9[[#This Row],[Year 4]]</f>
        <v>2008</v>
      </c>
      <c r="S61" s="32"/>
      <c r="T61" s="14" t="s">
        <v>154</v>
      </c>
      <c r="U61" s="32"/>
      <c r="V61" s="32">
        <f>Table9[[#This Row],[Year 5]]</f>
        <v>2008</v>
      </c>
      <c r="W61" s="32"/>
      <c r="X61" s="14" t="str">
        <f t="shared" si="7"/>
        <v>No</v>
      </c>
      <c r="Y61" s="32">
        <f>Table9[[#This Row],[National Average6]]</f>
        <v>50.273949999999999</v>
      </c>
      <c r="Z61" s="32">
        <f>Table9[[#This Row],[Year 6]]</f>
        <v>2008</v>
      </c>
      <c r="AA61" s="32"/>
      <c r="AB61" s="14" t="str">
        <f t="shared" si="4"/>
        <v>No</v>
      </c>
      <c r="AC61" s="32">
        <f>Table9[[#This Row],[National Average7]]</f>
        <v>87.4335050583</v>
      </c>
      <c r="AD61" s="32">
        <f>Table9[[#This Row],[Year 7]]</f>
        <v>2008</v>
      </c>
      <c r="AE61" s="32"/>
      <c r="AF61" s="14" t="str">
        <f t="shared" si="24"/>
        <v>No</v>
      </c>
      <c r="AG61" s="32">
        <f>Table9[[#This Row],[National Average8]]</f>
        <v>74.732124805500007</v>
      </c>
      <c r="AH61" s="32">
        <f>Table9[[#This Row],[Year 8]]</f>
        <v>2008</v>
      </c>
      <c r="AI61" s="32"/>
    </row>
    <row r="62" spans="1:35" x14ac:dyDescent="0.2">
      <c r="A62" s="10" t="s">
        <v>60</v>
      </c>
      <c r="B62" s="14" t="str">
        <f t="shared" si="17"/>
        <v>Yes</v>
      </c>
      <c r="C62" s="32"/>
      <c r="D62" s="14" t="str">
        <f t="shared" si="15"/>
        <v>Yes</v>
      </c>
      <c r="E62" s="32">
        <f>Table9[[#This Row],[National Average]]</f>
        <v>37.914580000000001</v>
      </c>
      <c r="F62" s="32">
        <f>Table9[[#This Row],[Year 1]]</f>
        <v>2012</v>
      </c>
      <c r="G62" s="32"/>
      <c r="H62" s="14" t="str">
        <f t="shared" si="19"/>
        <v>Yes</v>
      </c>
      <c r="I62" s="32">
        <f>Table9[[#This Row],[National Average2]]</f>
        <v>46.474179999999997</v>
      </c>
      <c r="J62" s="32">
        <f>Table9[[#This Row],[Year 2]]</f>
        <v>2012</v>
      </c>
      <c r="K62" s="32"/>
      <c r="L62" s="14" t="str">
        <f t="shared" si="27"/>
        <v>Yes</v>
      </c>
      <c r="M62" s="32">
        <f>Table9[[#This Row],[National Average3]]</f>
        <v>62.40327719617661</v>
      </c>
      <c r="N62" s="32">
        <f>Table9[[#This Row],[Year 3]]</f>
        <v>2014</v>
      </c>
      <c r="O62" s="32"/>
      <c r="P62" s="14" t="str">
        <f t="shared" si="3"/>
        <v>Yes</v>
      </c>
      <c r="Q62" s="32">
        <f>Table9[[#This Row],[National Average4]]</f>
        <v>50.506989999999995</v>
      </c>
      <c r="R62" s="32">
        <f>Table9[[#This Row],[Year 4]]</f>
        <v>2012</v>
      </c>
      <c r="S62" s="32"/>
      <c r="T62" s="14" t="str">
        <f t="shared" ref="T62:T63" si="28">IF(AND(U62&lt;&gt; "", V62&gt;2011), "Yes", "No")</f>
        <v>Yes</v>
      </c>
      <c r="U62" s="32">
        <f>Table9[[#This Row],[National Average5]]</f>
        <v>45.239469999999997</v>
      </c>
      <c r="V62" s="32">
        <f>Table9[[#This Row],[Year 5]]</f>
        <v>2012</v>
      </c>
      <c r="W62" s="32"/>
      <c r="X62" s="14" t="str">
        <f t="shared" si="7"/>
        <v>Yes</v>
      </c>
      <c r="Y62" s="32" t="str">
        <f>Table9[[#This Row],[National Average6]]</f>
        <v>n/a</v>
      </c>
      <c r="Z62" s="32">
        <f>Table9[[#This Row],[Year 6]]</f>
        <v>2012</v>
      </c>
      <c r="AA62" s="32"/>
      <c r="AB62" s="14" t="str">
        <f t="shared" si="4"/>
        <v>Yes</v>
      </c>
      <c r="AC62" s="32">
        <f>Table9[[#This Row],[National Average7]]</f>
        <v>88.766040000000004</v>
      </c>
      <c r="AD62" s="32">
        <f>Table9[[#This Row],[Year 7]]</f>
        <v>2012</v>
      </c>
      <c r="AE62" s="32"/>
      <c r="AF62" s="14" t="str">
        <f t="shared" si="24"/>
        <v>Yes</v>
      </c>
      <c r="AG62" s="32">
        <f>Table9[[#This Row],[National Average8]]</f>
        <v>53.048769999999998</v>
      </c>
      <c r="AH62" s="32">
        <f>Table9[[#This Row],[Year 8]]</f>
        <v>2012</v>
      </c>
      <c r="AI62" s="32"/>
    </row>
    <row r="63" spans="1:35" x14ac:dyDescent="0.2">
      <c r="A63" s="10" t="s">
        <v>61</v>
      </c>
      <c r="B63" s="14" t="str">
        <f t="shared" si="17"/>
        <v>Yes</v>
      </c>
      <c r="C63" s="32"/>
      <c r="D63" s="14" t="str">
        <f t="shared" si="15"/>
        <v>Yes</v>
      </c>
      <c r="E63" s="32">
        <f>Table9[[#This Row],[National Average]]</f>
        <v>39.953949999999999</v>
      </c>
      <c r="F63" s="32">
        <f>Table9[[#This Row],[Year 1]]</f>
        <v>2013</v>
      </c>
      <c r="G63" s="32"/>
      <c r="H63" s="14" t="str">
        <f t="shared" si="19"/>
        <v>Yes</v>
      </c>
      <c r="I63" s="32">
        <f>Table9[[#This Row],[National Average2]]</f>
        <v>76.018860000000004</v>
      </c>
      <c r="J63" s="32">
        <f>Table9[[#This Row],[Year 2]]</f>
        <v>2013</v>
      </c>
      <c r="K63" s="32"/>
      <c r="L63" s="14" t="str">
        <f t="shared" si="27"/>
        <v>Yes</v>
      </c>
      <c r="M63" s="32">
        <f>Table9[[#This Row],[National Average3]]</f>
        <v>92.588762495691142</v>
      </c>
      <c r="N63" s="32">
        <f>Table9[[#This Row],[Year 3]]</f>
        <v>2014</v>
      </c>
      <c r="O63" s="32"/>
      <c r="P63" s="14" t="str">
        <f t="shared" si="3"/>
        <v>Yes</v>
      </c>
      <c r="Q63" s="32">
        <f>Table9[[#This Row],[National Average4]]</f>
        <v>59.711530000000003</v>
      </c>
      <c r="R63" s="32">
        <f>Table9[[#This Row],[Year 4]]</f>
        <v>2013</v>
      </c>
      <c r="S63" s="32"/>
      <c r="T63" s="14" t="str">
        <f t="shared" si="28"/>
        <v>Yes</v>
      </c>
      <c r="U63" s="32">
        <f>Table9[[#This Row],[National Average5]]</f>
        <v>39.068869999999997</v>
      </c>
      <c r="V63" s="32">
        <f>Table9[[#This Row],[Year 5]]</f>
        <v>2013</v>
      </c>
      <c r="W63" s="32"/>
      <c r="X63" s="14" t="str">
        <f t="shared" si="7"/>
        <v>Yes</v>
      </c>
      <c r="Y63" s="32" t="str">
        <f>Table9[[#This Row],[National Average6]]</f>
        <v>n/a</v>
      </c>
      <c r="Z63" s="32">
        <f>Table9[[#This Row],[Year 6]]</f>
        <v>2013</v>
      </c>
      <c r="AA63" s="32"/>
      <c r="AB63" s="14" t="str">
        <f t="shared" si="4"/>
        <v>Yes</v>
      </c>
      <c r="AC63" s="32">
        <f>Table9[[#This Row],[National Average7]]</f>
        <v>78.45286999999999</v>
      </c>
      <c r="AD63" s="32">
        <f>Table9[[#This Row],[Year 7]]</f>
        <v>2013</v>
      </c>
      <c r="AE63" s="32"/>
      <c r="AF63" s="14" t="str">
        <f t="shared" si="24"/>
        <v>Yes</v>
      </c>
      <c r="AG63" s="32">
        <f>Table9[[#This Row],[National Average8]]</f>
        <v>71.677310000000006</v>
      </c>
      <c r="AH63" s="32">
        <f>Table9[[#This Row],[Year 8]]</f>
        <v>2013</v>
      </c>
      <c r="AI63" s="32"/>
    </row>
    <row r="64" spans="1:35" x14ac:dyDescent="0.2">
      <c r="A64" s="10" t="s">
        <v>62</v>
      </c>
      <c r="B64" s="14" t="str">
        <f t="shared" si="17"/>
        <v>No</v>
      </c>
      <c r="C64" s="32"/>
      <c r="D64" s="14" t="str">
        <f t="shared" si="15"/>
        <v>No</v>
      </c>
      <c r="E64" s="32" t="str">
        <f>Table9[[#This Row],[National Average]]</f>
        <v>No data</v>
      </c>
      <c r="F64" s="32">
        <f>Table9[[#This Row],[Year 1]]</f>
        <v>0</v>
      </c>
      <c r="G64" s="32"/>
      <c r="H64" s="14" t="str">
        <f t="shared" si="19"/>
        <v>No</v>
      </c>
      <c r="I64" s="32" t="str">
        <f>Table9[[#This Row],[National Average2]]</f>
        <v>No data</v>
      </c>
      <c r="J64" s="32">
        <f>Table9[[#This Row],[Year 2]]</f>
        <v>0</v>
      </c>
      <c r="K64" s="32"/>
      <c r="L64" s="14" t="s">
        <v>154</v>
      </c>
      <c r="M64" s="32">
        <f>Table9[[#This Row],[National Average3]]</f>
        <v>0</v>
      </c>
      <c r="N64" s="32">
        <f>Table9[[#This Row],[Year 3]]</f>
        <v>2014</v>
      </c>
      <c r="O64" s="32"/>
      <c r="P64" s="14" t="str">
        <f t="shared" si="3"/>
        <v>No</v>
      </c>
      <c r="Q64" s="32" t="str">
        <f>Table9[[#This Row],[National Average4]]</f>
        <v>No data</v>
      </c>
      <c r="R64" s="32">
        <f>Table9[[#This Row],[Year 4]]</f>
        <v>0</v>
      </c>
      <c r="S64" s="32"/>
      <c r="T64" s="14" t="s">
        <v>154</v>
      </c>
      <c r="U64" s="32"/>
      <c r="V64" s="32"/>
      <c r="W64" s="32"/>
      <c r="X64" s="14" t="str">
        <f t="shared" si="7"/>
        <v>No</v>
      </c>
      <c r="Y64" s="32" t="str">
        <f>Table9[[#This Row],[National Average6]]</f>
        <v>No data</v>
      </c>
      <c r="Z64" s="32">
        <f>Table9[[#This Row],[Year 6]]</f>
        <v>0</v>
      </c>
      <c r="AA64" s="32"/>
      <c r="AB64" s="14" t="str">
        <f t="shared" si="4"/>
        <v>No</v>
      </c>
      <c r="AC64" s="32" t="str">
        <f>Table9[[#This Row],[National Average7]]</f>
        <v>No data</v>
      </c>
      <c r="AD64" s="32">
        <f>Table9[[#This Row],[Year 7]]</f>
        <v>0</v>
      </c>
      <c r="AE64" s="32"/>
      <c r="AF64" s="14" t="str">
        <f t="shared" si="24"/>
        <v>No</v>
      </c>
      <c r="AG64" s="32" t="str">
        <f>Table9[[#This Row],[National Average8]]</f>
        <v>No data</v>
      </c>
      <c r="AH64" s="32">
        <f>Table9[[#This Row],[Year 8]]</f>
        <v>0</v>
      </c>
      <c r="AI64" s="32"/>
    </row>
    <row r="65" spans="1:35" x14ac:dyDescent="0.2">
      <c r="A65" s="10" t="s">
        <v>63</v>
      </c>
      <c r="B65" s="14" t="str">
        <f t="shared" si="17"/>
        <v>No</v>
      </c>
      <c r="C65" s="32"/>
      <c r="D65" s="14" t="s">
        <v>154</v>
      </c>
      <c r="E65" s="32"/>
      <c r="F65" s="32"/>
      <c r="G65" s="32"/>
      <c r="H65" s="14" t="str">
        <f t="shared" si="19"/>
        <v>No</v>
      </c>
      <c r="I65" s="32" t="str">
        <f>Table9[[#This Row],[National Average2]]</f>
        <v>n/a</v>
      </c>
      <c r="J65" s="32">
        <f>Table9[[#This Row],[Year 2]]</f>
        <v>2006</v>
      </c>
      <c r="K65" s="32"/>
      <c r="L65" s="14" t="str">
        <f t="shared" ref="L65:L71" si="29">IF(AND(M65&lt;&gt; "", N65&gt;2011), "Yes", "No")</f>
        <v>Yes</v>
      </c>
      <c r="M65" s="32">
        <f>Table9[[#This Row],[National Average3]]</f>
        <v>2.8230184581976112</v>
      </c>
      <c r="N65" s="32">
        <f>Table9[[#This Row],[Year 3]]</f>
        <v>2014</v>
      </c>
      <c r="O65" s="32"/>
      <c r="P65" s="14" t="str">
        <f t="shared" si="3"/>
        <v>No</v>
      </c>
      <c r="Q65" s="32">
        <f>Table9[[#This Row],[National Average4]]</f>
        <v>33.0309689045</v>
      </c>
      <c r="R65" s="32">
        <f>Table9[[#This Row],[Year 4]]</f>
        <v>2006</v>
      </c>
      <c r="S65" s="32"/>
      <c r="T65" s="14" t="s">
        <v>154</v>
      </c>
      <c r="U65" s="32"/>
      <c r="V65" s="32"/>
      <c r="W65" s="32"/>
      <c r="X65" s="14" t="str">
        <f t="shared" si="7"/>
        <v>No</v>
      </c>
      <c r="Y65" s="32">
        <f>Table9[[#This Row],[National Average6]]</f>
        <v>9.1306700000000003</v>
      </c>
      <c r="Z65" s="32">
        <f>Table9[[#This Row],[Year 6]]</f>
        <v>2006</v>
      </c>
      <c r="AA65" s="32"/>
      <c r="AB65" s="14" t="str">
        <f t="shared" si="4"/>
        <v>No</v>
      </c>
      <c r="AC65" s="32">
        <f>Table9[[#This Row],[National Average7]]</f>
        <v>14.050146937399999</v>
      </c>
      <c r="AD65" s="32">
        <f>Table9[[#This Row],[Year 7]]</f>
        <v>2006</v>
      </c>
      <c r="AE65" s="32"/>
      <c r="AF65" s="14" t="str">
        <f t="shared" si="24"/>
        <v>No</v>
      </c>
      <c r="AG65" s="32">
        <f>Table9[[#This Row],[National Average8]]</f>
        <v>13.026830553999998</v>
      </c>
      <c r="AH65" s="32">
        <f>Table9[[#This Row],[Year 8]]</f>
        <v>2006</v>
      </c>
      <c r="AI65" s="32"/>
    </row>
    <row r="66" spans="1:35" x14ac:dyDescent="0.2">
      <c r="A66" s="10" t="s">
        <v>64</v>
      </c>
      <c r="B66" s="14" t="str">
        <f t="shared" si="17"/>
        <v>No</v>
      </c>
      <c r="C66" s="32"/>
      <c r="D66" s="14" t="str">
        <f t="shared" ref="D66:D79" si="30">IF(AND(E66&lt;&gt; "", F66&gt;2011), "Yes", "No")</f>
        <v>No</v>
      </c>
      <c r="E66" s="32">
        <f>Table9[[#This Row],[National Average]]</f>
        <v>78.994143009200002</v>
      </c>
      <c r="F66" s="32">
        <f>Table9[[#This Row],[Year 1]]</f>
        <v>1998</v>
      </c>
      <c r="G66" s="32"/>
      <c r="H66" s="14" t="str">
        <f t="shared" si="19"/>
        <v>No</v>
      </c>
      <c r="I66" s="32">
        <f>Table9[[#This Row],[National Average2]]</f>
        <v>73.911207914399995</v>
      </c>
      <c r="J66" s="32">
        <f>Table9[[#This Row],[Year 2]]</f>
        <v>1998</v>
      </c>
      <c r="K66" s="32"/>
      <c r="L66" s="14" t="str">
        <f t="shared" si="29"/>
        <v>Yes</v>
      </c>
      <c r="M66" s="32">
        <f>Table9[[#This Row],[National Average3]]</f>
        <v>90.136799646968655</v>
      </c>
      <c r="N66" s="32">
        <f>Table9[[#This Row],[Year 3]]</f>
        <v>2014</v>
      </c>
      <c r="O66" s="32"/>
      <c r="P66" s="14" t="str">
        <f t="shared" si="3"/>
        <v>No</v>
      </c>
      <c r="Q66" s="32">
        <f>Table9[[#This Row],[National Average4]]</f>
        <v>84.381490945799996</v>
      </c>
      <c r="R66" s="32">
        <f>Table9[[#This Row],[Year 4]]</f>
        <v>1998</v>
      </c>
      <c r="S66" s="32"/>
      <c r="T66" s="14" t="s">
        <v>154</v>
      </c>
      <c r="U66" s="32"/>
      <c r="V66" s="32"/>
      <c r="W66" s="32"/>
      <c r="X66" s="14" t="str">
        <f t="shared" si="7"/>
        <v>No</v>
      </c>
      <c r="Y66" s="32">
        <f>Table9[[#This Row],[National Average6]]</f>
        <v>6.5243499999999992</v>
      </c>
      <c r="Z66" s="32">
        <f>Table9[[#This Row],[Year 6]]</f>
        <v>1998</v>
      </c>
      <c r="AA66" s="32"/>
      <c r="AB66" s="14" t="str">
        <f t="shared" si="4"/>
        <v>No</v>
      </c>
      <c r="AC66" s="32">
        <f>Table9[[#This Row],[National Average7]]</f>
        <v>76.785111427299995</v>
      </c>
      <c r="AD66" s="32">
        <f>Table9[[#This Row],[Year 7]]</f>
        <v>1998</v>
      </c>
      <c r="AE66" s="32"/>
      <c r="AF66" s="14" t="str">
        <f t="shared" si="24"/>
        <v>No</v>
      </c>
      <c r="AG66" s="32">
        <f>Table9[[#This Row],[National Average8]]</f>
        <v>75.274670124099998</v>
      </c>
      <c r="AH66" s="32">
        <f>Table9[[#This Row],[Year 8]]</f>
        <v>1998</v>
      </c>
      <c r="AI66" s="32"/>
    </row>
    <row r="67" spans="1:35" x14ac:dyDescent="0.2">
      <c r="A67" s="10" t="s">
        <v>65</v>
      </c>
      <c r="B67" s="14" t="str">
        <f t="shared" si="17"/>
        <v>No</v>
      </c>
      <c r="C67" s="32"/>
      <c r="D67" s="14" t="str">
        <f t="shared" si="30"/>
        <v>No</v>
      </c>
      <c r="E67" s="32" t="str">
        <f>Table9[[#This Row],[National Average]]</f>
        <v>No data</v>
      </c>
      <c r="F67" s="32">
        <f>Table9[[#This Row],[Year 1]]</f>
        <v>0</v>
      </c>
      <c r="G67" s="32"/>
      <c r="H67" s="14" t="str">
        <f t="shared" si="19"/>
        <v>No</v>
      </c>
      <c r="I67" s="32" t="str">
        <f>Table9[[#This Row],[National Average2]]</f>
        <v>No data</v>
      </c>
      <c r="J67" s="32">
        <f>Table9[[#This Row],[Year 2]]</f>
        <v>0</v>
      </c>
      <c r="K67" s="32"/>
      <c r="L67" s="14" t="str">
        <f t="shared" si="29"/>
        <v>Yes</v>
      </c>
      <c r="M67" s="32">
        <f>Table9[[#This Row],[National Average3]]</f>
        <v>15.544735240413877</v>
      </c>
      <c r="N67" s="32">
        <f>Table9[[#This Row],[Year 3]]</f>
        <v>2014</v>
      </c>
      <c r="O67" s="32"/>
      <c r="P67" s="14" t="str">
        <f t="shared" si="3"/>
        <v>No</v>
      </c>
      <c r="Q67" s="32" t="str">
        <f>Table9[[#This Row],[National Average4]]</f>
        <v>No data</v>
      </c>
      <c r="R67" s="32">
        <f>Table9[[#This Row],[Year 4]]</f>
        <v>0</v>
      </c>
      <c r="S67" s="32"/>
      <c r="T67" s="14" t="s">
        <v>154</v>
      </c>
      <c r="U67" s="32"/>
      <c r="V67" s="32"/>
      <c r="W67" s="32"/>
      <c r="X67" s="14" t="str">
        <f t="shared" si="7"/>
        <v>No</v>
      </c>
      <c r="Y67" s="32" t="str">
        <f>Table9[[#This Row],[National Average6]]</f>
        <v>No data</v>
      </c>
      <c r="Z67" s="32">
        <f>Table9[[#This Row],[Year 6]]</f>
        <v>0</v>
      </c>
      <c r="AA67" s="32"/>
      <c r="AB67" s="14" t="str">
        <f t="shared" si="4"/>
        <v>No</v>
      </c>
      <c r="AC67" s="32" t="str">
        <f>Table9[[#This Row],[National Average7]]</f>
        <v>No data</v>
      </c>
      <c r="AD67" s="32">
        <f>Table9[[#This Row],[Year 7]]</f>
        <v>0</v>
      </c>
      <c r="AE67" s="32"/>
      <c r="AF67" s="14" t="str">
        <f t="shared" si="24"/>
        <v>No</v>
      </c>
      <c r="AG67" s="32" t="str">
        <f>Table9[[#This Row],[National Average8]]</f>
        <v>No data</v>
      </c>
      <c r="AH67" s="32">
        <f>Table9[[#This Row],[Year 8]]</f>
        <v>0</v>
      </c>
      <c r="AI67" s="32"/>
    </row>
    <row r="68" spans="1:35" x14ac:dyDescent="0.2">
      <c r="A68" s="10" t="s">
        <v>66</v>
      </c>
      <c r="B68" s="14" t="str">
        <f t="shared" si="17"/>
        <v>No</v>
      </c>
      <c r="C68" s="32"/>
      <c r="D68" s="14" t="str">
        <f t="shared" si="30"/>
        <v>No</v>
      </c>
      <c r="E68" s="32" t="str">
        <f>Table9[[#This Row],[National Average]]</f>
        <v>No data</v>
      </c>
      <c r="F68" s="32">
        <f>Table9[[#This Row],[Year 1]]</f>
        <v>0</v>
      </c>
      <c r="G68" s="32"/>
      <c r="H68" s="14" t="str">
        <f t="shared" si="19"/>
        <v>No</v>
      </c>
      <c r="I68" s="32" t="str">
        <f>Table9[[#This Row],[National Average2]]</f>
        <v>No data</v>
      </c>
      <c r="J68" s="32">
        <f>Table9[[#This Row],[Year 2]]</f>
        <v>0</v>
      </c>
      <c r="K68" s="32"/>
      <c r="L68" s="14" t="str">
        <f t="shared" si="29"/>
        <v>Yes</v>
      </c>
      <c r="M68" s="32">
        <f>Table9[[#This Row],[National Average3]]</f>
        <v>3.0167142274765593</v>
      </c>
      <c r="N68" s="32">
        <f>Table9[[#This Row],[Year 3]]</f>
        <v>2014</v>
      </c>
      <c r="O68" s="32"/>
      <c r="P68" s="14" t="str">
        <f t="shared" si="3"/>
        <v>No</v>
      </c>
      <c r="Q68" s="32" t="str">
        <f>Table9[[#This Row],[National Average4]]</f>
        <v>No data</v>
      </c>
      <c r="R68" s="32">
        <f>Table9[[#This Row],[Year 4]]</f>
        <v>0</v>
      </c>
      <c r="S68" s="32"/>
      <c r="T68" s="14" t="str">
        <f>IF(AND(U68&lt;&gt; "", V68&gt;2011), "Yes", "No")</f>
        <v>No</v>
      </c>
      <c r="U68" s="32" t="str">
        <f>Table9[[#This Row],[National Average5]]</f>
        <v>No data</v>
      </c>
      <c r="V68" s="32">
        <f>Table9[[#This Row],[Year 5]]</f>
        <v>0</v>
      </c>
      <c r="W68" s="32"/>
      <c r="X68" s="14" t="str">
        <f t="shared" si="7"/>
        <v>No</v>
      </c>
      <c r="Y68" s="32" t="str">
        <f>Table9[[#This Row],[National Average6]]</f>
        <v>No data</v>
      </c>
      <c r="Z68" s="32">
        <f>Table9[[#This Row],[Year 6]]</f>
        <v>0</v>
      </c>
      <c r="AA68" s="32"/>
      <c r="AB68" s="14" t="str">
        <f t="shared" si="4"/>
        <v>No</v>
      </c>
      <c r="AC68" s="32" t="str">
        <f>Table9[[#This Row],[National Average7]]</f>
        <v>No data</v>
      </c>
      <c r="AD68" s="32">
        <f>Table9[[#This Row],[Year 7]]</f>
        <v>0</v>
      </c>
      <c r="AE68" s="32"/>
      <c r="AF68" s="14" t="str">
        <f t="shared" si="24"/>
        <v>No</v>
      </c>
      <c r="AG68" s="32" t="str">
        <f>Table9[[#This Row],[National Average8]]</f>
        <v>No data</v>
      </c>
      <c r="AH68" s="32">
        <f>Table9[[#This Row],[Year 8]]</f>
        <v>0</v>
      </c>
      <c r="AI68" s="32"/>
    </row>
    <row r="69" spans="1:35" x14ac:dyDescent="0.2">
      <c r="A69" s="10" t="s">
        <v>67</v>
      </c>
      <c r="B69" s="14" t="str">
        <f t="shared" si="17"/>
        <v>No</v>
      </c>
      <c r="C69" s="32"/>
      <c r="D69" s="14" t="str">
        <f t="shared" si="30"/>
        <v>No</v>
      </c>
      <c r="E69" s="32">
        <f>Table9[[#This Row],[National Average]]</f>
        <v>83.819818496700009</v>
      </c>
      <c r="F69" s="32">
        <f>Table9[[#This Row],[Year 1]]</f>
        <v>2010</v>
      </c>
      <c r="G69" s="32"/>
      <c r="H69" s="14" t="str">
        <f t="shared" si="19"/>
        <v>No</v>
      </c>
      <c r="I69" s="32">
        <f>Table9[[#This Row],[National Average2]]</f>
        <v>76.629126071900004</v>
      </c>
      <c r="J69" s="32">
        <f>Table9[[#This Row],[Year 2]]</f>
        <v>2010</v>
      </c>
      <c r="K69" s="32"/>
      <c r="L69" s="14" t="str">
        <f t="shared" si="29"/>
        <v>Yes</v>
      </c>
      <c r="M69" s="32">
        <f>Table9[[#This Row],[National Average3]]</f>
        <v>95</v>
      </c>
      <c r="N69" s="32">
        <f>Table9[[#This Row],[Year 3]]</f>
        <v>2014</v>
      </c>
      <c r="O69" s="32"/>
      <c r="P69" s="14" t="str">
        <f t="shared" si="3"/>
        <v>No</v>
      </c>
      <c r="Q69" s="32">
        <f>Table9[[#This Row],[National Average4]]</f>
        <v>81.975561380399995</v>
      </c>
      <c r="R69" s="32">
        <f>Table9[[#This Row],[Year 4]]</f>
        <v>2010</v>
      </c>
      <c r="S69" s="32"/>
      <c r="T69" s="14" t="s">
        <v>154</v>
      </c>
      <c r="U69" s="32"/>
      <c r="V69" s="32">
        <f>Table9[[#This Row],[Year 5]]</f>
        <v>2010</v>
      </c>
      <c r="W69" s="32"/>
      <c r="X69" s="14" t="str">
        <f t="shared" si="7"/>
        <v>No</v>
      </c>
      <c r="Y69" s="32">
        <f>Table9[[#This Row],[National Average6]]</f>
        <v>41.712629999999997</v>
      </c>
      <c r="Z69" s="32">
        <f>Table9[[#This Row],[Year 6]]</f>
        <v>2010</v>
      </c>
      <c r="AA69" s="32"/>
      <c r="AB69" s="14" t="str">
        <f t="shared" si="4"/>
        <v>No</v>
      </c>
      <c r="AC69" s="32">
        <f>Table9[[#This Row],[National Average7]]</f>
        <v>90.619158744800004</v>
      </c>
      <c r="AD69" s="32">
        <f>Table9[[#This Row],[Year 7]]</f>
        <v>2010</v>
      </c>
      <c r="AE69" s="32"/>
      <c r="AF69" s="14" t="str">
        <f t="shared" si="24"/>
        <v>No</v>
      </c>
      <c r="AG69" s="32">
        <f>Table9[[#This Row],[National Average8]]</f>
        <v>57.607179880099999</v>
      </c>
      <c r="AH69" s="32">
        <f>Table9[[#This Row],[Year 8]]</f>
        <v>2010</v>
      </c>
      <c r="AI69" s="32"/>
    </row>
    <row r="70" spans="1:35" x14ac:dyDescent="0.2">
      <c r="A70" s="10" t="s">
        <v>68</v>
      </c>
      <c r="B70" s="14" t="str">
        <f t="shared" si="17"/>
        <v>Yes</v>
      </c>
      <c r="C70" s="32"/>
      <c r="D70" s="14" t="str">
        <f t="shared" si="30"/>
        <v>Yes</v>
      </c>
      <c r="E70" s="32">
        <f>Table9[[#This Row],[National Average]]</f>
        <v>54.982298612599998</v>
      </c>
      <c r="F70" s="32">
        <f>Table9[[#This Row],[Year 1]]</f>
        <v>2012</v>
      </c>
      <c r="G70" s="32"/>
      <c r="H70" s="14" t="str">
        <f t="shared" si="19"/>
        <v>Yes</v>
      </c>
      <c r="I70" s="32">
        <f>Table9[[#This Row],[National Average2]]</f>
        <v>52.450782060599998</v>
      </c>
      <c r="J70" s="32">
        <f>Table9[[#This Row],[Year 2]]</f>
        <v>2012</v>
      </c>
      <c r="K70" s="32"/>
      <c r="L70" s="14" t="str">
        <f t="shared" si="29"/>
        <v>Yes</v>
      </c>
      <c r="M70" s="32">
        <f>Table9[[#This Row],[National Average3]]</f>
        <v>38.741721854304636</v>
      </c>
      <c r="N70" s="32">
        <f>Table9[[#This Row],[Year 3]]</f>
        <v>2014</v>
      </c>
      <c r="O70" s="32"/>
      <c r="P70" s="14" t="str">
        <f t="shared" ref="P70:P79" si="31">IF(AND(Q70&lt;&gt; "", R70&gt;2011), "Yes", "No")</f>
        <v>Yes</v>
      </c>
      <c r="Q70" s="32">
        <f>Table9[[#This Row],[National Average4]]</f>
        <v>87.359660863900004</v>
      </c>
      <c r="R70" s="32">
        <f>Table9[[#This Row],[Year 4]]</f>
        <v>2012</v>
      </c>
      <c r="S70" s="32"/>
      <c r="T70" s="14" t="str">
        <f t="shared" ref="T70:T71" si="32">IF(AND(U70&lt;&gt; "", V70&gt;2011), "Yes", "No")</f>
        <v>Yes</v>
      </c>
      <c r="U70" s="32">
        <f>Table9[[#This Row],[National Average5]]</f>
        <v>54.0532052517</v>
      </c>
      <c r="V70" s="32">
        <f>Table9[[#This Row],[Year 5]]</f>
        <v>2012</v>
      </c>
      <c r="W70" s="32"/>
      <c r="X70" s="14" t="str">
        <f t="shared" si="7"/>
        <v>Yes</v>
      </c>
      <c r="Y70" s="32">
        <f>Table9[[#This Row],[National Average6]]</f>
        <v>34.29766</v>
      </c>
      <c r="Z70" s="32">
        <f>Table9[[#This Row],[Year 6]]</f>
        <v>2012</v>
      </c>
      <c r="AA70" s="32"/>
      <c r="AB70" s="14" t="str">
        <f t="shared" ref="AB70:AB79" si="33">IF(AND(AC70&lt;&gt; "", AD70&gt;2011), "Yes", "No")</f>
        <v>Yes</v>
      </c>
      <c r="AC70" s="32">
        <f>Table9[[#This Row],[National Average7]]</f>
        <v>93.219423294099997</v>
      </c>
      <c r="AD70" s="32">
        <f>Table9[[#This Row],[Year 7]]</f>
        <v>2012</v>
      </c>
      <c r="AE70" s="32"/>
      <c r="AF70" s="14" t="str">
        <f t="shared" si="24"/>
        <v>Yes</v>
      </c>
      <c r="AG70" s="32">
        <f>Table9[[#This Row],[National Average8]]</f>
        <v>62.721681594800003</v>
      </c>
      <c r="AH70" s="32">
        <f>Table9[[#This Row],[Year 8]]</f>
        <v>2012</v>
      </c>
      <c r="AI70" s="32"/>
    </row>
    <row r="71" spans="1:35" x14ac:dyDescent="0.2">
      <c r="A71" s="10" t="s">
        <v>70</v>
      </c>
      <c r="B71" s="14" t="str">
        <f t="shared" si="17"/>
        <v>No</v>
      </c>
      <c r="C71" s="32"/>
      <c r="D71" s="14" t="str">
        <f t="shared" si="30"/>
        <v>No</v>
      </c>
      <c r="E71" s="32">
        <f>Table9[[#This Row],[National Average]]</f>
        <v>29.378536343599997</v>
      </c>
      <c r="F71" s="32">
        <f>Table9[[#This Row],[Year 1]]</f>
        <v>2010</v>
      </c>
      <c r="G71" s="32"/>
      <c r="H71" s="14" t="str">
        <f t="shared" si="19"/>
        <v>No</v>
      </c>
      <c r="I71" s="32">
        <f>Table9[[#This Row],[National Average2]]</f>
        <v>54.919284582100005</v>
      </c>
      <c r="J71" s="32">
        <f>Table9[[#This Row],[Year 2]]</f>
        <v>2010</v>
      </c>
      <c r="K71" s="32"/>
      <c r="L71" s="14" t="str">
        <f t="shared" si="29"/>
        <v>Yes</v>
      </c>
      <c r="M71" s="32">
        <f>Table9[[#This Row],[National Average3]]</f>
        <v>74.90353967455124</v>
      </c>
      <c r="N71" s="32">
        <f>Table9[[#This Row],[Year 3]]</f>
        <v>2014</v>
      </c>
      <c r="O71" s="32"/>
      <c r="P71" s="14" t="str">
        <f t="shared" si="31"/>
        <v>No</v>
      </c>
      <c r="Q71" s="32">
        <f>Table9[[#This Row],[National Average4]]</f>
        <v>59.377270937000006</v>
      </c>
      <c r="R71" s="32">
        <f>Table9[[#This Row],[Year 4]]</f>
        <v>2010</v>
      </c>
      <c r="S71" s="32"/>
      <c r="T71" s="14" t="str">
        <f t="shared" si="32"/>
        <v>No</v>
      </c>
      <c r="U71" s="32" t="str">
        <f>Table9[[#This Row],[National Average5]]</f>
        <v>n/a</v>
      </c>
      <c r="V71" s="32">
        <f>Table9[[#This Row],[Year 5]]</f>
        <v>2010</v>
      </c>
      <c r="W71" s="32"/>
      <c r="X71" s="14" t="str">
        <f t="shared" si="7"/>
        <v>No</v>
      </c>
      <c r="Y71" s="32">
        <f>Table9[[#This Row],[National Average6]]</f>
        <v>61.811079999999997</v>
      </c>
      <c r="Z71" s="32">
        <f>Table9[[#This Row],[Year 6]]</f>
        <v>2010</v>
      </c>
      <c r="AA71" s="32"/>
      <c r="AB71" s="14" t="str">
        <f t="shared" si="33"/>
        <v>No</v>
      </c>
      <c r="AC71" s="32">
        <f>Table9[[#This Row],[National Average7]]</f>
        <v>72.386085987100003</v>
      </c>
      <c r="AD71" s="32">
        <f>Table9[[#This Row],[Year 7]]</f>
        <v>2010</v>
      </c>
      <c r="AE71" s="32"/>
      <c r="AF71" s="14" t="str">
        <f t="shared" si="24"/>
        <v>No</v>
      </c>
      <c r="AG71" s="32">
        <f>Table9[[#This Row],[National Average8]]</f>
        <v>32.129687070800003</v>
      </c>
      <c r="AH71" s="32">
        <f>Table9[[#This Row],[Year 8]]</f>
        <v>2010</v>
      </c>
      <c r="AI71" s="32"/>
    </row>
    <row r="72" spans="1:35" x14ac:dyDescent="0.2">
      <c r="A72" s="10" t="s">
        <v>71</v>
      </c>
      <c r="B72" s="14" t="str">
        <f t="shared" si="17"/>
        <v>No</v>
      </c>
      <c r="C72" s="32"/>
      <c r="D72" s="14" t="str">
        <f t="shared" si="30"/>
        <v>No</v>
      </c>
      <c r="E72" s="32" t="str">
        <f>Table9[[#This Row],[National Average]]</f>
        <v>No data</v>
      </c>
      <c r="F72" s="32">
        <f>Table9[[#This Row],[Year 1]]</f>
        <v>0</v>
      </c>
      <c r="G72" s="32"/>
      <c r="H72" s="14" t="str">
        <f t="shared" si="19"/>
        <v>No</v>
      </c>
      <c r="I72" s="32" t="str">
        <f>Table9[[#This Row],[National Average2]]</f>
        <v>No data</v>
      </c>
      <c r="J72" s="32">
        <f>Table9[[#This Row],[Year 2]]</f>
        <v>0</v>
      </c>
      <c r="K72" s="32"/>
      <c r="L72" s="14" t="s">
        <v>154</v>
      </c>
      <c r="M72" s="32">
        <f>Table9[[#This Row],[National Average3]]</f>
        <v>0</v>
      </c>
      <c r="N72" s="32">
        <f>Table9[[#This Row],[Year 3]]</f>
        <v>2014</v>
      </c>
      <c r="O72" s="32"/>
      <c r="P72" s="14" t="str">
        <f t="shared" si="31"/>
        <v>No</v>
      </c>
      <c r="Q72" s="32" t="str">
        <f>Table9[[#This Row],[National Average4]]</f>
        <v>No data</v>
      </c>
      <c r="R72" s="32">
        <f>Table9[[#This Row],[Year 4]]</f>
        <v>0</v>
      </c>
      <c r="S72" s="32"/>
      <c r="T72" s="14" t="s">
        <v>154</v>
      </c>
      <c r="U72" s="32"/>
      <c r="V72" s="32"/>
      <c r="W72" s="32"/>
      <c r="X72" s="14" t="str">
        <f t="shared" ref="X72:X79" si="34">IF(AND(Y72&lt;&gt; "", Z72&gt;2011), "Yes", "No")</f>
        <v>No</v>
      </c>
      <c r="Y72" s="32" t="str">
        <f>Table9[[#This Row],[National Average6]]</f>
        <v>No data</v>
      </c>
      <c r="Z72" s="32">
        <f>Table9[[#This Row],[Year 6]]</f>
        <v>0</v>
      </c>
      <c r="AA72" s="32"/>
      <c r="AB72" s="14" t="str">
        <f t="shared" si="33"/>
        <v>No</v>
      </c>
      <c r="AC72" s="32" t="str">
        <f>Table9[[#This Row],[National Average7]]</f>
        <v>No data</v>
      </c>
      <c r="AD72" s="32">
        <f>Table9[[#This Row],[Year 7]]</f>
        <v>0</v>
      </c>
      <c r="AE72" s="32"/>
      <c r="AF72" s="14" t="str">
        <f t="shared" si="24"/>
        <v>No</v>
      </c>
      <c r="AG72" s="32" t="str">
        <f>Table9[[#This Row],[National Average8]]</f>
        <v>No data</v>
      </c>
      <c r="AH72" s="32">
        <f>Table9[[#This Row],[Year 8]]</f>
        <v>0</v>
      </c>
      <c r="AI72" s="32"/>
    </row>
    <row r="73" spans="1:35" x14ac:dyDescent="0.2">
      <c r="A73" s="10" t="s">
        <v>72</v>
      </c>
      <c r="B73" s="14" t="str">
        <f t="shared" si="17"/>
        <v>No</v>
      </c>
      <c r="C73" s="32"/>
      <c r="D73" s="14" t="str">
        <f t="shared" si="30"/>
        <v>No</v>
      </c>
      <c r="E73" s="32">
        <f>Table9[[#This Row],[National Average]]</f>
        <v>46.696656942399997</v>
      </c>
      <c r="F73" s="32">
        <f>Table9[[#This Row],[Year 1]]</f>
        <v>2011</v>
      </c>
      <c r="G73" s="32"/>
      <c r="H73" s="14" t="str">
        <f t="shared" si="19"/>
        <v>No</v>
      </c>
      <c r="I73" s="32">
        <f>Table9[[#This Row],[National Average2]]</f>
        <v>47.625979781200002</v>
      </c>
      <c r="J73" s="32">
        <f>Table9[[#This Row],[Year 2]]</f>
        <v>2011</v>
      </c>
      <c r="K73" s="32"/>
      <c r="L73" s="14" t="str">
        <f t="shared" ref="L73:L79" si="35">IF(AND(M73&lt;&gt; "", N73&gt;2011), "Yes", "No")</f>
        <v>Yes</v>
      </c>
      <c r="M73" s="32">
        <f>Table9[[#This Row],[National Average3]]</f>
        <v>75.428776523470546</v>
      </c>
      <c r="N73" s="32">
        <f>Table9[[#This Row],[Year 3]]</f>
        <v>2014</v>
      </c>
      <c r="O73" s="32"/>
      <c r="P73" s="14" t="str">
        <f t="shared" si="31"/>
        <v>No</v>
      </c>
      <c r="Q73" s="32">
        <f>Table9[[#This Row],[National Average4]]</f>
        <v>57.984083890899996</v>
      </c>
      <c r="R73" s="32">
        <f>Table9[[#This Row],[Year 4]]</f>
        <v>2011</v>
      </c>
      <c r="S73" s="32"/>
      <c r="T73" s="14" t="str">
        <f>IF(AND(U73&lt;&gt; "", V73&gt;2011), "Yes", "No")</f>
        <v>No</v>
      </c>
      <c r="U73" s="32">
        <f>Table9[[#This Row],[National Average5]]</f>
        <v>10.850898921500001</v>
      </c>
      <c r="V73" s="32">
        <f>Table9[[#This Row],[Year 5]]</f>
        <v>2011</v>
      </c>
      <c r="W73" s="32"/>
      <c r="X73" s="14" t="str">
        <f t="shared" si="34"/>
        <v>No</v>
      </c>
      <c r="Y73" s="32">
        <f>Table9[[#This Row],[National Average6]]</f>
        <v>68.835679999999996</v>
      </c>
      <c r="Z73" s="32">
        <f>Table9[[#This Row],[Year 6]]</f>
        <v>2011</v>
      </c>
      <c r="AA73" s="32"/>
      <c r="AB73" s="14" t="str">
        <f t="shared" si="33"/>
        <v>No</v>
      </c>
      <c r="AC73" s="32">
        <f>Table9[[#This Row],[National Average7]]</f>
        <v>72.209525108299999</v>
      </c>
      <c r="AD73" s="32">
        <f>Table9[[#This Row],[Year 7]]</f>
        <v>2011</v>
      </c>
      <c r="AE73" s="32"/>
      <c r="AF73" s="14" t="str">
        <f t="shared" si="24"/>
        <v>No</v>
      </c>
      <c r="AG73" s="32">
        <f>Table9[[#This Row],[National Average8]]</f>
        <v>78.700017929099999</v>
      </c>
      <c r="AH73" s="32">
        <f>Table9[[#This Row],[Year 8]]</f>
        <v>2011</v>
      </c>
      <c r="AI73" s="32"/>
    </row>
    <row r="74" spans="1:35" x14ac:dyDescent="0.2">
      <c r="A74" s="10" t="s">
        <v>69</v>
      </c>
      <c r="B74" s="14" t="str">
        <f t="shared" si="17"/>
        <v>No</v>
      </c>
      <c r="C74" s="32"/>
      <c r="D74" s="14" t="str">
        <f t="shared" si="30"/>
        <v>No</v>
      </c>
      <c r="E74" s="32">
        <f>Table9[[#This Row],[National Average]]</f>
        <v>57.546520233200006</v>
      </c>
      <c r="F74" s="32">
        <f>Table9[[#This Row],[Year 1]]</f>
        <v>2010</v>
      </c>
      <c r="G74" s="32"/>
      <c r="H74" s="14" t="str">
        <f t="shared" si="19"/>
        <v>No</v>
      </c>
      <c r="I74" s="32">
        <f>Table9[[#This Row],[National Average2]]</f>
        <v>42.829695344000001</v>
      </c>
      <c r="J74" s="32">
        <f>Table9[[#This Row],[Year 2]]</f>
        <v>2010</v>
      </c>
      <c r="K74" s="32"/>
      <c r="L74" s="14" t="str">
        <f t="shared" si="35"/>
        <v>Yes</v>
      </c>
      <c r="M74" s="32">
        <f>Table9[[#This Row],[National Average3]]</f>
        <v>73.064232509434333</v>
      </c>
      <c r="N74" s="32">
        <f>Table9[[#This Row],[Year 3]]</f>
        <v>2014</v>
      </c>
      <c r="O74" s="32"/>
      <c r="P74" s="14" t="str">
        <f t="shared" si="31"/>
        <v>No</v>
      </c>
      <c r="Q74" s="32">
        <f>Table9[[#This Row],[National Average4]]</f>
        <v>50.578612089200007</v>
      </c>
      <c r="R74" s="32">
        <f>Table9[[#This Row],[Year 4]]</f>
        <v>2010</v>
      </c>
      <c r="S74" s="32"/>
      <c r="T74" s="14" t="s">
        <v>154</v>
      </c>
      <c r="U74" s="32"/>
      <c r="V74" s="32">
        <f>Table9[[#This Row],[Year 5]]</f>
        <v>2010</v>
      </c>
      <c r="W74" s="32"/>
      <c r="X74" s="14" t="str">
        <f t="shared" si="34"/>
        <v>No</v>
      </c>
      <c r="Y74" s="32">
        <f>Table9[[#This Row],[National Average6]]</f>
        <v>48.745449999999998</v>
      </c>
      <c r="Z74" s="32">
        <f>Table9[[#This Row],[Year 6]]</f>
        <v>2010</v>
      </c>
      <c r="AA74" s="32"/>
      <c r="AB74" s="14" t="str">
        <f t="shared" si="33"/>
        <v>No</v>
      </c>
      <c r="AC74" s="32">
        <f>Table9[[#This Row],[National Average7]]</f>
        <v>88.027292489999994</v>
      </c>
      <c r="AD74" s="32">
        <f>Table9[[#This Row],[Year 7]]</f>
        <v>2010</v>
      </c>
      <c r="AE74" s="32"/>
      <c r="AF74" s="14" t="str">
        <f t="shared" si="24"/>
        <v>No</v>
      </c>
      <c r="AG74" s="32">
        <f>Table9[[#This Row],[National Average8]]</f>
        <v>70.639538764999998</v>
      </c>
      <c r="AH74" s="32">
        <f>Table9[[#This Row],[Year 8]]</f>
        <v>2010</v>
      </c>
      <c r="AI74" s="32"/>
    </row>
    <row r="75" spans="1:35" x14ac:dyDescent="0.2">
      <c r="A75" s="10" t="s">
        <v>73</v>
      </c>
      <c r="B75" s="14" t="str">
        <f t="shared" si="17"/>
        <v>No</v>
      </c>
      <c r="C75" s="32"/>
      <c r="D75" s="14" t="str">
        <f t="shared" si="30"/>
        <v>No</v>
      </c>
      <c r="E75" s="32">
        <f>Table9[[#This Row],[National Average]]</f>
        <v>89.284110069299999</v>
      </c>
      <c r="F75" s="32">
        <f>Table9[[#This Row],[Year 1]]</f>
        <v>2006</v>
      </c>
      <c r="G75" s="32"/>
      <c r="H75" s="14" t="str">
        <f t="shared" si="19"/>
        <v>No</v>
      </c>
      <c r="I75" s="32" t="str">
        <f>Table9[[#This Row],[National Average2]]</f>
        <v>n/a</v>
      </c>
      <c r="J75" s="32">
        <f>Table9[[#This Row],[Year 2]]</f>
        <v>2006</v>
      </c>
      <c r="K75" s="32"/>
      <c r="L75" s="14" t="str">
        <f t="shared" si="35"/>
        <v>Yes</v>
      </c>
      <c r="M75" s="32">
        <f>Table9[[#This Row],[National Average3]]</f>
        <v>88.273615635179141</v>
      </c>
      <c r="N75" s="32">
        <f>Table9[[#This Row],[Year 3]]</f>
        <v>2014</v>
      </c>
      <c r="O75" s="32"/>
      <c r="P75" s="14" t="str">
        <f t="shared" si="31"/>
        <v>No</v>
      </c>
      <c r="Q75" s="32">
        <f>Table9[[#This Row],[National Average4]]</f>
        <v>99.910688400299989</v>
      </c>
      <c r="R75" s="32">
        <f>Table9[[#This Row],[Year 4]]</f>
        <v>2006</v>
      </c>
      <c r="S75" s="32"/>
      <c r="T75" s="14" t="s">
        <v>154</v>
      </c>
      <c r="U75" s="32"/>
      <c r="V75" s="32"/>
      <c r="W75" s="32"/>
      <c r="X75" s="14" t="str">
        <f t="shared" si="34"/>
        <v>No</v>
      </c>
      <c r="Y75" s="32">
        <f>Table9[[#This Row],[National Average6]]</f>
        <v>26.674779999999998</v>
      </c>
      <c r="Z75" s="32">
        <f>Table9[[#This Row],[Year 6]]</f>
        <v>2006</v>
      </c>
      <c r="AA75" s="32"/>
      <c r="AB75" s="14" t="str">
        <f t="shared" si="33"/>
        <v>No</v>
      </c>
      <c r="AC75" s="32">
        <f>Table9[[#This Row],[National Average7]]</f>
        <v>93.175929784800005</v>
      </c>
      <c r="AD75" s="32">
        <f>Table9[[#This Row],[Year 7]]</f>
        <v>2006</v>
      </c>
      <c r="AE75" s="32"/>
      <c r="AF75" s="14" t="str">
        <f t="shared" si="24"/>
        <v>No</v>
      </c>
      <c r="AG75" s="32">
        <f>Table9[[#This Row],[National Average8]]</f>
        <v>67.692518234299996</v>
      </c>
      <c r="AH75" s="32">
        <f>Table9[[#This Row],[Year 8]]</f>
        <v>2006</v>
      </c>
      <c r="AI75" s="32"/>
    </row>
    <row r="76" spans="1:35" x14ac:dyDescent="0.2">
      <c r="A76" s="10" t="s">
        <v>74</v>
      </c>
      <c r="B76" s="14" t="str">
        <f t="shared" si="17"/>
        <v>No</v>
      </c>
      <c r="C76" s="32"/>
      <c r="D76" s="14" t="str">
        <f t="shared" si="30"/>
        <v>No</v>
      </c>
      <c r="E76" s="32">
        <f>Table9[[#This Row],[National Average]]</f>
        <v>95.498818159099997</v>
      </c>
      <c r="F76" s="32">
        <f>Table9[[#This Row],[Year 1]]</f>
        <v>2010</v>
      </c>
      <c r="G76" s="32"/>
      <c r="H76" s="14" t="str">
        <f t="shared" si="19"/>
        <v>No</v>
      </c>
      <c r="I76" s="32">
        <f>Table9[[#This Row],[National Average2]]</f>
        <v>59.597343206399998</v>
      </c>
      <c r="J76" s="32">
        <f>Table9[[#This Row],[Year 2]]</f>
        <v>2010</v>
      </c>
      <c r="K76" s="32"/>
      <c r="L76" s="14" t="str">
        <f t="shared" si="35"/>
        <v>Yes</v>
      </c>
      <c r="M76" s="32">
        <f>Table9[[#This Row],[National Average3]]</f>
        <v>65.279299014238774</v>
      </c>
      <c r="N76" s="32">
        <f>Table9[[#This Row],[Year 3]]</f>
        <v>2014</v>
      </c>
      <c r="O76" s="32"/>
      <c r="P76" s="14" t="str">
        <f t="shared" si="31"/>
        <v>No</v>
      </c>
      <c r="Q76" s="32">
        <f>Table9[[#This Row],[National Average4]]</f>
        <v>92.875927686699995</v>
      </c>
      <c r="R76" s="32">
        <f>Table9[[#This Row],[Year 4]]</f>
        <v>2010</v>
      </c>
      <c r="S76" s="32"/>
      <c r="T76" s="14" t="str">
        <f>IF(AND(U76&lt;&gt; "", V76&gt;2011), "Yes", "No")</f>
        <v>No</v>
      </c>
      <c r="U76" s="32" t="str">
        <f>Table9[[#This Row],[National Average5]]</f>
        <v>n/a</v>
      </c>
      <c r="V76" s="32">
        <f>Table9[[#This Row],[Year 5]]</f>
        <v>2010</v>
      </c>
      <c r="W76" s="32"/>
      <c r="X76" s="14" t="str">
        <f t="shared" si="34"/>
        <v>No</v>
      </c>
      <c r="Y76" s="32">
        <f>Table9[[#This Row],[National Average6]]</f>
        <v>16.560659999999999</v>
      </c>
      <c r="Z76" s="32">
        <f>Table9[[#This Row],[Year 6]]</f>
        <v>2010</v>
      </c>
      <c r="AA76" s="32"/>
      <c r="AB76" s="14" t="str">
        <f t="shared" si="33"/>
        <v>No</v>
      </c>
      <c r="AC76" s="32">
        <f>Table9[[#This Row],[National Average7]]</f>
        <v>73.9384174347</v>
      </c>
      <c r="AD76" s="32">
        <f>Table9[[#This Row],[Year 7]]</f>
        <v>2010</v>
      </c>
      <c r="AE76" s="32"/>
      <c r="AF76" s="14" t="str">
        <f t="shared" si="24"/>
        <v>No</v>
      </c>
      <c r="AG76" s="32">
        <f>Table9[[#This Row],[National Average8]]</f>
        <v>73.040133714699991</v>
      </c>
      <c r="AH76" s="32">
        <f>Table9[[#This Row],[Year 8]]</f>
        <v>2010</v>
      </c>
      <c r="AI76" s="32"/>
    </row>
    <row r="77" spans="1:35" x14ac:dyDescent="0.2">
      <c r="A77" s="10" t="s">
        <v>75</v>
      </c>
      <c r="B77" s="14" t="str">
        <f t="shared" si="17"/>
        <v>No</v>
      </c>
      <c r="C77" s="32"/>
      <c r="D77" s="14" t="str">
        <f t="shared" si="30"/>
        <v>No</v>
      </c>
      <c r="E77" s="32">
        <f>Table9[[#This Row],[National Average]]</f>
        <v>54.012596607200003</v>
      </c>
      <c r="F77" s="32">
        <f>Table9[[#This Row],[Year 1]]</f>
        <v>2006</v>
      </c>
      <c r="G77" s="32"/>
      <c r="H77" s="14" t="str">
        <f t="shared" si="19"/>
        <v>No</v>
      </c>
      <c r="I77" s="32" t="str">
        <f>Table9[[#This Row],[National Average2]]</f>
        <v>n/a</v>
      </c>
      <c r="J77" s="32">
        <f>Table9[[#This Row],[Year 2]]</f>
        <v>2006</v>
      </c>
      <c r="K77" s="32"/>
      <c r="L77" s="14" t="str">
        <f t="shared" si="35"/>
        <v>Yes</v>
      </c>
      <c r="M77" s="32">
        <f>Table9[[#This Row],[National Average3]]</f>
        <v>10.75268817204301</v>
      </c>
      <c r="N77" s="32">
        <f>Table9[[#This Row],[Year 3]]</f>
        <v>2014</v>
      </c>
      <c r="O77" s="32"/>
      <c r="P77" s="14" t="str">
        <f t="shared" si="31"/>
        <v>No</v>
      </c>
      <c r="Q77" s="32">
        <f>Table9[[#This Row],[National Average4]]</f>
        <v>35.745632648499999</v>
      </c>
      <c r="R77" s="32">
        <f>Table9[[#This Row],[Year 4]]</f>
        <v>2006</v>
      </c>
      <c r="S77" s="32"/>
      <c r="T77" s="14" t="s">
        <v>154</v>
      </c>
      <c r="U77" s="32"/>
      <c r="V77" s="32"/>
      <c r="W77" s="32"/>
      <c r="X77" s="14" t="str">
        <f t="shared" si="34"/>
        <v>No</v>
      </c>
      <c r="Y77" s="32" t="str">
        <f>Table9[[#This Row],[National Average6]]</f>
        <v>n/a</v>
      </c>
      <c r="Z77" s="32">
        <f>Table9[[#This Row],[Year 6]]</f>
        <v>2006</v>
      </c>
      <c r="AA77" s="32"/>
      <c r="AB77" s="14" t="str">
        <f t="shared" si="33"/>
        <v>No</v>
      </c>
      <c r="AC77" s="32">
        <f>Table9[[#This Row],[National Average7]]</f>
        <v>49.807068705600003</v>
      </c>
      <c r="AD77" s="32">
        <f>Table9[[#This Row],[Year 7]]</f>
        <v>2006</v>
      </c>
      <c r="AE77" s="32"/>
      <c r="AF77" s="14" t="str">
        <f t="shared" si="24"/>
        <v>No</v>
      </c>
      <c r="AG77" s="32">
        <f>Table9[[#This Row],[National Average8]]</f>
        <v>42.640504241000002</v>
      </c>
      <c r="AH77" s="32">
        <f>Table9[[#This Row],[Year 8]]</f>
        <v>2006</v>
      </c>
      <c r="AI77" s="32"/>
    </row>
    <row r="78" spans="1:35" x14ac:dyDescent="0.2">
      <c r="A78" s="10" t="s">
        <v>76</v>
      </c>
      <c r="B78" s="14" t="str">
        <f t="shared" si="17"/>
        <v>No</v>
      </c>
      <c r="C78" s="32"/>
      <c r="D78" s="14" t="str">
        <f t="shared" si="30"/>
        <v>No</v>
      </c>
      <c r="E78" s="32">
        <f>Table9[[#This Row],[National Average]]</f>
        <v>60.644137859299995</v>
      </c>
      <c r="F78" s="32">
        <f>Table9[[#This Row],[Year 1]]</f>
        <v>2007</v>
      </c>
      <c r="G78" s="32"/>
      <c r="H78" s="14" t="str">
        <f t="shared" si="19"/>
        <v>No</v>
      </c>
      <c r="I78" s="32">
        <f>Table9[[#This Row],[National Average2]]</f>
        <v>60.306453704799999</v>
      </c>
      <c r="J78" s="32">
        <f>Table9[[#This Row],[Year 2]]</f>
        <v>2007</v>
      </c>
      <c r="K78" s="32"/>
      <c r="L78" s="14" t="str">
        <f t="shared" si="35"/>
        <v>Yes</v>
      </c>
      <c r="M78" s="32">
        <f>Table9[[#This Row],[National Average3]]</f>
        <v>75.850366272219659</v>
      </c>
      <c r="N78" s="32">
        <f>Table9[[#This Row],[Year 3]]</f>
        <v>2014</v>
      </c>
      <c r="O78" s="32"/>
      <c r="P78" s="14" t="str">
        <f t="shared" si="31"/>
        <v>No</v>
      </c>
      <c r="Q78" s="32">
        <f>Table9[[#This Row],[National Average4]]</f>
        <v>46.455907821700002</v>
      </c>
      <c r="R78" s="32">
        <f>Table9[[#This Row],[Year 4]]</f>
        <v>2007</v>
      </c>
      <c r="S78" s="32"/>
      <c r="T78" s="14" t="str">
        <f t="shared" ref="T78:T79" si="36">IF(AND(U78&lt;&gt; "", V78&gt;2011), "Yes", "No")</f>
        <v>No</v>
      </c>
      <c r="U78" s="32" t="str">
        <f>Table9[[#This Row],[National Average5]]</f>
        <v>n/a</v>
      </c>
      <c r="V78" s="32">
        <f>Table9[[#This Row],[Year 5]]</f>
        <v>2007</v>
      </c>
      <c r="W78" s="32"/>
      <c r="X78" s="14" t="str">
        <f t="shared" si="34"/>
        <v>No</v>
      </c>
      <c r="Y78" s="32">
        <f>Table9[[#This Row],[National Average6]]</f>
        <v>60.706249999999997</v>
      </c>
      <c r="Z78" s="32">
        <f>Table9[[#This Row],[Year 6]]</f>
        <v>2007</v>
      </c>
      <c r="AA78" s="32"/>
      <c r="AB78" s="14" t="str">
        <f t="shared" si="33"/>
        <v>No</v>
      </c>
      <c r="AC78" s="32">
        <f>Table9[[#This Row],[National Average7]]</f>
        <v>80.801653861999995</v>
      </c>
      <c r="AD78" s="32">
        <f>Table9[[#This Row],[Year 7]]</f>
        <v>2007</v>
      </c>
      <c r="AE78" s="32"/>
      <c r="AF78" s="14" t="str">
        <f t="shared" si="24"/>
        <v>No</v>
      </c>
      <c r="AG78" s="32">
        <f>Table9[[#This Row],[National Average8]]</f>
        <v>68.230402469600008</v>
      </c>
      <c r="AH78" s="32">
        <f>Table9[[#This Row],[Year 8]]</f>
        <v>2007</v>
      </c>
      <c r="AI78" s="32"/>
    </row>
    <row r="79" spans="1:35" x14ac:dyDescent="0.2">
      <c r="A79" s="10" t="s">
        <v>77</v>
      </c>
      <c r="B79" s="14" t="str">
        <f t="shared" si="17"/>
        <v>No</v>
      </c>
      <c r="C79" s="32"/>
      <c r="D79" s="14" t="str">
        <f t="shared" si="30"/>
        <v>No</v>
      </c>
      <c r="E79" s="32">
        <f>Table9[[#This Row],[National Average]]</f>
        <v>80.069905519499997</v>
      </c>
      <c r="F79" s="32">
        <f>Table9[[#This Row],[Year 1]]</f>
        <v>2010</v>
      </c>
      <c r="G79" s="32"/>
      <c r="H79" s="14" t="str">
        <f t="shared" si="19"/>
        <v>No</v>
      </c>
      <c r="I79" s="32">
        <f>Table9[[#This Row],[National Average2]]</f>
        <v>64.782410860100001</v>
      </c>
      <c r="J79" s="32">
        <f>Table9[[#This Row],[Year 2]]</f>
        <v>2010</v>
      </c>
      <c r="K79" s="32"/>
      <c r="L79" s="14" t="str">
        <f t="shared" si="35"/>
        <v>Yes</v>
      </c>
      <c r="M79" s="32">
        <f>Table9[[#This Row],[National Average3]]</f>
        <v>78.03357996585089</v>
      </c>
      <c r="N79" s="32">
        <f>Table9[[#This Row],[Year 3]]</f>
        <v>2014</v>
      </c>
      <c r="O79" s="32"/>
      <c r="P79" s="14" t="str">
        <f t="shared" si="31"/>
        <v>No</v>
      </c>
      <c r="Q79" s="32">
        <f>Table9[[#This Row],[National Average4]]</f>
        <v>66.245323419599998</v>
      </c>
      <c r="R79" s="32">
        <f>Table9[[#This Row],[Year 4]]</f>
        <v>2010</v>
      </c>
      <c r="S79" s="32"/>
      <c r="T79" s="14" t="str">
        <f t="shared" si="36"/>
        <v>No</v>
      </c>
      <c r="U79" s="32">
        <f>Table9[[#This Row],[National Average5]]</f>
        <v>11.810478568099999</v>
      </c>
      <c r="V79" s="32">
        <f>Table9[[#This Row],[Year 5]]</f>
        <v>2010</v>
      </c>
      <c r="W79" s="32"/>
      <c r="X79" s="14" t="str">
        <f t="shared" si="34"/>
        <v>No</v>
      </c>
      <c r="Y79" s="32">
        <f>Table9[[#This Row],[National Average6]]</f>
        <v>31.303429999999999</v>
      </c>
      <c r="Z79" s="32">
        <f>Table9[[#This Row],[Year 6]]</f>
        <v>2010</v>
      </c>
      <c r="AA79" s="32"/>
      <c r="AB79" s="14" t="str">
        <f t="shared" si="33"/>
        <v>No</v>
      </c>
      <c r="AC79" s="32">
        <f>Table9[[#This Row],[National Average7]]</f>
        <v>73.561549186700006</v>
      </c>
      <c r="AD79" s="32">
        <f>Table9[[#This Row],[Year 7]]</f>
        <v>2010</v>
      </c>
      <c r="AE79" s="32"/>
      <c r="AF79" s="14" t="str">
        <f t="shared" si="24"/>
        <v>No</v>
      </c>
      <c r="AG79" s="32">
        <f>Table9[[#This Row],[National Average8]]</f>
        <v>47.999227046999998</v>
      </c>
      <c r="AH79" s="32">
        <f>Table9[[#This Row],[Year 8]]</f>
        <v>2010</v>
      </c>
      <c r="AI79" s="32"/>
    </row>
    <row r="80" spans="1:35" x14ac:dyDescent="0.2">
      <c r="A80" s="44" t="s">
        <v>255</v>
      </c>
      <c r="B80" s="44">
        <f>COUNTIF(Table921[Yes/No], "Yes")</f>
        <v>14</v>
      </c>
      <c r="C80" s="19"/>
      <c r="D80" s="44">
        <f>COUNTIF(Table921[Yes/No 1], "Yes")</f>
        <v>17</v>
      </c>
      <c r="E80" s="19"/>
      <c r="F80" s="19"/>
      <c r="G80" s="19"/>
      <c r="H80" s="44">
        <f>COUNTIF(Table921[Yes/No 2], "Yes")</f>
        <v>17</v>
      </c>
      <c r="I80" s="19"/>
      <c r="J80" s="19"/>
      <c r="K80" s="19"/>
      <c r="L80" s="44">
        <f>COUNTIF(Table921[Yes/No 3], "Yes")</f>
        <v>64</v>
      </c>
      <c r="M80" s="19"/>
      <c r="N80" s="19"/>
      <c r="O80" s="19"/>
      <c r="P80" s="44">
        <f>COUNTIF(Table921[Yes/No 4], "Yes")</f>
        <v>17</v>
      </c>
      <c r="Q80" s="19"/>
      <c r="R80" s="19"/>
      <c r="S80" s="19"/>
      <c r="T80" s="44">
        <f>COUNTIF(Table921[Yes/No 5], "Yes")</f>
        <v>16</v>
      </c>
      <c r="U80" s="19"/>
      <c r="V80" s="19"/>
      <c r="W80" s="19"/>
      <c r="X80" s="44">
        <f>COUNTIF(Table921[Yes/No 6], "Yes")</f>
        <v>17</v>
      </c>
      <c r="Y80" s="19"/>
      <c r="Z80" s="19"/>
      <c r="AA80" s="19"/>
      <c r="AB80" s="44">
        <f>COUNTIF(Table921[Yes/No 7], "Yes")</f>
        <v>17</v>
      </c>
      <c r="AC80" s="19"/>
      <c r="AD80" s="19"/>
      <c r="AE80" s="19"/>
      <c r="AF80" s="44">
        <f>COUNTIF(Table921[Yes/No 8], "Yes")</f>
        <v>17</v>
      </c>
      <c r="AG80" s="19"/>
      <c r="AH80" s="19"/>
      <c r="AI80" s="19"/>
    </row>
    <row r="81" spans="1:35" x14ac:dyDescent="0.2">
      <c r="A81" s="44" t="s">
        <v>256</v>
      </c>
      <c r="B81" s="44">
        <f>COUNTIF(Table921[Yes/No], "No")</f>
        <v>61</v>
      </c>
      <c r="C81" s="19"/>
      <c r="D81" s="44">
        <f>COUNTIF(Table921[Yes/No 1], "No")</f>
        <v>53</v>
      </c>
      <c r="E81" s="19"/>
      <c r="F81" s="19"/>
      <c r="G81" s="19"/>
      <c r="H81" s="44">
        <f>COUNTIF(Table921[Yes/No 2], "No")</f>
        <v>56</v>
      </c>
      <c r="I81" s="19"/>
      <c r="J81" s="19"/>
      <c r="K81" s="19"/>
      <c r="L81" s="44">
        <f>COUNTIF(Table921[Yes/No 3], "No")</f>
        <v>0</v>
      </c>
      <c r="M81" s="19"/>
      <c r="N81" s="19"/>
      <c r="O81" s="19"/>
      <c r="P81" s="44">
        <f>COUNTIF(Table921[Yes/No 4], "No")</f>
        <v>58</v>
      </c>
      <c r="Q81" s="19"/>
      <c r="R81" s="19"/>
      <c r="S81" s="19"/>
      <c r="T81" s="44">
        <f>COUNTIF(Table921[Yes/No 5], "No")</f>
        <v>20</v>
      </c>
      <c r="U81" s="19"/>
      <c r="V81" s="19"/>
      <c r="W81" s="19"/>
      <c r="X81" s="44">
        <f>COUNTIF(Table921[Yes/No 6], "No")</f>
        <v>56</v>
      </c>
      <c r="Y81" s="19"/>
      <c r="Z81" s="19"/>
      <c r="AA81" s="19"/>
      <c r="AB81" s="44">
        <f>COUNTIF(Table921[Yes/No 7], "No")</f>
        <v>58</v>
      </c>
      <c r="AC81" s="19"/>
      <c r="AD81" s="19"/>
      <c r="AE81" s="19"/>
      <c r="AF81" s="44">
        <f>COUNTIF(Table921[Yes/No 8], "No")</f>
        <v>55</v>
      </c>
      <c r="AG81" s="19"/>
      <c r="AH81" s="19"/>
      <c r="AI81" s="19"/>
    </row>
    <row r="82" spans="1:35" x14ac:dyDescent="0.2">
      <c r="A82" s="44" t="s">
        <v>298</v>
      </c>
      <c r="B82" s="44">
        <f>COUNTIF(Table921[Yes/No], "No data")</f>
        <v>0</v>
      </c>
      <c r="C82" s="19"/>
      <c r="D82" s="44">
        <f>COUNTIF(Table921[Yes/No 1], "No data")</f>
        <v>5</v>
      </c>
      <c r="E82" s="19"/>
      <c r="F82" s="19"/>
      <c r="G82" s="19"/>
      <c r="H82" s="44">
        <f>COUNTIF(Table921[Yes/No 2], "No data")</f>
        <v>2</v>
      </c>
      <c r="I82" s="19"/>
      <c r="J82" s="19"/>
      <c r="K82" s="19"/>
      <c r="L82" s="44">
        <f>COUNTIF(Table921[Yes/No 3], "No data")</f>
        <v>11</v>
      </c>
      <c r="M82" s="19"/>
      <c r="N82" s="19"/>
      <c r="O82" s="19"/>
      <c r="P82" s="44">
        <f>COUNTIF(Table921[Yes/No 4], "No data")</f>
        <v>0</v>
      </c>
      <c r="Q82" s="19"/>
      <c r="R82" s="19"/>
      <c r="S82" s="19"/>
      <c r="T82" s="44">
        <f>COUNTIF(Table921[Yes/No 5], "No data")</f>
        <v>39</v>
      </c>
      <c r="U82" s="19"/>
      <c r="V82" s="19"/>
      <c r="W82" s="19"/>
      <c r="X82" s="44">
        <f>COUNTIF(Table921[Yes/No 6], "No data")</f>
        <v>2</v>
      </c>
      <c r="Y82" s="19"/>
      <c r="Z82" s="19"/>
      <c r="AA82" s="19"/>
      <c r="AB82" s="44">
        <f>COUNTIF(Table921[Yes/No 7], "No data")</f>
        <v>0</v>
      </c>
      <c r="AC82" s="19"/>
      <c r="AD82" s="19"/>
      <c r="AE82" s="19"/>
      <c r="AF82" s="44">
        <f>COUNTIF(Table921[Yes/No 8], "No data")</f>
        <v>3</v>
      </c>
      <c r="AG82" s="19"/>
      <c r="AH82" s="19"/>
      <c r="AI82" s="19"/>
    </row>
    <row r="84" spans="1:35" x14ac:dyDescent="0.2">
      <c r="A84" s="1" t="s">
        <v>147</v>
      </c>
    </row>
    <row r="85" spans="1:35" x14ac:dyDescent="0.2">
      <c r="A85" s="1" t="s">
        <v>148</v>
      </c>
    </row>
  </sheetData>
  <mergeCells count="9">
    <mergeCell ref="X3:AA3"/>
    <mergeCell ref="AB3:AE3"/>
    <mergeCell ref="AF3:AI3"/>
    <mergeCell ref="A2:G2"/>
    <mergeCell ref="D3:G3"/>
    <mergeCell ref="H3:K3"/>
    <mergeCell ref="L3:O3"/>
    <mergeCell ref="P3:S3"/>
    <mergeCell ref="T3:W3"/>
  </mergeCells>
  <pageMargins left="0.23622047244094491" right="0.23622047244094491" top="0.74803149606299213" bottom="0.74803149606299213" header="0.31496062992125984" footer="0.31496062992125984"/>
  <pageSetup paperSize="9" scale="68" orientation="portrait" r:id="rId1"/>
  <colBreaks count="4" manualBreakCount="4">
    <brk id="7" max="1048575" man="1"/>
    <brk id="15" max="1048575" man="1"/>
    <brk id="23" max="1048575" man="1"/>
    <brk id="31" max="1048575" man="1"/>
  </col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82"/>
  <sheetViews>
    <sheetView topLeftCell="A63" workbookViewId="0">
      <selection activeCell="G28" sqref="G28"/>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16384" width="8.85546875" style="1"/>
  </cols>
  <sheetData>
    <row r="1" spans="1:6" x14ac:dyDescent="0.2">
      <c r="A1" s="4" t="s">
        <v>365</v>
      </c>
    </row>
    <row r="2" spans="1:6" x14ac:dyDescent="0.2">
      <c r="A2" s="1" t="s">
        <v>134</v>
      </c>
    </row>
    <row r="3" spans="1:6" ht="39.75" customHeight="1" x14ac:dyDescent="0.2">
      <c r="A3" s="45"/>
      <c r="B3" s="49"/>
      <c r="C3" s="81" t="s">
        <v>149</v>
      </c>
      <c r="D3" s="208" t="s">
        <v>150</v>
      </c>
      <c r="E3" s="204"/>
      <c r="F3" s="99"/>
    </row>
    <row r="4" spans="1:6" x14ac:dyDescent="0.2">
      <c r="A4" s="47" t="s">
        <v>0</v>
      </c>
      <c r="B4" s="170" t="s">
        <v>2</v>
      </c>
      <c r="C4" s="100" t="s">
        <v>122</v>
      </c>
      <c r="D4" s="100" t="s">
        <v>120</v>
      </c>
      <c r="E4" s="100" t="s">
        <v>124</v>
      </c>
      <c r="F4" s="100" t="s">
        <v>172</v>
      </c>
    </row>
    <row r="5" spans="1:6" x14ac:dyDescent="0.2">
      <c r="A5" s="168" t="s">
        <v>3</v>
      </c>
      <c r="B5" s="158" t="s">
        <v>821</v>
      </c>
      <c r="C5" s="169"/>
      <c r="D5" s="114"/>
      <c r="E5" s="114"/>
      <c r="F5" s="114" t="s">
        <v>442</v>
      </c>
    </row>
    <row r="6" spans="1:6" x14ac:dyDescent="0.2">
      <c r="A6" s="168" t="s">
        <v>4</v>
      </c>
      <c r="B6" s="159" t="s">
        <v>811</v>
      </c>
      <c r="C6" s="169"/>
      <c r="D6" s="114"/>
      <c r="E6" s="114"/>
      <c r="F6" s="32"/>
    </row>
    <row r="7" spans="1:6" x14ac:dyDescent="0.2">
      <c r="A7" s="168" t="s">
        <v>5</v>
      </c>
      <c r="B7" s="157" t="s">
        <v>820</v>
      </c>
      <c r="C7" s="169"/>
      <c r="D7" s="114"/>
      <c r="E7" s="114"/>
      <c r="F7" s="32"/>
    </row>
    <row r="8" spans="1:6" x14ac:dyDescent="0.2">
      <c r="A8" s="168" t="s">
        <v>6</v>
      </c>
      <c r="B8" s="158" t="s">
        <v>821</v>
      </c>
      <c r="C8" s="169"/>
      <c r="D8" s="114"/>
      <c r="E8" s="114"/>
      <c r="F8" s="32"/>
    </row>
    <row r="9" spans="1:6" x14ac:dyDescent="0.2">
      <c r="A9" s="168" t="s">
        <v>7</v>
      </c>
      <c r="B9" s="159" t="s">
        <v>811</v>
      </c>
      <c r="C9" s="169"/>
      <c r="D9" s="114"/>
      <c r="E9" s="114"/>
      <c r="F9" s="32"/>
    </row>
    <row r="10" spans="1:6" x14ac:dyDescent="0.2">
      <c r="A10" s="168" t="s">
        <v>8</v>
      </c>
      <c r="B10" s="159" t="s">
        <v>811</v>
      </c>
      <c r="C10" s="169"/>
      <c r="D10" s="114"/>
      <c r="E10" s="114"/>
      <c r="F10" s="32"/>
    </row>
    <row r="11" spans="1:6" x14ac:dyDescent="0.2">
      <c r="A11" s="168" t="s">
        <v>9</v>
      </c>
      <c r="B11" s="157" t="s">
        <v>820</v>
      </c>
      <c r="C11" s="169"/>
      <c r="D11" s="114"/>
      <c r="E11" s="114"/>
      <c r="F11" s="32"/>
    </row>
    <row r="12" spans="1:6" x14ac:dyDescent="0.2">
      <c r="A12" s="168" t="s">
        <v>10</v>
      </c>
      <c r="B12" s="157" t="s">
        <v>821</v>
      </c>
      <c r="C12" s="169"/>
      <c r="D12" s="114"/>
      <c r="E12" s="114"/>
      <c r="F12" s="32"/>
    </row>
    <row r="13" spans="1:6" x14ac:dyDescent="0.2">
      <c r="A13" s="168" t="s">
        <v>11</v>
      </c>
      <c r="B13" s="158" t="s">
        <v>821</v>
      </c>
      <c r="C13" s="169"/>
      <c r="D13" s="114"/>
      <c r="E13" s="114"/>
      <c r="F13" s="32"/>
    </row>
    <row r="14" spans="1:6" x14ac:dyDescent="0.2">
      <c r="A14" s="168" t="s">
        <v>12</v>
      </c>
      <c r="B14" s="159" t="s">
        <v>811</v>
      </c>
      <c r="C14" s="169"/>
      <c r="D14" s="114"/>
      <c r="E14" s="114"/>
      <c r="F14" s="32"/>
    </row>
    <row r="15" spans="1:6" x14ac:dyDescent="0.2">
      <c r="A15" s="168" t="s">
        <v>13</v>
      </c>
      <c r="B15" s="158" t="s">
        <v>821</v>
      </c>
      <c r="C15" s="169"/>
      <c r="D15" s="114"/>
      <c r="E15" s="114"/>
      <c r="F15" s="32"/>
    </row>
    <row r="16" spans="1:6" x14ac:dyDescent="0.2">
      <c r="A16" s="168" t="s">
        <v>14</v>
      </c>
      <c r="B16" s="158" t="s">
        <v>821</v>
      </c>
      <c r="C16" s="169"/>
      <c r="D16" s="114"/>
      <c r="E16" s="114"/>
      <c r="F16" s="32"/>
    </row>
    <row r="17" spans="1:6" x14ac:dyDescent="0.2">
      <c r="A17" s="168" t="s">
        <v>15</v>
      </c>
      <c r="B17" s="159" t="s">
        <v>811</v>
      </c>
      <c r="C17" s="169"/>
      <c r="D17" s="114"/>
      <c r="E17" s="114"/>
      <c r="F17" s="32"/>
    </row>
    <row r="18" spans="1:6" x14ac:dyDescent="0.2">
      <c r="A18" s="168" t="s">
        <v>16</v>
      </c>
      <c r="B18" s="159" t="s">
        <v>811</v>
      </c>
      <c r="C18" s="169"/>
      <c r="D18" s="114"/>
      <c r="E18" s="114"/>
      <c r="F18" s="32"/>
    </row>
    <row r="19" spans="1:6" x14ac:dyDescent="0.2">
      <c r="A19" s="168" t="s">
        <v>17</v>
      </c>
      <c r="B19" s="161" t="s">
        <v>820</v>
      </c>
      <c r="C19" s="169"/>
      <c r="D19" s="114"/>
      <c r="E19" s="114"/>
      <c r="F19" s="32"/>
    </row>
    <row r="20" spans="1:6" x14ac:dyDescent="0.2">
      <c r="A20" s="168" t="s">
        <v>18</v>
      </c>
      <c r="B20" s="159" t="s">
        <v>811</v>
      </c>
      <c r="C20" s="169"/>
      <c r="D20" s="114"/>
      <c r="E20" s="114"/>
      <c r="F20" s="32"/>
    </row>
    <row r="21" spans="1:6" x14ac:dyDescent="0.2">
      <c r="A21" s="168" t="s">
        <v>19</v>
      </c>
      <c r="B21" s="159" t="s">
        <v>811</v>
      </c>
      <c r="C21" s="169"/>
      <c r="D21" s="114"/>
      <c r="E21" s="114"/>
      <c r="F21" s="32"/>
    </row>
    <row r="22" spans="1:6" x14ac:dyDescent="0.2">
      <c r="A22" s="168" t="s">
        <v>20</v>
      </c>
      <c r="B22" s="158" t="s">
        <v>821</v>
      </c>
      <c r="C22" s="169"/>
      <c r="D22" s="114"/>
      <c r="E22" s="114"/>
      <c r="F22" s="32"/>
    </row>
    <row r="23" spans="1:6" x14ac:dyDescent="0.2">
      <c r="A23" s="168" t="s">
        <v>21</v>
      </c>
      <c r="B23" s="158" t="s">
        <v>821</v>
      </c>
      <c r="C23" s="169"/>
      <c r="D23" s="114"/>
      <c r="E23" s="114"/>
      <c r="F23" s="32"/>
    </row>
    <row r="24" spans="1:6" x14ac:dyDescent="0.2">
      <c r="A24" s="168" t="s">
        <v>22</v>
      </c>
      <c r="B24" s="159" t="s">
        <v>811</v>
      </c>
      <c r="C24" s="169"/>
      <c r="D24" s="114"/>
      <c r="E24" s="114"/>
      <c r="F24" s="32"/>
    </row>
    <row r="25" spans="1:6" x14ac:dyDescent="0.2">
      <c r="A25" s="168" t="s">
        <v>23</v>
      </c>
      <c r="B25" s="159" t="s">
        <v>811</v>
      </c>
      <c r="C25" s="169"/>
      <c r="D25" s="114"/>
      <c r="E25" s="114"/>
      <c r="F25" s="32"/>
    </row>
    <row r="26" spans="1:6" x14ac:dyDescent="0.2">
      <c r="A26" s="168" t="s">
        <v>24</v>
      </c>
      <c r="B26" s="161" t="s">
        <v>820</v>
      </c>
      <c r="C26" s="169"/>
      <c r="D26" s="114"/>
      <c r="E26" s="114"/>
      <c r="F26" s="32"/>
    </row>
    <row r="27" spans="1:6" x14ac:dyDescent="0.2">
      <c r="A27" s="168" t="s">
        <v>25</v>
      </c>
      <c r="B27" s="159" t="s">
        <v>811</v>
      </c>
      <c r="C27" s="169"/>
      <c r="D27" s="114"/>
      <c r="E27" s="114"/>
      <c r="F27" s="32"/>
    </row>
    <row r="28" spans="1:6" x14ac:dyDescent="0.2">
      <c r="A28" s="168" t="s">
        <v>26</v>
      </c>
      <c r="B28" s="159" t="s">
        <v>811</v>
      </c>
      <c r="C28" s="169"/>
      <c r="D28" s="114"/>
      <c r="E28" s="114"/>
      <c r="F28" s="32"/>
    </row>
    <row r="29" spans="1:6" x14ac:dyDescent="0.2">
      <c r="A29" s="168" t="s">
        <v>27</v>
      </c>
      <c r="B29" s="158" t="s">
        <v>821</v>
      </c>
      <c r="C29" s="169"/>
      <c r="D29" s="114"/>
      <c r="E29" s="114"/>
      <c r="F29" s="32"/>
    </row>
    <row r="30" spans="1:6" x14ac:dyDescent="0.2">
      <c r="A30" s="168" t="s">
        <v>28</v>
      </c>
      <c r="B30" s="159" t="s">
        <v>811</v>
      </c>
      <c r="C30" s="169"/>
      <c r="D30" s="114"/>
      <c r="E30" s="114"/>
      <c r="F30" s="32"/>
    </row>
    <row r="31" spans="1:6" x14ac:dyDescent="0.2">
      <c r="A31" s="168" t="s">
        <v>29</v>
      </c>
      <c r="B31" s="159" t="s">
        <v>811</v>
      </c>
      <c r="C31" s="169"/>
      <c r="D31" s="114"/>
      <c r="E31" s="114"/>
      <c r="F31" s="32"/>
    </row>
    <row r="32" spans="1:6" x14ac:dyDescent="0.2">
      <c r="A32" s="168" t="s">
        <v>30</v>
      </c>
      <c r="B32" s="161" t="s">
        <v>820</v>
      </c>
      <c r="C32" s="169"/>
      <c r="D32" s="114"/>
      <c r="E32" s="114"/>
      <c r="F32" s="32"/>
    </row>
    <row r="33" spans="1:6" x14ac:dyDescent="0.2">
      <c r="A33" s="168" t="s">
        <v>31</v>
      </c>
      <c r="B33" s="161" t="s">
        <v>820</v>
      </c>
      <c r="C33" s="169"/>
      <c r="D33" s="114"/>
      <c r="E33" s="114"/>
      <c r="F33" s="32"/>
    </row>
    <row r="34" spans="1:6" x14ac:dyDescent="0.2">
      <c r="A34" s="168" t="s">
        <v>32</v>
      </c>
      <c r="B34" s="159" t="s">
        <v>811</v>
      </c>
      <c r="C34" s="169"/>
      <c r="D34" s="114"/>
      <c r="E34" s="114"/>
      <c r="F34" s="32"/>
    </row>
    <row r="35" spans="1:6" x14ac:dyDescent="0.2">
      <c r="A35" s="168" t="s">
        <v>33</v>
      </c>
      <c r="B35" s="159" t="s">
        <v>811</v>
      </c>
      <c r="C35" s="169"/>
      <c r="D35" s="114"/>
      <c r="E35" s="114"/>
      <c r="F35" s="32"/>
    </row>
    <row r="36" spans="1:6" x14ac:dyDescent="0.2">
      <c r="A36" s="168" t="s">
        <v>34</v>
      </c>
      <c r="B36" s="159" t="s">
        <v>811</v>
      </c>
      <c r="C36" s="169"/>
      <c r="D36" s="114"/>
      <c r="E36" s="114"/>
      <c r="F36" s="32"/>
    </row>
    <row r="37" spans="1:6" x14ac:dyDescent="0.2">
      <c r="A37" s="168" t="s">
        <v>35</v>
      </c>
      <c r="B37" s="161" t="s">
        <v>820</v>
      </c>
      <c r="C37" s="169"/>
      <c r="D37" s="114"/>
      <c r="E37" s="114"/>
      <c r="F37" s="32"/>
    </row>
    <row r="38" spans="1:6" x14ac:dyDescent="0.2">
      <c r="A38" s="168" t="s">
        <v>36</v>
      </c>
      <c r="B38" s="161" t="s">
        <v>820</v>
      </c>
      <c r="C38" s="169"/>
      <c r="D38" s="114"/>
      <c r="E38" s="114"/>
      <c r="F38" s="32"/>
    </row>
    <row r="39" spans="1:6" x14ac:dyDescent="0.2">
      <c r="A39" s="168" t="s">
        <v>37</v>
      </c>
      <c r="B39" s="158" t="s">
        <v>821</v>
      </c>
      <c r="C39" s="169"/>
      <c r="D39" s="114"/>
      <c r="E39" s="114"/>
      <c r="F39" s="32"/>
    </row>
    <row r="40" spans="1:6" x14ac:dyDescent="0.2">
      <c r="A40" s="168" t="s">
        <v>38</v>
      </c>
      <c r="B40" s="161" t="s">
        <v>820</v>
      </c>
      <c r="C40" s="169"/>
      <c r="D40" s="114"/>
      <c r="E40" s="114"/>
      <c r="F40" s="32"/>
    </row>
    <row r="41" spans="1:6" x14ac:dyDescent="0.2">
      <c r="A41" s="168" t="s">
        <v>39</v>
      </c>
      <c r="B41" s="158" t="s">
        <v>821</v>
      </c>
      <c r="C41" s="169"/>
      <c r="D41" s="114"/>
      <c r="E41" s="114"/>
      <c r="F41" s="32"/>
    </row>
    <row r="42" spans="1:6" x14ac:dyDescent="0.2">
      <c r="A42" s="168" t="s">
        <v>40</v>
      </c>
      <c r="B42" s="158" t="s">
        <v>821</v>
      </c>
      <c r="C42" s="169"/>
      <c r="D42" s="114"/>
      <c r="E42" s="114"/>
      <c r="F42" s="32"/>
    </row>
    <row r="43" spans="1:6" x14ac:dyDescent="0.2">
      <c r="A43" s="168" t="s">
        <v>41</v>
      </c>
      <c r="B43" s="158" t="s">
        <v>821</v>
      </c>
      <c r="C43" s="169"/>
      <c r="D43" s="114"/>
      <c r="E43" s="114"/>
      <c r="F43" s="32"/>
    </row>
    <row r="44" spans="1:6" x14ac:dyDescent="0.2">
      <c r="A44" s="168" t="s">
        <v>42</v>
      </c>
      <c r="B44" s="158" t="s">
        <v>821</v>
      </c>
      <c r="C44" s="169"/>
      <c r="D44" s="114"/>
      <c r="E44" s="114"/>
      <c r="F44" s="32"/>
    </row>
    <row r="45" spans="1:6" x14ac:dyDescent="0.2">
      <c r="A45" s="168" t="s">
        <v>43</v>
      </c>
      <c r="B45" s="158" t="s">
        <v>821</v>
      </c>
      <c r="C45" s="169"/>
      <c r="D45" s="114"/>
      <c r="E45" s="114"/>
      <c r="F45" s="32"/>
    </row>
    <row r="46" spans="1:6" x14ac:dyDescent="0.2">
      <c r="A46" s="168" t="s">
        <v>44</v>
      </c>
      <c r="B46" s="158" t="s">
        <v>821</v>
      </c>
      <c r="C46" s="169"/>
      <c r="D46" s="114"/>
      <c r="E46" s="114"/>
      <c r="F46" s="32"/>
    </row>
    <row r="47" spans="1:6" x14ac:dyDescent="0.2">
      <c r="A47" s="168" t="s">
        <v>45</v>
      </c>
      <c r="B47" s="158" t="s">
        <v>821</v>
      </c>
      <c r="C47" s="169"/>
      <c r="D47" s="114"/>
      <c r="E47" s="114"/>
      <c r="F47" s="32"/>
    </row>
    <row r="48" spans="1:6" x14ac:dyDescent="0.2">
      <c r="A48" s="168" t="s">
        <v>46</v>
      </c>
      <c r="B48" s="161" t="s">
        <v>820</v>
      </c>
      <c r="C48" s="169"/>
      <c r="D48" s="114"/>
      <c r="E48" s="114"/>
      <c r="F48" s="32"/>
    </row>
    <row r="49" spans="1:6" x14ac:dyDescent="0.2">
      <c r="A49" s="168" t="s">
        <v>47</v>
      </c>
      <c r="B49" s="161" t="s">
        <v>820</v>
      </c>
      <c r="C49" s="169"/>
      <c r="D49" s="114"/>
      <c r="E49" s="114"/>
      <c r="F49" s="32"/>
    </row>
    <row r="50" spans="1:6" x14ac:dyDescent="0.2">
      <c r="A50" s="168" t="s">
        <v>48</v>
      </c>
      <c r="B50" s="158" t="s">
        <v>821</v>
      </c>
      <c r="C50" s="169"/>
      <c r="D50" s="114"/>
      <c r="E50" s="114"/>
      <c r="F50" s="32"/>
    </row>
    <row r="51" spans="1:6" x14ac:dyDescent="0.2">
      <c r="A51" s="168" t="s">
        <v>49</v>
      </c>
      <c r="B51" s="159" t="s">
        <v>811</v>
      </c>
      <c r="C51" s="169"/>
      <c r="D51" s="114"/>
      <c r="E51" s="114"/>
      <c r="F51" s="32"/>
    </row>
    <row r="52" spans="1:6" x14ac:dyDescent="0.2">
      <c r="A52" s="168" t="s">
        <v>50</v>
      </c>
      <c r="B52" s="158" t="s">
        <v>821</v>
      </c>
      <c r="C52" s="169"/>
      <c r="D52" s="114"/>
      <c r="E52" s="114"/>
      <c r="F52" s="32"/>
    </row>
    <row r="53" spans="1:6" x14ac:dyDescent="0.2">
      <c r="A53" s="168" t="s">
        <v>51</v>
      </c>
      <c r="B53" s="158" t="s">
        <v>821</v>
      </c>
      <c r="C53" s="169"/>
      <c r="D53" s="114"/>
      <c r="E53" s="114"/>
      <c r="F53" s="32"/>
    </row>
    <row r="54" spans="1:6" x14ac:dyDescent="0.2">
      <c r="A54" s="168" t="s">
        <v>52</v>
      </c>
      <c r="B54" s="159" t="s">
        <v>811</v>
      </c>
      <c r="C54" s="169"/>
      <c r="D54" s="114"/>
      <c r="E54" s="114"/>
      <c r="F54" s="32"/>
    </row>
    <row r="55" spans="1:6" x14ac:dyDescent="0.2">
      <c r="A55" s="168" t="s">
        <v>53</v>
      </c>
      <c r="B55" s="161" t="s">
        <v>820</v>
      </c>
      <c r="C55" s="169"/>
      <c r="D55" s="114"/>
      <c r="E55" s="114"/>
      <c r="F55" s="32"/>
    </row>
    <row r="56" spans="1:6" x14ac:dyDescent="0.2">
      <c r="A56" s="168" t="s">
        <v>54</v>
      </c>
      <c r="B56" s="158" t="s">
        <v>821</v>
      </c>
      <c r="C56" s="169"/>
      <c r="D56" s="114"/>
      <c r="E56" s="114"/>
      <c r="F56" s="32"/>
    </row>
    <row r="57" spans="1:6" x14ac:dyDescent="0.2">
      <c r="A57" s="168" t="s">
        <v>55</v>
      </c>
      <c r="B57" s="158" t="s">
        <v>821</v>
      </c>
      <c r="C57" s="169"/>
      <c r="D57" s="114"/>
      <c r="E57" s="114"/>
      <c r="F57" s="32"/>
    </row>
    <row r="58" spans="1:6" x14ac:dyDescent="0.2">
      <c r="A58" s="168" t="s">
        <v>56</v>
      </c>
      <c r="B58" s="161" t="s">
        <v>820</v>
      </c>
      <c r="C58" s="169"/>
      <c r="D58" s="114"/>
      <c r="E58" s="114"/>
      <c r="F58" s="32"/>
    </row>
    <row r="59" spans="1:6" x14ac:dyDescent="0.2">
      <c r="A59" s="168" t="s">
        <v>57</v>
      </c>
      <c r="B59" s="161" t="s">
        <v>820</v>
      </c>
      <c r="C59" s="169"/>
      <c r="D59" s="114"/>
      <c r="E59" s="114"/>
      <c r="F59" s="32"/>
    </row>
    <row r="60" spans="1:6" x14ac:dyDescent="0.2">
      <c r="A60" s="168" t="s">
        <v>58</v>
      </c>
      <c r="B60" s="161" t="s">
        <v>820</v>
      </c>
      <c r="C60" s="169"/>
      <c r="D60" s="114"/>
      <c r="E60" s="114"/>
      <c r="F60" s="32"/>
    </row>
    <row r="61" spans="1:6" x14ac:dyDescent="0.2">
      <c r="A61" s="168" t="s">
        <v>59</v>
      </c>
      <c r="B61" s="159" t="s">
        <v>811</v>
      </c>
      <c r="C61" s="169"/>
      <c r="D61" s="114"/>
      <c r="E61" s="114"/>
      <c r="F61" s="32"/>
    </row>
    <row r="62" spans="1:6" x14ac:dyDescent="0.2">
      <c r="A62" s="168" t="s">
        <v>60</v>
      </c>
      <c r="B62" s="158" t="s">
        <v>821</v>
      </c>
      <c r="C62" s="169"/>
      <c r="D62" s="114"/>
      <c r="E62" s="114"/>
      <c r="F62" s="32"/>
    </row>
    <row r="63" spans="1:6" x14ac:dyDescent="0.2">
      <c r="A63" s="168" t="s">
        <v>61</v>
      </c>
      <c r="B63" s="158" t="s">
        <v>821</v>
      </c>
      <c r="C63" s="169"/>
      <c r="D63" s="114"/>
      <c r="E63" s="114"/>
      <c r="F63" s="32"/>
    </row>
    <row r="64" spans="1:6" x14ac:dyDescent="0.2">
      <c r="A64" s="168" t="s">
        <v>62</v>
      </c>
      <c r="B64" s="158" t="s">
        <v>821</v>
      </c>
      <c r="C64" s="169"/>
      <c r="D64" s="114"/>
      <c r="E64" s="114"/>
      <c r="F64" s="32"/>
    </row>
    <row r="65" spans="1:6" x14ac:dyDescent="0.2">
      <c r="A65" s="168" t="s">
        <v>63</v>
      </c>
      <c r="B65" s="159" t="s">
        <v>811</v>
      </c>
      <c r="C65" s="169"/>
      <c r="D65" s="114"/>
      <c r="E65" s="114"/>
      <c r="F65" s="32"/>
    </row>
    <row r="66" spans="1:6" x14ac:dyDescent="0.2">
      <c r="A66" s="168" t="s">
        <v>64</v>
      </c>
      <c r="B66" s="161" t="s">
        <v>820</v>
      </c>
      <c r="C66" s="169"/>
      <c r="D66" s="114"/>
      <c r="E66" s="114"/>
      <c r="F66" s="32"/>
    </row>
    <row r="67" spans="1:6" x14ac:dyDescent="0.2">
      <c r="A67" s="168" t="s">
        <v>65</v>
      </c>
      <c r="B67" s="159" t="s">
        <v>811</v>
      </c>
      <c r="C67" s="169"/>
      <c r="D67" s="114"/>
      <c r="E67" s="114"/>
      <c r="F67" s="32"/>
    </row>
    <row r="68" spans="1:6" x14ac:dyDescent="0.2">
      <c r="A68" s="168" t="s">
        <v>66</v>
      </c>
      <c r="B68" s="161" t="s">
        <v>820</v>
      </c>
      <c r="C68" s="169"/>
      <c r="D68" s="114"/>
      <c r="E68" s="114"/>
      <c r="F68" s="32"/>
    </row>
    <row r="69" spans="1:6" x14ac:dyDescent="0.2">
      <c r="A69" s="168" t="s">
        <v>67</v>
      </c>
      <c r="B69" s="161" t="s">
        <v>820</v>
      </c>
      <c r="C69" s="169"/>
      <c r="D69" s="114"/>
      <c r="E69" s="114"/>
      <c r="F69" s="32"/>
    </row>
    <row r="70" spans="1:6" x14ac:dyDescent="0.2">
      <c r="A70" s="168" t="s">
        <v>68</v>
      </c>
      <c r="B70" s="161" t="s">
        <v>820</v>
      </c>
      <c r="C70" s="169"/>
      <c r="D70" s="114"/>
      <c r="E70" s="114"/>
      <c r="F70" s="32"/>
    </row>
    <row r="71" spans="1:6" x14ac:dyDescent="0.2">
      <c r="A71" s="168" t="s">
        <v>70</v>
      </c>
      <c r="B71" s="161" t="s">
        <v>820</v>
      </c>
      <c r="C71" s="169"/>
      <c r="D71" s="114"/>
      <c r="E71" s="114"/>
      <c r="F71" s="32"/>
    </row>
    <row r="72" spans="1:6" x14ac:dyDescent="0.2">
      <c r="A72" s="168" t="s">
        <v>71</v>
      </c>
      <c r="B72" s="161" t="s">
        <v>820</v>
      </c>
      <c r="C72" s="169"/>
      <c r="D72" s="114"/>
      <c r="E72" s="114"/>
      <c r="F72" s="32"/>
    </row>
    <row r="73" spans="1:6" x14ac:dyDescent="0.2">
      <c r="A73" s="168" t="s">
        <v>72</v>
      </c>
      <c r="B73" s="161" t="s">
        <v>820</v>
      </c>
      <c r="C73" s="169"/>
      <c r="D73" s="114"/>
      <c r="E73" s="114"/>
      <c r="F73" s="32"/>
    </row>
    <row r="74" spans="1:6" x14ac:dyDescent="0.2">
      <c r="A74" s="168" t="s">
        <v>69</v>
      </c>
      <c r="B74" s="159" t="s">
        <v>811</v>
      </c>
      <c r="C74" s="169"/>
      <c r="D74" s="114"/>
      <c r="E74" s="114"/>
      <c r="F74" s="32"/>
    </row>
    <row r="75" spans="1:6" x14ac:dyDescent="0.2">
      <c r="A75" s="168" t="s">
        <v>73</v>
      </c>
      <c r="B75" s="161" t="s">
        <v>820</v>
      </c>
      <c r="C75" s="169"/>
      <c r="D75" s="114"/>
      <c r="E75" s="114"/>
      <c r="F75" s="32"/>
    </row>
    <row r="76" spans="1:6" x14ac:dyDescent="0.2">
      <c r="A76" s="168" t="s">
        <v>74</v>
      </c>
      <c r="B76" s="161" t="s">
        <v>820</v>
      </c>
      <c r="C76" s="169"/>
      <c r="D76" s="114"/>
      <c r="E76" s="114"/>
      <c r="F76" s="32"/>
    </row>
    <row r="77" spans="1:6" x14ac:dyDescent="0.2">
      <c r="A77" s="168" t="s">
        <v>75</v>
      </c>
      <c r="B77" s="158" t="s">
        <v>821</v>
      </c>
      <c r="C77" s="169"/>
      <c r="D77" s="114"/>
      <c r="E77" s="114"/>
      <c r="F77" s="32"/>
    </row>
    <row r="78" spans="1:6" x14ac:dyDescent="0.2">
      <c r="A78" s="168" t="s">
        <v>76</v>
      </c>
      <c r="B78" s="161" t="s">
        <v>820</v>
      </c>
      <c r="C78" s="169"/>
      <c r="D78" s="114"/>
      <c r="E78" s="114"/>
      <c r="F78" s="32"/>
    </row>
    <row r="79" spans="1:6" x14ac:dyDescent="0.2">
      <c r="A79" s="168" t="s">
        <v>77</v>
      </c>
      <c r="B79" s="161" t="s">
        <v>820</v>
      </c>
      <c r="C79" s="169"/>
      <c r="D79" s="114"/>
      <c r="E79" s="114"/>
      <c r="F79" s="32"/>
    </row>
    <row r="80" spans="1:6" x14ac:dyDescent="0.2">
      <c r="A80" s="44" t="s">
        <v>255</v>
      </c>
      <c r="B80" s="44">
        <f>COUNTIF(Table1[Yes/No], "Yes")</f>
        <v>26</v>
      </c>
      <c r="C80" s="19"/>
      <c r="D80" s="19"/>
      <c r="E80" s="19"/>
      <c r="F80" s="19"/>
    </row>
    <row r="81" spans="1:6" x14ac:dyDescent="0.2">
      <c r="A81" s="44" t="s">
        <v>256</v>
      </c>
      <c r="B81" s="44">
        <f>COUNTIF(Table1[Yes/No], "No")</f>
        <v>23</v>
      </c>
      <c r="C81" s="19"/>
      <c r="D81" s="19"/>
      <c r="E81" s="19"/>
      <c r="F81" s="19"/>
    </row>
    <row r="82" spans="1:6" x14ac:dyDescent="0.2">
      <c r="A82" s="44" t="s">
        <v>299</v>
      </c>
      <c r="B82" s="44">
        <f>COUNTIF(Table1[Yes/No], "No data")</f>
        <v>0</v>
      </c>
      <c r="C82" s="19"/>
      <c r="D82" s="19"/>
      <c r="E82" s="19"/>
      <c r="F82" s="19"/>
    </row>
  </sheetData>
  <sortState ref="A5:I79">
    <sortCondition ref="A5:A79"/>
  </sortState>
  <mergeCells count="1">
    <mergeCell ref="D3:E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82"/>
  <sheetViews>
    <sheetView topLeftCell="A15" workbookViewId="0">
      <selection activeCell="B5" sqref="B5:B79"/>
    </sheetView>
  </sheetViews>
  <sheetFormatPr defaultColWidth="8.85546875" defaultRowHeight="12" x14ac:dyDescent="0.2"/>
  <cols>
    <col min="1" max="1" width="31.7109375" style="1" bestFit="1" customWidth="1"/>
    <col min="2" max="3" width="8.42578125" style="1" customWidth="1"/>
    <col min="4" max="4" width="26.85546875" style="1" customWidth="1"/>
    <col min="5" max="5" width="15.7109375" style="1" hidden="1" customWidth="1"/>
    <col min="6" max="6" width="17.7109375" style="1" hidden="1" customWidth="1"/>
    <col min="7" max="16384" width="8.85546875" style="1"/>
  </cols>
  <sheetData>
    <row r="1" spans="1:6" x14ac:dyDescent="0.2">
      <c r="A1" s="209" t="s">
        <v>367</v>
      </c>
      <c r="B1" s="209"/>
      <c r="C1" s="68"/>
    </row>
    <row r="2" spans="1:6" x14ac:dyDescent="0.2">
      <c r="A2" s="205" t="s">
        <v>179</v>
      </c>
      <c r="B2" s="210"/>
      <c r="C2" s="72"/>
    </row>
    <row r="3" spans="1:6" x14ac:dyDescent="0.2">
      <c r="A3" s="46"/>
      <c r="B3" s="49"/>
      <c r="C3" s="102"/>
      <c r="D3" s="101"/>
      <c r="E3" s="80"/>
      <c r="F3" s="5"/>
    </row>
    <row r="4" spans="1:6" x14ac:dyDescent="0.2">
      <c r="A4" s="47" t="s">
        <v>0</v>
      </c>
      <c r="B4" s="130" t="s">
        <v>2</v>
      </c>
      <c r="C4" s="81" t="s">
        <v>229</v>
      </c>
      <c r="D4" s="81" t="s">
        <v>119</v>
      </c>
      <c r="E4" s="47" t="s">
        <v>359</v>
      </c>
      <c r="F4" s="8" t="s">
        <v>360</v>
      </c>
    </row>
    <row r="5" spans="1:6" x14ac:dyDescent="0.2">
      <c r="A5" s="172" t="s">
        <v>3</v>
      </c>
      <c r="B5" s="157" t="s">
        <v>820</v>
      </c>
      <c r="C5" s="150">
        <v>2014</v>
      </c>
      <c r="D5" s="113" t="s">
        <v>443</v>
      </c>
      <c r="E5" s="51"/>
      <c r="F5" s="7"/>
    </row>
    <row r="6" spans="1:6" x14ac:dyDescent="0.2">
      <c r="A6" s="172" t="s">
        <v>4</v>
      </c>
      <c r="B6" s="157" t="s">
        <v>820</v>
      </c>
      <c r="C6" s="150"/>
      <c r="D6" s="16"/>
      <c r="E6" s="51"/>
      <c r="F6" s="7"/>
    </row>
    <row r="7" spans="1:6" x14ac:dyDescent="0.2">
      <c r="A7" s="172" t="s">
        <v>5</v>
      </c>
      <c r="B7" s="159" t="s">
        <v>811</v>
      </c>
      <c r="C7" s="150"/>
      <c r="D7" s="16"/>
      <c r="E7" s="51"/>
      <c r="F7" s="7"/>
    </row>
    <row r="8" spans="1:6" x14ac:dyDescent="0.2">
      <c r="A8" s="172" t="s">
        <v>6</v>
      </c>
      <c r="B8" s="157" t="s">
        <v>820</v>
      </c>
      <c r="C8" s="150"/>
      <c r="D8" s="16"/>
      <c r="E8" s="51"/>
      <c r="F8" s="7"/>
    </row>
    <row r="9" spans="1:6" x14ac:dyDescent="0.2">
      <c r="A9" s="172" t="s">
        <v>7</v>
      </c>
      <c r="B9" s="157" t="s">
        <v>820</v>
      </c>
      <c r="C9" s="150"/>
      <c r="D9" s="16"/>
      <c r="E9" s="51">
        <v>2011</v>
      </c>
      <c r="F9" s="7" t="s">
        <v>163</v>
      </c>
    </row>
    <row r="10" spans="1:6" x14ac:dyDescent="0.2">
      <c r="A10" s="172" t="s">
        <v>8</v>
      </c>
      <c r="B10" s="161" t="s">
        <v>820</v>
      </c>
      <c r="C10" s="150"/>
      <c r="D10" s="16"/>
      <c r="E10" s="51"/>
      <c r="F10" s="7"/>
    </row>
    <row r="11" spans="1:6" x14ac:dyDescent="0.2">
      <c r="A11" s="172" t="s">
        <v>9</v>
      </c>
      <c r="B11" s="161" t="s">
        <v>820</v>
      </c>
      <c r="C11" s="150"/>
      <c r="D11" s="16"/>
      <c r="E11" s="51"/>
      <c r="F11" s="7"/>
    </row>
    <row r="12" spans="1:6" x14ac:dyDescent="0.2">
      <c r="A12" s="172" t="s">
        <v>10</v>
      </c>
      <c r="B12" s="161" t="s">
        <v>820</v>
      </c>
      <c r="C12" s="150"/>
      <c r="D12" s="16"/>
      <c r="E12" s="51"/>
      <c r="F12" s="7"/>
    </row>
    <row r="13" spans="1:6" x14ac:dyDescent="0.2">
      <c r="A13" s="172" t="s">
        <v>11</v>
      </c>
      <c r="B13" s="161" t="s">
        <v>820</v>
      </c>
      <c r="C13" s="150"/>
      <c r="D13" s="16"/>
      <c r="E13" s="51"/>
      <c r="F13" s="7"/>
    </row>
    <row r="14" spans="1:6" x14ac:dyDescent="0.2">
      <c r="A14" s="172" t="s">
        <v>12</v>
      </c>
      <c r="B14" s="161" t="s">
        <v>820</v>
      </c>
      <c r="C14" s="150"/>
      <c r="D14" s="16"/>
      <c r="E14" s="51"/>
      <c r="F14" s="7"/>
    </row>
    <row r="15" spans="1:6" x14ac:dyDescent="0.2">
      <c r="A15" s="172" t="s">
        <v>13</v>
      </c>
      <c r="B15" s="161" t="s">
        <v>820</v>
      </c>
      <c r="C15" s="150"/>
      <c r="D15" s="16"/>
      <c r="E15" s="51">
        <v>2012</v>
      </c>
      <c r="F15" s="7" t="s">
        <v>163</v>
      </c>
    </row>
    <row r="16" spans="1:6" x14ac:dyDescent="0.2">
      <c r="A16" s="172" t="s">
        <v>14</v>
      </c>
      <c r="B16" s="161" t="s">
        <v>820</v>
      </c>
      <c r="C16" s="150"/>
      <c r="D16" s="16"/>
      <c r="E16" s="51"/>
      <c r="F16" s="7"/>
    </row>
    <row r="17" spans="1:6" x14ac:dyDescent="0.2">
      <c r="A17" s="172" t="s">
        <v>15</v>
      </c>
      <c r="B17" s="159" t="s">
        <v>811</v>
      </c>
      <c r="C17" s="150"/>
      <c r="D17" s="16"/>
      <c r="E17" s="51"/>
      <c r="F17" s="7"/>
    </row>
    <row r="18" spans="1:6" x14ac:dyDescent="0.2">
      <c r="A18" s="172" t="s">
        <v>16</v>
      </c>
      <c r="B18" s="161" t="s">
        <v>820</v>
      </c>
      <c r="C18" s="150"/>
      <c r="D18" s="16"/>
      <c r="E18" s="51"/>
      <c r="F18" s="7"/>
    </row>
    <row r="19" spans="1:6" x14ac:dyDescent="0.2">
      <c r="A19" s="172" t="s">
        <v>17</v>
      </c>
      <c r="B19" s="159" t="s">
        <v>811</v>
      </c>
      <c r="C19" s="150"/>
      <c r="D19" s="16"/>
      <c r="E19" s="51">
        <v>2012</v>
      </c>
      <c r="F19" s="7" t="s">
        <v>163</v>
      </c>
    </row>
    <row r="20" spans="1:6" x14ac:dyDescent="0.2">
      <c r="A20" s="172" t="s">
        <v>18</v>
      </c>
      <c r="B20" s="161" t="s">
        <v>820</v>
      </c>
      <c r="C20" s="150"/>
      <c r="D20" s="16"/>
      <c r="E20" s="51"/>
      <c r="F20" s="7"/>
    </row>
    <row r="21" spans="1:6" x14ac:dyDescent="0.2">
      <c r="A21" s="172" t="s">
        <v>19</v>
      </c>
      <c r="B21" s="159" t="s">
        <v>811</v>
      </c>
      <c r="C21" s="150"/>
      <c r="D21" s="16"/>
      <c r="E21" s="51"/>
      <c r="F21" s="7"/>
    </row>
    <row r="22" spans="1:6" x14ac:dyDescent="0.2">
      <c r="A22" s="172" t="s">
        <v>20</v>
      </c>
      <c r="B22" s="159" t="s">
        <v>811</v>
      </c>
      <c r="C22" s="150"/>
      <c r="D22" s="16"/>
      <c r="E22" s="51"/>
      <c r="F22" s="7"/>
    </row>
    <row r="23" spans="1:6" x14ac:dyDescent="0.2">
      <c r="A23" s="172" t="s">
        <v>21</v>
      </c>
      <c r="B23" s="159" t="s">
        <v>811</v>
      </c>
      <c r="C23" s="150"/>
      <c r="D23" s="16"/>
      <c r="E23" s="51"/>
      <c r="F23" s="7"/>
    </row>
    <row r="24" spans="1:6" x14ac:dyDescent="0.2">
      <c r="A24" s="172" t="s">
        <v>22</v>
      </c>
      <c r="B24" s="161" t="s">
        <v>820</v>
      </c>
      <c r="C24" s="150"/>
      <c r="D24" s="16"/>
      <c r="E24" s="51"/>
      <c r="F24" s="7"/>
    </row>
    <row r="25" spans="1:6" x14ac:dyDescent="0.2">
      <c r="A25" s="172" t="s">
        <v>23</v>
      </c>
      <c r="B25" s="159" t="s">
        <v>811</v>
      </c>
      <c r="C25" s="150"/>
      <c r="D25" s="16"/>
      <c r="E25" s="51"/>
      <c r="F25" s="7"/>
    </row>
    <row r="26" spans="1:6" x14ac:dyDescent="0.2">
      <c r="A26" s="172" t="s">
        <v>24</v>
      </c>
      <c r="B26" s="161" t="s">
        <v>820</v>
      </c>
      <c r="C26" s="150"/>
      <c r="D26" s="16"/>
      <c r="E26" s="51"/>
      <c r="F26" s="7"/>
    </row>
    <row r="27" spans="1:6" x14ac:dyDescent="0.2">
      <c r="A27" s="172" t="s">
        <v>25</v>
      </c>
      <c r="B27" s="159" t="s">
        <v>811</v>
      </c>
      <c r="C27" s="150"/>
      <c r="D27" s="16"/>
      <c r="E27" s="51"/>
      <c r="F27" s="7"/>
    </row>
    <row r="28" spans="1:6" x14ac:dyDescent="0.2">
      <c r="A28" s="172" t="s">
        <v>26</v>
      </c>
      <c r="B28" s="161" t="s">
        <v>820</v>
      </c>
      <c r="C28" s="150"/>
      <c r="D28" s="16"/>
      <c r="E28" s="51"/>
      <c r="F28" s="7"/>
    </row>
    <row r="29" spans="1:6" x14ac:dyDescent="0.2">
      <c r="A29" s="172" t="s">
        <v>27</v>
      </c>
      <c r="B29" s="161" t="s">
        <v>820</v>
      </c>
      <c r="C29" s="150"/>
      <c r="D29" s="16"/>
      <c r="E29" s="51">
        <v>2012</v>
      </c>
      <c r="F29" s="7" t="s">
        <v>163</v>
      </c>
    </row>
    <row r="30" spans="1:6" x14ac:dyDescent="0.2">
      <c r="A30" s="172" t="s">
        <v>28</v>
      </c>
      <c r="B30" s="161" t="s">
        <v>820</v>
      </c>
      <c r="C30" s="150"/>
      <c r="D30" s="16"/>
      <c r="E30" s="51"/>
      <c r="F30" s="7"/>
    </row>
    <row r="31" spans="1:6" x14ac:dyDescent="0.2">
      <c r="A31" s="172" t="s">
        <v>29</v>
      </c>
      <c r="B31" s="158" t="s">
        <v>821</v>
      </c>
      <c r="C31" s="150"/>
      <c r="D31" s="16"/>
      <c r="E31" s="51"/>
      <c r="F31" s="7"/>
    </row>
    <row r="32" spans="1:6" x14ac:dyDescent="0.2">
      <c r="A32" s="172" t="s">
        <v>30</v>
      </c>
      <c r="B32" s="161" t="s">
        <v>820</v>
      </c>
      <c r="C32" s="150"/>
      <c r="D32" s="16"/>
      <c r="E32" s="51">
        <v>2012</v>
      </c>
      <c r="F32" s="7" t="s">
        <v>163</v>
      </c>
    </row>
    <row r="33" spans="1:6" x14ac:dyDescent="0.2">
      <c r="A33" s="172" t="s">
        <v>31</v>
      </c>
      <c r="B33" s="161" t="s">
        <v>820</v>
      </c>
      <c r="C33" s="150"/>
      <c r="D33" s="16"/>
      <c r="E33" s="51"/>
      <c r="F33" s="7"/>
    </row>
    <row r="34" spans="1:6" x14ac:dyDescent="0.2">
      <c r="A34" s="172" t="s">
        <v>32</v>
      </c>
      <c r="B34" s="159" t="s">
        <v>811</v>
      </c>
      <c r="C34" s="150"/>
      <c r="D34" s="16"/>
      <c r="E34" s="51"/>
      <c r="F34" s="7"/>
    </row>
    <row r="35" spans="1:6" x14ac:dyDescent="0.2">
      <c r="A35" s="172" t="s">
        <v>33</v>
      </c>
      <c r="B35" s="159" t="s">
        <v>811</v>
      </c>
      <c r="C35" s="150"/>
      <c r="D35" s="16"/>
      <c r="E35" s="51"/>
      <c r="F35" s="7"/>
    </row>
    <row r="36" spans="1:6" x14ac:dyDescent="0.2">
      <c r="A36" s="172" t="s">
        <v>34</v>
      </c>
      <c r="B36" s="161" t="s">
        <v>820</v>
      </c>
      <c r="C36" s="150"/>
      <c r="D36" s="16"/>
      <c r="E36" s="51"/>
      <c r="F36" s="7"/>
    </row>
    <row r="37" spans="1:6" x14ac:dyDescent="0.2">
      <c r="A37" s="172" t="s">
        <v>35</v>
      </c>
      <c r="B37" s="159" t="s">
        <v>811</v>
      </c>
      <c r="C37" s="150"/>
      <c r="D37" s="16"/>
      <c r="E37" s="51"/>
      <c r="F37" s="7"/>
    </row>
    <row r="38" spans="1:6" x14ac:dyDescent="0.2">
      <c r="A38" s="172" t="s">
        <v>36</v>
      </c>
      <c r="B38" s="159" t="s">
        <v>811</v>
      </c>
      <c r="C38" s="150"/>
      <c r="D38" s="16"/>
      <c r="E38" s="51"/>
      <c r="F38" s="7"/>
    </row>
    <row r="39" spans="1:6" x14ac:dyDescent="0.2">
      <c r="A39" s="172" t="s">
        <v>37</v>
      </c>
      <c r="B39" s="161" t="s">
        <v>820</v>
      </c>
      <c r="C39" s="150"/>
      <c r="D39" s="16"/>
      <c r="E39" s="51"/>
      <c r="F39" s="7"/>
    </row>
    <row r="40" spans="1:6" x14ac:dyDescent="0.2">
      <c r="A40" s="172" t="s">
        <v>38</v>
      </c>
      <c r="B40" s="161" t="s">
        <v>820</v>
      </c>
      <c r="C40" s="150"/>
      <c r="D40" s="16"/>
      <c r="E40" s="51">
        <v>2012</v>
      </c>
      <c r="F40" s="7" t="s">
        <v>163</v>
      </c>
    </row>
    <row r="41" spans="1:6" x14ac:dyDescent="0.2">
      <c r="A41" s="172" t="s">
        <v>39</v>
      </c>
      <c r="B41" s="161" t="s">
        <v>820</v>
      </c>
      <c r="C41" s="150"/>
      <c r="D41" s="16"/>
      <c r="E41" s="51"/>
      <c r="F41" s="7"/>
    </row>
    <row r="42" spans="1:6" x14ac:dyDescent="0.2">
      <c r="A42" s="172" t="s">
        <v>40</v>
      </c>
      <c r="B42" s="161" t="s">
        <v>820</v>
      </c>
      <c r="C42" s="150"/>
      <c r="D42" s="16"/>
      <c r="E42" s="51">
        <v>2012</v>
      </c>
      <c r="F42" s="7" t="s">
        <v>163</v>
      </c>
    </row>
    <row r="43" spans="1:6" x14ac:dyDescent="0.2">
      <c r="A43" s="172" t="s">
        <v>41</v>
      </c>
      <c r="B43" s="159" t="s">
        <v>811</v>
      </c>
      <c r="C43" s="150"/>
      <c r="D43" s="16"/>
      <c r="E43" s="51"/>
      <c r="F43" s="7"/>
    </row>
    <row r="44" spans="1:6" x14ac:dyDescent="0.2">
      <c r="A44" s="172" t="s">
        <v>42</v>
      </c>
      <c r="B44" s="159" t="s">
        <v>811</v>
      </c>
      <c r="C44" s="150"/>
      <c r="D44" s="16"/>
      <c r="E44" s="51"/>
      <c r="F44" s="7"/>
    </row>
    <row r="45" spans="1:6" x14ac:dyDescent="0.2">
      <c r="A45" s="172" t="s">
        <v>43</v>
      </c>
      <c r="B45" s="159" t="s">
        <v>811</v>
      </c>
      <c r="C45" s="150"/>
      <c r="D45" s="16"/>
      <c r="E45" s="51"/>
      <c r="F45" s="7"/>
    </row>
    <row r="46" spans="1:6" x14ac:dyDescent="0.2">
      <c r="A46" s="172" t="s">
        <v>44</v>
      </c>
      <c r="B46" s="161" t="s">
        <v>820</v>
      </c>
      <c r="C46" s="150"/>
      <c r="D46" s="16"/>
      <c r="E46" s="51">
        <v>2012</v>
      </c>
      <c r="F46" s="7" t="s">
        <v>163</v>
      </c>
    </row>
    <row r="47" spans="1:6" x14ac:dyDescent="0.2">
      <c r="A47" s="172" t="s">
        <v>45</v>
      </c>
      <c r="B47" s="161" t="s">
        <v>820</v>
      </c>
      <c r="C47" s="150"/>
      <c r="D47" s="16"/>
      <c r="E47" s="51">
        <v>2011</v>
      </c>
      <c r="F47" s="7" t="s">
        <v>163</v>
      </c>
    </row>
    <row r="48" spans="1:6" x14ac:dyDescent="0.2">
      <c r="A48" s="172" t="s">
        <v>46</v>
      </c>
      <c r="B48" s="161" t="s">
        <v>820</v>
      </c>
      <c r="C48" s="150"/>
      <c r="D48" s="16"/>
      <c r="E48" s="51"/>
      <c r="F48" s="7"/>
    </row>
    <row r="49" spans="1:6" x14ac:dyDescent="0.2">
      <c r="A49" s="172" t="s">
        <v>47</v>
      </c>
      <c r="B49" s="161" t="s">
        <v>820</v>
      </c>
      <c r="C49" s="150"/>
      <c r="D49" s="16"/>
      <c r="E49" s="51"/>
      <c r="F49" s="7"/>
    </row>
    <row r="50" spans="1:6" x14ac:dyDescent="0.2">
      <c r="A50" s="172" t="s">
        <v>48</v>
      </c>
      <c r="B50" s="159" t="s">
        <v>811</v>
      </c>
      <c r="C50" s="150"/>
      <c r="D50" s="16"/>
      <c r="E50" s="51"/>
      <c r="F50" s="7"/>
    </row>
    <row r="51" spans="1:6" x14ac:dyDescent="0.2">
      <c r="A51" s="172" t="s">
        <v>49</v>
      </c>
      <c r="B51" s="161" t="s">
        <v>820</v>
      </c>
      <c r="C51" s="150"/>
      <c r="D51" s="16"/>
      <c r="E51" s="51">
        <v>2012</v>
      </c>
      <c r="F51" s="7" t="s">
        <v>163</v>
      </c>
    </row>
    <row r="52" spans="1:6" x14ac:dyDescent="0.2">
      <c r="A52" s="172" t="s">
        <v>50</v>
      </c>
      <c r="B52" s="161" t="s">
        <v>820</v>
      </c>
      <c r="C52" s="150"/>
      <c r="D52" s="16"/>
      <c r="E52" s="51"/>
      <c r="F52" s="7"/>
    </row>
    <row r="53" spans="1:6" x14ac:dyDescent="0.2">
      <c r="A53" s="172" t="s">
        <v>51</v>
      </c>
      <c r="B53" s="161" t="s">
        <v>820</v>
      </c>
      <c r="C53" s="150"/>
      <c r="D53" s="16"/>
      <c r="E53" s="51"/>
      <c r="F53" s="7"/>
    </row>
    <row r="54" spans="1:6" x14ac:dyDescent="0.2">
      <c r="A54" s="172" t="s">
        <v>52</v>
      </c>
      <c r="B54" s="161" t="s">
        <v>820</v>
      </c>
      <c r="C54" s="150"/>
      <c r="D54" s="16"/>
      <c r="E54" s="51">
        <v>2011</v>
      </c>
      <c r="F54" s="7" t="s">
        <v>163</v>
      </c>
    </row>
    <row r="55" spans="1:6" x14ac:dyDescent="0.2">
      <c r="A55" s="172" t="s">
        <v>53</v>
      </c>
      <c r="B55" s="161" t="s">
        <v>820</v>
      </c>
      <c r="C55" s="150"/>
      <c r="D55" s="16"/>
      <c r="E55" s="51"/>
      <c r="F55" s="7"/>
    </row>
    <row r="56" spans="1:6" x14ac:dyDescent="0.2">
      <c r="A56" s="172" t="s">
        <v>54</v>
      </c>
      <c r="B56" s="159" t="s">
        <v>811</v>
      </c>
      <c r="C56" s="150"/>
      <c r="D56" s="16"/>
      <c r="E56" s="51"/>
      <c r="F56" s="7"/>
    </row>
    <row r="57" spans="1:6" x14ac:dyDescent="0.2">
      <c r="A57" s="172" t="s">
        <v>55</v>
      </c>
      <c r="B57" s="161" t="s">
        <v>820</v>
      </c>
      <c r="C57" s="150"/>
      <c r="D57" s="16"/>
      <c r="E57" s="51">
        <v>2012</v>
      </c>
      <c r="F57" s="7" t="s">
        <v>163</v>
      </c>
    </row>
    <row r="58" spans="1:6" x14ac:dyDescent="0.2">
      <c r="A58" s="172" t="s">
        <v>56</v>
      </c>
      <c r="B58" s="159" t="s">
        <v>811</v>
      </c>
      <c r="C58" s="150"/>
      <c r="D58" s="16"/>
      <c r="E58" s="51"/>
      <c r="F58" s="7"/>
    </row>
    <row r="59" spans="1:6" x14ac:dyDescent="0.2">
      <c r="A59" s="172" t="s">
        <v>57</v>
      </c>
      <c r="B59" s="161" t="s">
        <v>820</v>
      </c>
      <c r="C59" s="150"/>
      <c r="D59" s="16"/>
      <c r="E59" s="51">
        <v>2012</v>
      </c>
      <c r="F59" s="7" t="s">
        <v>163</v>
      </c>
    </row>
    <row r="60" spans="1:6" x14ac:dyDescent="0.2">
      <c r="A60" s="172" t="s">
        <v>58</v>
      </c>
      <c r="B60" s="161" t="s">
        <v>820</v>
      </c>
      <c r="C60" s="150"/>
      <c r="D60" s="16"/>
      <c r="E60" s="51">
        <v>2012</v>
      </c>
      <c r="F60" s="7" t="s">
        <v>163</v>
      </c>
    </row>
    <row r="61" spans="1:6" x14ac:dyDescent="0.2">
      <c r="A61" s="172" t="s">
        <v>59</v>
      </c>
      <c r="B61" s="159" t="s">
        <v>811</v>
      </c>
      <c r="C61" s="150"/>
      <c r="D61" s="16"/>
      <c r="E61" s="51"/>
      <c r="F61" s="7"/>
    </row>
    <row r="62" spans="1:6" x14ac:dyDescent="0.2">
      <c r="A62" s="172" t="s">
        <v>60</v>
      </c>
      <c r="B62" s="161" t="s">
        <v>820</v>
      </c>
      <c r="C62" s="150"/>
      <c r="D62" s="16"/>
      <c r="E62" s="51">
        <v>2011</v>
      </c>
      <c r="F62" s="7" t="s">
        <v>163</v>
      </c>
    </row>
    <row r="63" spans="1:6" x14ac:dyDescent="0.2">
      <c r="A63" s="172" t="s">
        <v>61</v>
      </c>
      <c r="B63" s="161" t="s">
        <v>820</v>
      </c>
      <c r="C63" s="150"/>
      <c r="D63" s="16"/>
      <c r="E63" s="51"/>
      <c r="F63" s="7"/>
    </row>
    <row r="64" spans="1:6" x14ac:dyDescent="0.2">
      <c r="A64" s="172" t="s">
        <v>62</v>
      </c>
      <c r="B64" s="161" t="s">
        <v>820</v>
      </c>
      <c r="C64" s="150"/>
      <c r="D64" s="16"/>
      <c r="E64" s="51"/>
      <c r="F64" s="7"/>
    </row>
    <row r="65" spans="1:6" x14ac:dyDescent="0.2">
      <c r="A65" s="172" t="s">
        <v>63</v>
      </c>
      <c r="B65" s="161" t="s">
        <v>820</v>
      </c>
      <c r="C65" s="150"/>
      <c r="D65" s="16"/>
      <c r="E65" s="51"/>
      <c r="F65" s="7"/>
    </row>
    <row r="66" spans="1:6" x14ac:dyDescent="0.2">
      <c r="A66" s="172" t="s">
        <v>64</v>
      </c>
      <c r="B66" s="161" t="s">
        <v>820</v>
      </c>
      <c r="C66" s="150"/>
      <c r="D66" s="16"/>
      <c r="E66" s="51"/>
      <c r="F66" s="7"/>
    </row>
    <row r="67" spans="1:6" x14ac:dyDescent="0.2">
      <c r="A67" s="172" t="s">
        <v>65</v>
      </c>
      <c r="B67" s="159" t="s">
        <v>811</v>
      </c>
      <c r="C67" s="150"/>
      <c r="D67" s="16"/>
      <c r="E67" s="51"/>
      <c r="F67" s="7"/>
    </row>
    <row r="68" spans="1:6" x14ac:dyDescent="0.2">
      <c r="A68" s="172" t="s">
        <v>66</v>
      </c>
      <c r="B68" s="161" t="s">
        <v>820</v>
      </c>
      <c r="C68" s="150"/>
      <c r="D68" s="16"/>
      <c r="E68" s="51"/>
      <c r="F68" s="7"/>
    </row>
    <row r="69" spans="1:6" x14ac:dyDescent="0.2">
      <c r="A69" s="172" t="s">
        <v>67</v>
      </c>
      <c r="B69" s="161" t="s">
        <v>820</v>
      </c>
      <c r="C69" s="150"/>
      <c r="D69" s="16"/>
      <c r="E69" s="51"/>
      <c r="F69" s="7"/>
    </row>
    <row r="70" spans="1:6" x14ac:dyDescent="0.2">
      <c r="A70" s="172" t="s">
        <v>68</v>
      </c>
      <c r="B70" s="159" t="s">
        <v>811</v>
      </c>
      <c r="C70" s="150"/>
      <c r="D70" s="16"/>
      <c r="E70" s="51"/>
      <c r="F70" s="7"/>
    </row>
    <row r="71" spans="1:6" x14ac:dyDescent="0.2">
      <c r="A71" s="172" t="s">
        <v>70</v>
      </c>
      <c r="B71" s="161" t="s">
        <v>820</v>
      </c>
      <c r="C71" s="150"/>
      <c r="D71" s="16"/>
      <c r="E71" s="51">
        <v>2011</v>
      </c>
      <c r="F71" s="7" t="s">
        <v>163</v>
      </c>
    </row>
    <row r="72" spans="1:6" x14ac:dyDescent="0.2">
      <c r="A72" s="172" t="s">
        <v>71</v>
      </c>
      <c r="B72" s="159" t="s">
        <v>811</v>
      </c>
      <c r="C72" s="150"/>
      <c r="D72" s="16"/>
      <c r="E72" s="51"/>
      <c r="F72" s="7"/>
    </row>
    <row r="73" spans="1:6" x14ac:dyDescent="0.2">
      <c r="A73" s="172" t="s">
        <v>72</v>
      </c>
      <c r="B73" s="161" t="s">
        <v>820</v>
      </c>
      <c r="C73" s="150"/>
      <c r="D73" s="16"/>
      <c r="E73" s="51">
        <v>2012</v>
      </c>
      <c r="F73" s="7" t="s">
        <v>163</v>
      </c>
    </row>
    <row r="74" spans="1:6" x14ac:dyDescent="0.2">
      <c r="A74" s="172" t="s">
        <v>69</v>
      </c>
      <c r="B74" s="161" t="s">
        <v>820</v>
      </c>
      <c r="C74" s="150"/>
      <c r="D74" s="15"/>
      <c r="E74" s="51">
        <v>2012</v>
      </c>
      <c r="F74" s="7" t="s">
        <v>163</v>
      </c>
    </row>
    <row r="75" spans="1:6" x14ac:dyDescent="0.2">
      <c r="A75" s="172" t="s">
        <v>73</v>
      </c>
      <c r="B75" s="159" t="s">
        <v>811</v>
      </c>
      <c r="C75" s="150"/>
      <c r="D75" s="16"/>
      <c r="E75" s="51"/>
      <c r="F75" s="7"/>
    </row>
    <row r="76" spans="1:6" x14ac:dyDescent="0.2">
      <c r="A76" s="172" t="s">
        <v>74</v>
      </c>
      <c r="B76" s="161" t="s">
        <v>820</v>
      </c>
      <c r="C76" s="150"/>
      <c r="D76" s="16"/>
      <c r="E76" s="51">
        <v>2012</v>
      </c>
      <c r="F76" s="7" t="s">
        <v>163</v>
      </c>
    </row>
    <row r="77" spans="1:6" x14ac:dyDescent="0.2">
      <c r="A77" s="172" t="s">
        <v>75</v>
      </c>
      <c r="B77" s="161" t="s">
        <v>820</v>
      </c>
      <c r="C77" s="150"/>
      <c r="D77" s="16"/>
      <c r="E77" s="51"/>
      <c r="F77" s="7"/>
    </row>
    <row r="78" spans="1:6" x14ac:dyDescent="0.2">
      <c r="A78" s="172" t="s">
        <v>76</v>
      </c>
      <c r="B78" s="161" t="s">
        <v>820</v>
      </c>
      <c r="C78" s="150"/>
      <c r="D78" s="16"/>
      <c r="E78" s="51">
        <v>2012</v>
      </c>
      <c r="F78" s="7" t="s">
        <v>163</v>
      </c>
    </row>
    <row r="79" spans="1:6" x14ac:dyDescent="0.2">
      <c r="A79" s="172" t="s">
        <v>77</v>
      </c>
      <c r="B79" s="161" t="s">
        <v>820</v>
      </c>
      <c r="C79" s="150"/>
      <c r="D79" s="16"/>
      <c r="E79" s="51">
        <v>2012</v>
      </c>
      <c r="F79" s="7" t="s">
        <v>163</v>
      </c>
    </row>
    <row r="80" spans="1:6" x14ac:dyDescent="0.2">
      <c r="A80" s="44" t="s">
        <v>255</v>
      </c>
      <c r="B80" s="44">
        <f>COUNTIF(Table15[Yes/No], "Yes")</f>
        <v>51</v>
      </c>
      <c r="C80" s="44"/>
      <c r="D80" s="19"/>
      <c r="E80" s="19"/>
    </row>
    <row r="81" spans="1:5" x14ac:dyDescent="0.2">
      <c r="A81" s="44" t="s">
        <v>256</v>
      </c>
      <c r="B81" s="44">
        <f>COUNTIF(Table15[Yes/No], "No")</f>
        <v>23</v>
      </c>
      <c r="C81" s="44"/>
      <c r="D81" s="19"/>
      <c r="E81" s="19"/>
    </row>
    <row r="82" spans="1:5" x14ac:dyDescent="0.2">
      <c r="A82" s="44" t="s">
        <v>257</v>
      </c>
      <c r="B82" s="44">
        <f>COUNTIF(Table15[Yes/No], "No data")</f>
        <v>0</v>
      </c>
      <c r="C82" s="44"/>
      <c r="D82" s="19"/>
      <c r="E82" s="19"/>
    </row>
  </sheetData>
  <sortState ref="A5:P79">
    <sortCondition ref="A5:A79"/>
  </sortState>
  <mergeCells count="2">
    <mergeCell ref="A1:B1"/>
    <mergeCell ref="A2:B2"/>
  </mergeCells>
  <pageMargins left="0.23622047244094491" right="0.23622047244094491" top="0.74803149606299213" bottom="0.74803149606299213" header="0.31496062992125984" footer="0.31496062992125984"/>
  <pageSetup paperSize="9" scale="68" orientation="portrait"/>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I82"/>
  <sheetViews>
    <sheetView topLeftCell="A63" workbookViewId="0">
      <selection activeCell="J49" sqref="J49"/>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34.85546875" style="1" customWidth="1"/>
    <col min="6" max="7" width="8.42578125" style="1" bestFit="1" customWidth="1"/>
    <col min="8" max="8" width="7.7109375" style="1" bestFit="1" customWidth="1"/>
    <col min="9" max="9" width="15.42578125" style="1" customWidth="1"/>
    <col min="10" max="16384" width="8.85546875" style="1"/>
  </cols>
  <sheetData>
    <row r="1" spans="1:9" x14ac:dyDescent="0.2">
      <c r="A1" s="209" t="s">
        <v>366</v>
      </c>
      <c r="B1" s="209"/>
      <c r="C1" s="209"/>
      <c r="D1" s="209"/>
    </row>
    <row r="2" spans="1:9" x14ac:dyDescent="0.2">
      <c r="B2" s="72" t="s">
        <v>426</v>
      </c>
      <c r="C2" s="72" t="s">
        <v>427</v>
      </c>
      <c r="D2" s="72"/>
      <c r="F2" s="1" t="s">
        <v>428</v>
      </c>
    </row>
    <row r="3" spans="1:9" ht="12" customHeight="1" x14ac:dyDescent="0.2">
      <c r="A3" s="49"/>
      <c r="B3" s="49"/>
      <c r="C3" s="211" t="s">
        <v>175</v>
      </c>
      <c r="D3" s="212"/>
      <c r="E3" s="213"/>
      <c r="F3" s="45"/>
      <c r="G3" s="214" t="s">
        <v>406</v>
      </c>
      <c r="H3" s="214"/>
      <c r="I3" s="214"/>
    </row>
    <row r="4" spans="1:9" ht="45" x14ac:dyDescent="0.2">
      <c r="A4" s="47" t="s">
        <v>0</v>
      </c>
      <c r="B4" s="130" t="s">
        <v>405</v>
      </c>
      <c r="C4" s="47" t="s">
        <v>122</v>
      </c>
      <c r="D4" s="81" t="s">
        <v>123</v>
      </c>
      <c r="E4" s="81" t="s">
        <v>173</v>
      </c>
      <c r="F4" s="53" t="s">
        <v>405</v>
      </c>
      <c r="G4" s="53" t="s">
        <v>122</v>
      </c>
      <c r="H4" s="82" t="s">
        <v>123</v>
      </c>
      <c r="I4" s="82" t="s">
        <v>119</v>
      </c>
    </row>
    <row r="5" spans="1:9" ht="34.5" thickBot="1" x14ac:dyDescent="0.25">
      <c r="A5" s="168" t="s">
        <v>3</v>
      </c>
      <c r="B5" s="159" t="s">
        <v>811</v>
      </c>
      <c r="C5" s="119" t="s">
        <v>727</v>
      </c>
      <c r="D5" s="121" t="s">
        <v>717</v>
      </c>
      <c r="E5" s="16"/>
      <c r="F5" s="159" t="s">
        <v>811</v>
      </c>
      <c r="G5" s="15" t="s">
        <v>154</v>
      </c>
      <c r="H5" s="32"/>
      <c r="I5" s="113" t="s">
        <v>444</v>
      </c>
    </row>
    <row r="6" spans="1:9" ht="13.5" thickBot="1" x14ac:dyDescent="0.25">
      <c r="A6" s="168" t="s">
        <v>4</v>
      </c>
      <c r="B6" s="158" t="s">
        <v>821</v>
      </c>
      <c r="C6" s="119" t="s">
        <v>728</v>
      </c>
      <c r="D6" s="121" t="s">
        <v>717</v>
      </c>
      <c r="E6" s="15"/>
      <c r="F6" s="158" t="s">
        <v>821</v>
      </c>
      <c r="G6" s="15" t="s">
        <v>154</v>
      </c>
      <c r="H6" s="32"/>
      <c r="I6" s="32"/>
    </row>
    <row r="7" spans="1:9" ht="13.5" thickBot="1" x14ac:dyDescent="0.25">
      <c r="A7" s="168" t="s">
        <v>5</v>
      </c>
      <c r="B7" s="159" t="s">
        <v>811</v>
      </c>
      <c r="C7" s="119" t="s">
        <v>729</v>
      </c>
      <c r="D7" s="121" t="s">
        <v>717</v>
      </c>
      <c r="E7" s="32"/>
      <c r="F7" s="159" t="s">
        <v>811</v>
      </c>
      <c r="G7" s="15" t="s">
        <v>154</v>
      </c>
      <c r="H7" s="32"/>
      <c r="I7" s="32"/>
    </row>
    <row r="8" spans="1:9" ht="13.5" thickBot="1" x14ac:dyDescent="0.25">
      <c r="A8" s="168" t="s">
        <v>6</v>
      </c>
      <c r="B8" s="158" t="s">
        <v>821</v>
      </c>
      <c r="C8" s="119" t="s">
        <v>710</v>
      </c>
      <c r="D8" s="121" t="s">
        <v>717</v>
      </c>
      <c r="E8" s="15"/>
      <c r="F8" s="158" t="s">
        <v>821</v>
      </c>
      <c r="G8" s="15" t="s">
        <v>154</v>
      </c>
      <c r="H8" s="32"/>
      <c r="I8" s="32" t="s">
        <v>452</v>
      </c>
    </row>
    <row r="9" spans="1:9" ht="13.5" thickBot="1" x14ac:dyDescent="0.25">
      <c r="A9" s="168" t="s">
        <v>7</v>
      </c>
      <c r="B9" s="157" t="s">
        <v>820</v>
      </c>
      <c r="C9" s="119" t="s">
        <v>555</v>
      </c>
      <c r="D9" s="121" t="s">
        <v>717</v>
      </c>
      <c r="E9" s="32"/>
      <c r="F9" s="157" t="s">
        <v>820</v>
      </c>
      <c r="G9" s="178">
        <v>90456318</v>
      </c>
      <c r="H9" s="32"/>
      <c r="I9" s="32"/>
    </row>
    <row r="10" spans="1:9" ht="13.5" thickBot="1" x14ac:dyDescent="0.25">
      <c r="A10" s="168" t="s">
        <v>8</v>
      </c>
      <c r="B10" s="159" t="s">
        <v>811</v>
      </c>
      <c r="C10" s="119" t="s">
        <v>730</v>
      </c>
      <c r="D10" s="121" t="s">
        <v>717</v>
      </c>
      <c r="E10" s="32"/>
      <c r="F10" s="159" t="s">
        <v>811</v>
      </c>
      <c r="G10" s="15" t="s">
        <v>154</v>
      </c>
      <c r="H10" s="32"/>
      <c r="I10" s="32"/>
    </row>
    <row r="11" spans="1:9" ht="13.5" thickBot="1" x14ac:dyDescent="0.25">
      <c r="A11" s="168" t="s">
        <v>9</v>
      </c>
      <c r="B11" s="158" t="s">
        <v>821</v>
      </c>
      <c r="C11" s="119" t="s">
        <v>731</v>
      </c>
      <c r="D11" s="121" t="s">
        <v>717</v>
      </c>
      <c r="E11" s="32"/>
      <c r="F11" s="158" t="s">
        <v>821</v>
      </c>
      <c r="G11" s="15" t="s">
        <v>154</v>
      </c>
      <c r="H11" s="32"/>
      <c r="I11" s="32"/>
    </row>
    <row r="12" spans="1:9" ht="13.5" thickBot="1" x14ac:dyDescent="0.25">
      <c r="A12" s="168" t="s">
        <v>10</v>
      </c>
      <c r="B12" s="159" t="s">
        <v>811</v>
      </c>
      <c r="C12" s="119" t="s">
        <v>732</v>
      </c>
      <c r="D12" s="121" t="s">
        <v>717</v>
      </c>
      <c r="E12" s="32"/>
      <c r="F12" s="159" t="s">
        <v>811</v>
      </c>
      <c r="G12" s="15" t="s">
        <v>154</v>
      </c>
      <c r="H12" s="32"/>
      <c r="I12" s="32"/>
    </row>
    <row r="13" spans="1:9" ht="13.5" thickBot="1" x14ac:dyDescent="0.25">
      <c r="A13" s="168" t="s">
        <v>11</v>
      </c>
      <c r="B13" s="161" t="s">
        <v>820</v>
      </c>
      <c r="C13" s="119" t="s">
        <v>733</v>
      </c>
      <c r="D13" s="121" t="s">
        <v>717</v>
      </c>
      <c r="E13" s="32"/>
      <c r="F13" s="161" t="s">
        <v>820</v>
      </c>
      <c r="G13" s="178">
        <v>237087760</v>
      </c>
      <c r="H13" s="32"/>
      <c r="I13" s="32"/>
    </row>
    <row r="14" spans="1:9" ht="13.5" thickBot="1" x14ac:dyDescent="0.25">
      <c r="A14" s="168" t="s">
        <v>12</v>
      </c>
      <c r="B14" s="161" t="s">
        <v>820</v>
      </c>
      <c r="C14" s="119" t="s">
        <v>734</v>
      </c>
      <c r="D14" s="121" t="s">
        <v>717</v>
      </c>
      <c r="E14" s="32"/>
      <c r="F14" s="161" t="s">
        <v>820</v>
      </c>
      <c r="G14" s="15" t="s">
        <v>154</v>
      </c>
      <c r="H14" s="32"/>
      <c r="I14" s="32"/>
    </row>
    <row r="15" spans="1:9" ht="13.5" thickBot="1" x14ac:dyDescent="0.25">
      <c r="A15" s="168" t="s">
        <v>13</v>
      </c>
      <c r="B15" s="161" t="s">
        <v>820</v>
      </c>
      <c r="C15" s="119" t="s">
        <v>735</v>
      </c>
      <c r="D15" s="121" t="s">
        <v>717</v>
      </c>
      <c r="E15" s="32"/>
      <c r="F15" s="161" t="s">
        <v>820</v>
      </c>
      <c r="G15" s="15" t="s">
        <v>154</v>
      </c>
      <c r="H15" s="32"/>
      <c r="I15" s="32"/>
    </row>
    <row r="16" spans="1:9" ht="13.5" thickBot="1" x14ac:dyDescent="0.25">
      <c r="A16" s="168" t="s">
        <v>14</v>
      </c>
      <c r="B16" s="161" t="s">
        <v>820</v>
      </c>
      <c r="C16" s="119" t="s">
        <v>736</v>
      </c>
      <c r="D16" s="121" t="s">
        <v>717</v>
      </c>
      <c r="E16" s="32"/>
      <c r="F16" s="161" t="s">
        <v>820</v>
      </c>
      <c r="G16" s="15" t="s">
        <v>154</v>
      </c>
      <c r="H16" s="32"/>
      <c r="I16" s="32"/>
    </row>
    <row r="17" spans="1:9" ht="13.5" thickBot="1" x14ac:dyDescent="0.25">
      <c r="A17" s="168" t="s">
        <v>15</v>
      </c>
      <c r="B17" s="159" t="s">
        <v>811</v>
      </c>
      <c r="C17" s="119" t="s">
        <v>737</v>
      </c>
      <c r="D17" s="121" t="s">
        <v>717</v>
      </c>
      <c r="E17" s="32"/>
      <c r="F17" s="159" t="s">
        <v>811</v>
      </c>
      <c r="G17" s="15" t="s">
        <v>154</v>
      </c>
      <c r="H17" s="32"/>
      <c r="I17" s="32"/>
    </row>
    <row r="18" spans="1:9" ht="13.5" thickBot="1" x14ac:dyDescent="0.25">
      <c r="A18" s="168" t="s">
        <v>16</v>
      </c>
      <c r="B18" s="158" t="s">
        <v>821</v>
      </c>
      <c r="C18" s="119" t="s">
        <v>738</v>
      </c>
      <c r="D18" s="121" t="s">
        <v>717</v>
      </c>
      <c r="E18" s="32"/>
      <c r="F18" s="158" t="s">
        <v>821</v>
      </c>
      <c r="G18" s="15" t="s">
        <v>154</v>
      </c>
      <c r="H18" s="32"/>
      <c r="I18" s="32"/>
    </row>
    <row r="19" spans="1:9" ht="13.5" thickBot="1" x14ac:dyDescent="0.25">
      <c r="A19" s="168" t="s">
        <v>17</v>
      </c>
      <c r="B19" s="158" t="s">
        <v>821</v>
      </c>
      <c r="C19" s="119" t="s">
        <v>739</v>
      </c>
      <c r="D19" s="121" t="s">
        <v>717</v>
      </c>
      <c r="E19" s="32"/>
      <c r="F19" s="158" t="s">
        <v>821</v>
      </c>
      <c r="G19" s="15" t="s">
        <v>154</v>
      </c>
      <c r="H19" s="32"/>
      <c r="I19" s="32"/>
    </row>
    <row r="20" spans="1:9" ht="13.5" thickBot="1" x14ac:dyDescent="0.25">
      <c r="A20" s="168" t="s">
        <v>18</v>
      </c>
      <c r="B20" s="161" t="s">
        <v>820</v>
      </c>
      <c r="C20" s="119" t="s">
        <v>740</v>
      </c>
      <c r="D20" s="121" t="s">
        <v>717</v>
      </c>
      <c r="E20" s="32"/>
      <c r="F20" s="161" t="s">
        <v>820</v>
      </c>
      <c r="G20" s="15" t="s">
        <v>154</v>
      </c>
      <c r="H20" s="32"/>
      <c r="I20" s="32"/>
    </row>
    <row r="21" spans="1:9" ht="13.5" thickBot="1" x14ac:dyDescent="0.25">
      <c r="A21" s="168" t="s">
        <v>19</v>
      </c>
      <c r="B21" s="159" t="s">
        <v>811</v>
      </c>
      <c r="C21" s="119" t="s">
        <v>741</v>
      </c>
      <c r="D21" s="121" t="s">
        <v>717</v>
      </c>
      <c r="E21" s="32"/>
      <c r="F21" s="159" t="s">
        <v>811</v>
      </c>
      <c r="G21" s="15" t="s">
        <v>154</v>
      </c>
      <c r="H21" s="32"/>
      <c r="I21" s="32"/>
    </row>
    <row r="22" spans="1:9" ht="13.5" thickBot="1" x14ac:dyDescent="0.25">
      <c r="A22" s="168" t="s">
        <v>20</v>
      </c>
      <c r="B22" s="161" t="s">
        <v>820</v>
      </c>
      <c r="C22" s="119" t="s">
        <v>742</v>
      </c>
      <c r="D22" s="121" t="s">
        <v>717</v>
      </c>
      <c r="E22" s="32"/>
      <c r="F22" s="161" t="s">
        <v>820</v>
      </c>
      <c r="G22" s="15" t="s">
        <v>154</v>
      </c>
      <c r="H22" s="32"/>
      <c r="I22" s="32"/>
    </row>
    <row r="23" spans="1:9" ht="13.5" thickBot="1" x14ac:dyDescent="0.25">
      <c r="A23" s="168" t="s">
        <v>21</v>
      </c>
      <c r="B23" s="159" t="s">
        <v>811</v>
      </c>
      <c r="C23" s="119" t="s">
        <v>712</v>
      </c>
      <c r="D23" s="121" t="s">
        <v>718</v>
      </c>
      <c r="E23" s="15"/>
      <c r="F23" s="159" t="s">
        <v>811</v>
      </c>
      <c r="G23" s="15" t="s">
        <v>154</v>
      </c>
      <c r="H23" s="32"/>
      <c r="I23" s="32"/>
    </row>
    <row r="24" spans="1:9" ht="13.5" thickBot="1" x14ac:dyDescent="0.25">
      <c r="A24" s="168" t="s">
        <v>22</v>
      </c>
      <c r="B24" s="161" t="s">
        <v>820</v>
      </c>
      <c r="C24" s="119" t="s">
        <v>743</v>
      </c>
      <c r="D24" s="121" t="s">
        <v>717</v>
      </c>
      <c r="E24" s="32"/>
      <c r="F24" s="161" t="s">
        <v>820</v>
      </c>
      <c r="G24" s="178">
        <v>540109440</v>
      </c>
      <c r="H24" s="32"/>
      <c r="I24" s="32"/>
    </row>
    <row r="25" spans="1:9" ht="13.5" thickBot="1" x14ac:dyDescent="0.25">
      <c r="A25" s="168" t="s">
        <v>23</v>
      </c>
      <c r="B25" s="159" t="s">
        <v>811</v>
      </c>
      <c r="C25" s="119" t="s">
        <v>744</v>
      </c>
      <c r="D25" s="121" t="s">
        <v>717</v>
      </c>
      <c r="E25" s="32"/>
      <c r="F25" s="159" t="s">
        <v>811</v>
      </c>
      <c r="G25" s="15" t="s">
        <v>154</v>
      </c>
      <c r="H25" s="32"/>
      <c r="I25" s="32"/>
    </row>
    <row r="26" spans="1:9" ht="13.5" thickBot="1" x14ac:dyDescent="0.25">
      <c r="A26" s="168" t="s">
        <v>24</v>
      </c>
      <c r="B26" s="161" t="s">
        <v>820</v>
      </c>
      <c r="C26" s="119" t="s">
        <v>745</v>
      </c>
      <c r="D26" s="121" t="s">
        <v>717</v>
      </c>
      <c r="E26" s="32"/>
      <c r="F26" s="161" t="s">
        <v>820</v>
      </c>
      <c r="G26" s="15" t="s">
        <v>154</v>
      </c>
      <c r="H26" s="32"/>
      <c r="I26" s="32"/>
    </row>
    <row r="27" spans="1:9" ht="13.5" thickBot="1" x14ac:dyDescent="0.25">
      <c r="A27" s="168" t="s">
        <v>25</v>
      </c>
      <c r="B27" s="159" t="s">
        <v>811</v>
      </c>
      <c r="C27" s="119" t="s">
        <v>746</v>
      </c>
      <c r="D27" s="121" t="s">
        <v>717</v>
      </c>
      <c r="E27" s="32"/>
      <c r="F27" s="159" t="s">
        <v>811</v>
      </c>
      <c r="G27" s="15" t="s">
        <v>154</v>
      </c>
      <c r="H27" s="32"/>
      <c r="I27" s="32"/>
    </row>
    <row r="28" spans="1:9" ht="13.5" thickBot="1" x14ac:dyDescent="0.25">
      <c r="A28" s="168" t="s">
        <v>26</v>
      </c>
      <c r="B28" s="158" t="s">
        <v>821</v>
      </c>
      <c r="C28" s="119" t="s">
        <v>747</v>
      </c>
      <c r="D28" s="121" t="s">
        <v>717</v>
      </c>
      <c r="E28" s="32"/>
      <c r="F28" s="158" t="s">
        <v>821</v>
      </c>
      <c r="G28" s="15" t="s">
        <v>154</v>
      </c>
      <c r="H28" s="32"/>
      <c r="I28" s="32"/>
    </row>
    <row r="29" spans="1:9" ht="13.5" thickBot="1" x14ac:dyDescent="0.25">
      <c r="A29" s="168" t="s">
        <v>27</v>
      </c>
      <c r="B29" s="159" t="s">
        <v>811</v>
      </c>
      <c r="C29" s="119" t="s">
        <v>591</v>
      </c>
      <c r="D29" s="121" t="s">
        <v>717</v>
      </c>
      <c r="E29" s="32"/>
      <c r="F29" s="159" t="s">
        <v>811</v>
      </c>
      <c r="G29" s="15" t="s">
        <v>154</v>
      </c>
      <c r="H29" s="32"/>
      <c r="I29" s="32"/>
    </row>
    <row r="30" spans="1:9" ht="13.5" thickBot="1" x14ac:dyDescent="0.25">
      <c r="A30" s="168" t="s">
        <v>28</v>
      </c>
      <c r="B30" s="161" t="s">
        <v>820</v>
      </c>
      <c r="C30" s="119" t="s">
        <v>748</v>
      </c>
      <c r="D30" s="121" t="s">
        <v>717</v>
      </c>
      <c r="E30" s="32"/>
      <c r="F30" s="161" t="s">
        <v>820</v>
      </c>
      <c r="G30" s="15" t="s">
        <v>154</v>
      </c>
      <c r="H30" s="32"/>
      <c r="I30" s="32"/>
    </row>
    <row r="31" spans="1:9" ht="13.5" thickBot="1" x14ac:dyDescent="0.25">
      <c r="A31" s="168" t="s">
        <v>29</v>
      </c>
      <c r="B31" s="161" t="s">
        <v>820</v>
      </c>
      <c r="C31" s="119" t="s">
        <v>749</v>
      </c>
      <c r="D31" s="121" t="s">
        <v>717</v>
      </c>
      <c r="E31" s="32"/>
      <c r="F31" s="161" t="s">
        <v>820</v>
      </c>
      <c r="G31" s="178">
        <v>14794320</v>
      </c>
      <c r="H31" s="32"/>
      <c r="I31" s="32"/>
    </row>
    <row r="32" spans="1:9" ht="13.5" thickBot="1" x14ac:dyDescent="0.25">
      <c r="A32" s="168" t="s">
        <v>30</v>
      </c>
      <c r="B32" s="161" t="s">
        <v>820</v>
      </c>
      <c r="C32" s="119" t="s">
        <v>750</v>
      </c>
      <c r="D32" s="121" t="s">
        <v>717</v>
      </c>
      <c r="E32" s="32"/>
      <c r="F32" s="161" t="s">
        <v>820</v>
      </c>
      <c r="G32" s="15" t="s">
        <v>154</v>
      </c>
      <c r="H32" s="32"/>
      <c r="I32" s="32"/>
    </row>
    <row r="33" spans="1:9" ht="13.5" thickBot="1" x14ac:dyDescent="0.25">
      <c r="A33" s="168" t="s">
        <v>31</v>
      </c>
      <c r="B33" s="159" t="s">
        <v>811</v>
      </c>
      <c r="C33" s="119" t="s">
        <v>751</v>
      </c>
      <c r="D33" s="121" t="s">
        <v>717</v>
      </c>
      <c r="E33" s="32"/>
      <c r="F33" s="159" t="s">
        <v>811</v>
      </c>
      <c r="G33" s="15" t="s">
        <v>154</v>
      </c>
      <c r="H33" s="32"/>
      <c r="I33" s="32"/>
    </row>
    <row r="34" spans="1:9" ht="13.5" thickBot="1" x14ac:dyDescent="0.25">
      <c r="A34" s="168" t="s">
        <v>32</v>
      </c>
      <c r="B34" s="158" t="s">
        <v>821</v>
      </c>
      <c r="C34" s="119" t="s">
        <v>752</v>
      </c>
      <c r="D34" s="121" t="s">
        <v>717</v>
      </c>
      <c r="E34" s="32"/>
      <c r="F34" s="158" t="s">
        <v>821</v>
      </c>
      <c r="G34" s="15" t="s">
        <v>154</v>
      </c>
      <c r="H34" s="32"/>
      <c r="I34" s="32"/>
    </row>
    <row r="35" spans="1:9" ht="13.5" thickBot="1" x14ac:dyDescent="0.25">
      <c r="A35" s="168" t="s">
        <v>33</v>
      </c>
      <c r="B35" s="159" t="s">
        <v>811</v>
      </c>
      <c r="C35" s="119" t="s">
        <v>753</v>
      </c>
      <c r="D35" s="121" t="s">
        <v>717</v>
      </c>
      <c r="E35" s="32"/>
      <c r="F35" s="159" t="s">
        <v>811</v>
      </c>
      <c r="G35" s="15" t="s">
        <v>154</v>
      </c>
      <c r="H35" s="32"/>
      <c r="I35" s="32"/>
    </row>
    <row r="36" spans="1:9" ht="13.5" thickBot="1" x14ac:dyDescent="0.25">
      <c r="A36" s="168" t="s">
        <v>34</v>
      </c>
      <c r="B36" s="161" t="s">
        <v>820</v>
      </c>
      <c r="C36" s="119" t="s">
        <v>711</v>
      </c>
      <c r="D36" s="121" t="s">
        <v>717</v>
      </c>
      <c r="E36" s="32"/>
      <c r="F36" s="161" t="s">
        <v>820</v>
      </c>
      <c r="G36" s="15" t="s">
        <v>154</v>
      </c>
      <c r="H36" s="32"/>
      <c r="I36" s="32"/>
    </row>
    <row r="37" spans="1:9" ht="13.5" thickBot="1" x14ac:dyDescent="0.25">
      <c r="A37" s="168" t="s">
        <v>35</v>
      </c>
      <c r="B37" s="158" t="s">
        <v>821</v>
      </c>
      <c r="C37" s="119" t="s">
        <v>754</v>
      </c>
      <c r="D37" s="121" t="s">
        <v>717</v>
      </c>
      <c r="E37" s="32"/>
      <c r="F37" s="158" t="s">
        <v>821</v>
      </c>
      <c r="G37" s="15" t="s">
        <v>154</v>
      </c>
      <c r="H37" s="32"/>
      <c r="I37" s="32"/>
    </row>
    <row r="38" spans="1:9" ht="13.5" thickBot="1" x14ac:dyDescent="0.25">
      <c r="A38" s="168" t="s">
        <v>36</v>
      </c>
      <c r="B38" s="158" t="s">
        <v>821</v>
      </c>
      <c r="C38" s="119" t="s">
        <v>755</v>
      </c>
      <c r="D38" s="121" t="s">
        <v>717</v>
      </c>
      <c r="E38" s="32"/>
      <c r="F38" s="158" t="s">
        <v>821</v>
      </c>
      <c r="G38" s="15" t="s">
        <v>154</v>
      </c>
      <c r="H38" s="32"/>
      <c r="I38" s="32"/>
    </row>
    <row r="39" spans="1:9" ht="13.5" thickBot="1" x14ac:dyDescent="0.25">
      <c r="A39" s="168" t="s">
        <v>37</v>
      </c>
      <c r="B39" s="161" t="s">
        <v>820</v>
      </c>
      <c r="C39" s="119" t="s">
        <v>756</v>
      </c>
      <c r="D39" s="121" t="s">
        <v>717</v>
      </c>
      <c r="E39" s="32"/>
      <c r="F39" s="161" t="s">
        <v>820</v>
      </c>
      <c r="G39" s="15" t="s">
        <v>154</v>
      </c>
      <c r="H39" s="32"/>
      <c r="I39" s="32"/>
    </row>
    <row r="40" spans="1:9" ht="13.5" thickBot="1" x14ac:dyDescent="0.25">
      <c r="A40" s="168" t="s">
        <v>38</v>
      </c>
      <c r="B40" s="161" t="s">
        <v>820</v>
      </c>
      <c r="C40" s="119" t="s">
        <v>757</v>
      </c>
      <c r="D40" s="121" t="s">
        <v>717</v>
      </c>
      <c r="E40" s="32"/>
      <c r="F40" s="161" t="s">
        <v>820</v>
      </c>
      <c r="G40" s="15" t="s">
        <v>154</v>
      </c>
      <c r="H40" s="32"/>
      <c r="I40" s="32"/>
    </row>
    <row r="41" spans="1:9" ht="13.5" thickBot="1" x14ac:dyDescent="0.25">
      <c r="A41" s="168" t="s">
        <v>39</v>
      </c>
      <c r="B41" s="159" t="s">
        <v>811</v>
      </c>
      <c r="C41" s="119" t="s">
        <v>758</v>
      </c>
      <c r="D41" s="121" t="s">
        <v>717</v>
      </c>
      <c r="E41" s="32"/>
      <c r="F41" s="159" t="s">
        <v>811</v>
      </c>
      <c r="G41" s="15" t="s">
        <v>154</v>
      </c>
      <c r="H41" s="32"/>
      <c r="I41" s="32"/>
    </row>
    <row r="42" spans="1:9" ht="13.5" thickBot="1" x14ac:dyDescent="0.25">
      <c r="A42" s="168" t="s">
        <v>40</v>
      </c>
      <c r="B42" s="161" t="s">
        <v>820</v>
      </c>
      <c r="C42" s="119" t="s">
        <v>552</v>
      </c>
      <c r="D42" s="121" t="s">
        <v>717</v>
      </c>
      <c r="E42" s="32"/>
      <c r="F42" s="161" t="s">
        <v>820</v>
      </c>
      <c r="G42" s="15" t="s">
        <v>154</v>
      </c>
      <c r="H42" s="32"/>
      <c r="I42" s="32"/>
    </row>
    <row r="43" spans="1:9" ht="13.5" thickBot="1" x14ac:dyDescent="0.25">
      <c r="A43" s="168" t="s">
        <v>41</v>
      </c>
      <c r="B43" s="158" t="s">
        <v>821</v>
      </c>
      <c r="C43" s="119" t="s">
        <v>759</v>
      </c>
      <c r="D43" s="121" t="s">
        <v>717</v>
      </c>
      <c r="E43" s="32"/>
      <c r="F43" s="158" t="s">
        <v>821</v>
      </c>
      <c r="G43" s="15" t="s">
        <v>154</v>
      </c>
      <c r="H43" s="32"/>
      <c r="I43" s="32"/>
    </row>
    <row r="44" spans="1:9" ht="13.5" thickBot="1" x14ac:dyDescent="0.25">
      <c r="A44" s="168" t="s">
        <v>42</v>
      </c>
      <c r="B44" s="161" t="s">
        <v>820</v>
      </c>
      <c r="C44" s="119" t="s">
        <v>760</v>
      </c>
      <c r="D44" s="121" t="s">
        <v>717</v>
      </c>
      <c r="E44" s="32"/>
      <c r="F44" s="161" t="s">
        <v>820</v>
      </c>
      <c r="G44" s="15" t="s">
        <v>154</v>
      </c>
      <c r="H44" s="32"/>
      <c r="I44" s="32"/>
    </row>
    <row r="45" spans="1:9" ht="13.5" thickBot="1" x14ac:dyDescent="0.25">
      <c r="A45" s="168" t="s">
        <v>43</v>
      </c>
      <c r="B45" s="158" t="s">
        <v>821</v>
      </c>
      <c r="C45" s="119" t="s">
        <v>709</v>
      </c>
      <c r="D45" s="121" t="s">
        <v>717</v>
      </c>
      <c r="E45" s="32"/>
      <c r="F45" s="158" t="s">
        <v>821</v>
      </c>
      <c r="G45" s="15" t="s">
        <v>154</v>
      </c>
      <c r="H45" s="32"/>
      <c r="I45" s="32"/>
    </row>
    <row r="46" spans="1:9" ht="13.5" thickBot="1" x14ac:dyDescent="0.25">
      <c r="A46" s="168" t="s">
        <v>44</v>
      </c>
      <c r="B46" s="161" t="s">
        <v>820</v>
      </c>
      <c r="C46" s="119" t="s">
        <v>761</v>
      </c>
      <c r="D46" s="121" t="s">
        <v>717</v>
      </c>
      <c r="E46" s="32"/>
      <c r="F46" s="161" t="s">
        <v>820</v>
      </c>
      <c r="G46" s="15" t="s">
        <v>154</v>
      </c>
      <c r="H46" s="32"/>
      <c r="I46" s="32"/>
    </row>
    <row r="47" spans="1:9" ht="13.5" thickBot="1" x14ac:dyDescent="0.25">
      <c r="A47" s="168" t="s">
        <v>45</v>
      </c>
      <c r="B47" s="161" t="s">
        <v>820</v>
      </c>
      <c r="C47" s="119" t="s">
        <v>714</v>
      </c>
      <c r="D47" s="121" t="s">
        <v>717</v>
      </c>
      <c r="E47" s="32"/>
      <c r="F47" s="161" t="s">
        <v>820</v>
      </c>
      <c r="G47" s="15" t="s">
        <v>154</v>
      </c>
      <c r="H47" s="32"/>
      <c r="I47" s="32"/>
    </row>
    <row r="48" spans="1:9" ht="13.5" thickBot="1" x14ac:dyDescent="0.25">
      <c r="A48" s="168" t="s">
        <v>46</v>
      </c>
      <c r="B48" s="161" t="s">
        <v>820</v>
      </c>
      <c r="C48" s="119" t="s">
        <v>762</v>
      </c>
      <c r="D48" s="121" t="s">
        <v>717</v>
      </c>
      <c r="E48" s="32"/>
      <c r="F48" s="161" t="s">
        <v>820</v>
      </c>
      <c r="G48" s="15" t="s">
        <v>154</v>
      </c>
      <c r="H48" s="32"/>
      <c r="I48" s="32"/>
    </row>
    <row r="49" spans="1:9" ht="13.5" thickBot="1" x14ac:dyDescent="0.25">
      <c r="A49" s="168" t="s">
        <v>47</v>
      </c>
      <c r="B49" s="159" t="s">
        <v>811</v>
      </c>
      <c r="C49" s="119" t="s">
        <v>763</v>
      </c>
      <c r="D49" s="121" t="s">
        <v>717</v>
      </c>
      <c r="E49" s="15"/>
      <c r="F49" s="159" t="s">
        <v>811</v>
      </c>
      <c r="G49" s="15" t="s">
        <v>154</v>
      </c>
      <c r="H49" s="32"/>
      <c r="I49" s="32"/>
    </row>
    <row r="50" spans="1:9" ht="13.5" thickBot="1" x14ac:dyDescent="0.25">
      <c r="A50" s="168" t="s">
        <v>48</v>
      </c>
      <c r="B50" s="161" t="s">
        <v>820</v>
      </c>
      <c r="C50" s="119" t="s">
        <v>764</v>
      </c>
      <c r="D50" s="121" t="s">
        <v>717</v>
      </c>
      <c r="E50" s="32"/>
      <c r="F50" s="161" t="s">
        <v>820</v>
      </c>
      <c r="G50" s="15" t="s">
        <v>154</v>
      </c>
      <c r="H50" s="32"/>
      <c r="I50" s="32"/>
    </row>
    <row r="51" spans="1:9" ht="13.5" thickBot="1" x14ac:dyDescent="0.25">
      <c r="A51" s="168" t="s">
        <v>49</v>
      </c>
      <c r="B51" s="161" t="s">
        <v>820</v>
      </c>
      <c r="C51" s="119" t="s">
        <v>765</v>
      </c>
      <c r="D51" s="121" t="s">
        <v>717</v>
      </c>
      <c r="E51" s="32"/>
      <c r="F51" s="161" t="s">
        <v>820</v>
      </c>
      <c r="G51" s="15" t="s">
        <v>154</v>
      </c>
      <c r="H51" s="32"/>
      <c r="I51" s="32"/>
    </row>
    <row r="52" spans="1:9" ht="13.5" thickBot="1" x14ac:dyDescent="0.25">
      <c r="A52" s="168" t="s">
        <v>50</v>
      </c>
      <c r="B52" s="158" t="s">
        <v>821</v>
      </c>
      <c r="C52" s="119" t="s">
        <v>766</v>
      </c>
      <c r="D52" s="121" t="s">
        <v>717</v>
      </c>
      <c r="E52" s="32"/>
      <c r="F52" s="158" t="s">
        <v>821</v>
      </c>
      <c r="G52" s="15" t="s">
        <v>154</v>
      </c>
      <c r="H52" s="32"/>
      <c r="I52" s="32"/>
    </row>
    <row r="53" spans="1:9" ht="13.5" thickBot="1" x14ac:dyDescent="0.25">
      <c r="A53" s="168" t="s">
        <v>51</v>
      </c>
      <c r="B53" s="158" t="s">
        <v>821</v>
      </c>
      <c r="C53" s="119" t="s">
        <v>602</v>
      </c>
      <c r="D53" s="121" t="s">
        <v>717</v>
      </c>
      <c r="E53" s="15"/>
      <c r="F53" s="158" t="s">
        <v>821</v>
      </c>
      <c r="G53" s="15" t="s">
        <v>154</v>
      </c>
      <c r="H53" s="32"/>
      <c r="I53" s="32"/>
    </row>
    <row r="54" spans="1:9" ht="13.5" thickBot="1" x14ac:dyDescent="0.25">
      <c r="A54" s="168" t="s">
        <v>52</v>
      </c>
      <c r="B54" s="161" t="s">
        <v>820</v>
      </c>
      <c r="C54" s="119" t="s">
        <v>767</v>
      </c>
      <c r="D54" s="121" t="s">
        <v>717</v>
      </c>
      <c r="E54" s="32"/>
      <c r="F54" s="161" t="s">
        <v>820</v>
      </c>
      <c r="G54" s="178">
        <v>124818890</v>
      </c>
      <c r="H54" s="32"/>
      <c r="I54" s="32"/>
    </row>
    <row r="55" spans="1:9" ht="13.5" thickBot="1" x14ac:dyDescent="0.25">
      <c r="A55" s="168" t="s">
        <v>53</v>
      </c>
      <c r="B55" s="158" t="s">
        <v>821</v>
      </c>
      <c r="C55" s="119" t="s">
        <v>768</v>
      </c>
      <c r="D55" s="121" t="s">
        <v>717</v>
      </c>
      <c r="E55" s="32"/>
      <c r="F55" s="158" t="s">
        <v>821</v>
      </c>
      <c r="G55" s="15" t="s">
        <v>154</v>
      </c>
      <c r="H55" s="32"/>
      <c r="I55" s="32"/>
    </row>
    <row r="56" spans="1:9" ht="13.5" thickBot="1" x14ac:dyDescent="0.25">
      <c r="A56" s="168" t="s">
        <v>54</v>
      </c>
      <c r="B56" s="159" t="s">
        <v>811</v>
      </c>
      <c r="C56" s="119" t="s">
        <v>769</v>
      </c>
      <c r="D56" s="121" t="s">
        <v>717</v>
      </c>
      <c r="E56" s="32"/>
      <c r="F56" s="159" t="s">
        <v>811</v>
      </c>
      <c r="G56" s="15" t="s">
        <v>154</v>
      </c>
      <c r="H56" s="32"/>
      <c r="I56" s="32"/>
    </row>
    <row r="57" spans="1:9" ht="13.5" thickBot="1" x14ac:dyDescent="0.25">
      <c r="A57" s="168" t="s">
        <v>55</v>
      </c>
      <c r="B57" s="158" t="s">
        <v>821</v>
      </c>
      <c r="C57" s="119" t="s">
        <v>770</v>
      </c>
      <c r="D57" s="121" t="s">
        <v>717</v>
      </c>
      <c r="E57" s="32"/>
      <c r="F57" s="158" t="s">
        <v>821</v>
      </c>
      <c r="G57" s="15" t="s">
        <v>154</v>
      </c>
      <c r="H57" s="32"/>
      <c r="I57" s="32"/>
    </row>
    <row r="58" spans="1:9" ht="13.5" thickBot="1" x14ac:dyDescent="0.25">
      <c r="A58" s="168" t="s">
        <v>56</v>
      </c>
      <c r="B58" s="159" t="s">
        <v>811</v>
      </c>
      <c r="C58" s="119" t="s">
        <v>771</v>
      </c>
      <c r="D58" s="121" t="s">
        <v>717</v>
      </c>
      <c r="E58" s="32"/>
      <c r="F58" s="159" t="s">
        <v>811</v>
      </c>
      <c r="G58" s="15" t="s">
        <v>154</v>
      </c>
      <c r="H58" s="32"/>
      <c r="I58" s="32"/>
    </row>
    <row r="59" spans="1:9" ht="13.5" thickBot="1" x14ac:dyDescent="0.25">
      <c r="A59" s="168" t="s">
        <v>57</v>
      </c>
      <c r="B59" s="161" t="s">
        <v>820</v>
      </c>
      <c r="C59" s="119" t="s">
        <v>772</v>
      </c>
      <c r="D59" s="121" t="s">
        <v>717</v>
      </c>
      <c r="E59" s="32"/>
      <c r="F59" s="161" t="s">
        <v>820</v>
      </c>
      <c r="G59" s="15" t="s">
        <v>154</v>
      </c>
      <c r="H59" s="32"/>
      <c r="I59" s="32"/>
    </row>
    <row r="60" spans="1:9" ht="13.5" thickBot="1" x14ac:dyDescent="0.25">
      <c r="A60" s="168" t="s">
        <v>58</v>
      </c>
      <c r="B60" s="159" t="s">
        <v>811</v>
      </c>
      <c r="C60" s="119" t="s">
        <v>773</v>
      </c>
      <c r="D60" s="121" t="s">
        <v>717</v>
      </c>
      <c r="E60" s="32"/>
      <c r="F60" s="159" t="s">
        <v>811</v>
      </c>
      <c r="G60" s="15" t="s">
        <v>154</v>
      </c>
      <c r="H60" s="32"/>
      <c r="I60" s="32"/>
    </row>
    <row r="61" spans="1:9" ht="13.5" thickBot="1" x14ac:dyDescent="0.25">
      <c r="A61" s="168" t="s">
        <v>59</v>
      </c>
      <c r="B61" s="158" t="s">
        <v>821</v>
      </c>
      <c r="C61" s="119" t="s">
        <v>774</v>
      </c>
      <c r="D61" s="121" t="s">
        <v>717</v>
      </c>
      <c r="E61" s="32"/>
      <c r="F61" s="158" t="s">
        <v>821</v>
      </c>
      <c r="G61" s="15" t="s">
        <v>154</v>
      </c>
      <c r="H61" s="32"/>
      <c r="I61" s="32"/>
    </row>
    <row r="62" spans="1:9" ht="13.5" thickBot="1" x14ac:dyDescent="0.25">
      <c r="A62" s="168" t="s">
        <v>60</v>
      </c>
      <c r="B62" s="158" t="s">
        <v>821</v>
      </c>
      <c r="C62" s="119" t="s">
        <v>775</v>
      </c>
      <c r="D62" s="121" t="s">
        <v>717</v>
      </c>
      <c r="E62" s="32"/>
      <c r="F62" s="158" t="s">
        <v>821</v>
      </c>
      <c r="G62" s="15" t="s">
        <v>154</v>
      </c>
      <c r="H62" s="32"/>
      <c r="I62" s="32"/>
    </row>
    <row r="63" spans="1:9" ht="13.5" thickBot="1" x14ac:dyDescent="0.25">
      <c r="A63" s="168" t="s">
        <v>61</v>
      </c>
      <c r="B63" s="161" t="s">
        <v>820</v>
      </c>
      <c r="C63" s="119" t="s">
        <v>776</v>
      </c>
      <c r="D63" s="121" t="s">
        <v>717</v>
      </c>
      <c r="E63" s="32"/>
      <c r="F63" s="161" t="s">
        <v>820</v>
      </c>
      <c r="G63" s="15" t="s">
        <v>154</v>
      </c>
      <c r="H63" s="32"/>
      <c r="I63" s="32"/>
    </row>
    <row r="64" spans="1:9" ht="13.5" thickBot="1" x14ac:dyDescent="0.25">
      <c r="A64" s="168" t="s">
        <v>62</v>
      </c>
      <c r="B64" s="159" t="s">
        <v>811</v>
      </c>
      <c r="C64" s="119" t="s">
        <v>777</v>
      </c>
      <c r="D64" s="121" t="s">
        <v>717</v>
      </c>
      <c r="E64" s="32"/>
      <c r="F64" s="159" t="s">
        <v>811</v>
      </c>
      <c r="G64" s="15" t="s">
        <v>154</v>
      </c>
      <c r="H64" s="32"/>
      <c r="I64" s="32"/>
    </row>
    <row r="65" spans="1:9" ht="13.5" thickBot="1" x14ac:dyDescent="0.25">
      <c r="A65" s="168" t="s">
        <v>63</v>
      </c>
      <c r="B65" s="159" t="s">
        <v>811</v>
      </c>
      <c r="C65" s="119" t="s">
        <v>778</v>
      </c>
      <c r="D65" s="121" t="s">
        <v>723</v>
      </c>
      <c r="E65" s="15"/>
      <c r="F65" s="159" t="s">
        <v>811</v>
      </c>
      <c r="G65" s="15" t="s">
        <v>154</v>
      </c>
      <c r="H65" s="32"/>
      <c r="I65" s="32"/>
    </row>
    <row r="66" spans="1:9" ht="13.5" thickBot="1" x14ac:dyDescent="0.25">
      <c r="A66" s="168" t="s">
        <v>64</v>
      </c>
      <c r="B66" s="158" t="s">
        <v>821</v>
      </c>
      <c r="C66" s="119" t="s">
        <v>779</v>
      </c>
      <c r="D66" s="121" t="s">
        <v>717</v>
      </c>
      <c r="E66" s="32"/>
      <c r="F66" s="158" t="s">
        <v>821</v>
      </c>
      <c r="G66" s="15" t="s">
        <v>154</v>
      </c>
      <c r="H66" s="32"/>
      <c r="I66" s="32"/>
    </row>
    <row r="67" spans="1:9" ht="13.5" thickBot="1" x14ac:dyDescent="0.25">
      <c r="A67" s="168" t="s">
        <v>65</v>
      </c>
      <c r="B67" s="158" t="s">
        <v>821</v>
      </c>
      <c r="C67" s="119" t="s">
        <v>780</v>
      </c>
      <c r="D67" s="121" t="s">
        <v>717</v>
      </c>
      <c r="E67" s="15"/>
      <c r="F67" s="158" t="s">
        <v>821</v>
      </c>
      <c r="G67" s="15" t="s">
        <v>154</v>
      </c>
      <c r="H67" s="32"/>
      <c r="I67" s="32"/>
    </row>
    <row r="68" spans="1:9" ht="13.5" thickBot="1" x14ac:dyDescent="0.25">
      <c r="A68" s="168" t="s">
        <v>66</v>
      </c>
      <c r="B68" s="159" t="s">
        <v>811</v>
      </c>
      <c r="C68" s="119" t="s">
        <v>562</v>
      </c>
      <c r="D68" s="121" t="s">
        <v>717</v>
      </c>
      <c r="E68" s="32"/>
      <c r="F68" s="159" t="s">
        <v>811</v>
      </c>
      <c r="G68" s="15" t="s">
        <v>154</v>
      </c>
      <c r="H68" s="32"/>
      <c r="I68" s="32"/>
    </row>
    <row r="69" spans="1:9" ht="13.5" thickBot="1" x14ac:dyDescent="0.25">
      <c r="A69" s="168" t="s">
        <v>67</v>
      </c>
      <c r="B69" s="158" t="s">
        <v>821</v>
      </c>
      <c r="C69" s="119" t="s">
        <v>781</v>
      </c>
      <c r="D69" s="121" t="s">
        <v>717</v>
      </c>
      <c r="E69" s="32"/>
      <c r="F69" s="158" t="s">
        <v>821</v>
      </c>
      <c r="G69" s="15" t="s">
        <v>154</v>
      </c>
      <c r="H69" s="32"/>
      <c r="I69" s="32"/>
    </row>
    <row r="70" spans="1:9" ht="13.5" thickBot="1" x14ac:dyDescent="0.25">
      <c r="A70" s="168" t="s">
        <v>68</v>
      </c>
      <c r="B70" s="161" t="s">
        <v>820</v>
      </c>
      <c r="C70" s="119" t="s">
        <v>782</v>
      </c>
      <c r="D70" s="121" t="s">
        <v>717</v>
      </c>
      <c r="E70" s="32"/>
      <c r="F70" s="161" t="s">
        <v>820</v>
      </c>
      <c r="G70" s="15" t="s">
        <v>154</v>
      </c>
      <c r="H70" s="32"/>
      <c r="I70" s="32"/>
    </row>
    <row r="71" spans="1:9" ht="13.5" thickBot="1" x14ac:dyDescent="0.25">
      <c r="A71" s="168" t="s">
        <v>70</v>
      </c>
      <c r="B71" s="161" t="s">
        <v>820</v>
      </c>
      <c r="C71" s="119" t="s">
        <v>783</v>
      </c>
      <c r="D71" s="121" t="s">
        <v>717</v>
      </c>
      <c r="E71" s="32"/>
      <c r="F71" s="161" t="s">
        <v>820</v>
      </c>
      <c r="G71" s="178">
        <v>75672168</v>
      </c>
      <c r="H71" s="32"/>
      <c r="I71" s="32"/>
    </row>
    <row r="72" spans="1:9" ht="13.5" thickBot="1" x14ac:dyDescent="0.25">
      <c r="A72" s="168" t="s">
        <v>71</v>
      </c>
      <c r="B72" s="159" t="s">
        <v>811</v>
      </c>
      <c r="C72" s="119" t="s">
        <v>784</v>
      </c>
      <c r="D72" s="121" t="s">
        <v>717</v>
      </c>
      <c r="E72" s="32"/>
      <c r="F72" s="159" t="s">
        <v>811</v>
      </c>
      <c r="G72" s="15" t="s">
        <v>154</v>
      </c>
      <c r="H72" s="32"/>
      <c r="I72" s="32"/>
    </row>
    <row r="73" spans="1:9" ht="13.5" thickBot="1" x14ac:dyDescent="0.25">
      <c r="A73" s="168" t="s">
        <v>72</v>
      </c>
      <c r="B73" s="161" t="s">
        <v>820</v>
      </c>
      <c r="C73" s="119" t="s">
        <v>583</v>
      </c>
      <c r="D73" s="121" t="s">
        <v>717</v>
      </c>
      <c r="E73" s="32"/>
      <c r="F73" s="161" t="s">
        <v>820</v>
      </c>
      <c r="G73" s="178">
        <v>508842040</v>
      </c>
      <c r="H73" s="32"/>
      <c r="I73" s="32"/>
    </row>
    <row r="74" spans="1:9" ht="13.5" thickBot="1" x14ac:dyDescent="0.25">
      <c r="A74" s="168" t="s">
        <v>69</v>
      </c>
      <c r="B74" s="161" t="s">
        <v>820</v>
      </c>
      <c r="C74" s="119" t="s">
        <v>713</v>
      </c>
      <c r="D74" s="121" t="s">
        <v>717</v>
      </c>
      <c r="E74" s="32"/>
      <c r="F74" s="161" t="s">
        <v>820</v>
      </c>
      <c r="G74" s="178">
        <v>525614210</v>
      </c>
      <c r="H74" s="32"/>
      <c r="I74" s="32"/>
    </row>
    <row r="75" spans="1:9" ht="13.5" thickBot="1" x14ac:dyDescent="0.25">
      <c r="A75" s="168" t="s">
        <v>73</v>
      </c>
      <c r="B75" s="158" t="s">
        <v>821</v>
      </c>
      <c r="C75" s="119" t="s">
        <v>785</v>
      </c>
      <c r="D75" s="121" t="s">
        <v>717</v>
      </c>
      <c r="E75" s="32"/>
      <c r="F75" s="158" t="s">
        <v>821</v>
      </c>
      <c r="G75" s="15" t="s">
        <v>154</v>
      </c>
      <c r="H75" s="32"/>
      <c r="I75" s="32"/>
    </row>
    <row r="76" spans="1:9" ht="13.5" thickBot="1" x14ac:dyDescent="0.25">
      <c r="A76" s="168" t="s">
        <v>74</v>
      </c>
      <c r="B76" s="158" t="s">
        <v>821</v>
      </c>
      <c r="C76" s="119" t="s">
        <v>786</v>
      </c>
      <c r="D76" s="121" t="s">
        <v>717</v>
      </c>
      <c r="E76" s="32"/>
      <c r="F76" s="158" t="s">
        <v>821</v>
      </c>
      <c r="G76" s="15" t="s">
        <v>154</v>
      </c>
      <c r="H76" s="32"/>
      <c r="I76" s="32"/>
    </row>
    <row r="77" spans="1:9" ht="13.5" thickBot="1" x14ac:dyDescent="0.25">
      <c r="A77" s="168" t="s">
        <v>75</v>
      </c>
      <c r="B77" s="159" t="s">
        <v>811</v>
      </c>
      <c r="C77" s="119" t="s">
        <v>787</v>
      </c>
      <c r="D77" s="121" t="s">
        <v>717</v>
      </c>
      <c r="E77" s="32"/>
      <c r="F77" s="159" t="s">
        <v>811</v>
      </c>
      <c r="G77" s="15" t="s">
        <v>154</v>
      </c>
      <c r="H77" s="32"/>
      <c r="I77" s="32"/>
    </row>
    <row r="78" spans="1:9" ht="13.5" thickBot="1" x14ac:dyDescent="0.25">
      <c r="A78" s="168" t="s">
        <v>76</v>
      </c>
      <c r="B78" s="158" t="s">
        <v>821</v>
      </c>
      <c r="C78" s="119" t="s">
        <v>788</v>
      </c>
      <c r="D78" s="121" t="s">
        <v>717</v>
      </c>
      <c r="E78" s="32"/>
      <c r="F78" s="158" t="s">
        <v>821</v>
      </c>
      <c r="G78" s="15" t="s">
        <v>154</v>
      </c>
      <c r="H78" s="32"/>
      <c r="I78" s="32"/>
    </row>
    <row r="79" spans="1:9" ht="12.75" x14ac:dyDescent="0.2">
      <c r="A79" s="168" t="s">
        <v>77</v>
      </c>
      <c r="B79" s="158" t="s">
        <v>821</v>
      </c>
      <c r="C79" s="122"/>
      <c r="D79" s="122"/>
      <c r="E79" s="15"/>
      <c r="F79" s="158" t="s">
        <v>821</v>
      </c>
      <c r="G79" s="15" t="s">
        <v>154</v>
      </c>
      <c r="H79" s="33"/>
      <c r="I79" s="33"/>
    </row>
    <row r="80" spans="1:9" x14ac:dyDescent="0.2">
      <c r="A80" s="44" t="s">
        <v>255</v>
      </c>
      <c r="B80" s="44">
        <f>COUNTIF(Table11[Tracked by financing source (Yes/No)], "Yes")</f>
        <v>29</v>
      </c>
      <c r="C80" s="19"/>
      <c r="D80" s="19"/>
      <c r="E80" s="19"/>
      <c r="F80" s="44">
        <f>COUNTIF(F5:F79, "Yes")</f>
        <v>29</v>
      </c>
      <c r="G80" s="19"/>
      <c r="H80" s="19"/>
      <c r="I80" s="19"/>
    </row>
    <row r="81" spans="1:9" x14ac:dyDescent="0.2">
      <c r="A81" s="44" t="s">
        <v>256</v>
      </c>
      <c r="B81" s="44">
        <f>COUNTIF(Table11[Tracked by financing source (Yes/No)], "No")</f>
        <v>22</v>
      </c>
      <c r="C81" s="19"/>
      <c r="D81" s="19"/>
      <c r="E81" s="19"/>
      <c r="F81" s="44">
        <f>COUNTIF(F5:F79, "No")</f>
        <v>22</v>
      </c>
      <c r="G81" s="19"/>
      <c r="H81" s="19"/>
      <c r="I81" s="19"/>
    </row>
    <row r="82" spans="1:9" x14ac:dyDescent="0.2">
      <c r="A82" s="44" t="s">
        <v>257</v>
      </c>
      <c r="B82" s="44">
        <f>COUNTIF(Table11[Tracked by financing source (Yes/No)], "No data")</f>
        <v>0</v>
      </c>
      <c r="C82" s="19"/>
      <c r="D82" s="19"/>
      <c r="E82" s="19"/>
      <c r="F82" s="44">
        <f>COUNTIF(F5:F79, "No data")</f>
        <v>0</v>
      </c>
      <c r="G82" s="19"/>
      <c r="H82" s="19"/>
      <c r="I82" s="19"/>
    </row>
  </sheetData>
  <mergeCells count="3">
    <mergeCell ref="A1:D1"/>
    <mergeCell ref="C3:E3"/>
    <mergeCell ref="G3:I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demographic RH &amp; HS data</vt:lpstr>
      <vt:lpstr>demographic data charts</vt:lpstr>
      <vt:lpstr>Coverage indicators &amp; quintiles</vt:lpstr>
      <vt:lpstr>Vital events</vt:lpstr>
      <vt:lpstr>Health indicators (impact)</vt:lpstr>
      <vt:lpstr>Health indicators (coverage)</vt:lpstr>
      <vt:lpstr>Innovation &amp; eHealth</vt:lpstr>
      <vt:lpstr>Country Compacts</vt:lpstr>
      <vt:lpstr>Resource tracking</vt:lpstr>
      <vt:lpstr>Reaching Women &amp; children</vt:lpstr>
      <vt:lpstr>National oversight</vt:lpstr>
      <vt:lpstr>Transparency</vt:lpstr>
      <vt:lpstr>1.1 (2)</vt:lpstr>
      <vt:lpstr>1.2DeathRegistration</vt:lpstr>
      <vt:lpstr>1.3MaternalDeathReviews (2)</vt:lpstr>
      <vt:lpstr>1.7CRVSimprovement (2)</vt:lpstr>
      <vt:lpstr>3.1 eHealth strategy (2)</vt:lpstr>
      <vt:lpstr>5.1 Financial reporting sys (2</vt:lpstr>
      <vt:lpstr>4.1 Total Health Expenditur (2</vt:lpstr>
      <vt:lpstr>4.3 RMNCH expenditure (2)</vt:lpstr>
      <vt:lpstr>7.1 Reviews of performance (2)</vt:lpstr>
      <vt:lpstr>8.1 Performance report publ (2</vt:lpstr>
      <vt:lpstr>'1.1 (2)'!Print_Titles</vt:lpstr>
      <vt:lpstr>'1.2DeathRegistration'!Print_Titles</vt:lpstr>
      <vt:lpstr>'1.3MaternalDeathReviews (2)'!Print_Titles</vt:lpstr>
      <vt:lpstr>'1.7CRVSimprovement (2)'!Print_Titles</vt:lpstr>
      <vt:lpstr>'3.1 eHealth strategy (2)'!Print_Titles</vt:lpstr>
      <vt:lpstr>'4.1 Total Health Expenditur (2'!Print_Titles</vt:lpstr>
      <vt:lpstr>'4.3 RMNCH expenditure (2)'!Print_Titles</vt:lpstr>
      <vt:lpstr>'5.1 Financial reporting sys (2'!Print_Titles</vt:lpstr>
      <vt:lpstr>'7.1 Reviews of performance (2)'!Print_Titles</vt:lpstr>
      <vt:lpstr>'8.1 Performance report publ (2'!Print_Titles</vt:lpstr>
      <vt:lpstr>'Country Compacts'!Print_Titles</vt:lpstr>
      <vt:lpstr>'Coverage indicators &amp; quintiles'!Print_Titles</vt:lpstr>
      <vt:lpstr>'demographic data charts'!Print_Titles</vt:lpstr>
      <vt:lpstr>'Health indicators (coverage)'!Print_Titles</vt:lpstr>
      <vt:lpstr>'Health indicators (impact)'!Print_Titles</vt:lpstr>
      <vt:lpstr>'Innovation &amp; eHealth'!Print_Titles</vt:lpstr>
      <vt:lpstr>'National oversight'!Print_Titles</vt:lpstr>
      <vt:lpstr>'Reaching Women &amp; children'!Print_Titles</vt:lpstr>
      <vt:lpstr>'Resource tracking'!Print_Titles</vt:lpstr>
      <vt:lpstr>Transparency!Print_Titles</vt:lpstr>
      <vt:lpstr>'Vital events'!Print_Titles</vt:lpstr>
    </vt:vector>
  </TitlesOfParts>
  <Company>WHO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SHEFFEL, Ashley</dc:creator>
  <cp:lastModifiedBy>Tim Shorten</cp:lastModifiedBy>
  <cp:lastPrinted>2012-06-11T14:28:31Z</cp:lastPrinted>
  <dcterms:created xsi:type="dcterms:W3CDTF">2012-04-24T09:30:20Z</dcterms:created>
  <dcterms:modified xsi:type="dcterms:W3CDTF">2015-06-06T23:43:07Z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-206154731</vt:i4>
  </property>
  <property fmtid="{D5CDD505-2E9C-101B-9397-08002B2CF9AE}" pid="3" name="_NewReviewCycle">
    <vt:lpwstr/>
  </property>
  <property fmtid="{D5CDD505-2E9C-101B-9397-08002B2CF9AE}" pid="4" name="_EmailSubject">
    <vt:lpwstr>Update &amp; Initial Feedback about the iERG Monitoring Framework Outputs</vt:lpwstr>
  </property>
  <property fmtid="{D5CDD505-2E9C-101B-9397-08002B2CF9AE}" pid="5" name="_AuthorEmail">
    <vt:lpwstr>oneillk@who.int</vt:lpwstr>
  </property>
  <property fmtid="{D5CDD505-2E9C-101B-9397-08002B2CF9AE}" pid="6" name="_AuthorEmailDisplayName">
    <vt:lpwstr>O'NEILL, Kathryn Patricia</vt:lpwstr>
  </property>
  <property fmtid="{D5CDD505-2E9C-101B-9397-08002B2CF9AE}" pid="7" name="_ReviewingToolsShownOnce">
    <vt:lpwstr/>
  </property>
</Properties>
</file>