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kademik ITB\Semester 7\PSA\"/>
    </mc:Choice>
  </mc:AlternateContent>
  <xr:revisionPtr revIDLastSave="0" documentId="8_{F3CD2A74-2FB8-4E27-8063-588B9591E7B3}" xr6:coauthVersionLast="47" xr6:coauthVersionMax="47" xr10:uidLastSave="{00000000-0000-0000-0000-000000000000}"/>
  <bookViews>
    <workbookView xWindow="-108" yWindow="-108" windowWidth="23256" windowHeight="12720" firstSheet="3" activeTab="3" xr2:uid="{E68F3D4B-CD4B-46F1-BD0F-11943EB3F31A}"/>
  </bookViews>
  <sheets>
    <sheet name="Profitability" sheetId="2" r:id="rId1"/>
    <sheet name="Parking &amp; Landing Fee" sheetId="3" r:id="rId2"/>
    <sheet name="Summary" sheetId="14" r:id="rId3"/>
    <sheet name="Summary RP" sheetId="15" r:id="rId4"/>
    <sheet name="Year1" sheetId="1" r:id="rId5"/>
    <sheet name="Year2" sheetId="5" r:id="rId6"/>
    <sheet name="Year3" sheetId="6" r:id="rId7"/>
    <sheet name="Year4" sheetId="7" r:id="rId8"/>
    <sheet name="Year5" sheetId="8" r:id="rId9"/>
    <sheet name="Year6" sheetId="9" r:id="rId10"/>
    <sheet name="Year7" sheetId="10" r:id="rId11"/>
    <sheet name="Year8" sheetId="11" r:id="rId12"/>
    <sheet name="Year9" sheetId="12" r:id="rId13"/>
    <sheet name="Year10" sheetId="13" r:id="rId14"/>
    <sheet name="Accomodations" sheetId="16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2" hidden="1">Summary!$B$23:$D$26</definedName>
    <definedName name="_xlnm._FilterDatabase" localSheetId="13" hidden="1">Year10!$AC$19:$AE$26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2" i="13" l="1"/>
  <c r="AD21" i="13"/>
  <c r="B90" i="13"/>
  <c r="B89" i="13"/>
  <c r="B88" i="13"/>
  <c r="B86" i="13"/>
  <c r="B84" i="13"/>
  <c r="B80" i="13"/>
  <c r="B65" i="13"/>
  <c r="J31" i="13" s="1"/>
  <c r="B64" i="13"/>
  <c r="O30" i="13" s="1"/>
  <c r="B62" i="13"/>
  <c r="B58" i="13"/>
  <c r="B34" i="13"/>
  <c r="B33" i="13"/>
  <c r="U31" i="13"/>
  <c r="L30" i="13"/>
  <c r="K30" i="13"/>
  <c r="G30" i="13"/>
  <c r="F30" i="13"/>
  <c r="B30" i="13"/>
  <c r="B29" i="13"/>
  <c r="B28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P23" i="13"/>
  <c r="K23" i="13"/>
  <c r="J23" i="13"/>
  <c r="I23" i="13"/>
  <c r="H23" i="13"/>
  <c r="F23" i="13"/>
  <c r="B23" i="13"/>
  <c r="B20" i="13"/>
  <c r="L23" i="13" s="1"/>
  <c r="B19" i="13"/>
  <c r="E11" i="13" a="1"/>
  <c r="R22" i="13" s="1"/>
  <c r="E10" i="13" a="1"/>
  <c r="E10" i="13" s="1"/>
  <c r="E8" i="13" a="1"/>
  <c r="B2" i="13"/>
  <c r="B1" i="13"/>
  <c r="B91" i="12"/>
  <c r="B90" i="12"/>
  <c r="B89" i="12"/>
  <c r="B87" i="12"/>
  <c r="B85" i="12"/>
  <c r="B81" i="12"/>
  <c r="B66" i="12"/>
  <c r="J32" i="12" s="1"/>
  <c r="B65" i="12"/>
  <c r="O31" i="12" s="1"/>
  <c r="B63" i="12"/>
  <c r="B59" i="12"/>
  <c r="B34" i="12"/>
  <c r="U32" i="12"/>
  <c r="T32" i="12"/>
  <c r="S32" i="12"/>
  <c r="R32" i="12"/>
  <c r="P32" i="12"/>
  <c r="O32" i="12"/>
  <c r="N32" i="12"/>
  <c r="M32" i="12"/>
  <c r="L32" i="12"/>
  <c r="K32" i="12"/>
  <c r="I32" i="12"/>
  <c r="H32" i="12"/>
  <c r="G32" i="12"/>
  <c r="F32" i="12"/>
  <c r="U31" i="12"/>
  <c r="T31" i="12"/>
  <c r="S31" i="12"/>
  <c r="R31" i="12"/>
  <c r="Q31" i="12"/>
  <c r="P31" i="12"/>
  <c r="N31" i="12"/>
  <c r="M31" i="12"/>
  <c r="L31" i="12"/>
  <c r="K31" i="12"/>
  <c r="I31" i="12"/>
  <c r="H31" i="12"/>
  <c r="G31" i="12"/>
  <c r="F31" i="12"/>
  <c r="E31" i="12"/>
  <c r="B31" i="12"/>
  <c r="B30" i="12"/>
  <c r="B29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U23" i="12"/>
  <c r="T23" i="12"/>
  <c r="R23" i="12"/>
  <c r="Q23" i="12"/>
  <c r="P23" i="12"/>
  <c r="O23" i="12"/>
  <c r="N23" i="12"/>
  <c r="M23" i="12"/>
  <c r="K23" i="12"/>
  <c r="J23" i="12"/>
  <c r="I23" i="12"/>
  <c r="H23" i="12"/>
  <c r="F23" i="12"/>
  <c r="E23" i="12"/>
  <c r="B23" i="12"/>
  <c r="B20" i="12"/>
  <c r="L23" i="12" s="1"/>
  <c r="B19" i="12"/>
  <c r="E11" i="12" a="1"/>
  <c r="R22" i="12" s="1"/>
  <c r="E10" i="12" a="1"/>
  <c r="G21" i="12" s="1"/>
  <c r="E8" i="12" a="1"/>
  <c r="B2" i="12"/>
  <c r="B1" i="12"/>
  <c r="B91" i="11"/>
  <c r="B90" i="11"/>
  <c r="B89" i="11"/>
  <c r="B87" i="11"/>
  <c r="B85" i="11"/>
  <c r="B81" i="11"/>
  <c r="B66" i="11"/>
  <c r="B65" i="11"/>
  <c r="B63" i="11"/>
  <c r="B59" i="11"/>
  <c r="B35" i="11"/>
  <c r="B34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B31" i="11"/>
  <c r="B30" i="11"/>
  <c r="B29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U23" i="11"/>
  <c r="T23" i="11"/>
  <c r="S23" i="11"/>
  <c r="R23" i="11"/>
  <c r="Q23" i="11"/>
  <c r="O23" i="11"/>
  <c r="N23" i="11"/>
  <c r="M23" i="11"/>
  <c r="K23" i="11"/>
  <c r="J23" i="11"/>
  <c r="I23" i="11"/>
  <c r="H23" i="11"/>
  <c r="G23" i="11"/>
  <c r="F23" i="11"/>
  <c r="E23" i="11"/>
  <c r="B23" i="11"/>
  <c r="B20" i="11"/>
  <c r="L23" i="11" s="1"/>
  <c r="B19" i="11"/>
  <c r="E11" i="11" a="1"/>
  <c r="E10" i="11" a="1"/>
  <c r="L21" i="11" s="1"/>
  <c r="E8" i="11" a="1"/>
  <c r="B2" i="11"/>
  <c r="B1" i="11"/>
  <c r="B91" i="10"/>
  <c r="B90" i="10"/>
  <c r="B89" i="10"/>
  <c r="B87" i="10"/>
  <c r="B85" i="10"/>
  <c r="B81" i="10"/>
  <c r="B66" i="10"/>
  <c r="B65" i="10"/>
  <c r="B63" i="10"/>
  <c r="B59" i="10"/>
  <c r="B35" i="10"/>
  <c r="B34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B31" i="10"/>
  <c r="B30" i="10"/>
  <c r="B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T23" i="10"/>
  <c r="S23" i="10"/>
  <c r="R23" i="10"/>
  <c r="Q23" i="10"/>
  <c r="P23" i="10"/>
  <c r="O23" i="10"/>
  <c r="N23" i="10"/>
  <c r="M23" i="10"/>
  <c r="K23" i="10"/>
  <c r="H23" i="10"/>
  <c r="G23" i="10"/>
  <c r="F23" i="10"/>
  <c r="E23" i="10"/>
  <c r="B23" i="10"/>
  <c r="B20" i="10"/>
  <c r="L23" i="10" s="1"/>
  <c r="B19" i="10"/>
  <c r="E11" i="10" a="1"/>
  <c r="E10" i="10" a="1"/>
  <c r="E8" i="10" a="1"/>
  <c r="B2" i="10"/>
  <c r="B1" i="10"/>
  <c r="B91" i="9"/>
  <c r="B90" i="9"/>
  <c r="B89" i="9"/>
  <c r="B87" i="9"/>
  <c r="B85" i="9"/>
  <c r="B81" i="9"/>
  <c r="B66" i="9"/>
  <c r="B65" i="9"/>
  <c r="O31" i="9" s="1"/>
  <c r="B63" i="9"/>
  <c r="B59" i="9"/>
  <c r="B35" i="9"/>
  <c r="B34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U31" i="9"/>
  <c r="R31" i="9"/>
  <c r="P31" i="9"/>
  <c r="N31" i="9"/>
  <c r="M31" i="9"/>
  <c r="K31" i="9"/>
  <c r="I31" i="9"/>
  <c r="F31" i="9"/>
  <c r="B31" i="9"/>
  <c r="B30" i="9"/>
  <c r="B29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T23" i="9"/>
  <c r="R23" i="9"/>
  <c r="O23" i="9"/>
  <c r="M23" i="9"/>
  <c r="K23" i="9"/>
  <c r="J23" i="9"/>
  <c r="H23" i="9"/>
  <c r="F23" i="9"/>
  <c r="B23" i="9"/>
  <c r="B20" i="9"/>
  <c r="L23" i="9" s="1"/>
  <c r="B19" i="9"/>
  <c r="E11" i="9" a="1"/>
  <c r="E10" i="9" a="1"/>
  <c r="E8" i="9" a="1"/>
  <c r="B2" i="9"/>
  <c r="B1" i="9"/>
  <c r="B91" i="8"/>
  <c r="B90" i="8"/>
  <c r="B89" i="8"/>
  <c r="B87" i="8"/>
  <c r="B85" i="8"/>
  <c r="B81" i="8"/>
  <c r="B66" i="8"/>
  <c r="J32" i="8" s="1"/>
  <c r="B65" i="8"/>
  <c r="B63" i="8"/>
  <c r="B59" i="8"/>
  <c r="B35" i="8"/>
  <c r="B34" i="8"/>
  <c r="U32" i="8"/>
  <c r="T32" i="8"/>
  <c r="S32" i="8"/>
  <c r="P32" i="8"/>
  <c r="N32" i="8"/>
  <c r="L32" i="8"/>
  <c r="K32" i="8"/>
  <c r="I32" i="8"/>
  <c r="H32" i="8"/>
  <c r="G32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B31" i="8"/>
  <c r="B30" i="8"/>
  <c r="B2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U23" i="8"/>
  <c r="T23" i="8"/>
  <c r="R23" i="8"/>
  <c r="P23" i="8"/>
  <c r="N23" i="8"/>
  <c r="M23" i="8"/>
  <c r="K23" i="8"/>
  <c r="J23" i="8"/>
  <c r="I23" i="8"/>
  <c r="H23" i="8"/>
  <c r="F23" i="8"/>
  <c r="B23" i="8"/>
  <c r="B20" i="8"/>
  <c r="L23" i="8" s="1"/>
  <c r="B19" i="8"/>
  <c r="E11" i="8" a="1"/>
  <c r="M22" i="8" s="1"/>
  <c r="E10" i="8" a="1"/>
  <c r="E8" i="8" a="1"/>
  <c r="B2" i="8"/>
  <c r="B1" i="8"/>
  <c r="E11" i="7" a="1"/>
  <c r="E11" i="7" s="1"/>
  <c r="E10" i="7" a="1"/>
  <c r="E10" i="7" s="1"/>
  <c r="E8" i="7" a="1"/>
  <c r="E8" i="7" s="1"/>
  <c r="E11" i="6" a="1"/>
  <c r="E11" i="6" s="1"/>
  <c r="E22" i="6" s="1"/>
  <c r="E10" i="6" a="1"/>
  <c r="E10" i="6" s="1"/>
  <c r="E8" i="6" a="1"/>
  <c r="E8" i="6" s="1"/>
  <c r="B91" i="5"/>
  <c r="B90" i="5"/>
  <c r="B89" i="5"/>
  <c r="B87" i="5"/>
  <c r="B85" i="5"/>
  <c r="B81" i="5"/>
  <c r="B66" i="5"/>
  <c r="F32" i="5" s="1"/>
  <c r="B65" i="5"/>
  <c r="L31" i="5" s="1"/>
  <c r="B63" i="5"/>
  <c r="B59" i="5"/>
  <c r="B35" i="5"/>
  <c r="B34" i="5"/>
  <c r="L32" i="5"/>
  <c r="J32" i="5"/>
  <c r="I32" i="5"/>
  <c r="G32" i="5"/>
  <c r="E32" i="5"/>
  <c r="M31" i="5"/>
  <c r="I31" i="5"/>
  <c r="F31" i="5"/>
  <c r="B31" i="5"/>
  <c r="B30" i="5"/>
  <c r="B29" i="5"/>
  <c r="M28" i="5"/>
  <c r="L28" i="5"/>
  <c r="K28" i="5"/>
  <c r="J28" i="5"/>
  <c r="I28" i="5"/>
  <c r="H28" i="5"/>
  <c r="G28" i="5"/>
  <c r="F28" i="5"/>
  <c r="E28" i="5"/>
  <c r="M25" i="5"/>
  <c r="L25" i="5"/>
  <c r="K25" i="5"/>
  <c r="J25" i="5"/>
  <c r="I25" i="5"/>
  <c r="H25" i="5"/>
  <c r="G25" i="5"/>
  <c r="F25" i="5"/>
  <c r="E25" i="5"/>
  <c r="M23" i="5"/>
  <c r="K23" i="5"/>
  <c r="J23" i="5"/>
  <c r="I23" i="5"/>
  <c r="H23" i="5"/>
  <c r="F23" i="5"/>
  <c r="B23" i="5"/>
  <c r="B20" i="5"/>
  <c r="L23" i="5" s="1"/>
  <c r="B19" i="5"/>
  <c r="E11" i="5" a="1"/>
  <c r="J22" i="5" s="1"/>
  <c r="E10" i="5" a="1"/>
  <c r="G21" i="5" s="1"/>
  <c r="E8" i="5" a="1"/>
  <c r="B2" i="5"/>
  <c r="B1" i="5"/>
  <c r="E8" i="1" a="1"/>
  <c r="E8" i="1" s="1"/>
  <c r="E11" i="1" a="1"/>
  <c r="E11" i="1" s="1"/>
  <c r="E10" i="1" a="1"/>
  <c r="O28" i="7"/>
  <c r="AD46" i="3" a="1"/>
  <c r="AD46" i="3" s="1"/>
  <c r="AN25" i="3"/>
  <c r="AM25" i="3"/>
  <c r="B91" i="7"/>
  <c r="B90" i="7"/>
  <c r="B89" i="7"/>
  <c r="B87" i="7"/>
  <c r="B85" i="7"/>
  <c r="B81" i="7"/>
  <c r="B66" i="7"/>
  <c r="B65" i="7"/>
  <c r="T31" i="7" s="1"/>
  <c r="B63" i="7"/>
  <c r="B59" i="7"/>
  <c r="O20" i="7" s="1"/>
  <c r="B35" i="7"/>
  <c r="B34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U31" i="7"/>
  <c r="R31" i="7"/>
  <c r="P31" i="7"/>
  <c r="O31" i="7"/>
  <c r="N31" i="7"/>
  <c r="M31" i="7"/>
  <c r="L31" i="7"/>
  <c r="K31" i="7"/>
  <c r="J31" i="7"/>
  <c r="I31" i="7"/>
  <c r="F31" i="7"/>
  <c r="B31" i="7"/>
  <c r="B30" i="7"/>
  <c r="B29" i="7"/>
  <c r="U28" i="7"/>
  <c r="Q28" i="7"/>
  <c r="L28" i="7"/>
  <c r="J28" i="7"/>
  <c r="F28" i="7"/>
  <c r="T23" i="7"/>
  <c r="S23" i="7"/>
  <c r="R23" i="7"/>
  <c r="M23" i="7"/>
  <c r="K23" i="7"/>
  <c r="J23" i="7"/>
  <c r="H23" i="7"/>
  <c r="G23" i="7"/>
  <c r="F23" i="7"/>
  <c r="B23" i="7"/>
  <c r="S22" i="7"/>
  <c r="Q22" i="7"/>
  <c r="L22" i="7"/>
  <c r="G22" i="7"/>
  <c r="R21" i="7"/>
  <c r="L21" i="7"/>
  <c r="J21" i="7"/>
  <c r="B20" i="7"/>
  <c r="L23" i="7" s="1"/>
  <c r="B19" i="7"/>
  <c r="K22" i="7"/>
  <c r="B2" i="7"/>
  <c r="B1" i="7"/>
  <c r="B91" i="6"/>
  <c r="B90" i="6"/>
  <c r="B89" i="6"/>
  <c r="B87" i="6"/>
  <c r="B85" i="6"/>
  <c r="B81" i="6"/>
  <c r="B66" i="6"/>
  <c r="B65" i="6"/>
  <c r="O31" i="6" s="1"/>
  <c r="B63" i="6"/>
  <c r="B59" i="6"/>
  <c r="B35" i="6"/>
  <c r="B34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P31" i="6"/>
  <c r="B31" i="6"/>
  <c r="B30" i="6"/>
  <c r="B29" i="6"/>
  <c r="Q28" i="6"/>
  <c r="L28" i="6"/>
  <c r="J28" i="6"/>
  <c r="H28" i="6"/>
  <c r="F28" i="6"/>
  <c r="O23" i="6"/>
  <c r="M23" i="6"/>
  <c r="K23" i="6"/>
  <c r="F23" i="6"/>
  <c r="B23" i="6"/>
  <c r="B20" i="6"/>
  <c r="L23" i="6" s="1"/>
  <c r="B19" i="6"/>
  <c r="B2" i="6"/>
  <c r="B1" i="6"/>
  <c r="G31" i="1"/>
  <c r="L28" i="1"/>
  <c r="J28" i="1"/>
  <c r="H28" i="1"/>
  <c r="F28" i="1"/>
  <c r="J62" i="3"/>
  <c r="I62" i="3"/>
  <c r="H62" i="3"/>
  <c r="G62" i="3"/>
  <c r="F62" i="3"/>
  <c r="J61" i="3"/>
  <c r="I61" i="3"/>
  <c r="H61" i="3"/>
  <c r="G61" i="3"/>
  <c r="F61" i="3"/>
  <c r="J60" i="3"/>
  <c r="I60" i="3"/>
  <c r="H60" i="3"/>
  <c r="G60" i="3"/>
  <c r="F60" i="3"/>
  <c r="J59" i="3"/>
  <c r="I59" i="3"/>
  <c r="H59" i="3"/>
  <c r="G59" i="3"/>
  <c r="F59" i="3"/>
  <c r="J58" i="3"/>
  <c r="I58" i="3"/>
  <c r="H58" i="3"/>
  <c r="G58" i="3"/>
  <c r="F58" i="3"/>
  <c r="J57" i="3"/>
  <c r="I57" i="3"/>
  <c r="H57" i="3"/>
  <c r="G57" i="3"/>
  <c r="F57" i="3"/>
  <c r="J56" i="3"/>
  <c r="I56" i="3"/>
  <c r="H56" i="3"/>
  <c r="G56" i="3"/>
  <c r="F56" i="3"/>
  <c r="J55" i="3"/>
  <c r="I55" i="3"/>
  <c r="H55" i="3"/>
  <c r="G55" i="3"/>
  <c r="F55" i="3"/>
  <c r="J54" i="3"/>
  <c r="I54" i="3"/>
  <c r="H54" i="3"/>
  <c r="G54" i="3"/>
  <c r="F54" i="3"/>
  <c r="J53" i="3"/>
  <c r="I53" i="3"/>
  <c r="H53" i="3"/>
  <c r="G53" i="3"/>
  <c r="F53" i="3"/>
  <c r="J52" i="3"/>
  <c r="I52" i="3"/>
  <c r="H52" i="3"/>
  <c r="G52" i="3"/>
  <c r="F52" i="3"/>
  <c r="J51" i="3"/>
  <c r="I51" i="3"/>
  <c r="H51" i="3"/>
  <c r="G51" i="3"/>
  <c r="F51" i="3"/>
  <c r="J50" i="3"/>
  <c r="I50" i="3"/>
  <c r="H50" i="3"/>
  <c r="G50" i="3"/>
  <c r="F50" i="3"/>
  <c r="J49" i="3"/>
  <c r="I49" i="3"/>
  <c r="H49" i="3"/>
  <c r="G49" i="3"/>
  <c r="F49" i="3"/>
  <c r="J48" i="3"/>
  <c r="I48" i="3"/>
  <c r="H48" i="3"/>
  <c r="G48" i="3"/>
  <c r="F48" i="3"/>
  <c r="J47" i="3"/>
  <c r="I47" i="3"/>
  <c r="H47" i="3"/>
  <c r="G47" i="3"/>
  <c r="F47" i="3"/>
  <c r="C41" i="3"/>
  <c r="C40" i="3"/>
  <c r="C39" i="3"/>
  <c r="C38" i="3"/>
  <c r="C37" i="3"/>
  <c r="AP25" i="3" s="1"/>
  <c r="C36" i="3"/>
  <c r="C35" i="3"/>
  <c r="C34" i="3"/>
  <c r="AK25" i="3" s="1"/>
  <c r="C33" i="3"/>
  <c r="C32" i="3"/>
  <c r="C31" i="3"/>
  <c r="AH25" i="3" s="1"/>
  <c r="C30" i="3"/>
  <c r="AJ25" i="3" s="1"/>
  <c r="C29" i="3"/>
  <c r="AR25" i="3" s="1"/>
  <c r="C28" i="3"/>
  <c r="C27" i="3"/>
  <c r="AC25" i="3" s="1"/>
  <c r="C26" i="3"/>
  <c r="AB25" i="3" s="1"/>
  <c r="AL25" i="3"/>
  <c r="AI25" i="3"/>
  <c r="AB24" i="3" a="1"/>
  <c r="AB24" i="3" s="1"/>
  <c r="AU177" i="2"/>
  <c r="AT177" i="2"/>
  <c r="AU176" i="2"/>
  <c r="AT176" i="2"/>
  <c r="AU175" i="2"/>
  <c r="AT175" i="2"/>
  <c r="GH172" i="2"/>
  <c r="AQ151" i="2" a="1"/>
  <c r="AQ151" i="2" s="1"/>
  <c r="AQ150" i="2" a="1"/>
  <c r="AQ150" i="2" s="1"/>
  <c r="AU135" i="2"/>
  <c r="AT135" i="2"/>
  <c r="AU134" i="2"/>
  <c r="AT134" i="2"/>
  <c r="AU133" i="2"/>
  <c r="AT133" i="2"/>
  <c r="CJ132" i="2"/>
  <c r="CI132" i="2"/>
  <c r="CH132" i="2"/>
  <c r="DI132" i="2" s="1"/>
  <c r="CG132" i="2"/>
  <c r="CF132" i="2"/>
  <c r="CE132" i="2"/>
  <c r="CD132" i="2"/>
  <c r="CC132" i="2"/>
  <c r="DH132" i="2" s="1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CJ131" i="2"/>
  <c r="CI131" i="2"/>
  <c r="CH131" i="2"/>
  <c r="CG131" i="2"/>
  <c r="CF131" i="2"/>
  <c r="CE131" i="2"/>
  <c r="CD131" i="2"/>
  <c r="DH131" i="2" s="1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GH130" i="2"/>
  <c r="ED130" i="2"/>
  <c r="CJ130" i="2"/>
  <c r="CI130" i="2"/>
  <c r="CH130" i="2"/>
  <c r="CG130" i="2"/>
  <c r="DI130" i="2" s="1"/>
  <c r="CF130" i="2"/>
  <c r="CE130" i="2"/>
  <c r="CD130" i="2"/>
  <c r="CC130" i="2"/>
  <c r="DH130" i="2" s="1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ED129" i="2"/>
  <c r="CJ129" i="2"/>
  <c r="CI129" i="2"/>
  <c r="CH129" i="2"/>
  <c r="CG129" i="2"/>
  <c r="DI129" i="2" s="1"/>
  <c r="CF129" i="2"/>
  <c r="CE129" i="2"/>
  <c r="CD129" i="2"/>
  <c r="CC129" i="2"/>
  <c r="DH129" i="2" s="1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ED128" i="2"/>
  <c r="CJ128" i="2"/>
  <c r="CI128" i="2"/>
  <c r="CH128" i="2"/>
  <c r="CG128" i="2"/>
  <c r="DI128" i="2" s="1"/>
  <c r="CF128" i="2"/>
  <c r="CE128" i="2"/>
  <c r="CD128" i="2"/>
  <c r="CC128" i="2"/>
  <c r="DH128" i="2" s="1"/>
  <c r="CB128" i="2"/>
  <c r="CA128" i="2"/>
  <c r="BZ128" i="2"/>
  <c r="BY128" i="2"/>
  <c r="DG128" i="2" s="1"/>
  <c r="BX128" i="2"/>
  <c r="BW128" i="2"/>
  <c r="BV128" i="2"/>
  <c r="BU128" i="2"/>
  <c r="BT128" i="2"/>
  <c r="BS128" i="2"/>
  <c r="BR128" i="2"/>
  <c r="BQ128" i="2"/>
  <c r="ED127" i="2"/>
  <c r="CJ127" i="2"/>
  <c r="CI127" i="2"/>
  <c r="CH127" i="2"/>
  <c r="CG127" i="2"/>
  <c r="DI127" i="2" s="1"/>
  <c r="CF127" i="2"/>
  <c r="CE127" i="2"/>
  <c r="CD127" i="2"/>
  <c r="CC127" i="2"/>
  <c r="DH127" i="2" s="1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ED126" i="2"/>
  <c r="CJ126" i="2"/>
  <c r="CI126" i="2"/>
  <c r="CH126" i="2"/>
  <c r="DI126" i="2" s="1"/>
  <c r="EC126" i="2" s="1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ED125" i="2"/>
  <c r="DI125" i="2"/>
  <c r="EC125" i="2" s="1"/>
  <c r="CJ125" i="2"/>
  <c r="CI125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DH124" i="2"/>
  <c r="CJ124" i="2"/>
  <c r="CI124" i="2"/>
  <c r="CH124" i="2"/>
  <c r="CG124" i="2"/>
  <c r="DI124" i="2" s="1"/>
  <c r="EC124" i="2" s="1"/>
  <c r="CF124" i="2"/>
  <c r="CE124" i="2"/>
  <c r="CD124" i="2"/>
  <c r="CC124" i="2"/>
  <c r="CB124" i="2"/>
  <c r="CA124" i="2"/>
  <c r="BZ124" i="2"/>
  <c r="DG124" i="2" s="1"/>
  <c r="BY124" i="2"/>
  <c r="BX124" i="2"/>
  <c r="BW124" i="2"/>
  <c r="BV124" i="2"/>
  <c r="BU124" i="2"/>
  <c r="DF124" i="2" s="1"/>
  <c r="BT124" i="2"/>
  <c r="BS124" i="2"/>
  <c r="BR124" i="2"/>
  <c r="BQ124" i="2"/>
  <c r="CJ123" i="2"/>
  <c r="CI123" i="2"/>
  <c r="CH123" i="2"/>
  <c r="DI123" i="2" s="1"/>
  <c r="EC123" i="2" s="1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DF123" i="2" s="1"/>
  <c r="BU123" i="2"/>
  <c r="BT123" i="2"/>
  <c r="BS123" i="2"/>
  <c r="BR123" i="2"/>
  <c r="BQ123" i="2"/>
  <c r="EB122" i="2"/>
  <c r="DI122" i="2"/>
  <c r="EC122" i="2" s="1"/>
  <c r="DF122" i="2"/>
  <c r="CJ122" i="2"/>
  <c r="CI122" i="2"/>
  <c r="CH122" i="2"/>
  <c r="CG122" i="2"/>
  <c r="CF122" i="2"/>
  <c r="CE122" i="2"/>
  <c r="CD122" i="2"/>
  <c r="CC122" i="2"/>
  <c r="CB122" i="2"/>
  <c r="CA122" i="2"/>
  <c r="BZ122" i="2"/>
  <c r="BY122" i="2"/>
  <c r="DG122" i="2" s="1"/>
  <c r="BX122" i="2"/>
  <c r="BW122" i="2"/>
  <c r="BV122" i="2"/>
  <c r="BU122" i="2"/>
  <c r="BT122" i="2"/>
  <c r="BS122" i="2"/>
  <c r="BR122" i="2"/>
  <c r="BQ122" i="2"/>
  <c r="CJ121" i="2"/>
  <c r="CI121" i="2"/>
  <c r="DI121" i="2" s="1"/>
  <c r="EC121" i="2" s="1"/>
  <c r="CH121" i="2"/>
  <c r="CG121" i="2"/>
  <c r="CF121" i="2"/>
  <c r="CE121" i="2"/>
  <c r="CD121" i="2"/>
  <c r="CC121" i="2"/>
  <c r="DH121" i="2" s="1"/>
  <c r="CB121" i="2"/>
  <c r="CA121" i="2"/>
  <c r="BZ121" i="2"/>
  <c r="DG121" i="2" s="1"/>
  <c r="EB121" i="2" s="1"/>
  <c r="BY121" i="2"/>
  <c r="BX121" i="2"/>
  <c r="BW121" i="2"/>
  <c r="BV121" i="2"/>
  <c r="BU121" i="2"/>
  <c r="BT121" i="2"/>
  <c r="BS121" i="2"/>
  <c r="BR121" i="2"/>
  <c r="BQ121" i="2"/>
  <c r="DH120" i="2"/>
  <c r="DE120" i="2"/>
  <c r="CJ120" i="2"/>
  <c r="CI120" i="2"/>
  <c r="CH120" i="2"/>
  <c r="CG120" i="2"/>
  <c r="DI120" i="2" s="1"/>
  <c r="EC120" i="2" s="1"/>
  <c r="CF120" i="2"/>
  <c r="CE120" i="2"/>
  <c r="CD120" i="2"/>
  <c r="CC120" i="2"/>
  <c r="CB120" i="2"/>
  <c r="CA120" i="2"/>
  <c r="DG120" i="2" s="1"/>
  <c r="EB120" i="2" s="1"/>
  <c r="BZ120" i="2"/>
  <c r="BY120" i="2"/>
  <c r="BX120" i="2"/>
  <c r="BW120" i="2"/>
  <c r="BV120" i="2"/>
  <c r="BU120" i="2"/>
  <c r="DF120" i="2" s="1"/>
  <c r="BT120" i="2"/>
  <c r="BS120" i="2"/>
  <c r="BR120" i="2"/>
  <c r="BQ120" i="2"/>
  <c r="CJ119" i="2"/>
  <c r="CI119" i="2"/>
  <c r="CH119" i="2"/>
  <c r="CG119" i="2"/>
  <c r="DI119" i="2" s="1"/>
  <c r="EC119" i="2" s="1"/>
  <c r="CF119" i="2"/>
  <c r="CE119" i="2"/>
  <c r="CD119" i="2"/>
  <c r="CC119" i="2"/>
  <c r="DH119" i="2" s="1"/>
  <c r="CB119" i="2"/>
  <c r="CA119" i="2"/>
  <c r="BZ119" i="2"/>
  <c r="DG119" i="2" s="1"/>
  <c r="EB119" i="2" s="1"/>
  <c r="BY119" i="2"/>
  <c r="BX119" i="2"/>
  <c r="BW119" i="2"/>
  <c r="BV119" i="2"/>
  <c r="BU119" i="2"/>
  <c r="DF119" i="2" s="1"/>
  <c r="BT119" i="2"/>
  <c r="BS119" i="2"/>
  <c r="BR119" i="2"/>
  <c r="BQ119" i="2"/>
  <c r="DI118" i="2"/>
  <c r="EC118" i="2" s="1"/>
  <c r="CJ118" i="2"/>
  <c r="CI118" i="2"/>
  <c r="CH118" i="2"/>
  <c r="CG118" i="2"/>
  <c r="CF118" i="2"/>
  <c r="CE118" i="2"/>
  <c r="CD118" i="2"/>
  <c r="CC118" i="2"/>
  <c r="DH118" i="2" s="1"/>
  <c r="CB118" i="2"/>
  <c r="CA118" i="2"/>
  <c r="BZ118" i="2"/>
  <c r="DG118" i="2" s="1"/>
  <c r="EB118" i="2" s="1"/>
  <c r="BY118" i="2"/>
  <c r="BX118" i="2"/>
  <c r="BW118" i="2"/>
  <c r="DF118" i="2" s="1"/>
  <c r="BV118" i="2"/>
  <c r="BU118" i="2"/>
  <c r="BT118" i="2"/>
  <c r="BS118" i="2"/>
  <c r="BR118" i="2"/>
  <c r="BQ118" i="2"/>
  <c r="DE118" i="2" s="1"/>
  <c r="EA118" i="2" s="1"/>
  <c r="CJ117" i="2"/>
  <c r="CI117" i="2"/>
  <c r="CH117" i="2"/>
  <c r="CG117" i="2"/>
  <c r="DI117" i="2" s="1"/>
  <c r="EC117" i="2" s="1"/>
  <c r="CF117" i="2"/>
  <c r="CE117" i="2"/>
  <c r="CD117" i="2"/>
  <c r="DH117" i="2" s="1"/>
  <c r="CC117" i="2"/>
  <c r="CB117" i="2"/>
  <c r="CA117" i="2"/>
  <c r="DG117" i="2" s="1"/>
  <c r="EB117" i="2" s="1"/>
  <c r="BZ117" i="2"/>
  <c r="BY117" i="2"/>
  <c r="BX117" i="2"/>
  <c r="BW117" i="2"/>
  <c r="BV117" i="2"/>
  <c r="BU117" i="2"/>
  <c r="DF117" i="2" s="1"/>
  <c r="BT117" i="2"/>
  <c r="BS117" i="2"/>
  <c r="BR117" i="2"/>
  <c r="DE117" i="2" s="1"/>
  <c r="EA117" i="2" s="1"/>
  <c r="BQ117" i="2"/>
  <c r="DF116" i="2"/>
  <c r="CJ116" i="2"/>
  <c r="CI116" i="2"/>
  <c r="CI138" i="2" s="1"/>
  <c r="CH116" i="2"/>
  <c r="CH138" i="2" s="1"/>
  <c r="CG116" i="2"/>
  <c r="CG138" i="2" s="1"/>
  <c r="CF116" i="2"/>
  <c r="CE116" i="2"/>
  <c r="CD116" i="2"/>
  <c r="CC116" i="2"/>
  <c r="DH116" i="2" s="1"/>
  <c r="CB116" i="2"/>
  <c r="CA116" i="2"/>
  <c r="BZ116" i="2"/>
  <c r="BY116" i="2"/>
  <c r="BX116" i="2"/>
  <c r="BW116" i="2"/>
  <c r="BW138" i="2" s="1"/>
  <c r="BV116" i="2"/>
  <c r="BV138" i="2" s="1"/>
  <c r="BU116" i="2"/>
  <c r="BU138" i="2" s="1"/>
  <c r="BT116" i="2"/>
  <c r="BS116" i="2"/>
  <c r="BR116" i="2"/>
  <c r="BR138" i="2" s="1"/>
  <c r="BQ116" i="2"/>
  <c r="AU99" i="2"/>
  <c r="AT99" i="2"/>
  <c r="AU98" i="2"/>
  <c r="AT98" i="2"/>
  <c r="GK97" i="2"/>
  <c r="GJ97" i="2"/>
  <c r="GL97" i="2" s="1"/>
  <c r="AU97" i="2"/>
  <c r="AT97" i="2"/>
  <c r="GL96" i="2"/>
  <c r="GK96" i="2"/>
  <c r="GJ96" i="2"/>
  <c r="DI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GK95" i="2"/>
  <c r="GL95" i="2" s="1"/>
  <c r="GJ95" i="2"/>
  <c r="DI95" i="2"/>
  <c r="DH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GK94" i="2"/>
  <c r="GJ94" i="2"/>
  <c r="GL94" i="2" s="1"/>
  <c r="GH94" i="2"/>
  <c r="ED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GK93" i="2"/>
  <c r="ED93" i="2"/>
  <c r="CJ93" i="2"/>
  <c r="CI93" i="2"/>
  <c r="CH93" i="2"/>
  <c r="CG93" i="2"/>
  <c r="CF93" i="2"/>
  <c r="CE93" i="2"/>
  <c r="CD93" i="2"/>
  <c r="CC93" i="2"/>
  <c r="DH93" i="2" s="1"/>
  <c r="CB93" i="2"/>
  <c r="CA93" i="2"/>
  <c r="BZ93" i="2"/>
  <c r="BY93" i="2"/>
  <c r="BX93" i="2"/>
  <c r="BW93" i="2"/>
  <c r="BV93" i="2"/>
  <c r="BU93" i="2"/>
  <c r="BT93" i="2"/>
  <c r="BS93" i="2"/>
  <c r="BR93" i="2"/>
  <c r="BQ93" i="2"/>
  <c r="ED92" i="2"/>
  <c r="DI92" i="2"/>
  <c r="CJ92" i="2"/>
  <c r="CI92" i="2"/>
  <c r="CH92" i="2"/>
  <c r="CG92" i="2"/>
  <c r="CF92" i="2"/>
  <c r="CE92" i="2"/>
  <c r="CD92" i="2"/>
  <c r="CC92" i="2"/>
  <c r="DH92" i="2" s="1"/>
  <c r="CB92" i="2"/>
  <c r="CA92" i="2"/>
  <c r="BZ92" i="2"/>
  <c r="BY92" i="2"/>
  <c r="DG92" i="2" s="1"/>
  <c r="BX92" i="2"/>
  <c r="BW92" i="2"/>
  <c r="BV92" i="2"/>
  <c r="BU92" i="2"/>
  <c r="BT92" i="2"/>
  <c r="BS92" i="2"/>
  <c r="BR92" i="2"/>
  <c r="BQ92" i="2"/>
  <c r="ED91" i="2"/>
  <c r="CJ91" i="2"/>
  <c r="CI91" i="2"/>
  <c r="CH91" i="2"/>
  <c r="CG91" i="2"/>
  <c r="CF91" i="2"/>
  <c r="CE91" i="2"/>
  <c r="CD91" i="2"/>
  <c r="DH91" i="2" s="1"/>
  <c r="CC91" i="2"/>
  <c r="CB91" i="2"/>
  <c r="CA91" i="2"/>
  <c r="BZ91" i="2"/>
  <c r="BY91" i="2"/>
  <c r="DG91" i="2" s="1"/>
  <c r="BX91" i="2"/>
  <c r="BW91" i="2"/>
  <c r="BV91" i="2"/>
  <c r="BU91" i="2"/>
  <c r="BT91" i="2"/>
  <c r="BS91" i="2"/>
  <c r="BR91" i="2"/>
  <c r="BQ91" i="2"/>
  <c r="GL90" i="2"/>
  <c r="GK90" i="2"/>
  <c r="GJ90" i="2"/>
  <c r="GM90" i="2" s="1"/>
  <c r="ED90" i="2"/>
  <c r="CJ90" i="2"/>
  <c r="CI90" i="2"/>
  <c r="CH90" i="2"/>
  <c r="CG90" i="2"/>
  <c r="DI90" i="2" s="1"/>
  <c r="EC90" i="2" s="1"/>
  <c r="CF90" i="2"/>
  <c r="CE90" i="2"/>
  <c r="CD90" i="2"/>
  <c r="CC90" i="2"/>
  <c r="DH90" i="2" s="1"/>
  <c r="CB90" i="2"/>
  <c r="CA90" i="2"/>
  <c r="BZ90" i="2"/>
  <c r="BY90" i="2"/>
  <c r="DG90" i="2" s="1"/>
  <c r="BX90" i="2"/>
  <c r="BW90" i="2"/>
  <c r="BV90" i="2"/>
  <c r="BU90" i="2"/>
  <c r="BT90" i="2"/>
  <c r="BS90" i="2"/>
  <c r="BR90" i="2"/>
  <c r="BQ90" i="2"/>
  <c r="GL89" i="2"/>
  <c r="GK89" i="2"/>
  <c r="GJ89" i="2"/>
  <c r="GM89" i="2" s="1"/>
  <c r="ED89" i="2"/>
  <c r="CJ89" i="2"/>
  <c r="CI89" i="2"/>
  <c r="CH89" i="2"/>
  <c r="CG89" i="2"/>
  <c r="DI89" i="2" s="1"/>
  <c r="EC89" i="2" s="1"/>
  <c r="CF89" i="2"/>
  <c r="CE89" i="2"/>
  <c r="CD89" i="2"/>
  <c r="CC89" i="2"/>
  <c r="DH89" i="2" s="1"/>
  <c r="CB89" i="2"/>
  <c r="CA89" i="2"/>
  <c r="BZ89" i="2"/>
  <c r="BY89" i="2"/>
  <c r="DG89" i="2" s="1"/>
  <c r="BX89" i="2"/>
  <c r="BW89" i="2"/>
  <c r="BV89" i="2"/>
  <c r="BU89" i="2"/>
  <c r="BT89" i="2"/>
  <c r="BS89" i="2"/>
  <c r="BR89" i="2"/>
  <c r="BQ89" i="2"/>
  <c r="GM88" i="2"/>
  <c r="GL88" i="2"/>
  <c r="GK88" i="2"/>
  <c r="GJ88" i="2"/>
  <c r="CJ88" i="2"/>
  <c r="CI88" i="2"/>
  <c r="CH88" i="2"/>
  <c r="CG88" i="2"/>
  <c r="CF88" i="2"/>
  <c r="CE88" i="2"/>
  <c r="CD88" i="2"/>
  <c r="CC88" i="2"/>
  <c r="DH88" i="2" s="1"/>
  <c r="CB88" i="2"/>
  <c r="CA88" i="2"/>
  <c r="BZ88" i="2"/>
  <c r="BY88" i="2"/>
  <c r="DG88" i="2" s="1"/>
  <c r="BX88" i="2"/>
  <c r="BW88" i="2"/>
  <c r="BV88" i="2"/>
  <c r="BU88" i="2"/>
  <c r="BT88" i="2"/>
  <c r="BS88" i="2"/>
  <c r="BR88" i="2"/>
  <c r="BQ88" i="2"/>
  <c r="GL87" i="2"/>
  <c r="GK87" i="2"/>
  <c r="GJ87" i="2"/>
  <c r="GM87" i="2" s="1"/>
  <c r="DF87" i="2"/>
  <c r="CJ87" i="2"/>
  <c r="CI87" i="2"/>
  <c r="CH87" i="2"/>
  <c r="CG87" i="2"/>
  <c r="DI87" i="2" s="1"/>
  <c r="EC87" i="2" s="1"/>
  <c r="CF87" i="2"/>
  <c r="CE87" i="2"/>
  <c r="CD87" i="2"/>
  <c r="CC87" i="2"/>
  <c r="DH87" i="2" s="1"/>
  <c r="CB87" i="2"/>
  <c r="CA87" i="2"/>
  <c r="BZ87" i="2"/>
  <c r="BY87" i="2"/>
  <c r="DG87" i="2" s="1"/>
  <c r="EB87" i="2" s="1"/>
  <c r="BX87" i="2"/>
  <c r="BW87" i="2"/>
  <c r="BV87" i="2"/>
  <c r="BU87" i="2"/>
  <c r="BT87" i="2"/>
  <c r="BS87" i="2"/>
  <c r="BR87" i="2"/>
  <c r="BQ87" i="2"/>
  <c r="GK86" i="2"/>
  <c r="GL86" i="2" s="1"/>
  <c r="DF86" i="2"/>
  <c r="CJ86" i="2"/>
  <c r="CI86" i="2"/>
  <c r="CH86" i="2"/>
  <c r="CG86" i="2"/>
  <c r="DI86" i="2" s="1"/>
  <c r="EC86" i="2" s="1"/>
  <c r="CF86" i="2"/>
  <c r="CE86" i="2"/>
  <c r="CD86" i="2"/>
  <c r="CC86" i="2"/>
  <c r="DH86" i="2" s="1"/>
  <c r="CB86" i="2"/>
  <c r="CA86" i="2"/>
  <c r="BZ86" i="2"/>
  <c r="BY86" i="2"/>
  <c r="DG86" i="2" s="1"/>
  <c r="EB86" i="2" s="1"/>
  <c r="BX86" i="2"/>
  <c r="BW86" i="2"/>
  <c r="BV86" i="2"/>
  <c r="BU86" i="2"/>
  <c r="BT86" i="2"/>
  <c r="BS86" i="2"/>
  <c r="BR86" i="2"/>
  <c r="BQ86" i="2"/>
  <c r="DG85" i="2"/>
  <c r="EB85" i="2" s="1"/>
  <c r="CJ85" i="2"/>
  <c r="CI85" i="2"/>
  <c r="DI85" i="2" s="1"/>
  <c r="EC85" i="2" s="1"/>
  <c r="CH85" i="2"/>
  <c r="CG85" i="2"/>
  <c r="CF85" i="2"/>
  <c r="CE85" i="2"/>
  <c r="CD85" i="2"/>
  <c r="CC85" i="2"/>
  <c r="DH85" i="2" s="1"/>
  <c r="CB85" i="2"/>
  <c r="CA85" i="2"/>
  <c r="BZ85" i="2"/>
  <c r="BY85" i="2"/>
  <c r="BX85" i="2"/>
  <c r="BW85" i="2"/>
  <c r="DF85" i="2" s="1"/>
  <c r="BV85" i="2"/>
  <c r="BU85" i="2"/>
  <c r="BT85" i="2"/>
  <c r="BS85" i="2"/>
  <c r="BR85" i="2"/>
  <c r="BQ85" i="2"/>
  <c r="DG84" i="2"/>
  <c r="EB84" i="2" s="1"/>
  <c r="CJ84" i="2"/>
  <c r="DI84" i="2" s="1"/>
  <c r="EC84" i="2" s="1"/>
  <c r="CI84" i="2"/>
  <c r="CH84" i="2"/>
  <c r="CG84" i="2"/>
  <c r="CF84" i="2"/>
  <c r="CE84" i="2"/>
  <c r="CD84" i="2"/>
  <c r="DH84" i="2" s="1"/>
  <c r="CC84" i="2"/>
  <c r="CB84" i="2"/>
  <c r="CA84" i="2"/>
  <c r="BZ84" i="2"/>
  <c r="BY84" i="2"/>
  <c r="BX84" i="2"/>
  <c r="DF84" i="2" s="1"/>
  <c r="BW84" i="2"/>
  <c r="BV84" i="2"/>
  <c r="BU84" i="2"/>
  <c r="BT84" i="2"/>
  <c r="BS84" i="2"/>
  <c r="BR84" i="2"/>
  <c r="DE84" i="2" s="1"/>
  <c r="BQ84" i="2"/>
  <c r="GN83" i="2"/>
  <c r="GM83" i="2"/>
  <c r="GL83" i="2"/>
  <c r="GK83" i="2"/>
  <c r="GJ83" i="2"/>
  <c r="DE83" i="2"/>
  <c r="EA83" i="2" s="1"/>
  <c r="CJ83" i="2"/>
  <c r="CI83" i="2"/>
  <c r="CH83" i="2"/>
  <c r="CG83" i="2"/>
  <c r="CF83" i="2"/>
  <c r="CE83" i="2"/>
  <c r="CD83" i="2"/>
  <c r="CC83" i="2"/>
  <c r="DH83" i="2" s="1"/>
  <c r="CB83" i="2"/>
  <c r="CA83" i="2"/>
  <c r="BZ83" i="2"/>
  <c r="BY83" i="2"/>
  <c r="DG83" i="2" s="1"/>
  <c r="EB83" i="2" s="1"/>
  <c r="BX83" i="2"/>
  <c r="BW83" i="2"/>
  <c r="BV83" i="2"/>
  <c r="BU83" i="2"/>
  <c r="DF83" i="2" s="1"/>
  <c r="BT83" i="2"/>
  <c r="BS83" i="2"/>
  <c r="BR83" i="2"/>
  <c r="BQ83" i="2"/>
  <c r="GM82" i="2"/>
  <c r="GL82" i="2"/>
  <c r="GK82" i="2"/>
  <c r="GN82" i="2" s="1"/>
  <c r="GJ82" i="2"/>
  <c r="EB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DG82" i="2" s="1"/>
  <c r="BX82" i="2"/>
  <c r="BW82" i="2"/>
  <c r="BV82" i="2"/>
  <c r="BU82" i="2"/>
  <c r="BT82" i="2"/>
  <c r="BS82" i="2"/>
  <c r="BR82" i="2"/>
  <c r="BQ82" i="2"/>
  <c r="DE82" i="2" s="1"/>
  <c r="EA82" i="2" s="1"/>
  <c r="GM81" i="2"/>
  <c r="GL81" i="2"/>
  <c r="GK81" i="2"/>
  <c r="GN81" i="2" s="1"/>
  <c r="GJ81" i="2"/>
  <c r="DG81" i="2"/>
  <c r="EB81" i="2" s="1"/>
  <c r="CJ81" i="2"/>
  <c r="CI81" i="2"/>
  <c r="CH81" i="2"/>
  <c r="CG81" i="2"/>
  <c r="DI81" i="2" s="1"/>
  <c r="EC81" i="2" s="1"/>
  <c r="CF81" i="2"/>
  <c r="CE81" i="2"/>
  <c r="CD81" i="2"/>
  <c r="CC81" i="2"/>
  <c r="DH81" i="2" s="1"/>
  <c r="CB81" i="2"/>
  <c r="CA81" i="2"/>
  <c r="BZ81" i="2"/>
  <c r="BY81" i="2"/>
  <c r="BX81" i="2"/>
  <c r="BW81" i="2"/>
  <c r="BV81" i="2"/>
  <c r="BU81" i="2"/>
  <c r="DF81" i="2" s="1"/>
  <c r="BT81" i="2"/>
  <c r="BS81" i="2"/>
  <c r="BR81" i="2"/>
  <c r="BQ81" i="2"/>
  <c r="GM80" i="2"/>
  <c r="GL80" i="2"/>
  <c r="GK80" i="2"/>
  <c r="GN80" i="2" s="1"/>
  <c r="GJ80" i="2"/>
  <c r="CJ80" i="2"/>
  <c r="CJ102" i="2" s="1"/>
  <c r="CI80" i="2"/>
  <c r="CH80" i="2"/>
  <c r="CH102" i="2" s="1"/>
  <c r="CG80" i="2"/>
  <c r="CF80" i="2"/>
  <c r="CF102" i="2" s="1"/>
  <c r="CE80" i="2"/>
  <c r="CE102" i="2" s="1"/>
  <c r="CD80" i="2"/>
  <c r="CC80" i="2"/>
  <c r="CB80" i="2"/>
  <c r="CA80" i="2"/>
  <c r="BZ80" i="2"/>
  <c r="BY80" i="2"/>
  <c r="BX80" i="2"/>
  <c r="BX102" i="2" s="1"/>
  <c r="BW80" i="2"/>
  <c r="BV80" i="2"/>
  <c r="BV102" i="2" s="1"/>
  <c r="BU80" i="2"/>
  <c r="BT80" i="2"/>
  <c r="BT102" i="2" s="1"/>
  <c r="BS80" i="2"/>
  <c r="BS102" i="2" s="1"/>
  <c r="BR80" i="2"/>
  <c r="BQ80" i="2"/>
  <c r="DE80" i="2" s="1"/>
  <c r="GK79" i="2"/>
  <c r="GL79" i="2" s="1"/>
  <c r="GM79" i="2" s="1"/>
  <c r="GO76" i="2"/>
  <c r="GN76" i="2"/>
  <c r="GM76" i="2"/>
  <c r="GL76" i="2"/>
  <c r="GK76" i="2"/>
  <c r="GJ76" i="2"/>
  <c r="GN75" i="2"/>
  <c r="GM75" i="2"/>
  <c r="GL75" i="2"/>
  <c r="GK75" i="2"/>
  <c r="GJ75" i="2"/>
  <c r="GN74" i="2"/>
  <c r="GM74" i="2"/>
  <c r="GL74" i="2"/>
  <c r="GK74" i="2"/>
  <c r="GO74" i="2" s="1"/>
  <c r="GJ74" i="2"/>
  <c r="GN72" i="2"/>
  <c r="GM72" i="2"/>
  <c r="GL72" i="2"/>
  <c r="GK72" i="2"/>
  <c r="GO72" i="2" s="1"/>
  <c r="GJ72" i="2"/>
  <c r="DD62" i="2"/>
  <c r="DC62" i="2"/>
  <c r="DB62" i="2"/>
  <c r="DA62" i="2"/>
  <c r="DN62" i="2" s="1"/>
  <c r="CZ62" i="2"/>
  <c r="CY62" i="2"/>
  <c r="CX62" i="2"/>
  <c r="CW62" i="2"/>
  <c r="CV62" i="2"/>
  <c r="CU62" i="2"/>
  <c r="CT62" i="2"/>
  <c r="CS62" i="2"/>
  <c r="DL62" i="2" s="1"/>
  <c r="CR62" i="2"/>
  <c r="CQ62" i="2"/>
  <c r="CP62" i="2"/>
  <c r="CO62" i="2"/>
  <c r="DK62" i="2" s="1"/>
  <c r="CN62" i="2"/>
  <c r="CM62" i="2"/>
  <c r="CL62" i="2"/>
  <c r="CK62" i="2"/>
  <c r="DD61" i="2"/>
  <c r="DC61" i="2"/>
  <c r="DB61" i="2"/>
  <c r="DA61" i="2"/>
  <c r="DN61" i="2" s="1"/>
  <c r="CZ61" i="2"/>
  <c r="CY61" i="2"/>
  <c r="CX61" i="2"/>
  <c r="DM61" i="2" s="1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DJ60" i="2"/>
  <c r="DD60" i="2"/>
  <c r="DC60" i="2"/>
  <c r="DB60" i="2"/>
  <c r="DA60" i="2"/>
  <c r="CZ60" i="2"/>
  <c r="CY60" i="2"/>
  <c r="CX60" i="2"/>
  <c r="CW60" i="2"/>
  <c r="DM60" i="2" s="1"/>
  <c r="CV60" i="2"/>
  <c r="CU60" i="2"/>
  <c r="CT60" i="2"/>
  <c r="CS60" i="2"/>
  <c r="DL60" i="2" s="1"/>
  <c r="CR60" i="2"/>
  <c r="CQ60" i="2"/>
  <c r="CP60" i="2"/>
  <c r="CO60" i="2"/>
  <c r="CN60" i="2"/>
  <c r="CM60" i="2"/>
  <c r="CL60" i="2"/>
  <c r="CK60" i="2"/>
  <c r="DK59" i="2"/>
  <c r="DJ59" i="2"/>
  <c r="DD59" i="2"/>
  <c r="DC59" i="2"/>
  <c r="DB59" i="2"/>
  <c r="DA59" i="2"/>
  <c r="DN59" i="2" s="1"/>
  <c r="CZ59" i="2"/>
  <c r="CY59" i="2"/>
  <c r="CX59" i="2"/>
  <c r="CW59" i="2"/>
  <c r="DM59" i="2" s="1"/>
  <c r="CV59" i="2"/>
  <c r="CU59" i="2"/>
  <c r="CT59" i="2"/>
  <c r="CS59" i="2"/>
  <c r="DL59" i="2" s="1"/>
  <c r="CR59" i="2"/>
  <c r="CQ59" i="2"/>
  <c r="CP59" i="2"/>
  <c r="CO59" i="2"/>
  <c r="CN59" i="2"/>
  <c r="CM59" i="2"/>
  <c r="CL59" i="2"/>
  <c r="CK59" i="2"/>
  <c r="DL58" i="2"/>
  <c r="DD58" i="2"/>
  <c r="DC58" i="2"/>
  <c r="DB58" i="2"/>
  <c r="DA58" i="2"/>
  <c r="DN58" i="2" s="1"/>
  <c r="CZ58" i="2"/>
  <c r="CY58" i="2"/>
  <c r="CX58" i="2"/>
  <c r="CW58" i="2"/>
  <c r="DM58" i="2" s="1"/>
  <c r="CV58" i="2"/>
  <c r="CU58" i="2"/>
  <c r="CT58" i="2"/>
  <c r="CS58" i="2"/>
  <c r="CR58" i="2"/>
  <c r="CQ58" i="2"/>
  <c r="CP58" i="2"/>
  <c r="CO58" i="2"/>
  <c r="DK58" i="2" s="1"/>
  <c r="CN58" i="2"/>
  <c r="CM58" i="2"/>
  <c r="CL58" i="2"/>
  <c r="CK58" i="2"/>
  <c r="DJ58" i="2" s="1"/>
  <c r="DJ57" i="2"/>
  <c r="DD57" i="2"/>
  <c r="DC57" i="2"/>
  <c r="DB57" i="2"/>
  <c r="DA57" i="2"/>
  <c r="DN57" i="2" s="1"/>
  <c r="CZ57" i="2"/>
  <c r="CY57" i="2"/>
  <c r="DM57" i="2" s="1"/>
  <c r="CX57" i="2"/>
  <c r="CW57" i="2"/>
  <c r="CV57" i="2"/>
  <c r="CU57" i="2"/>
  <c r="CT57" i="2"/>
  <c r="CS57" i="2"/>
  <c r="DL57" i="2" s="1"/>
  <c r="CR57" i="2"/>
  <c r="CQ57" i="2"/>
  <c r="CP57" i="2"/>
  <c r="CO57" i="2"/>
  <c r="DK57" i="2" s="1"/>
  <c r="CN57" i="2"/>
  <c r="CM57" i="2"/>
  <c r="CL57" i="2"/>
  <c r="CK57" i="2"/>
  <c r="DK56" i="2"/>
  <c r="DD56" i="2"/>
  <c r="DC56" i="2"/>
  <c r="DB56" i="2"/>
  <c r="DA56" i="2"/>
  <c r="DN56" i="2" s="1"/>
  <c r="CZ56" i="2"/>
  <c r="CY56" i="2"/>
  <c r="CX56" i="2"/>
  <c r="CW56" i="2"/>
  <c r="DM56" i="2" s="1"/>
  <c r="CV56" i="2"/>
  <c r="CU56" i="2"/>
  <c r="CT56" i="2"/>
  <c r="CS56" i="2"/>
  <c r="DL56" i="2" s="1"/>
  <c r="CR56" i="2"/>
  <c r="CQ56" i="2"/>
  <c r="CP56" i="2"/>
  <c r="CO56" i="2"/>
  <c r="CN56" i="2"/>
  <c r="CM56" i="2"/>
  <c r="CL56" i="2"/>
  <c r="CK56" i="2"/>
  <c r="DJ56" i="2" s="1"/>
  <c r="DL55" i="2"/>
  <c r="DJ55" i="2"/>
  <c r="DD55" i="2"/>
  <c r="DC55" i="2"/>
  <c r="DB55" i="2"/>
  <c r="DN55" i="2" s="1"/>
  <c r="DA55" i="2"/>
  <c r="CZ55" i="2"/>
  <c r="CY55" i="2"/>
  <c r="CX55" i="2"/>
  <c r="CW55" i="2"/>
  <c r="DM55" i="2" s="1"/>
  <c r="CV55" i="2"/>
  <c r="CU55" i="2"/>
  <c r="CT55" i="2"/>
  <c r="CS55" i="2"/>
  <c r="CR55" i="2"/>
  <c r="CQ55" i="2"/>
  <c r="CP55" i="2"/>
  <c r="DK55" i="2" s="1"/>
  <c r="CO55" i="2"/>
  <c r="CN55" i="2"/>
  <c r="CM55" i="2"/>
  <c r="CL55" i="2"/>
  <c r="CK55" i="2"/>
  <c r="DE54" i="2"/>
  <c r="DD54" i="2"/>
  <c r="DC54" i="2"/>
  <c r="DB54" i="2"/>
  <c r="DA54" i="2"/>
  <c r="DN54" i="2" s="1"/>
  <c r="CZ54" i="2"/>
  <c r="CY54" i="2"/>
  <c r="CX54" i="2"/>
  <c r="CW54" i="2"/>
  <c r="DM54" i="2" s="1"/>
  <c r="CV54" i="2"/>
  <c r="CU54" i="2"/>
  <c r="CT54" i="2"/>
  <c r="CS54" i="2"/>
  <c r="DL54" i="2" s="1"/>
  <c r="CR54" i="2"/>
  <c r="CQ54" i="2"/>
  <c r="CP54" i="2"/>
  <c r="CO54" i="2"/>
  <c r="DK54" i="2" s="1"/>
  <c r="CN54" i="2"/>
  <c r="CM54" i="2"/>
  <c r="CL54" i="2"/>
  <c r="CK54" i="2"/>
  <c r="DJ54" i="2" s="1"/>
  <c r="BT54" i="2"/>
  <c r="BS54" i="2"/>
  <c r="BR54" i="2"/>
  <c r="BQ54" i="2"/>
  <c r="BN54" i="2"/>
  <c r="DD53" i="2"/>
  <c r="DC53" i="2"/>
  <c r="DB53" i="2"/>
  <c r="DA53" i="2"/>
  <c r="DN53" i="2" s="1"/>
  <c r="CZ53" i="2"/>
  <c r="CY53" i="2"/>
  <c r="CX53" i="2"/>
  <c r="CW53" i="2"/>
  <c r="DM53" i="2" s="1"/>
  <c r="CV53" i="2"/>
  <c r="CU53" i="2"/>
  <c r="CT53" i="2"/>
  <c r="CS53" i="2"/>
  <c r="DL53" i="2" s="1"/>
  <c r="CR53" i="2"/>
  <c r="CQ53" i="2"/>
  <c r="CP53" i="2"/>
  <c r="CO53" i="2"/>
  <c r="DK53" i="2" s="1"/>
  <c r="CN53" i="2"/>
  <c r="CM53" i="2"/>
  <c r="CL53" i="2"/>
  <c r="CK53" i="2"/>
  <c r="DJ53" i="2" s="1"/>
  <c r="BT53" i="2"/>
  <c r="BS53" i="2"/>
  <c r="BR53" i="2"/>
  <c r="BQ53" i="2"/>
  <c r="DE53" i="2" s="1"/>
  <c r="BN53" i="2"/>
  <c r="BM54" i="2" s="1"/>
  <c r="DN52" i="2"/>
  <c r="DD52" i="2"/>
  <c r="DC52" i="2"/>
  <c r="DB52" i="2"/>
  <c r="DA52" i="2"/>
  <c r="CZ52" i="2"/>
  <c r="CY52" i="2"/>
  <c r="CX52" i="2"/>
  <c r="CW52" i="2"/>
  <c r="DM52" i="2" s="1"/>
  <c r="CV52" i="2"/>
  <c r="CU52" i="2"/>
  <c r="CT52" i="2"/>
  <c r="CS52" i="2"/>
  <c r="DL52" i="2" s="1"/>
  <c r="CR52" i="2"/>
  <c r="CQ52" i="2"/>
  <c r="CP52" i="2"/>
  <c r="DK52" i="2" s="1"/>
  <c r="CO52" i="2"/>
  <c r="CN52" i="2"/>
  <c r="CM52" i="2"/>
  <c r="CL52" i="2"/>
  <c r="DJ52" i="2" s="1"/>
  <c r="CK52" i="2"/>
  <c r="BT52" i="2"/>
  <c r="BS52" i="2"/>
  <c r="BR52" i="2"/>
  <c r="DE52" i="2" s="1"/>
  <c r="BQ52" i="2"/>
  <c r="BN52" i="2"/>
  <c r="BM53" i="2" s="1"/>
  <c r="DM51" i="2"/>
  <c r="DL51" i="2"/>
  <c r="DD51" i="2"/>
  <c r="DC51" i="2"/>
  <c r="DB51" i="2"/>
  <c r="DA51" i="2"/>
  <c r="DN51" i="2" s="1"/>
  <c r="CZ51" i="2"/>
  <c r="CY51" i="2"/>
  <c r="CX51" i="2"/>
  <c r="CW51" i="2"/>
  <c r="CV51" i="2"/>
  <c r="CU51" i="2"/>
  <c r="CT51" i="2"/>
  <c r="CS51" i="2"/>
  <c r="CR51" i="2"/>
  <c r="CQ51" i="2"/>
  <c r="CP51" i="2"/>
  <c r="CO51" i="2"/>
  <c r="DK51" i="2" s="1"/>
  <c r="CN51" i="2"/>
  <c r="CM51" i="2"/>
  <c r="CL51" i="2"/>
  <c r="CK51" i="2"/>
  <c r="BT51" i="2"/>
  <c r="BS51" i="2"/>
  <c r="BR51" i="2"/>
  <c r="BQ51" i="2"/>
  <c r="BN51" i="2"/>
  <c r="BM52" i="2" s="1"/>
  <c r="DD50" i="2"/>
  <c r="DC50" i="2"/>
  <c r="DB50" i="2"/>
  <c r="DN50" i="2" s="1"/>
  <c r="DA50" i="2"/>
  <c r="CZ50" i="2"/>
  <c r="CY50" i="2"/>
  <c r="CX50" i="2"/>
  <c r="CW50" i="2"/>
  <c r="DM50" i="2" s="1"/>
  <c r="CV50" i="2"/>
  <c r="CU50" i="2"/>
  <c r="CT50" i="2"/>
  <c r="DL50" i="2" s="1"/>
  <c r="CS50" i="2"/>
  <c r="CR50" i="2"/>
  <c r="CQ50" i="2"/>
  <c r="CP50" i="2"/>
  <c r="DK50" i="2" s="1"/>
  <c r="CO50" i="2"/>
  <c r="CN50" i="2"/>
  <c r="CM50" i="2"/>
  <c r="CL50" i="2"/>
  <c r="CK50" i="2"/>
  <c r="DJ50" i="2" s="1"/>
  <c r="BN50" i="2"/>
  <c r="BM51" i="2" s="1"/>
  <c r="DD49" i="2"/>
  <c r="DC49" i="2"/>
  <c r="DB49" i="2"/>
  <c r="DA49" i="2"/>
  <c r="CZ49" i="2"/>
  <c r="DM49" i="2" s="1"/>
  <c r="CY49" i="2"/>
  <c r="CX49" i="2"/>
  <c r="CW49" i="2"/>
  <c r="CV49" i="2"/>
  <c r="CU49" i="2"/>
  <c r="CT49" i="2"/>
  <c r="CS49" i="2"/>
  <c r="DL49" i="2" s="1"/>
  <c r="CR49" i="2"/>
  <c r="CQ49" i="2"/>
  <c r="CP49" i="2"/>
  <c r="CO49" i="2"/>
  <c r="CN49" i="2"/>
  <c r="CM49" i="2"/>
  <c r="CL49" i="2"/>
  <c r="CK49" i="2"/>
  <c r="BN49" i="2"/>
  <c r="BM50" i="2" s="1"/>
  <c r="DL48" i="2"/>
  <c r="DD48" i="2"/>
  <c r="DC48" i="2"/>
  <c r="DB48" i="2"/>
  <c r="DN48" i="2" s="1"/>
  <c r="DA48" i="2"/>
  <c r="CZ48" i="2"/>
  <c r="CY48" i="2"/>
  <c r="CX48" i="2"/>
  <c r="CW48" i="2"/>
  <c r="CV48" i="2"/>
  <c r="CU48" i="2"/>
  <c r="CT48" i="2"/>
  <c r="CS48" i="2"/>
  <c r="CR48" i="2"/>
  <c r="CQ48" i="2"/>
  <c r="CP48" i="2"/>
  <c r="DK48" i="2" s="1"/>
  <c r="CO48" i="2"/>
  <c r="CN48" i="2"/>
  <c r="CM48" i="2"/>
  <c r="CL48" i="2"/>
  <c r="CK48" i="2"/>
  <c r="DJ48" i="2" s="1"/>
  <c r="BN48" i="2"/>
  <c r="BM49" i="2" s="1"/>
  <c r="DD47" i="2"/>
  <c r="DC47" i="2"/>
  <c r="DB47" i="2"/>
  <c r="DA47" i="2"/>
  <c r="CZ47" i="2"/>
  <c r="CY47" i="2"/>
  <c r="CX47" i="2"/>
  <c r="CW47" i="2"/>
  <c r="DM47" i="2" s="1"/>
  <c r="CV47" i="2"/>
  <c r="CU47" i="2"/>
  <c r="CT47" i="2"/>
  <c r="CS47" i="2"/>
  <c r="DL47" i="2" s="1"/>
  <c r="CR47" i="2"/>
  <c r="CQ47" i="2"/>
  <c r="CP47" i="2"/>
  <c r="CO47" i="2"/>
  <c r="DK47" i="2" s="1"/>
  <c r="CN47" i="2"/>
  <c r="CM47" i="2"/>
  <c r="CL47" i="2"/>
  <c r="CK47" i="2"/>
  <c r="DJ47" i="2" s="1"/>
  <c r="BN47" i="2"/>
  <c r="BM48" i="2" s="1"/>
  <c r="DD46" i="2"/>
  <c r="DC46" i="2"/>
  <c r="DB46" i="2"/>
  <c r="DA46" i="2"/>
  <c r="DN46" i="2" s="1"/>
  <c r="CZ46" i="2"/>
  <c r="CY46" i="2"/>
  <c r="CX46" i="2"/>
  <c r="CW46" i="2"/>
  <c r="DM46" i="2" s="1"/>
  <c r="CV46" i="2"/>
  <c r="CU46" i="2"/>
  <c r="CT46" i="2"/>
  <c r="CS46" i="2"/>
  <c r="DL46" i="2" s="1"/>
  <c r="CR46" i="2"/>
  <c r="CQ46" i="2"/>
  <c r="CP46" i="2"/>
  <c r="CO46" i="2"/>
  <c r="DK46" i="2" s="1"/>
  <c r="CN46" i="2"/>
  <c r="CM46" i="2"/>
  <c r="CL46" i="2"/>
  <c r="CK46" i="2"/>
  <c r="DJ46" i="2" s="1"/>
  <c r="BN46" i="2"/>
  <c r="BM47" i="2" s="1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CJ20" i="2"/>
  <c r="CI20" i="2"/>
  <c r="CH20" i="2"/>
  <c r="CG20" i="2"/>
  <c r="CF20" i="2"/>
  <c r="CE20" i="2"/>
  <c r="CD20" i="2"/>
  <c r="CC20" i="2"/>
  <c r="CB20" i="2"/>
  <c r="CB62" i="2" s="1"/>
  <c r="ET62" i="2" s="1"/>
  <c r="CA20" i="2"/>
  <c r="CA62" i="2" s="1"/>
  <c r="ES62" i="2" s="1"/>
  <c r="BZ20" i="2"/>
  <c r="BZ62" i="2" s="1"/>
  <c r="ER62" i="2" s="1"/>
  <c r="BY20" i="2"/>
  <c r="BY62" i="2" s="1"/>
  <c r="EQ62" i="2" s="1"/>
  <c r="BX20" i="2"/>
  <c r="BX62" i="2" s="1"/>
  <c r="EP62" i="2" s="1"/>
  <c r="BW20" i="2"/>
  <c r="BW62" i="2" s="1"/>
  <c r="EO62" i="2" s="1"/>
  <c r="BV20" i="2"/>
  <c r="BV62" i="2" s="1"/>
  <c r="EN62" i="2" s="1"/>
  <c r="BU20" i="2"/>
  <c r="BU62" i="2" s="1"/>
  <c r="EM62" i="2" s="1"/>
  <c r="BT20" i="2"/>
  <c r="BT62" i="2" s="1"/>
  <c r="EL62" i="2" s="1"/>
  <c r="BS20" i="2"/>
  <c r="BS62" i="2" s="1"/>
  <c r="EK62" i="2" s="1"/>
  <c r="BR20" i="2"/>
  <c r="BR62" i="2" s="1"/>
  <c r="EJ62" i="2" s="1"/>
  <c r="BQ20" i="2"/>
  <c r="BQ62" i="2" s="1"/>
  <c r="EI62" i="2" s="1"/>
  <c r="BI20" i="2"/>
  <c r="BM20" i="2" s="1"/>
  <c r="BF20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CJ19" i="2"/>
  <c r="CI19" i="2"/>
  <c r="CH19" i="2"/>
  <c r="CG19" i="2"/>
  <c r="CF19" i="2"/>
  <c r="CE19" i="2"/>
  <c r="CD19" i="2"/>
  <c r="CC19" i="2"/>
  <c r="CB19" i="2"/>
  <c r="CB61" i="2" s="1"/>
  <c r="ET61" i="2" s="1"/>
  <c r="CA19" i="2"/>
  <c r="CA61" i="2" s="1"/>
  <c r="ES61" i="2" s="1"/>
  <c r="BZ19" i="2"/>
  <c r="BZ61" i="2" s="1"/>
  <c r="ER61" i="2" s="1"/>
  <c r="BY19" i="2"/>
  <c r="BY61" i="2" s="1"/>
  <c r="EQ61" i="2" s="1"/>
  <c r="BX19" i="2"/>
  <c r="BX61" i="2" s="1"/>
  <c r="EP61" i="2" s="1"/>
  <c r="BW19" i="2"/>
  <c r="BW61" i="2" s="1"/>
  <c r="EO61" i="2" s="1"/>
  <c r="BV19" i="2"/>
  <c r="BV61" i="2" s="1"/>
  <c r="EN61" i="2" s="1"/>
  <c r="BU19" i="2"/>
  <c r="BU61" i="2" s="1"/>
  <c r="EM61" i="2" s="1"/>
  <c r="BT19" i="2"/>
  <c r="BT61" i="2" s="1"/>
  <c r="EL61" i="2" s="1"/>
  <c r="BS19" i="2"/>
  <c r="BS61" i="2" s="1"/>
  <c r="EK61" i="2" s="1"/>
  <c r="BR19" i="2"/>
  <c r="BR61" i="2" s="1"/>
  <c r="EJ61" i="2" s="1"/>
  <c r="BQ19" i="2"/>
  <c r="BQ61" i="2" s="1"/>
  <c r="EI61" i="2" s="1"/>
  <c r="BI19" i="2"/>
  <c r="BM19" i="2" s="1"/>
  <c r="BF19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CJ18" i="2"/>
  <c r="CI18" i="2"/>
  <c r="CH18" i="2"/>
  <c r="CG18" i="2"/>
  <c r="CF18" i="2"/>
  <c r="CE18" i="2"/>
  <c r="CD18" i="2"/>
  <c r="CC18" i="2"/>
  <c r="CB18" i="2"/>
  <c r="CB60" i="2" s="1"/>
  <c r="ET60" i="2" s="1"/>
  <c r="CA18" i="2"/>
  <c r="CA60" i="2" s="1"/>
  <c r="ES60" i="2" s="1"/>
  <c r="BZ18" i="2"/>
  <c r="BZ60" i="2" s="1"/>
  <c r="ER60" i="2" s="1"/>
  <c r="BY18" i="2"/>
  <c r="BY60" i="2" s="1"/>
  <c r="EQ60" i="2" s="1"/>
  <c r="BX18" i="2"/>
  <c r="BX60" i="2" s="1"/>
  <c r="EP60" i="2" s="1"/>
  <c r="BW18" i="2"/>
  <c r="BW60" i="2" s="1"/>
  <c r="EO60" i="2" s="1"/>
  <c r="BV18" i="2"/>
  <c r="BV60" i="2" s="1"/>
  <c r="EN60" i="2" s="1"/>
  <c r="BU18" i="2"/>
  <c r="BU60" i="2" s="1"/>
  <c r="EM60" i="2" s="1"/>
  <c r="BT18" i="2"/>
  <c r="BT60" i="2" s="1"/>
  <c r="EL60" i="2" s="1"/>
  <c r="BS18" i="2"/>
  <c r="BS60" i="2" s="1"/>
  <c r="EK60" i="2" s="1"/>
  <c r="BR18" i="2"/>
  <c r="BR60" i="2" s="1"/>
  <c r="EJ60" i="2" s="1"/>
  <c r="BQ18" i="2"/>
  <c r="BQ60" i="2" s="1"/>
  <c r="EI60" i="2" s="1"/>
  <c r="BI18" i="2"/>
  <c r="BM18" i="2" s="1"/>
  <c r="BF18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CJ17" i="2"/>
  <c r="CI17" i="2"/>
  <c r="CH17" i="2"/>
  <c r="CG17" i="2"/>
  <c r="CF17" i="2"/>
  <c r="CE17" i="2"/>
  <c r="CD17" i="2"/>
  <c r="CC17" i="2"/>
  <c r="CB17" i="2"/>
  <c r="CB59" i="2" s="1"/>
  <c r="ET59" i="2" s="1"/>
  <c r="ET70" i="2" s="1"/>
  <c r="CA17" i="2"/>
  <c r="CA59" i="2" s="1"/>
  <c r="ES59" i="2" s="1"/>
  <c r="BZ17" i="2"/>
  <c r="BZ59" i="2" s="1"/>
  <c r="ER59" i="2" s="1"/>
  <c r="ER70" i="2" s="1"/>
  <c r="BY17" i="2"/>
  <c r="BY59" i="2" s="1"/>
  <c r="EQ59" i="2" s="1"/>
  <c r="EQ70" i="2" s="1"/>
  <c r="BX17" i="2"/>
  <c r="BX59" i="2" s="1"/>
  <c r="EP59" i="2" s="1"/>
  <c r="EP70" i="2" s="1"/>
  <c r="BW17" i="2"/>
  <c r="BW59" i="2" s="1"/>
  <c r="EO59" i="2" s="1"/>
  <c r="EO70" i="2" s="1"/>
  <c r="BV17" i="2"/>
  <c r="BV59" i="2" s="1"/>
  <c r="EN59" i="2" s="1"/>
  <c r="BU17" i="2"/>
  <c r="BU59" i="2" s="1"/>
  <c r="EM59" i="2" s="1"/>
  <c r="BT17" i="2"/>
  <c r="BT59" i="2" s="1"/>
  <c r="EL59" i="2" s="1"/>
  <c r="BS17" i="2"/>
  <c r="BS59" i="2" s="1"/>
  <c r="EK59" i="2" s="1"/>
  <c r="BR17" i="2"/>
  <c r="BR59" i="2" s="1"/>
  <c r="EJ59" i="2" s="1"/>
  <c r="BQ17" i="2"/>
  <c r="BQ59" i="2" s="1"/>
  <c r="EI59" i="2" s="1"/>
  <c r="BM17" i="2"/>
  <c r="BF17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X58" i="2" s="1"/>
  <c r="EP58" i="2" s="1"/>
  <c r="BW16" i="2"/>
  <c r="BW58" i="2" s="1"/>
  <c r="EO58" i="2" s="1"/>
  <c r="BV16" i="2"/>
  <c r="BV58" i="2" s="1"/>
  <c r="EN58" i="2" s="1"/>
  <c r="BU16" i="2"/>
  <c r="BU58" i="2" s="1"/>
  <c r="EM58" i="2" s="1"/>
  <c r="BT16" i="2"/>
  <c r="BT58" i="2" s="1"/>
  <c r="EL58" i="2" s="1"/>
  <c r="BS16" i="2"/>
  <c r="BS58" i="2" s="1"/>
  <c r="EK58" i="2" s="1"/>
  <c r="BR16" i="2"/>
  <c r="BR58" i="2" s="1"/>
  <c r="EJ58" i="2" s="1"/>
  <c r="BQ16" i="2"/>
  <c r="BQ58" i="2" s="1"/>
  <c r="EI58" i="2" s="1"/>
  <c r="BM16" i="2"/>
  <c r="BF16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X57" i="2" s="1"/>
  <c r="EP57" i="2" s="1"/>
  <c r="BW15" i="2"/>
  <c r="BW57" i="2" s="1"/>
  <c r="EO57" i="2" s="1"/>
  <c r="BV15" i="2"/>
  <c r="BV57" i="2" s="1"/>
  <c r="EN57" i="2" s="1"/>
  <c r="BU15" i="2"/>
  <c r="BU57" i="2" s="1"/>
  <c r="EM57" i="2" s="1"/>
  <c r="BT15" i="2"/>
  <c r="BT57" i="2" s="1"/>
  <c r="EL57" i="2" s="1"/>
  <c r="BS15" i="2"/>
  <c r="BS57" i="2" s="1"/>
  <c r="EK57" i="2" s="1"/>
  <c r="BR15" i="2"/>
  <c r="BR57" i="2" s="1"/>
  <c r="EJ57" i="2" s="1"/>
  <c r="BQ15" i="2"/>
  <c r="BQ57" i="2" s="1"/>
  <c r="EI57" i="2" s="1"/>
  <c r="BM15" i="2"/>
  <c r="BF15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GX14" i="2"/>
  <c r="GW14" i="2"/>
  <c r="GV14" i="2"/>
  <c r="CJ14" i="2"/>
  <c r="CI14" i="2"/>
  <c r="CI56" i="2" s="1"/>
  <c r="CH14" i="2"/>
  <c r="CG14" i="2"/>
  <c r="CF14" i="2"/>
  <c r="CE14" i="2"/>
  <c r="CD14" i="2"/>
  <c r="CC14" i="2"/>
  <c r="CC56" i="2" s="1"/>
  <c r="CB14" i="2"/>
  <c r="CA14" i="2"/>
  <c r="BZ14" i="2"/>
  <c r="BY14" i="2"/>
  <c r="BX14" i="2"/>
  <c r="BX56" i="2" s="1"/>
  <c r="EP56" i="2" s="1"/>
  <c r="BW14" i="2"/>
  <c r="BW56" i="2" s="1"/>
  <c r="EO56" i="2" s="1"/>
  <c r="BV14" i="2"/>
  <c r="BV56" i="2" s="1"/>
  <c r="EN56" i="2" s="1"/>
  <c r="BU14" i="2"/>
  <c r="BU56" i="2" s="1"/>
  <c r="EM56" i="2" s="1"/>
  <c r="BT14" i="2"/>
  <c r="BT56" i="2" s="1"/>
  <c r="EL56" i="2" s="1"/>
  <c r="BS14" i="2"/>
  <c r="BS56" i="2" s="1"/>
  <c r="EK56" i="2" s="1"/>
  <c r="BR14" i="2"/>
  <c r="BR56" i="2" s="1"/>
  <c r="EJ56" i="2" s="1"/>
  <c r="BQ14" i="2"/>
  <c r="BQ56" i="2" s="1"/>
  <c r="EI56" i="2" s="1"/>
  <c r="BM14" i="2"/>
  <c r="BF14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CJ13" i="2"/>
  <c r="CI13" i="2"/>
  <c r="CH13" i="2"/>
  <c r="CG13" i="2"/>
  <c r="CF13" i="2"/>
  <c r="CF55" i="2" s="1"/>
  <c r="CE13" i="2"/>
  <c r="CE55" i="2" s="1"/>
  <c r="CD13" i="2"/>
  <c r="CC13" i="2"/>
  <c r="CB13" i="2"/>
  <c r="CA13" i="2"/>
  <c r="BZ13" i="2"/>
  <c r="BY13" i="2"/>
  <c r="BY55" i="2" s="1"/>
  <c r="BX13" i="2"/>
  <c r="BX55" i="2" s="1"/>
  <c r="EP55" i="2" s="1"/>
  <c r="EP69" i="2" s="1"/>
  <c r="BW13" i="2"/>
  <c r="BW55" i="2" s="1"/>
  <c r="EO55" i="2" s="1"/>
  <c r="BV13" i="2"/>
  <c r="BV55" i="2" s="1"/>
  <c r="EN55" i="2" s="1"/>
  <c r="BU13" i="2"/>
  <c r="BU55" i="2" s="1"/>
  <c r="EM55" i="2" s="1"/>
  <c r="BT13" i="2"/>
  <c r="BT55" i="2" s="1"/>
  <c r="EL55" i="2" s="1"/>
  <c r="EL69" i="2" s="1"/>
  <c r="BS13" i="2"/>
  <c r="BS55" i="2" s="1"/>
  <c r="EK55" i="2" s="1"/>
  <c r="BR13" i="2"/>
  <c r="BR55" i="2" s="1"/>
  <c r="EJ55" i="2" s="1"/>
  <c r="EJ69" i="2" s="1"/>
  <c r="BQ13" i="2"/>
  <c r="BQ55" i="2" s="1"/>
  <c r="EI55" i="2" s="1"/>
  <c r="BM13" i="2"/>
  <c r="BF13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M12" i="2"/>
  <c r="BF12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GX11" i="2"/>
  <c r="GW11" i="2"/>
  <c r="GV11" i="2"/>
  <c r="CJ11" i="2"/>
  <c r="CI11" i="2"/>
  <c r="CH11" i="2"/>
  <c r="CG11" i="2"/>
  <c r="CF11" i="2"/>
  <c r="CE11" i="2"/>
  <c r="CE53" i="2" s="1"/>
  <c r="CD11" i="2"/>
  <c r="CD53" i="2" s="1"/>
  <c r="CC11" i="2"/>
  <c r="CC53" i="2" s="1"/>
  <c r="CB11" i="2"/>
  <c r="CB53" i="2" s="1"/>
  <c r="CA11" i="2"/>
  <c r="BZ11" i="2"/>
  <c r="BY11" i="2"/>
  <c r="BX11" i="2"/>
  <c r="BW11" i="2"/>
  <c r="BV11" i="2"/>
  <c r="BU11" i="2"/>
  <c r="BM11" i="2"/>
  <c r="BF11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GX10" i="2"/>
  <c r="GW10" i="2"/>
  <c r="GV10" i="2"/>
  <c r="CJ10" i="2"/>
  <c r="CJ52" i="2" s="1"/>
  <c r="CI10" i="2"/>
  <c r="CI52" i="2" s="1"/>
  <c r="CH10" i="2"/>
  <c r="CH52" i="2" s="1"/>
  <c r="CG10" i="2"/>
  <c r="CF10" i="2"/>
  <c r="CE10" i="2"/>
  <c r="CD10" i="2"/>
  <c r="CC10" i="2"/>
  <c r="CB10" i="2"/>
  <c r="CA10" i="2"/>
  <c r="BZ10" i="2"/>
  <c r="BY10" i="2"/>
  <c r="BX10" i="2"/>
  <c r="BX52" i="2" s="1"/>
  <c r="BW10" i="2"/>
  <c r="BW52" i="2" s="1"/>
  <c r="BV10" i="2"/>
  <c r="BV52" i="2" s="1"/>
  <c r="BU10" i="2"/>
  <c r="BM10" i="2"/>
  <c r="BF10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CJ9" i="2"/>
  <c r="CI9" i="2"/>
  <c r="CH9" i="2"/>
  <c r="CG9" i="2"/>
  <c r="CG51" i="2" s="1"/>
  <c r="CF9" i="2"/>
  <c r="CE9" i="2"/>
  <c r="CD9" i="2"/>
  <c r="CC9" i="2"/>
  <c r="CC51" i="2" s="1"/>
  <c r="CB9" i="2"/>
  <c r="CB51" i="2" s="1"/>
  <c r="CA9" i="2"/>
  <c r="BZ9" i="2"/>
  <c r="BY9" i="2"/>
  <c r="BX9" i="2"/>
  <c r="BW9" i="2"/>
  <c r="BV9" i="2"/>
  <c r="BV51" i="2" s="1"/>
  <c r="BU9" i="2"/>
  <c r="BU51" i="2" s="1"/>
  <c r="BM9" i="2"/>
  <c r="BF9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CJ8" i="2"/>
  <c r="CI8" i="2"/>
  <c r="CH8" i="2"/>
  <c r="CG8" i="2"/>
  <c r="CF8" i="2"/>
  <c r="CE8" i="2"/>
  <c r="CD8" i="2"/>
  <c r="CC8" i="2"/>
  <c r="CC50" i="2" s="1"/>
  <c r="CB8" i="2"/>
  <c r="CB50" i="2" s="1"/>
  <c r="CA8" i="2"/>
  <c r="CA50" i="2" s="1"/>
  <c r="BZ8" i="2"/>
  <c r="BZ50" i="2" s="1"/>
  <c r="BY8" i="2"/>
  <c r="BX8" i="2"/>
  <c r="BW8" i="2"/>
  <c r="BV8" i="2"/>
  <c r="BU8" i="2"/>
  <c r="BT8" i="2"/>
  <c r="BS8" i="2"/>
  <c r="BS50" i="2" s="1"/>
  <c r="BR8" i="2"/>
  <c r="BQ8" i="2"/>
  <c r="BQ50" i="2" s="1"/>
  <c r="BM8" i="2"/>
  <c r="BF8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CJ7" i="2"/>
  <c r="CI7" i="2"/>
  <c r="CI49" i="2" s="1"/>
  <c r="CH7" i="2"/>
  <c r="CH49" i="2" s="1"/>
  <c r="CG7" i="2"/>
  <c r="CF7" i="2"/>
  <c r="CE7" i="2"/>
  <c r="CE49" i="2" s="1"/>
  <c r="CD7" i="2"/>
  <c r="CD49" i="2" s="1"/>
  <c r="CC7" i="2"/>
  <c r="CB7" i="2"/>
  <c r="CB49" i="2" s="1"/>
  <c r="CA7" i="2"/>
  <c r="BZ7" i="2"/>
  <c r="BY7" i="2"/>
  <c r="BX7" i="2"/>
  <c r="BW7" i="2"/>
  <c r="BW49" i="2" s="1"/>
  <c r="BV7" i="2"/>
  <c r="BV49" i="2" s="1"/>
  <c r="BU7" i="2"/>
  <c r="BT7" i="2"/>
  <c r="BT49" i="2" s="1"/>
  <c r="BS7" i="2"/>
  <c r="BR7" i="2"/>
  <c r="BQ7" i="2"/>
  <c r="BI7" i="2"/>
  <c r="BM7" i="2" s="1"/>
  <c r="BF7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CJ6" i="2"/>
  <c r="CJ48" i="2" s="1"/>
  <c r="CI6" i="2"/>
  <c r="CI48" i="2" s="1"/>
  <c r="CH6" i="2"/>
  <c r="CH48" i="2" s="1"/>
  <c r="CG6" i="2"/>
  <c r="CF6" i="2"/>
  <c r="CE6" i="2"/>
  <c r="CD6" i="2"/>
  <c r="CC6" i="2"/>
  <c r="CB6" i="2"/>
  <c r="CA6" i="2"/>
  <c r="CA48" i="2" s="1"/>
  <c r="BZ6" i="2"/>
  <c r="BY6" i="2"/>
  <c r="BY48" i="2" s="1"/>
  <c r="BX6" i="2"/>
  <c r="BX48" i="2" s="1"/>
  <c r="BW6" i="2"/>
  <c r="BW48" i="2" s="1"/>
  <c r="BV6" i="2"/>
  <c r="BV48" i="2" s="1"/>
  <c r="BU6" i="2"/>
  <c r="BT6" i="2"/>
  <c r="BS6" i="2"/>
  <c r="BR6" i="2"/>
  <c r="BQ6" i="2"/>
  <c r="BM6" i="2"/>
  <c r="BF6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CJ5" i="2"/>
  <c r="CJ47" i="2" s="1"/>
  <c r="CI5" i="2"/>
  <c r="CH5" i="2"/>
  <c r="CG5" i="2"/>
  <c r="CF5" i="2"/>
  <c r="CE5" i="2"/>
  <c r="CD5" i="2"/>
  <c r="CC5" i="2"/>
  <c r="CC47" i="2" s="1"/>
  <c r="CB5" i="2"/>
  <c r="CB47" i="2" s="1"/>
  <c r="CA5" i="2"/>
  <c r="CA47" i="2" s="1"/>
  <c r="BZ5" i="2"/>
  <c r="BY5" i="2"/>
  <c r="BX5" i="2"/>
  <c r="BX47" i="2" s="1"/>
  <c r="BW5" i="2"/>
  <c r="BV5" i="2"/>
  <c r="BU5" i="2"/>
  <c r="BT5" i="2"/>
  <c r="BT47" i="2" s="1"/>
  <c r="BS5" i="2"/>
  <c r="BR5" i="2"/>
  <c r="BQ5" i="2"/>
  <c r="BQ47" i="2" s="1"/>
  <c r="BI5" i="2"/>
  <c r="BM5" i="2" s="1"/>
  <c r="BF5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DI4" i="2" a="1"/>
  <c r="DI4" i="2" s="1"/>
  <c r="CJ4" i="2"/>
  <c r="CI4" i="2"/>
  <c r="CI46" i="2" s="1"/>
  <c r="CH4" i="2"/>
  <c r="CG4" i="2"/>
  <c r="CG46" i="2" s="1"/>
  <c r="CF4" i="2"/>
  <c r="CE4" i="2"/>
  <c r="CD4" i="2"/>
  <c r="CC4" i="2"/>
  <c r="CB4" i="2"/>
  <c r="CA4" i="2"/>
  <c r="BZ4" i="2"/>
  <c r="BY4" i="2"/>
  <c r="BY46" i="2" s="1"/>
  <c r="BX4" i="2"/>
  <c r="BW4" i="2"/>
  <c r="BV4" i="2"/>
  <c r="BU4" i="2"/>
  <c r="BU46" i="2" s="1"/>
  <c r="BT4" i="2"/>
  <c r="BS4" i="2"/>
  <c r="BR4" i="2"/>
  <c r="BQ4" i="2"/>
  <c r="BM4" i="2"/>
  <c r="BF4" i="2"/>
  <c r="C4" i="2" a="1"/>
  <c r="V48" i="2" s="1"/>
  <c r="FB48" i="2" s="1"/>
  <c r="B91" i="1"/>
  <c r="B90" i="1"/>
  <c r="B89" i="1"/>
  <c r="B87" i="1"/>
  <c r="B85" i="1"/>
  <c r="B81" i="1"/>
  <c r="B66" i="1"/>
  <c r="B65" i="1"/>
  <c r="B63" i="1"/>
  <c r="B59" i="1"/>
  <c r="B34" i="1"/>
  <c r="B31" i="1"/>
  <c r="B30" i="1"/>
  <c r="B29" i="1"/>
  <c r="B23" i="1"/>
  <c r="B20" i="1"/>
  <c r="B19" i="1"/>
  <c r="B2" i="1"/>
  <c r="B1" i="1"/>
  <c r="E10" i="1" l="1"/>
  <c r="E21" i="1"/>
  <c r="E20" i="1"/>
  <c r="J21" i="8"/>
  <c r="L21" i="9"/>
  <c r="K34" i="9"/>
  <c r="J21" i="9"/>
  <c r="Q20" i="9"/>
  <c r="O22" i="9"/>
  <c r="S22" i="9"/>
  <c r="O20" i="9"/>
  <c r="E10" i="10"/>
  <c r="E20" i="10" s="1"/>
  <c r="J21" i="10"/>
  <c r="R22" i="10"/>
  <c r="G22" i="10"/>
  <c r="R22" i="11"/>
  <c r="O22" i="11"/>
  <c r="O20" i="11"/>
  <c r="M20" i="5"/>
  <c r="J22" i="10"/>
  <c r="Q20" i="11"/>
  <c r="O21" i="10"/>
  <c r="H21" i="11"/>
  <c r="Q21" i="12"/>
  <c r="O20" i="12"/>
  <c r="EM69" i="2"/>
  <c r="Q22" i="11"/>
  <c r="F22" i="9"/>
  <c r="S22" i="11"/>
  <c r="Q20" i="6"/>
  <c r="L21" i="6"/>
  <c r="G21" i="8"/>
  <c r="G22" i="9"/>
  <c r="Q21" i="9"/>
  <c r="L21" i="12"/>
  <c r="J34" i="6"/>
  <c r="Q22" i="9"/>
  <c r="R22" i="9"/>
  <c r="T21" i="11"/>
  <c r="ES70" i="2"/>
  <c r="Z27" i="13"/>
  <c r="M30" i="13"/>
  <c r="M23" i="13"/>
  <c r="N30" i="13"/>
  <c r="O23" i="13"/>
  <c r="P30" i="13"/>
  <c r="Q20" i="13"/>
  <c r="R30" i="13"/>
  <c r="L21" i="13"/>
  <c r="R23" i="13"/>
  <c r="S30" i="13"/>
  <c r="Q22" i="13"/>
  <c r="T23" i="13"/>
  <c r="I31" i="13"/>
  <c r="U22" i="13"/>
  <c r="U23" i="13"/>
  <c r="K31" i="13"/>
  <c r="N31" i="13"/>
  <c r="E20" i="13"/>
  <c r="I22" i="6"/>
  <c r="I21" i="7"/>
  <c r="O22" i="7"/>
  <c r="M21" i="5"/>
  <c r="U21" i="8"/>
  <c r="S22" i="8"/>
  <c r="E11" i="9"/>
  <c r="E22" i="9" s="1"/>
  <c r="N22" i="9"/>
  <c r="S22" i="10"/>
  <c r="H22" i="11"/>
  <c r="H21" i="12"/>
  <c r="S22" i="12"/>
  <c r="O22" i="13"/>
  <c r="L22" i="6"/>
  <c r="P22" i="7"/>
  <c r="G22" i="5"/>
  <c r="T22" i="8"/>
  <c r="P22" i="9"/>
  <c r="L22" i="11"/>
  <c r="J21" i="12"/>
  <c r="T22" i="12"/>
  <c r="P22" i="13"/>
  <c r="O20" i="13"/>
  <c r="Q22" i="6"/>
  <c r="H22" i="5"/>
  <c r="H21" i="8"/>
  <c r="F22" i="8"/>
  <c r="J34" i="8"/>
  <c r="BM46" i="2"/>
  <c r="BM55" i="2" s="1"/>
  <c r="Q21" i="7"/>
  <c r="R22" i="7"/>
  <c r="E10" i="5"/>
  <c r="I22" i="5"/>
  <c r="E10" i="8"/>
  <c r="I21" i="8"/>
  <c r="G22" i="8"/>
  <c r="J34" i="9"/>
  <c r="Q20" i="10"/>
  <c r="J34" i="10"/>
  <c r="G21" i="11"/>
  <c r="M21" i="12"/>
  <c r="J21" i="13"/>
  <c r="S22" i="13"/>
  <c r="AD47" i="3" a="1"/>
  <c r="J22" i="1"/>
  <c r="U21" i="7"/>
  <c r="U22" i="7"/>
  <c r="M22" i="5"/>
  <c r="E11" i="8"/>
  <c r="E22" i="8" s="1"/>
  <c r="K21" i="8"/>
  <c r="J22" i="8"/>
  <c r="U22" i="9"/>
  <c r="L21" i="10"/>
  <c r="J21" i="11"/>
  <c r="T22" i="11"/>
  <c r="E11" i="12"/>
  <c r="E22" i="12" s="1"/>
  <c r="T21" i="12"/>
  <c r="J34" i="12"/>
  <c r="O21" i="13"/>
  <c r="J33" i="13"/>
  <c r="F22" i="7"/>
  <c r="E26" i="5"/>
  <c r="L21" i="8"/>
  <c r="L22" i="8"/>
  <c r="M21" i="8"/>
  <c r="N22" i="8"/>
  <c r="Q21" i="10"/>
  <c r="M21" i="11"/>
  <c r="G22" i="12"/>
  <c r="G22" i="13"/>
  <c r="I22" i="7"/>
  <c r="O21" i="8"/>
  <c r="O22" i="8"/>
  <c r="O20" i="10"/>
  <c r="Q21" i="11"/>
  <c r="H22" i="12"/>
  <c r="I22" i="13"/>
  <c r="F21" i="5"/>
  <c r="K21" i="5"/>
  <c r="Q21" i="8"/>
  <c r="P22" i="8"/>
  <c r="P20" i="8"/>
  <c r="L22" i="12"/>
  <c r="J22" i="13"/>
  <c r="EN69" i="2"/>
  <c r="EN70" i="2"/>
  <c r="Q20" i="7"/>
  <c r="M22" i="7"/>
  <c r="H21" i="5"/>
  <c r="G26" i="5"/>
  <c r="S21" i="8"/>
  <c r="Q22" i="8"/>
  <c r="I22" i="9"/>
  <c r="L22" i="10"/>
  <c r="J34" i="11"/>
  <c r="Q20" i="12"/>
  <c r="O22" i="12"/>
  <c r="E11" i="13"/>
  <c r="E22" i="13" s="1"/>
  <c r="L22" i="13"/>
  <c r="K22" i="5"/>
  <c r="H22" i="8"/>
  <c r="G22" i="6"/>
  <c r="F21" i="7"/>
  <c r="N22" i="7"/>
  <c r="J34" i="7"/>
  <c r="J21" i="5"/>
  <c r="J34" i="5"/>
  <c r="Q20" i="8"/>
  <c r="T21" i="8"/>
  <c r="R22" i="8"/>
  <c r="L22" i="9"/>
  <c r="E11" i="10"/>
  <c r="E22" i="10" s="1"/>
  <c r="Q22" i="10"/>
  <c r="E11" i="11"/>
  <c r="E22" i="11" s="1"/>
  <c r="G22" i="11"/>
  <c r="Q22" i="12"/>
  <c r="N22" i="13"/>
  <c r="E8" i="13"/>
  <c r="F20" i="13"/>
  <c r="R20" i="13"/>
  <c r="M21" i="13"/>
  <c r="H22" i="13"/>
  <c r="T22" i="13"/>
  <c r="N23" i="13"/>
  <c r="P25" i="13"/>
  <c r="E30" i="13"/>
  <c r="Q30" i="13"/>
  <c r="L31" i="13"/>
  <c r="L33" i="13"/>
  <c r="O25" i="13"/>
  <c r="G20" i="13"/>
  <c r="S20" i="13"/>
  <c r="N21" i="13"/>
  <c r="E25" i="13"/>
  <c r="Q25" i="13"/>
  <c r="M31" i="13"/>
  <c r="M33" i="13"/>
  <c r="H20" i="13"/>
  <c r="T20" i="13"/>
  <c r="F25" i="13"/>
  <c r="R25" i="13"/>
  <c r="N33" i="13"/>
  <c r="I20" i="13"/>
  <c r="U20" i="13"/>
  <c r="P21" i="13"/>
  <c r="K22" i="13"/>
  <c r="E23" i="13"/>
  <c r="Z24" i="13" s="1"/>
  <c r="Q23" i="13"/>
  <c r="G25" i="13"/>
  <c r="S25" i="13"/>
  <c r="H30" i="13"/>
  <c r="T30" i="13"/>
  <c r="O31" i="13"/>
  <c r="O33" i="13"/>
  <c r="J20" i="13"/>
  <c r="E21" i="13"/>
  <c r="Q21" i="13"/>
  <c r="H25" i="13"/>
  <c r="T25" i="13"/>
  <c r="I30" i="13"/>
  <c r="U30" i="13"/>
  <c r="P31" i="13"/>
  <c r="P33" i="13"/>
  <c r="K20" i="13"/>
  <c r="F21" i="13"/>
  <c r="R21" i="13"/>
  <c r="M22" i="13"/>
  <c r="G23" i="13"/>
  <c r="S23" i="13"/>
  <c r="I25" i="13"/>
  <c r="U25" i="13"/>
  <c r="J30" i="13"/>
  <c r="E31" i="13"/>
  <c r="Q31" i="13"/>
  <c r="E33" i="13"/>
  <c r="Q33" i="13"/>
  <c r="L20" i="13"/>
  <c r="G21" i="13"/>
  <c r="S21" i="13"/>
  <c r="J25" i="13"/>
  <c r="F31" i="13"/>
  <c r="R31" i="13"/>
  <c r="F33" i="13"/>
  <c r="R33" i="13"/>
  <c r="K33" i="13"/>
  <c r="M20" i="13"/>
  <c r="H21" i="13"/>
  <c r="T21" i="13"/>
  <c r="K25" i="13"/>
  <c r="G31" i="13"/>
  <c r="S31" i="13"/>
  <c r="G33" i="13"/>
  <c r="S33" i="13"/>
  <c r="N20" i="13"/>
  <c r="I21" i="13"/>
  <c r="U21" i="13"/>
  <c r="L25" i="13"/>
  <c r="H31" i="13"/>
  <c r="T31" i="13"/>
  <c r="H33" i="13"/>
  <c r="T33" i="13"/>
  <c r="M25" i="13"/>
  <c r="I33" i="13"/>
  <c r="U33" i="13"/>
  <c r="P20" i="13"/>
  <c r="K21" i="13"/>
  <c r="F22" i="13"/>
  <c r="N25" i="13"/>
  <c r="B32" i="13"/>
  <c r="F20" i="12"/>
  <c r="G20" i="12"/>
  <c r="S20" i="12"/>
  <c r="N21" i="12"/>
  <c r="I22" i="12"/>
  <c r="U22" i="12"/>
  <c r="E26" i="12"/>
  <c r="Q26" i="12"/>
  <c r="M34" i="12"/>
  <c r="R20" i="12"/>
  <c r="E10" i="12"/>
  <c r="H20" i="12"/>
  <c r="T20" i="12"/>
  <c r="O21" i="12"/>
  <c r="J22" i="12"/>
  <c r="F26" i="12"/>
  <c r="R26" i="12"/>
  <c r="N34" i="12"/>
  <c r="I20" i="12"/>
  <c r="U20" i="12"/>
  <c r="P21" i="12"/>
  <c r="K22" i="12"/>
  <c r="G26" i="12"/>
  <c r="S26" i="12"/>
  <c r="O34" i="12"/>
  <c r="J20" i="12"/>
  <c r="H26" i="12"/>
  <c r="T26" i="12"/>
  <c r="P34" i="12"/>
  <c r="K20" i="12"/>
  <c r="F21" i="12"/>
  <c r="R21" i="12"/>
  <c r="M22" i="12"/>
  <c r="G23" i="12"/>
  <c r="S23" i="12"/>
  <c r="I26" i="12"/>
  <c r="U26" i="12"/>
  <c r="J31" i="12"/>
  <c r="E32" i="12"/>
  <c r="Q32" i="12"/>
  <c r="E34" i="12"/>
  <c r="Q34" i="12"/>
  <c r="E8" i="12"/>
  <c r="L20" i="12"/>
  <c r="S21" i="12"/>
  <c r="N22" i="12"/>
  <c r="J26" i="12"/>
  <c r="F34" i="12"/>
  <c r="R34" i="12"/>
  <c r="P26" i="12"/>
  <c r="L34" i="12"/>
  <c r="M20" i="12"/>
  <c r="K26" i="12"/>
  <c r="G34" i="12"/>
  <c r="S34" i="12"/>
  <c r="O26" i="12"/>
  <c r="K34" i="12"/>
  <c r="N20" i="12"/>
  <c r="I21" i="12"/>
  <c r="U21" i="12"/>
  <c r="P22" i="12"/>
  <c r="L26" i="12"/>
  <c r="H34" i="12"/>
  <c r="T34" i="12"/>
  <c r="M26" i="12"/>
  <c r="I34" i="12"/>
  <c r="U34" i="12"/>
  <c r="P20" i="12"/>
  <c r="K21" i="12"/>
  <c r="F22" i="12"/>
  <c r="N26" i="12"/>
  <c r="B33" i="12"/>
  <c r="B35" i="12"/>
  <c r="E8" i="11"/>
  <c r="F20" i="11"/>
  <c r="R20" i="11"/>
  <c r="P26" i="11"/>
  <c r="L34" i="11"/>
  <c r="K34" i="11"/>
  <c r="G20" i="11"/>
  <c r="S20" i="11"/>
  <c r="N21" i="11"/>
  <c r="I22" i="11"/>
  <c r="U22" i="11"/>
  <c r="E26" i="11"/>
  <c r="Q26" i="11"/>
  <c r="M34" i="11"/>
  <c r="E10" i="11"/>
  <c r="E34" i="11" s="1"/>
  <c r="H20" i="11"/>
  <c r="T20" i="11"/>
  <c r="O21" i="11"/>
  <c r="J22" i="11"/>
  <c r="P23" i="11"/>
  <c r="F26" i="11"/>
  <c r="R26" i="11"/>
  <c r="N34" i="11"/>
  <c r="I20" i="11"/>
  <c r="U20" i="11"/>
  <c r="P21" i="11"/>
  <c r="K22" i="11"/>
  <c r="G26" i="11"/>
  <c r="S26" i="11"/>
  <c r="O34" i="11"/>
  <c r="O26" i="11"/>
  <c r="J20" i="11"/>
  <c r="H26" i="11"/>
  <c r="T26" i="11"/>
  <c r="P34" i="11"/>
  <c r="K20" i="11"/>
  <c r="F21" i="11"/>
  <c r="R21" i="11"/>
  <c r="M22" i="11"/>
  <c r="I26" i="11"/>
  <c r="U26" i="11"/>
  <c r="Q34" i="11"/>
  <c r="L20" i="11"/>
  <c r="S21" i="11"/>
  <c r="N22" i="11"/>
  <c r="J26" i="11"/>
  <c r="F34" i="11"/>
  <c r="R34" i="11"/>
  <c r="M20" i="11"/>
  <c r="K26" i="11"/>
  <c r="G34" i="11"/>
  <c r="S34" i="11"/>
  <c r="N20" i="11"/>
  <c r="I21" i="11"/>
  <c r="U21" i="11"/>
  <c r="P22" i="11"/>
  <c r="L26" i="11"/>
  <c r="H34" i="11"/>
  <c r="T34" i="11"/>
  <c r="M26" i="11"/>
  <c r="I34" i="11"/>
  <c r="U34" i="11"/>
  <c r="P20" i="11"/>
  <c r="K21" i="11"/>
  <c r="F22" i="11"/>
  <c r="N26" i="11"/>
  <c r="B33" i="11"/>
  <c r="E8" i="10"/>
  <c r="F20" i="10"/>
  <c r="R20" i="10"/>
  <c r="M21" i="10"/>
  <c r="H22" i="10"/>
  <c r="T22" i="10"/>
  <c r="P26" i="10"/>
  <c r="L34" i="10"/>
  <c r="G20" i="10"/>
  <c r="S20" i="10"/>
  <c r="N21" i="10"/>
  <c r="I22" i="10"/>
  <c r="U22" i="10"/>
  <c r="E26" i="10"/>
  <c r="Q26" i="10"/>
  <c r="M34" i="10"/>
  <c r="H20" i="10"/>
  <c r="T20" i="10"/>
  <c r="F26" i="10"/>
  <c r="R26" i="10"/>
  <c r="N34" i="10"/>
  <c r="I20" i="10"/>
  <c r="U20" i="10"/>
  <c r="P21" i="10"/>
  <c r="K22" i="10"/>
  <c r="G26" i="10"/>
  <c r="S26" i="10"/>
  <c r="O34" i="10"/>
  <c r="J20" i="10"/>
  <c r="E21" i="10"/>
  <c r="H26" i="10"/>
  <c r="T26" i="10"/>
  <c r="P34" i="10"/>
  <c r="K20" i="10"/>
  <c r="F21" i="10"/>
  <c r="R21" i="10"/>
  <c r="M22" i="10"/>
  <c r="I26" i="10"/>
  <c r="U26" i="10"/>
  <c r="E34" i="10"/>
  <c r="Q34" i="10"/>
  <c r="L20" i="10"/>
  <c r="G21" i="10"/>
  <c r="S21" i="10"/>
  <c r="N22" i="10"/>
  <c r="J26" i="10"/>
  <c r="F34" i="10"/>
  <c r="R34" i="10"/>
  <c r="M20" i="10"/>
  <c r="H21" i="10"/>
  <c r="T21" i="10"/>
  <c r="O22" i="10"/>
  <c r="I23" i="10"/>
  <c r="U23" i="10"/>
  <c r="K26" i="10"/>
  <c r="G34" i="10"/>
  <c r="S34" i="10"/>
  <c r="N20" i="10"/>
  <c r="I21" i="10"/>
  <c r="U21" i="10"/>
  <c r="P22" i="10"/>
  <c r="J23" i="10"/>
  <c r="L26" i="10"/>
  <c r="H34" i="10"/>
  <c r="T34" i="10"/>
  <c r="M26" i="10"/>
  <c r="I34" i="10"/>
  <c r="U34" i="10"/>
  <c r="O26" i="10"/>
  <c r="K34" i="10"/>
  <c r="P20" i="10"/>
  <c r="K21" i="10"/>
  <c r="F22" i="10"/>
  <c r="N26" i="10"/>
  <c r="B33" i="10"/>
  <c r="E8" i="9"/>
  <c r="F20" i="9"/>
  <c r="R20" i="9"/>
  <c r="M21" i="9"/>
  <c r="H22" i="9"/>
  <c r="T22" i="9"/>
  <c r="N23" i="9"/>
  <c r="P26" i="9"/>
  <c r="E31" i="9"/>
  <c r="Q31" i="9"/>
  <c r="L34" i="9"/>
  <c r="G20" i="9"/>
  <c r="S20" i="9"/>
  <c r="N21" i="9"/>
  <c r="E26" i="9"/>
  <c r="Q26" i="9"/>
  <c r="M34" i="9"/>
  <c r="E10" i="9"/>
  <c r="H20" i="9"/>
  <c r="T20" i="9"/>
  <c r="O21" i="9"/>
  <c r="J22" i="9"/>
  <c r="P23" i="9"/>
  <c r="F26" i="9"/>
  <c r="R26" i="9"/>
  <c r="G31" i="9"/>
  <c r="S31" i="9"/>
  <c r="N34" i="9"/>
  <c r="I20" i="9"/>
  <c r="U20" i="9"/>
  <c r="P21" i="9"/>
  <c r="K22" i="9"/>
  <c r="E23" i="9"/>
  <c r="Q23" i="9"/>
  <c r="G26" i="9"/>
  <c r="S26" i="9"/>
  <c r="H31" i="9"/>
  <c r="T31" i="9"/>
  <c r="O34" i="9"/>
  <c r="J20" i="9"/>
  <c r="H26" i="9"/>
  <c r="T26" i="9"/>
  <c r="P34" i="9"/>
  <c r="O26" i="9"/>
  <c r="K20" i="9"/>
  <c r="F21" i="9"/>
  <c r="R21" i="9"/>
  <c r="M22" i="9"/>
  <c r="G23" i="9"/>
  <c r="S23" i="9"/>
  <c r="I26" i="9"/>
  <c r="U26" i="9"/>
  <c r="J31" i="9"/>
  <c r="E34" i="9"/>
  <c r="Q34" i="9"/>
  <c r="L20" i="9"/>
  <c r="G21" i="9"/>
  <c r="S21" i="9"/>
  <c r="J26" i="9"/>
  <c r="F34" i="9"/>
  <c r="R34" i="9"/>
  <c r="M20" i="9"/>
  <c r="H21" i="9"/>
  <c r="T21" i="9"/>
  <c r="I23" i="9"/>
  <c r="U23" i="9"/>
  <c r="K26" i="9"/>
  <c r="L31" i="9"/>
  <c r="G34" i="9"/>
  <c r="S34" i="9"/>
  <c r="N20" i="9"/>
  <c r="I21" i="9"/>
  <c r="U21" i="9"/>
  <c r="L26" i="9"/>
  <c r="H34" i="9"/>
  <c r="T34" i="9"/>
  <c r="M26" i="9"/>
  <c r="I34" i="9"/>
  <c r="U34" i="9"/>
  <c r="P20" i="9"/>
  <c r="K21" i="9"/>
  <c r="N26" i="9"/>
  <c r="B33" i="9"/>
  <c r="E8" i="8"/>
  <c r="F20" i="8"/>
  <c r="R20" i="8"/>
  <c r="P26" i="8"/>
  <c r="L34" i="8"/>
  <c r="G20" i="8"/>
  <c r="S20" i="8"/>
  <c r="N21" i="8"/>
  <c r="I22" i="8"/>
  <c r="U22" i="8"/>
  <c r="O23" i="8"/>
  <c r="E26" i="8"/>
  <c r="Q26" i="8"/>
  <c r="M32" i="8"/>
  <c r="M34" i="8"/>
  <c r="H20" i="8"/>
  <c r="T20" i="8"/>
  <c r="F26" i="8"/>
  <c r="R26" i="8"/>
  <c r="N34" i="8"/>
  <c r="K34" i="8"/>
  <c r="I20" i="8"/>
  <c r="U20" i="8"/>
  <c r="P21" i="8"/>
  <c r="K22" i="8"/>
  <c r="E23" i="8"/>
  <c r="Q23" i="8"/>
  <c r="G26" i="8"/>
  <c r="S26" i="8"/>
  <c r="O32" i="8"/>
  <c r="O34" i="8"/>
  <c r="J20" i="8"/>
  <c r="H26" i="8"/>
  <c r="T26" i="8"/>
  <c r="P34" i="8"/>
  <c r="K20" i="8"/>
  <c r="F21" i="8"/>
  <c r="R21" i="8"/>
  <c r="G23" i="8"/>
  <c r="S23" i="8"/>
  <c r="I26" i="8"/>
  <c r="U26" i="8"/>
  <c r="E32" i="8"/>
  <c r="Q32" i="8"/>
  <c r="Q34" i="8"/>
  <c r="O26" i="8"/>
  <c r="L20" i="8"/>
  <c r="J26" i="8"/>
  <c r="F32" i="8"/>
  <c r="R32" i="8"/>
  <c r="F34" i="8"/>
  <c r="R34" i="8"/>
  <c r="M20" i="8"/>
  <c r="K26" i="8"/>
  <c r="G34" i="8"/>
  <c r="S34" i="8"/>
  <c r="N20" i="8"/>
  <c r="L26" i="8"/>
  <c r="H34" i="8"/>
  <c r="T34" i="8"/>
  <c r="O20" i="8"/>
  <c r="M26" i="8"/>
  <c r="I34" i="8"/>
  <c r="U34" i="8"/>
  <c r="N26" i="8"/>
  <c r="B33" i="8"/>
  <c r="E22" i="7"/>
  <c r="F20" i="5"/>
  <c r="I21" i="5"/>
  <c r="L22" i="5"/>
  <c r="H26" i="5"/>
  <c r="E31" i="5"/>
  <c r="H32" i="5"/>
  <c r="L34" i="5"/>
  <c r="G20" i="5"/>
  <c r="I26" i="5"/>
  <c r="M34" i="5"/>
  <c r="E8" i="5"/>
  <c r="H20" i="5"/>
  <c r="J26" i="5"/>
  <c r="G31" i="5"/>
  <c r="I20" i="5"/>
  <c r="L21" i="5"/>
  <c r="E23" i="5"/>
  <c r="K26" i="5"/>
  <c r="H31" i="5"/>
  <c r="K32" i="5"/>
  <c r="J20" i="5"/>
  <c r="L26" i="5"/>
  <c r="K20" i="5"/>
  <c r="G23" i="5"/>
  <c r="M26" i="5"/>
  <c r="J31" i="5"/>
  <c r="M32" i="5"/>
  <c r="E34" i="5"/>
  <c r="E11" i="5"/>
  <c r="E22" i="5" s="1"/>
  <c r="L20" i="5"/>
  <c r="F22" i="5"/>
  <c r="K31" i="5"/>
  <c r="B33" i="5"/>
  <c r="F34" i="5"/>
  <c r="G34" i="5"/>
  <c r="H34" i="5"/>
  <c r="I34" i="5"/>
  <c r="K34" i="5"/>
  <c r="F26" i="5"/>
  <c r="G28" i="1"/>
  <c r="G28" i="6"/>
  <c r="G28" i="7"/>
  <c r="P28" i="6"/>
  <c r="P28" i="7"/>
  <c r="M28" i="7"/>
  <c r="M28" i="1"/>
  <c r="M28" i="6"/>
  <c r="K28" i="6"/>
  <c r="K28" i="7"/>
  <c r="K28" i="1"/>
  <c r="N28" i="7"/>
  <c r="N28" i="6"/>
  <c r="S28" i="7"/>
  <c r="I28" i="6"/>
  <c r="I28" i="7"/>
  <c r="I28" i="1"/>
  <c r="O28" i="6"/>
  <c r="H28" i="7"/>
  <c r="T28" i="7"/>
  <c r="F20" i="7"/>
  <c r="R20" i="7"/>
  <c r="M21" i="7"/>
  <c r="H22" i="7"/>
  <c r="T22" i="7"/>
  <c r="N23" i="7"/>
  <c r="P26" i="7"/>
  <c r="E31" i="7"/>
  <c r="Q31" i="7"/>
  <c r="L34" i="7"/>
  <c r="O26" i="7"/>
  <c r="G20" i="7"/>
  <c r="S20" i="7"/>
  <c r="N21" i="7"/>
  <c r="O23" i="7"/>
  <c r="E26" i="7"/>
  <c r="Q26" i="7"/>
  <c r="M34" i="7"/>
  <c r="H20" i="7"/>
  <c r="T20" i="7"/>
  <c r="O21" i="7"/>
  <c r="J22" i="7"/>
  <c r="P23" i="7"/>
  <c r="F26" i="7"/>
  <c r="R26" i="7"/>
  <c r="G31" i="7"/>
  <c r="S31" i="7"/>
  <c r="N34" i="7"/>
  <c r="I20" i="7"/>
  <c r="U20" i="7"/>
  <c r="P21" i="7"/>
  <c r="E23" i="7"/>
  <c r="Q23" i="7"/>
  <c r="G26" i="7"/>
  <c r="S26" i="7"/>
  <c r="H31" i="7"/>
  <c r="O34" i="7"/>
  <c r="J20" i="7"/>
  <c r="H26" i="7"/>
  <c r="T26" i="7"/>
  <c r="P34" i="7"/>
  <c r="K20" i="7"/>
  <c r="I26" i="7"/>
  <c r="U26" i="7"/>
  <c r="E34" i="7"/>
  <c r="Q34" i="7"/>
  <c r="L20" i="7"/>
  <c r="G21" i="7"/>
  <c r="S21" i="7"/>
  <c r="J26" i="7"/>
  <c r="F34" i="7"/>
  <c r="R34" i="7"/>
  <c r="M20" i="7"/>
  <c r="H21" i="7"/>
  <c r="T21" i="7"/>
  <c r="I23" i="7"/>
  <c r="U23" i="7"/>
  <c r="K26" i="7"/>
  <c r="G34" i="7"/>
  <c r="S34" i="7"/>
  <c r="K34" i="7"/>
  <c r="N20" i="7"/>
  <c r="L26" i="7"/>
  <c r="H34" i="7"/>
  <c r="T34" i="7"/>
  <c r="M26" i="7"/>
  <c r="I34" i="7"/>
  <c r="U34" i="7"/>
  <c r="P20" i="7"/>
  <c r="K21" i="7"/>
  <c r="N26" i="7"/>
  <c r="B33" i="7"/>
  <c r="O26" i="6"/>
  <c r="K34" i="6"/>
  <c r="F20" i="6"/>
  <c r="M21" i="6"/>
  <c r="H22" i="6"/>
  <c r="N23" i="6"/>
  <c r="P26" i="6"/>
  <c r="E31" i="6"/>
  <c r="Q31" i="6"/>
  <c r="L34" i="6"/>
  <c r="G20" i="6"/>
  <c r="N21" i="6"/>
  <c r="F31" i="6"/>
  <c r="E34" i="6"/>
  <c r="H20" i="6"/>
  <c r="O21" i="6"/>
  <c r="J22" i="6"/>
  <c r="P23" i="6"/>
  <c r="F26" i="6"/>
  <c r="G31" i="6"/>
  <c r="N34" i="6"/>
  <c r="E26" i="6"/>
  <c r="Q26" i="6"/>
  <c r="M34" i="6"/>
  <c r="I20" i="6"/>
  <c r="P21" i="6"/>
  <c r="K22" i="6"/>
  <c r="E23" i="6"/>
  <c r="Q23" i="6"/>
  <c r="G26" i="6"/>
  <c r="H31" i="6"/>
  <c r="O34" i="6"/>
  <c r="J20" i="6"/>
  <c r="Q21" i="6"/>
  <c r="H26" i="6"/>
  <c r="I31" i="6"/>
  <c r="P34" i="6"/>
  <c r="K20" i="6"/>
  <c r="F21" i="6"/>
  <c r="M22" i="6"/>
  <c r="G23" i="6"/>
  <c r="I26" i="6"/>
  <c r="J31" i="6"/>
  <c r="Q34" i="6"/>
  <c r="L20" i="6"/>
  <c r="G21" i="6"/>
  <c r="N22" i="6"/>
  <c r="H23" i="6"/>
  <c r="J26" i="6"/>
  <c r="K31" i="6"/>
  <c r="F34" i="6"/>
  <c r="M20" i="6"/>
  <c r="H21" i="6"/>
  <c r="O22" i="6"/>
  <c r="I23" i="6"/>
  <c r="K26" i="6"/>
  <c r="L31" i="6"/>
  <c r="G34" i="6"/>
  <c r="N20" i="6"/>
  <c r="I21" i="6"/>
  <c r="P22" i="6"/>
  <c r="J23" i="6"/>
  <c r="L26" i="6"/>
  <c r="M31" i="6"/>
  <c r="H34" i="6"/>
  <c r="O20" i="6"/>
  <c r="J21" i="6"/>
  <c r="M26" i="6"/>
  <c r="N31" i="6"/>
  <c r="I34" i="6"/>
  <c r="P20" i="6"/>
  <c r="K21" i="6"/>
  <c r="F22" i="6"/>
  <c r="N26" i="6"/>
  <c r="B33" i="6"/>
  <c r="I31" i="1"/>
  <c r="L31" i="1"/>
  <c r="H26" i="1"/>
  <c r="G32" i="1"/>
  <c r="E23" i="1"/>
  <c r="H23" i="1"/>
  <c r="F23" i="1"/>
  <c r="J31" i="1"/>
  <c r="E32" i="1"/>
  <c r="G23" i="1"/>
  <c r="K31" i="1"/>
  <c r="F32" i="1"/>
  <c r="I23" i="1"/>
  <c r="M31" i="1"/>
  <c r="H32" i="1"/>
  <c r="J23" i="1"/>
  <c r="I32" i="1"/>
  <c r="K23" i="1"/>
  <c r="J32" i="1"/>
  <c r="L23" i="1"/>
  <c r="K32" i="1"/>
  <c r="M23" i="1"/>
  <c r="E31" i="1"/>
  <c r="L32" i="1"/>
  <c r="F31" i="1"/>
  <c r="M32" i="1"/>
  <c r="K22" i="1"/>
  <c r="H31" i="1"/>
  <c r="I20" i="1"/>
  <c r="I34" i="1"/>
  <c r="J20" i="1"/>
  <c r="L22" i="1"/>
  <c r="I26" i="1"/>
  <c r="J34" i="1"/>
  <c r="K20" i="1"/>
  <c r="F21" i="1"/>
  <c r="M22" i="1"/>
  <c r="J26" i="1"/>
  <c r="K34" i="1"/>
  <c r="E22" i="1"/>
  <c r="L20" i="1"/>
  <c r="G21" i="1"/>
  <c r="K26" i="1"/>
  <c r="L34" i="1"/>
  <c r="M20" i="1"/>
  <c r="H21" i="1"/>
  <c r="L26" i="1"/>
  <c r="M34" i="1"/>
  <c r="I21" i="1"/>
  <c r="M26" i="1"/>
  <c r="J21" i="1"/>
  <c r="K21" i="1"/>
  <c r="F22" i="1"/>
  <c r="L21" i="1"/>
  <c r="G22" i="1"/>
  <c r="F20" i="1"/>
  <c r="M21" i="1"/>
  <c r="H22" i="1"/>
  <c r="E26" i="1"/>
  <c r="F34" i="1"/>
  <c r="G20" i="1"/>
  <c r="I22" i="1"/>
  <c r="F26" i="1"/>
  <c r="G34" i="1"/>
  <c r="H20" i="1"/>
  <c r="G26" i="1"/>
  <c r="H34" i="1"/>
  <c r="AQ30" i="3"/>
  <c r="AE30" i="3"/>
  <c r="AK29" i="3"/>
  <c r="AQ28" i="3"/>
  <c r="AE28" i="3"/>
  <c r="AK27" i="3"/>
  <c r="AQ26" i="3"/>
  <c r="AE26" i="3"/>
  <c r="AR30" i="3"/>
  <c r="AP30" i="3"/>
  <c r="AD30" i="3"/>
  <c r="AJ29" i="3"/>
  <c r="AP28" i="3"/>
  <c r="AD28" i="3"/>
  <c r="AJ27" i="3"/>
  <c r="AP26" i="3"/>
  <c r="AD26" i="3"/>
  <c r="AL27" i="3"/>
  <c r="AO30" i="3"/>
  <c r="AC30" i="3"/>
  <c r="AI29" i="3"/>
  <c r="AO28" i="3"/>
  <c r="AC28" i="3"/>
  <c r="AI27" i="3"/>
  <c r="AO26" i="3"/>
  <c r="AC26" i="3"/>
  <c r="AD47" i="3"/>
  <c r="AF26" i="3" s="1"/>
  <c r="AN30" i="3"/>
  <c r="AB30" i="3"/>
  <c r="AH29" i="3"/>
  <c r="AN28" i="3"/>
  <c r="AB28" i="3"/>
  <c r="AH27" i="3"/>
  <c r="AB26" i="3"/>
  <c r="AM30" i="3"/>
  <c r="AG29" i="3"/>
  <c r="AM28" i="3"/>
  <c r="AG27" i="3"/>
  <c r="AL30" i="3"/>
  <c r="AR29" i="3"/>
  <c r="AF29" i="3"/>
  <c r="AL28" i="3"/>
  <c r="AR27" i="3"/>
  <c r="AF27" i="3"/>
  <c r="AL26" i="3"/>
  <c r="AF30" i="3"/>
  <c r="AK30" i="3"/>
  <c r="AQ29" i="3"/>
  <c r="AE29" i="3"/>
  <c r="AK28" i="3"/>
  <c r="AQ27" i="3"/>
  <c r="AE27" i="3"/>
  <c r="AK26" i="3"/>
  <c r="AL29" i="3"/>
  <c r="AJ30" i="3"/>
  <c r="AP29" i="3"/>
  <c r="AD29" i="3"/>
  <c r="AJ28" i="3"/>
  <c r="AP27" i="3"/>
  <c r="AD27" i="3"/>
  <c r="AJ26" i="3"/>
  <c r="AG28" i="3"/>
  <c r="AR26" i="3"/>
  <c r="AI30" i="3"/>
  <c r="AO29" i="3"/>
  <c r="AC29" i="3"/>
  <c r="AI28" i="3"/>
  <c r="AO27" i="3"/>
  <c r="AC27" i="3"/>
  <c r="AI26" i="3"/>
  <c r="AM29" i="3"/>
  <c r="AM27" i="3"/>
  <c r="AG26" i="3"/>
  <c r="AF28" i="3"/>
  <c r="AH30" i="3"/>
  <c r="AN29" i="3"/>
  <c r="AB29" i="3"/>
  <c r="AH28" i="3"/>
  <c r="AN27" i="3"/>
  <c r="AB27" i="3"/>
  <c r="AH26" i="3"/>
  <c r="AG30" i="3"/>
  <c r="AR28" i="3"/>
  <c r="AO25" i="3"/>
  <c r="AD25" i="3"/>
  <c r="AE25" i="3"/>
  <c r="AQ25" i="3"/>
  <c r="AF25" i="3"/>
  <c r="AG25" i="3"/>
  <c r="C4" i="2"/>
  <c r="AU6" i="2"/>
  <c r="BD4" i="2"/>
  <c r="BZ46" i="2"/>
  <c r="L46" i="2"/>
  <c r="N158" i="2"/>
  <c r="CB158" i="2"/>
  <c r="BA5" i="2"/>
  <c r="BW47" i="2"/>
  <c r="I47" i="2"/>
  <c r="CI47" i="2"/>
  <c r="U47" i="2"/>
  <c r="CA159" i="2"/>
  <c r="M159" i="2"/>
  <c r="ES159" i="2" s="1"/>
  <c r="AW6" i="2"/>
  <c r="C49" i="2"/>
  <c r="O49" i="2"/>
  <c r="BT50" i="2"/>
  <c r="F50" i="2"/>
  <c r="CF50" i="2"/>
  <c r="R50" i="2"/>
  <c r="BX162" i="2"/>
  <c r="J162" i="2"/>
  <c r="CJ162" i="2"/>
  <c r="V162" i="2"/>
  <c r="O62" i="2"/>
  <c r="CC62" i="2"/>
  <c r="G174" i="2"/>
  <c r="BU174" i="2"/>
  <c r="S174" i="2"/>
  <c r="CG174" i="2"/>
  <c r="Q132" i="2"/>
  <c r="EW132" i="2" s="1"/>
  <c r="E132" i="2"/>
  <c r="EK132" i="2" s="1"/>
  <c r="P132" i="2"/>
  <c r="EV132" i="2" s="1"/>
  <c r="N132" i="2"/>
  <c r="ET132" i="2" s="1"/>
  <c r="V131" i="2"/>
  <c r="FB131" i="2" s="1"/>
  <c r="V132" i="2"/>
  <c r="FB132" i="2" s="1"/>
  <c r="I132" i="2"/>
  <c r="EO132" i="2" s="1"/>
  <c r="J131" i="2"/>
  <c r="EP131" i="2" s="1"/>
  <c r="V130" i="2"/>
  <c r="FB130" i="2" s="1"/>
  <c r="J130" i="2"/>
  <c r="EP130" i="2" s="1"/>
  <c r="K129" i="2"/>
  <c r="M128" i="2"/>
  <c r="ES128" i="2" s="1"/>
  <c r="O127" i="2"/>
  <c r="C127" i="2"/>
  <c r="EI127" i="2" s="1"/>
  <c r="R126" i="2"/>
  <c r="EX126" i="2" s="1"/>
  <c r="F126" i="2"/>
  <c r="EL126" i="2" s="1"/>
  <c r="N125" i="2"/>
  <c r="ET125" i="2" s="1"/>
  <c r="U124" i="2"/>
  <c r="FA124" i="2" s="1"/>
  <c r="I124" i="2"/>
  <c r="EO124" i="2" s="1"/>
  <c r="Q123" i="2"/>
  <c r="EW123" i="2" s="1"/>
  <c r="E123" i="2"/>
  <c r="EK123" i="2" s="1"/>
  <c r="M122" i="2"/>
  <c r="ES122" i="2" s="1"/>
  <c r="H132" i="2"/>
  <c r="EN132" i="2" s="1"/>
  <c r="U131" i="2"/>
  <c r="FA131" i="2" s="1"/>
  <c r="I131" i="2"/>
  <c r="EO131" i="2" s="1"/>
  <c r="U130" i="2"/>
  <c r="FA130" i="2" s="1"/>
  <c r="I130" i="2"/>
  <c r="EO130" i="2" s="1"/>
  <c r="V129" i="2"/>
  <c r="FB129" i="2" s="1"/>
  <c r="J129" i="2"/>
  <c r="EP129" i="2" s="1"/>
  <c r="L128" i="2"/>
  <c r="ER128" i="2" s="1"/>
  <c r="N127" i="2"/>
  <c r="ET127" i="2" s="1"/>
  <c r="G132" i="2"/>
  <c r="EM132" i="2" s="1"/>
  <c r="T131" i="2"/>
  <c r="EZ131" i="2" s="1"/>
  <c r="H131" i="2"/>
  <c r="EN131" i="2" s="1"/>
  <c r="T130" i="2"/>
  <c r="EZ130" i="2" s="1"/>
  <c r="H130" i="2"/>
  <c r="EN130" i="2" s="1"/>
  <c r="U129" i="2"/>
  <c r="FA129" i="2" s="1"/>
  <c r="I129" i="2"/>
  <c r="EO129" i="2" s="1"/>
  <c r="K128" i="2"/>
  <c r="M127" i="2"/>
  <c r="ES127" i="2" s="1"/>
  <c r="P126" i="2"/>
  <c r="EV126" i="2" s="1"/>
  <c r="D126" i="2"/>
  <c r="EJ126" i="2" s="1"/>
  <c r="U132" i="2"/>
  <c r="FA132" i="2" s="1"/>
  <c r="F132" i="2"/>
  <c r="EL132" i="2" s="1"/>
  <c r="S131" i="2"/>
  <c r="G131" i="2"/>
  <c r="EM131" i="2" s="1"/>
  <c r="S130" i="2"/>
  <c r="G130" i="2"/>
  <c r="EM130" i="2" s="1"/>
  <c r="T129" i="2"/>
  <c r="EZ129" i="2" s="1"/>
  <c r="H129" i="2"/>
  <c r="EN129" i="2" s="1"/>
  <c r="T132" i="2"/>
  <c r="EZ132" i="2" s="1"/>
  <c r="D132" i="2"/>
  <c r="EJ132" i="2" s="1"/>
  <c r="R131" i="2"/>
  <c r="EX131" i="2" s="1"/>
  <c r="F131" i="2"/>
  <c r="EL131" i="2" s="1"/>
  <c r="R130" i="2"/>
  <c r="EX130" i="2" s="1"/>
  <c r="F130" i="2"/>
  <c r="EL130" i="2" s="1"/>
  <c r="S129" i="2"/>
  <c r="G129" i="2"/>
  <c r="EM129" i="2" s="1"/>
  <c r="U128" i="2"/>
  <c r="FA128" i="2" s="1"/>
  <c r="I128" i="2"/>
  <c r="EO128" i="2" s="1"/>
  <c r="K127" i="2"/>
  <c r="N126" i="2"/>
  <c r="ET126" i="2" s="1"/>
  <c r="V125" i="2"/>
  <c r="FB125" i="2" s="1"/>
  <c r="J125" i="2"/>
  <c r="EP125" i="2" s="1"/>
  <c r="Q124" i="2"/>
  <c r="EW124" i="2" s="1"/>
  <c r="E124" i="2"/>
  <c r="EK124" i="2" s="1"/>
  <c r="M123" i="2"/>
  <c r="ES123" i="2" s="1"/>
  <c r="U122" i="2"/>
  <c r="FA122" i="2" s="1"/>
  <c r="I122" i="2"/>
  <c r="EO122" i="2" s="1"/>
  <c r="K121" i="2"/>
  <c r="K120" i="2"/>
  <c r="L119" i="2"/>
  <c r="ER119" i="2" s="1"/>
  <c r="S132" i="2"/>
  <c r="C132" i="2"/>
  <c r="EI132" i="2" s="1"/>
  <c r="Q131" i="2"/>
  <c r="EW131" i="2" s="1"/>
  <c r="E131" i="2"/>
  <c r="EK131" i="2" s="1"/>
  <c r="Q130" i="2"/>
  <c r="EW130" i="2" s="1"/>
  <c r="E130" i="2"/>
  <c r="EK130" i="2" s="1"/>
  <c r="R129" i="2"/>
  <c r="EX129" i="2" s="1"/>
  <c r="F129" i="2"/>
  <c r="EL129" i="2" s="1"/>
  <c r="T128" i="2"/>
  <c r="EZ128" i="2" s="1"/>
  <c r="H128" i="2"/>
  <c r="EN128" i="2" s="1"/>
  <c r="V127" i="2"/>
  <c r="FB127" i="2" s="1"/>
  <c r="J127" i="2"/>
  <c r="EP127" i="2" s="1"/>
  <c r="M126" i="2"/>
  <c r="ES126" i="2" s="1"/>
  <c r="U125" i="2"/>
  <c r="FA125" i="2" s="1"/>
  <c r="I125" i="2"/>
  <c r="EO125" i="2" s="1"/>
  <c r="P124" i="2"/>
  <c r="EV124" i="2" s="1"/>
  <c r="D124" i="2"/>
  <c r="EJ124" i="2" s="1"/>
  <c r="L123" i="2"/>
  <c r="ER123" i="2" s="1"/>
  <c r="T122" i="2"/>
  <c r="EZ122" i="2" s="1"/>
  <c r="H122" i="2"/>
  <c r="EN122" i="2" s="1"/>
  <c r="R132" i="2"/>
  <c r="EX132" i="2" s="1"/>
  <c r="P131" i="2"/>
  <c r="EV131" i="2" s="1"/>
  <c r="D131" i="2"/>
  <c r="EJ131" i="2" s="1"/>
  <c r="P130" i="2"/>
  <c r="EV130" i="2" s="1"/>
  <c r="D130" i="2"/>
  <c r="EJ130" i="2" s="1"/>
  <c r="Q129" i="2"/>
  <c r="EW129" i="2" s="1"/>
  <c r="E129" i="2"/>
  <c r="EK129" i="2" s="1"/>
  <c r="S128" i="2"/>
  <c r="G128" i="2"/>
  <c r="EM128" i="2" s="1"/>
  <c r="U127" i="2"/>
  <c r="FA127" i="2" s="1"/>
  <c r="I127" i="2"/>
  <c r="EO127" i="2" s="1"/>
  <c r="L126" i="2"/>
  <c r="ER126" i="2" s="1"/>
  <c r="T125" i="2"/>
  <c r="EZ125" i="2" s="1"/>
  <c r="H125" i="2"/>
  <c r="EN125" i="2" s="1"/>
  <c r="O124" i="2"/>
  <c r="C124" i="2"/>
  <c r="EI124" i="2" s="1"/>
  <c r="K123" i="2"/>
  <c r="O132" i="2"/>
  <c r="O131" i="2"/>
  <c r="C131" i="2"/>
  <c r="EI131" i="2" s="1"/>
  <c r="O130" i="2"/>
  <c r="C130" i="2"/>
  <c r="EI130" i="2" s="1"/>
  <c r="P129" i="2"/>
  <c r="EV129" i="2" s="1"/>
  <c r="D129" i="2"/>
  <c r="EJ129" i="2" s="1"/>
  <c r="R128" i="2"/>
  <c r="EX128" i="2" s="1"/>
  <c r="F128" i="2"/>
  <c r="EL128" i="2" s="1"/>
  <c r="T127" i="2"/>
  <c r="EZ127" i="2" s="1"/>
  <c r="H127" i="2"/>
  <c r="EN127" i="2" s="1"/>
  <c r="M132" i="2"/>
  <c r="ES132" i="2" s="1"/>
  <c r="N131" i="2"/>
  <c r="ET131" i="2" s="1"/>
  <c r="N130" i="2"/>
  <c r="ET130" i="2" s="1"/>
  <c r="O129" i="2"/>
  <c r="C129" i="2"/>
  <c r="EI129" i="2" s="1"/>
  <c r="Q128" i="2"/>
  <c r="EW128" i="2" s="1"/>
  <c r="E128" i="2"/>
  <c r="EK128" i="2" s="1"/>
  <c r="S127" i="2"/>
  <c r="G127" i="2"/>
  <c r="EM127" i="2" s="1"/>
  <c r="V126" i="2"/>
  <c r="FB126" i="2" s="1"/>
  <c r="J126" i="2"/>
  <c r="EP126" i="2" s="1"/>
  <c r="K132" i="2"/>
  <c r="EQ132" i="2" s="1"/>
  <c r="L131" i="2"/>
  <c r="ER131" i="2" s="1"/>
  <c r="L130" i="2"/>
  <c r="ER130" i="2" s="1"/>
  <c r="M129" i="2"/>
  <c r="ES129" i="2" s="1"/>
  <c r="O128" i="2"/>
  <c r="C128" i="2"/>
  <c r="EI128" i="2" s="1"/>
  <c r="Q127" i="2"/>
  <c r="EW127" i="2" s="1"/>
  <c r="E127" i="2"/>
  <c r="EK127" i="2" s="1"/>
  <c r="T126" i="2"/>
  <c r="EZ126" i="2" s="1"/>
  <c r="H126" i="2"/>
  <c r="EN126" i="2" s="1"/>
  <c r="P125" i="2"/>
  <c r="EV125" i="2" s="1"/>
  <c r="D125" i="2"/>
  <c r="EJ125" i="2" s="1"/>
  <c r="K124" i="2"/>
  <c r="S123" i="2"/>
  <c r="G123" i="2"/>
  <c r="O122" i="2"/>
  <c r="C122" i="2"/>
  <c r="EI122" i="2" s="1"/>
  <c r="Q121" i="2"/>
  <c r="EW121" i="2" s="1"/>
  <c r="E121" i="2"/>
  <c r="EK121" i="2" s="1"/>
  <c r="Q120" i="2"/>
  <c r="EW120" i="2" s="1"/>
  <c r="E120" i="2"/>
  <c r="EK120" i="2" s="1"/>
  <c r="R119" i="2"/>
  <c r="EX119" i="2" s="1"/>
  <c r="F119" i="2"/>
  <c r="EL119" i="2" s="1"/>
  <c r="C126" i="2"/>
  <c r="EI126" i="2" s="1"/>
  <c r="K125" i="2"/>
  <c r="V124" i="2"/>
  <c r="FB124" i="2" s="1"/>
  <c r="J123" i="2"/>
  <c r="EP123" i="2" s="1"/>
  <c r="K122" i="2"/>
  <c r="L121" i="2"/>
  <c r="ER121" i="2" s="1"/>
  <c r="N120" i="2"/>
  <c r="ET120" i="2" s="1"/>
  <c r="P119" i="2"/>
  <c r="EV119" i="2" s="1"/>
  <c r="O118" i="2"/>
  <c r="C118" i="2"/>
  <c r="P117" i="2"/>
  <c r="EV117" i="2" s="1"/>
  <c r="D117" i="2"/>
  <c r="EJ117" i="2" s="1"/>
  <c r="L116" i="2"/>
  <c r="O96" i="2"/>
  <c r="C96" i="2"/>
  <c r="EI96" i="2" s="1"/>
  <c r="P95" i="2"/>
  <c r="EV95" i="2" s="1"/>
  <c r="D95" i="2"/>
  <c r="EJ95" i="2" s="1"/>
  <c r="U94" i="2"/>
  <c r="FA94" i="2" s="1"/>
  <c r="I94" i="2"/>
  <c r="EO94" i="2" s="1"/>
  <c r="L132" i="2"/>
  <c r="ER132" i="2" s="1"/>
  <c r="G125" i="2"/>
  <c r="EM125" i="2" s="1"/>
  <c r="T124" i="2"/>
  <c r="EZ124" i="2" s="1"/>
  <c r="I123" i="2"/>
  <c r="EO123" i="2" s="1"/>
  <c r="J122" i="2"/>
  <c r="EP122" i="2" s="1"/>
  <c r="J121" i="2"/>
  <c r="EP121" i="2" s="1"/>
  <c r="M120" i="2"/>
  <c r="ES120" i="2" s="1"/>
  <c r="O119" i="2"/>
  <c r="N118" i="2"/>
  <c r="ET118" i="2" s="1"/>
  <c r="O117" i="2"/>
  <c r="C117" i="2"/>
  <c r="K116" i="2"/>
  <c r="J132" i="2"/>
  <c r="EP132" i="2" s="1"/>
  <c r="N129" i="2"/>
  <c r="ET129" i="2" s="1"/>
  <c r="F125" i="2"/>
  <c r="EL125" i="2" s="1"/>
  <c r="S124" i="2"/>
  <c r="H123" i="2"/>
  <c r="EN123" i="2" s="1"/>
  <c r="G122" i="2"/>
  <c r="I121" i="2"/>
  <c r="EO121" i="2" s="1"/>
  <c r="L120" i="2"/>
  <c r="ER120" i="2" s="1"/>
  <c r="N119" i="2"/>
  <c r="ET119" i="2" s="1"/>
  <c r="M118" i="2"/>
  <c r="ES118" i="2" s="1"/>
  <c r="N117" i="2"/>
  <c r="ET117" i="2" s="1"/>
  <c r="L129" i="2"/>
  <c r="ER129" i="2" s="1"/>
  <c r="E125" i="2"/>
  <c r="EK125" i="2" s="1"/>
  <c r="R124" i="2"/>
  <c r="EX124" i="2" s="1"/>
  <c r="F123" i="2"/>
  <c r="EL123" i="2" s="1"/>
  <c r="F122" i="2"/>
  <c r="EL122" i="2" s="1"/>
  <c r="V121" i="2"/>
  <c r="FB121" i="2" s="1"/>
  <c r="H121" i="2"/>
  <c r="EN121" i="2" s="1"/>
  <c r="J120" i="2"/>
  <c r="EP120" i="2" s="1"/>
  <c r="M119" i="2"/>
  <c r="ES119" i="2" s="1"/>
  <c r="L118" i="2"/>
  <c r="ER118" i="2" s="1"/>
  <c r="M117" i="2"/>
  <c r="ES117" i="2" s="1"/>
  <c r="U116" i="2"/>
  <c r="I116" i="2"/>
  <c r="L96" i="2"/>
  <c r="ER96" i="2" s="1"/>
  <c r="M95" i="2"/>
  <c r="ES95" i="2" s="1"/>
  <c r="M131" i="2"/>
  <c r="ES131" i="2" s="1"/>
  <c r="R127" i="2"/>
  <c r="EX127" i="2" s="1"/>
  <c r="U126" i="2"/>
  <c r="FA126" i="2" s="1"/>
  <c r="C125" i="2"/>
  <c r="EI125" i="2" s="1"/>
  <c r="N124" i="2"/>
  <c r="ET124" i="2" s="1"/>
  <c r="D123" i="2"/>
  <c r="EJ123" i="2" s="1"/>
  <c r="E122" i="2"/>
  <c r="EK122" i="2" s="1"/>
  <c r="U121" i="2"/>
  <c r="FA121" i="2" s="1"/>
  <c r="G121" i="2"/>
  <c r="I120" i="2"/>
  <c r="EO120" i="2" s="1"/>
  <c r="K119" i="2"/>
  <c r="K118" i="2"/>
  <c r="L117" i="2"/>
  <c r="ER117" i="2" s="1"/>
  <c r="T116" i="2"/>
  <c r="H116" i="2"/>
  <c r="K131" i="2"/>
  <c r="EQ131" i="2" s="1"/>
  <c r="P127" i="2"/>
  <c r="EV127" i="2" s="1"/>
  <c r="S126" i="2"/>
  <c r="M124" i="2"/>
  <c r="ES124" i="2" s="1"/>
  <c r="V123" i="2"/>
  <c r="FB123" i="2" s="1"/>
  <c r="C123" i="2"/>
  <c r="EI123" i="2" s="1"/>
  <c r="V122" i="2"/>
  <c r="FB122" i="2" s="1"/>
  <c r="D122" i="2"/>
  <c r="EJ122" i="2" s="1"/>
  <c r="T121" i="2"/>
  <c r="EZ121" i="2" s="1"/>
  <c r="F121" i="2"/>
  <c r="EL121" i="2" s="1"/>
  <c r="V120" i="2"/>
  <c r="FB120" i="2" s="1"/>
  <c r="H120" i="2"/>
  <c r="EN120" i="2" s="1"/>
  <c r="J119" i="2"/>
  <c r="EP119" i="2" s="1"/>
  <c r="V118" i="2"/>
  <c r="FB118" i="2" s="1"/>
  <c r="J118" i="2"/>
  <c r="EP118" i="2" s="1"/>
  <c r="K117" i="2"/>
  <c r="S116" i="2"/>
  <c r="V128" i="2"/>
  <c r="FB128" i="2" s="1"/>
  <c r="L127" i="2"/>
  <c r="ER127" i="2" s="1"/>
  <c r="Q126" i="2"/>
  <c r="EW126" i="2" s="1"/>
  <c r="S125" i="2"/>
  <c r="L124" i="2"/>
  <c r="ER124" i="2" s="1"/>
  <c r="U123" i="2"/>
  <c r="FA123" i="2" s="1"/>
  <c r="S122" i="2"/>
  <c r="S121" i="2"/>
  <c r="D121" i="2"/>
  <c r="EJ121" i="2" s="1"/>
  <c r="U120" i="2"/>
  <c r="FA120" i="2" s="1"/>
  <c r="G120" i="2"/>
  <c r="I119" i="2"/>
  <c r="EO119" i="2" s="1"/>
  <c r="U118" i="2"/>
  <c r="FA118" i="2" s="1"/>
  <c r="I118" i="2"/>
  <c r="EO118" i="2" s="1"/>
  <c r="V117" i="2"/>
  <c r="FB117" i="2" s="1"/>
  <c r="J117" i="2"/>
  <c r="EP117" i="2" s="1"/>
  <c r="R116" i="2"/>
  <c r="F116" i="2"/>
  <c r="U96" i="2"/>
  <c r="FA96" i="2" s="1"/>
  <c r="I96" i="2"/>
  <c r="EO96" i="2" s="1"/>
  <c r="V95" i="2"/>
  <c r="FB95" i="2" s="1"/>
  <c r="J95" i="2"/>
  <c r="EP95" i="2" s="1"/>
  <c r="O94" i="2"/>
  <c r="C94" i="2"/>
  <c r="EI94" i="2" s="1"/>
  <c r="S93" i="2"/>
  <c r="G93" i="2"/>
  <c r="EM93" i="2" s="1"/>
  <c r="P128" i="2"/>
  <c r="EV128" i="2" s="1"/>
  <c r="F127" i="2"/>
  <c r="EL127" i="2" s="1"/>
  <c r="O126" i="2"/>
  <c r="R125" i="2"/>
  <c r="EX125" i="2" s="1"/>
  <c r="J124" i="2"/>
  <c r="EP124" i="2" s="1"/>
  <c r="T123" i="2"/>
  <c r="EZ123" i="2" s="1"/>
  <c r="R122" i="2"/>
  <c r="EX122" i="2" s="1"/>
  <c r="R121" i="2"/>
  <c r="EX121" i="2" s="1"/>
  <c r="C121" i="2"/>
  <c r="EI121" i="2" s="1"/>
  <c r="T120" i="2"/>
  <c r="EZ120" i="2" s="1"/>
  <c r="F120" i="2"/>
  <c r="EL120" i="2" s="1"/>
  <c r="V119" i="2"/>
  <c r="FB119" i="2" s="1"/>
  <c r="H119" i="2"/>
  <c r="EN119" i="2" s="1"/>
  <c r="T118" i="2"/>
  <c r="EZ118" i="2" s="1"/>
  <c r="H118" i="2"/>
  <c r="EN118" i="2" s="1"/>
  <c r="U117" i="2"/>
  <c r="FA117" i="2" s="1"/>
  <c r="I117" i="2"/>
  <c r="EO117" i="2" s="1"/>
  <c r="Q116" i="2"/>
  <c r="E116" i="2"/>
  <c r="T96" i="2"/>
  <c r="EZ96" i="2" s="1"/>
  <c r="H96" i="2"/>
  <c r="EN96" i="2" s="1"/>
  <c r="U95" i="2"/>
  <c r="FA95" i="2" s="1"/>
  <c r="I95" i="2"/>
  <c r="EO95" i="2" s="1"/>
  <c r="N94" i="2"/>
  <c r="ET94" i="2" s="1"/>
  <c r="R93" i="2"/>
  <c r="EX93" i="2" s="1"/>
  <c r="N128" i="2"/>
  <c r="ET128" i="2" s="1"/>
  <c r="D127" i="2"/>
  <c r="EJ127" i="2" s="1"/>
  <c r="K126" i="2"/>
  <c r="Q125" i="2"/>
  <c r="EW125" i="2" s="1"/>
  <c r="H124" i="2"/>
  <c r="EN124" i="2" s="1"/>
  <c r="R123" i="2"/>
  <c r="EX123" i="2" s="1"/>
  <c r="Q122" i="2"/>
  <c r="EW122" i="2" s="1"/>
  <c r="P121" i="2"/>
  <c r="EV121" i="2" s="1"/>
  <c r="S120" i="2"/>
  <c r="D120" i="2"/>
  <c r="EJ120" i="2" s="1"/>
  <c r="U119" i="2"/>
  <c r="FA119" i="2" s="1"/>
  <c r="G119" i="2"/>
  <c r="S118" i="2"/>
  <c r="G118" i="2"/>
  <c r="T117" i="2"/>
  <c r="EZ117" i="2" s="1"/>
  <c r="H117" i="2"/>
  <c r="EN117" i="2" s="1"/>
  <c r="P116" i="2"/>
  <c r="D116" i="2"/>
  <c r="S96" i="2"/>
  <c r="G96" i="2"/>
  <c r="EM96" i="2" s="1"/>
  <c r="T95" i="2"/>
  <c r="EZ95" i="2" s="1"/>
  <c r="H95" i="2"/>
  <c r="EN95" i="2" s="1"/>
  <c r="M94" i="2"/>
  <c r="ES94" i="2" s="1"/>
  <c r="M130" i="2"/>
  <c r="ES130" i="2" s="1"/>
  <c r="J128" i="2"/>
  <c r="EP128" i="2" s="1"/>
  <c r="I126" i="2"/>
  <c r="EO126" i="2" s="1"/>
  <c r="O125" i="2"/>
  <c r="G124" i="2"/>
  <c r="P123" i="2"/>
  <c r="EV123" i="2" s="1"/>
  <c r="P122" i="2"/>
  <c r="EV122" i="2" s="1"/>
  <c r="O121" i="2"/>
  <c r="R120" i="2"/>
  <c r="EX120" i="2" s="1"/>
  <c r="C120" i="2"/>
  <c r="T119" i="2"/>
  <c r="EZ119" i="2" s="1"/>
  <c r="E119" i="2"/>
  <c r="EK119" i="2" s="1"/>
  <c r="R118" i="2"/>
  <c r="EX118" i="2" s="1"/>
  <c r="F118" i="2"/>
  <c r="EL118" i="2" s="1"/>
  <c r="S117" i="2"/>
  <c r="G117" i="2"/>
  <c r="O116" i="2"/>
  <c r="R96" i="2"/>
  <c r="EX96" i="2" s="1"/>
  <c r="F96" i="2"/>
  <c r="EL96" i="2" s="1"/>
  <c r="S95" i="2"/>
  <c r="G95" i="2"/>
  <c r="EM95" i="2" s="1"/>
  <c r="L94" i="2"/>
  <c r="ER94" i="2" s="1"/>
  <c r="K130" i="2"/>
  <c r="EQ130" i="2" s="1"/>
  <c r="D128" i="2"/>
  <c r="EJ128" i="2" s="1"/>
  <c r="G126" i="2"/>
  <c r="EM126" i="2" s="1"/>
  <c r="M125" i="2"/>
  <c r="ES125" i="2" s="1"/>
  <c r="F124" i="2"/>
  <c r="EL124" i="2" s="1"/>
  <c r="O123" i="2"/>
  <c r="N122" i="2"/>
  <c r="ET122" i="2" s="1"/>
  <c r="N121" i="2"/>
  <c r="ET121" i="2" s="1"/>
  <c r="P120" i="2"/>
  <c r="EV120" i="2" s="1"/>
  <c r="S119" i="2"/>
  <c r="D119" i="2"/>
  <c r="EJ119" i="2" s="1"/>
  <c r="Q118" i="2"/>
  <c r="EW118" i="2" s="1"/>
  <c r="E118" i="2"/>
  <c r="EK118" i="2" s="1"/>
  <c r="R117" i="2"/>
  <c r="EX117" i="2" s="1"/>
  <c r="F117" i="2"/>
  <c r="EL117" i="2" s="1"/>
  <c r="N116" i="2"/>
  <c r="Q96" i="2"/>
  <c r="EW96" i="2" s="1"/>
  <c r="E96" i="2"/>
  <c r="EK96" i="2" s="1"/>
  <c r="R95" i="2"/>
  <c r="EX95" i="2" s="1"/>
  <c r="F95" i="2"/>
  <c r="EL95" i="2" s="1"/>
  <c r="K94" i="2"/>
  <c r="EQ94" i="2" s="1"/>
  <c r="O120" i="2"/>
  <c r="Q119" i="2"/>
  <c r="EW119" i="2" s="1"/>
  <c r="R94" i="2"/>
  <c r="EX94" i="2" s="1"/>
  <c r="O93" i="2"/>
  <c r="R92" i="2"/>
  <c r="EX92" i="2" s="1"/>
  <c r="F92" i="2"/>
  <c r="EL92" i="2" s="1"/>
  <c r="V91" i="2"/>
  <c r="FB91" i="2" s="1"/>
  <c r="J91" i="2"/>
  <c r="EP91" i="2" s="1"/>
  <c r="S90" i="2"/>
  <c r="G90" i="2"/>
  <c r="EM90" i="2" s="1"/>
  <c r="U89" i="2"/>
  <c r="FA89" i="2" s="1"/>
  <c r="I89" i="2"/>
  <c r="EO89" i="2" s="1"/>
  <c r="V88" i="2"/>
  <c r="FB88" i="2" s="1"/>
  <c r="J88" i="2"/>
  <c r="EP88" i="2" s="1"/>
  <c r="L87" i="2"/>
  <c r="ER87" i="2" s="1"/>
  <c r="L86" i="2"/>
  <c r="ER86" i="2" s="1"/>
  <c r="P85" i="2"/>
  <c r="EV85" i="2" s="1"/>
  <c r="D85" i="2"/>
  <c r="EJ85" i="2" s="1"/>
  <c r="S84" i="2"/>
  <c r="G84" i="2"/>
  <c r="P83" i="2"/>
  <c r="EV83" i="2" s="1"/>
  <c r="D83" i="2"/>
  <c r="EJ83" i="2" s="1"/>
  <c r="M82" i="2"/>
  <c r="ES82" i="2" s="1"/>
  <c r="C119" i="2"/>
  <c r="P118" i="2"/>
  <c r="EV118" i="2" s="1"/>
  <c r="Q94" i="2"/>
  <c r="EW94" i="2" s="1"/>
  <c r="N93" i="2"/>
  <c r="ET93" i="2" s="1"/>
  <c r="Q92" i="2"/>
  <c r="EW92" i="2" s="1"/>
  <c r="E92" i="2"/>
  <c r="EK92" i="2" s="1"/>
  <c r="U91" i="2"/>
  <c r="FA91" i="2" s="1"/>
  <c r="I91" i="2"/>
  <c r="EO91" i="2" s="1"/>
  <c r="R90" i="2"/>
  <c r="EX90" i="2" s="1"/>
  <c r="F90" i="2"/>
  <c r="EL90" i="2" s="1"/>
  <c r="T89" i="2"/>
  <c r="EZ89" i="2" s="1"/>
  <c r="H89" i="2"/>
  <c r="EN89" i="2" s="1"/>
  <c r="U88" i="2"/>
  <c r="FA88" i="2" s="1"/>
  <c r="I88" i="2"/>
  <c r="EO88" i="2" s="1"/>
  <c r="K87" i="2"/>
  <c r="K86" i="2"/>
  <c r="O85" i="2"/>
  <c r="C85" i="2"/>
  <c r="EI85" i="2" s="1"/>
  <c r="D118" i="2"/>
  <c r="EJ118" i="2" s="1"/>
  <c r="Q117" i="2"/>
  <c r="EW117" i="2" s="1"/>
  <c r="Q95" i="2"/>
  <c r="EW95" i="2" s="1"/>
  <c r="P94" i="2"/>
  <c r="EV94" i="2" s="1"/>
  <c r="M93" i="2"/>
  <c r="ES93" i="2" s="1"/>
  <c r="P92" i="2"/>
  <c r="EV92" i="2" s="1"/>
  <c r="D92" i="2"/>
  <c r="EJ92" i="2" s="1"/>
  <c r="T91" i="2"/>
  <c r="EZ91" i="2" s="1"/>
  <c r="H91" i="2"/>
  <c r="EN91" i="2" s="1"/>
  <c r="Q90" i="2"/>
  <c r="EW90" i="2" s="1"/>
  <c r="E90" i="2"/>
  <c r="EK90" i="2" s="1"/>
  <c r="S89" i="2"/>
  <c r="G89" i="2"/>
  <c r="EM89" i="2" s="1"/>
  <c r="T88" i="2"/>
  <c r="EZ88" i="2" s="1"/>
  <c r="H88" i="2"/>
  <c r="EN88" i="2" s="1"/>
  <c r="V87" i="2"/>
  <c r="FB87" i="2" s="1"/>
  <c r="J87" i="2"/>
  <c r="EP87" i="2" s="1"/>
  <c r="V86" i="2"/>
  <c r="FB86" i="2" s="1"/>
  <c r="J86" i="2"/>
  <c r="EP86" i="2" s="1"/>
  <c r="E117" i="2"/>
  <c r="EK117" i="2" s="1"/>
  <c r="O95" i="2"/>
  <c r="J94" i="2"/>
  <c r="EP94" i="2" s="1"/>
  <c r="L93" i="2"/>
  <c r="ER93" i="2" s="1"/>
  <c r="O92" i="2"/>
  <c r="C92" i="2"/>
  <c r="EI92" i="2" s="1"/>
  <c r="S91" i="2"/>
  <c r="G91" i="2"/>
  <c r="EM91" i="2" s="1"/>
  <c r="P90" i="2"/>
  <c r="EV90" i="2" s="1"/>
  <c r="D90" i="2"/>
  <c r="EJ90" i="2" s="1"/>
  <c r="R89" i="2"/>
  <c r="EX89" i="2" s="1"/>
  <c r="F89" i="2"/>
  <c r="EL89" i="2" s="1"/>
  <c r="S88" i="2"/>
  <c r="G88" i="2"/>
  <c r="U87" i="2"/>
  <c r="FA87" i="2" s="1"/>
  <c r="I87" i="2"/>
  <c r="EO87" i="2" s="1"/>
  <c r="U86" i="2"/>
  <c r="FA86" i="2" s="1"/>
  <c r="I86" i="2"/>
  <c r="EO86" i="2" s="1"/>
  <c r="M85" i="2"/>
  <c r="ES85" i="2" s="1"/>
  <c r="P84" i="2"/>
  <c r="EV84" i="2" s="1"/>
  <c r="D84" i="2"/>
  <c r="EJ84" i="2" s="1"/>
  <c r="M83" i="2"/>
  <c r="ES83" i="2" s="1"/>
  <c r="V82" i="2"/>
  <c r="FB82" i="2" s="1"/>
  <c r="J82" i="2"/>
  <c r="EP82" i="2" s="1"/>
  <c r="N95" i="2"/>
  <c r="ET95" i="2" s="1"/>
  <c r="H94" i="2"/>
  <c r="EN94" i="2" s="1"/>
  <c r="K93" i="2"/>
  <c r="N92" i="2"/>
  <c r="ET92" i="2" s="1"/>
  <c r="R91" i="2"/>
  <c r="EX91" i="2" s="1"/>
  <c r="F91" i="2"/>
  <c r="EL91" i="2" s="1"/>
  <c r="O90" i="2"/>
  <c r="C90" i="2"/>
  <c r="EI90" i="2" s="1"/>
  <c r="Q89" i="2"/>
  <c r="EW89" i="2" s="1"/>
  <c r="E89" i="2"/>
  <c r="EK89" i="2" s="1"/>
  <c r="R88" i="2"/>
  <c r="EX88" i="2" s="1"/>
  <c r="F88" i="2"/>
  <c r="EL88" i="2" s="1"/>
  <c r="T87" i="2"/>
  <c r="EZ87" i="2" s="1"/>
  <c r="H87" i="2"/>
  <c r="EN87" i="2" s="1"/>
  <c r="T86" i="2"/>
  <c r="EZ86" i="2" s="1"/>
  <c r="H86" i="2"/>
  <c r="EN86" i="2" s="1"/>
  <c r="L85" i="2"/>
  <c r="ER85" i="2" s="1"/>
  <c r="V116" i="2"/>
  <c r="V96" i="2"/>
  <c r="FB96" i="2" s="1"/>
  <c r="L95" i="2"/>
  <c r="ER95" i="2" s="1"/>
  <c r="G94" i="2"/>
  <c r="EM94" i="2" s="1"/>
  <c r="J93" i="2"/>
  <c r="EP93" i="2" s="1"/>
  <c r="M92" i="2"/>
  <c r="ES92" i="2" s="1"/>
  <c r="Q91" i="2"/>
  <c r="EW91" i="2" s="1"/>
  <c r="E91" i="2"/>
  <c r="EK91" i="2" s="1"/>
  <c r="N90" i="2"/>
  <c r="ET90" i="2" s="1"/>
  <c r="P89" i="2"/>
  <c r="EV89" i="2" s="1"/>
  <c r="D89" i="2"/>
  <c r="EJ89" i="2" s="1"/>
  <c r="Q88" i="2"/>
  <c r="EW88" i="2" s="1"/>
  <c r="E88" i="2"/>
  <c r="EK88" i="2" s="1"/>
  <c r="S87" i="2"/>
  <c r="G87" i="2"/>
  <c r="S86" i="2"/>
  <c r="G86" i="2"/>
  <c r="K85" i="2"/>
  <c r="M116" i="2"/>
  <c r="P96" i="2"/>
  <c r="EV96" i="2" s="1"/>
  <c r="K95" i="2"/>
  <c r="EQ95" i="2" s="1"/>
  <c r="F94" i="2"/>
  <c r="EL94" i="2" s="1"/>
  <c r="I93" i="2"/>
  <c r="EO93" i="2" s="1"/>
  <c r="L92" i="2"/>
  <c r="ER92" i="2" s="1"/>
  <c r="P91" i="2"/>
  <c r="EV91" i="2" s="1"/>
  <c r="D91" i="2"/>
  <c r="EJ91" i="2" s="1"/>
  <c r="M90" i="2"/>
  <c r="ES90" i="2" s="1"/>
  <c r="O89" i="2"/>
  <c r="C89" i="2"/>
  <c r="EI89" i="2" s="1"/>
  <c r="P88" i="2"/>
  <c r="EV88" i="2" s="1"/>
  <c r="D88" i="2"/>
  <c r="EJ88" i="2" s="1"/>
  <c r="R87" i="2"/>
  <c r="EX87" i="2" s="1"/>
  <c r="F87" i="2"/>
  <c r="EL87" i="2" s="1"/>
  <c r="R86" i="2"/>
  <c r="EX86" i="2" s="1"/>
  <c r="F86" i="2"/>
  <c r="EL86" i="2" s="1"/>
  <c r="V85" i="2"/>
  <c r="FB85" i="2" s="1"/>
  <c r="J85" i="2"/>
  <c r="EP85" i="2" s="1"/>
  <c r="M84" i="2"/>
  <c r="ES84" i="2" s="1"/>
  <c r="V83" i="2"/>
  <c r="FB83" i="2" s="1"/>
  <c r="J83" i="2"/>
  <c r="EP83" i="2" s="1"/>
  <c r="S82" i="2"/>
  <c r="G82" i="2"/>
  <c r="P81" i="2"/>
  <c r="EV81" i="2" s="1"/>
  <c r="D81" i="2"/>
  <c r="EJ81" i="2" s="1"/>
  <c r="J116" i="2"/>
  <c r="N96" i="2"/>
  <c r="ET96" i="2" s="1"/>
  <c r="E95" i="2"/>
  <c r="EK95" i="2" s="1"/>
  <c r="E94" i="2"/>
  <c r="EK94" i="2" s="1"/>
  <c r="V93" i="2"/>
  <c r="FB93" i="2" s="1"/>
  <c r="H93" i="2"/>
  <c r="EN93" i="2" s="1"/>
  <c r="K92" i="2"/>
  <c r="O91" i="2"/>
  <c r="C91" i="2"/>
  <c r="EI91" i="2" s="1"/>
  <c r="L90" i="2"/>
  <c r="ER90" i="2" s="1"/>
  <c r="N89" i="2"/>
  <c r="ET89" i="2" s="1"/>
  <c r="O88" i="2"/>
  <c r="C88" i="2"/>
  <c r="EI88" i="2" s="1"/>
  <c r="Q87" i="2"/>
  <c r="EW87" i="2" s="1"/>
  <c r="E87" i="2"/>
  <c r="EK87" i="2" s="1"/>
  <c r="Q86" i="2"/>
  <c r="EW86" i="2" s="1"/>
  <c r="E86" i="2"/>
  <c r="EK86" i="2" s="1"/>
  <c r="U85" i="2"/>
  <c r="FA85" i="2" s="1"/>
  <c r="I85" i="2"/>
  <c r="EO85" i="2" s="1"/>
  <c r="L84" i="2"/>
  <c r="ER84" i="2" s="1"/>
  <c r="U83" i="2"/>
  <c r="FA83" i="2" s="1"/>
  <c r="I83" i="2"/>
  <c r="EO83" i="2" s="1"/>
  <c r="R82" i="2"/>
  <c r="EX82" i="2" s="1"/>
  <c r="F82" i="2"/>
  <c r="EL82" i="2" s="1"/>
  <c r="G116" i="2"/>
  <c r="M96" i="2"/>
  <c r="ES96" i="2" s="1"/>
  <c r="C95" i="2"/>
  <c r="EI95" i="2" s="1"/>
  <c r="D94" i="2"/>
  <c r="EJ94" i="2" s="1"/>
  <c r="U93" i="2"/>
  <c r="FA93" i="2" s="1"/>
  <c r="F93" i="2"/>
  <c r="EL93" i="2" s="1"/>
  <c r="V92" i="2"/>
  <c r="FB92" i="2" s="1"/>
  <c r="J92" i="2"/>
  <c r="EP92" i="2" s="1"/>
  <c r="N91" i="2"/>
  <c r="ET91" i="2" s="1"/>
  <c r="K90" i="2"/>
  <c r="M89" i="2"/>
  <c r="ES89" i="2" s="1"/>
  <c r="N88" i="2"/>
  <c r="ET88" i="2" s="1"/>
  <c r="P87" i="2"/>
  <c r="EV87" i="2" s="1"/>
  <c r="D87" i="2"/>
  <c r="EJ87" i="2" s="1"/>
  <c r="P86" i="2"/>
  <c r="EV86" i="2" s="1"/>
  <c r="D86" i="2"/>
  <c r="EJ86" i="2" s="1"/>
  <c r="T85" i="2"/>
  <c r="EZ85" i="2" s="1"/>
  <c r="H85" i="2"/>
  <c r="EN85" i="2" s="1"/>
  <c r="K84" i="2"/>
  <c r="T83" i="2"/>
  <c r="EZ83" i="2" s="1"/>
  <c r="H83" i="2"/>
  <c r="EN83" i="2" s="1"/>
  <c r="Q82" i="2"/>
  <c r="EW82" i="2" s="1"/>
  <c r="E82" i="2"/>
  <c r="EK82" i="2" s="1"/>
  <c r="N81" i="2"/>
  <c r="ET81" i="2" s="1"/>
  <c r="N123" i="2"/>
  <c r="ET123" i="2" s="1"/>
  <c r="K96" i="2"/>
  <c r="EQ96" i="2" s="1"/>
  <c r="V94" i="2"/>
  <c r="FB94" i="2" s="1"/>
  <c r="T93" i="2"/>
  <c r="EZ93" i="2" s="1"/>
  <c r="E93" i="2"/>
  <c r="EK93" i="2" s="1"/>
  <c r="U92" i="2"/>
  <c r="FA92" i="2" s="1"/>
  <c r="I92" i="2"/>
  <c r="EO92" i="2" s="1"/>
  <c r="M91" i="2"/>
  <c r="ES91" i="2" s="1"/>
  <c r="V90" i="2"/>
  <c r="FB90" i="2" s="1"/>
  <c r="J90" i="2"/>
  <c r="EP90" i="2" s="1"/>
  <c r="L89" i="2"/>
  <c r="ER89" i="2" s="1"/>
  <c r="M88" i="2"/>
  <c r="ES88" i="2" s="1"/>
  <c r="O87" i="2"/>
  <c r="C87" i="2"/>
  <c r="EI87" i="2" s="1"/>
  <c r="O86" i="2"/>
  <c r="C86" i="2"/>
  <c r="EI86" i="2" s="1"/>
  <c r="S85" i="2"/>
  <c r="G85" i="2"/>
  <c r="V84" i="2"/>
  <c r="FB84" i="2" s="1"/>
  <c r="J84" i="2"/>
  <c r="EP84" i="2" s="1"/>
  <c r="S83" i="2"/>
  <c r="G83" i="2"/>
  <c r="P82" i="2"/>
  <c r="EV82" i="2" s="1"/>
  <c r="D82" i="2"/>
  <c r="EJ82" i="2" s="1"/>
  <c r="L122" i="2"/>
  <c r="ER122" i="2" s="1"/>
  <c r="M121" i="2"/>
  <c r="ES121" i="2" s="1"/>
  <c r="J96" i="2"/>
  <c r="EP96" i="2" s="1"/>
  <c r="T94" i="2"/>
  <c r="EZ94" i="2" s="1"/>
  <c r="Q93" i="2"/>
  <c r="EW93" i="2" s="1"/>
  <c r="EW104" i="2" s="1"/>
  <c r="D93" i="2"/>
  <c r="EJ93" i="2" s="1"/>
  <c r="T92" i="2"/>
  <c r="EZ92" i="2" s="1"/>
  <c r="H92" i="2"/>
  <c r="EN92" i="2" s="1"/>
  <c r="L91" i="2"/>
  <c r="ER91" i="2" s="1"/>
  <c r="U90" i="2"/>
  <c r="FA90" i="2" s="1"/>
  <c r="I90" i="2"/>
  <c r="EO90" i="2" s="1"/>
  <c r="K89" i="2"/>
  <c r="L88" i="2"/>
  <c r="ER88" i="2" s="1"/>
  <c r="N87" i="2"/>
  <c r="ET87" i="2" s="1"/>
  <c r="N86" i="2"/>
  <c r="ET86" i="2" s="1"/>
  <c r="R85" i="2"/>
  <c r="EX85" i="2" s="1"/>
  <c r="F85" i="2"/>
  <c r="EL85" i="2" s="1"/>
  <c r="U84" i="2"/>
  <c r="FA84" i="2" s="1"/>
  <c r="I84" i="2"/>
  <c r="EO84" i="2" s="1"/>
  <c r="R83" i="2"/>
  <c r="EX83" i="2" s="1"/>
  <c r="F83" i="2"/>
  <c r="EL83" i="2" s="1"/>
  <c r="O82" i="2"/>
  <c r="C82" i="2"/>
  <c r="L81" i="2"/>
  <c r="ER81" i="2" s="1"/>
  <c r="S92" i="2"/>
  <c r="E84" i="2"/>
  <c r="EK84" i="2" s="1"/>
  <c r="T81" i="2"/>
  <c r="EZ81" i="2" s="1"/>
  <c r="E81" i="2"/>
  <c r="EK81" i="2" s="1"/>
  <c r="K80" i="2"/>
  <c r="AM62" i="2"/>
  <c r="AA62" i="2"/>
  <c r="AN61" i="2"/>
  <c r="FT61" i="2" s="1"/>
  <c r="AB61" i="2"/>
  <c r="FH61" i="2" s="1"/>
  <c r="AE60" i="2"/>
  <c r="G92" i="2"/>
  <c r="EM92" i="2" s="1"/>
  <c r="Q85" i="2"/>
  <c r="EW85" i="2" s="1"/>
  <c r="C84" i="2"/>
  <c r="Q83" i="2"/>
  <c r="EW83" i="2" s="1"/>
  <c r="S81" i="2"/>
  <c r="C81" i="2"/>
  <c r="V80" i="2"/>
  <c r="J80" i="2"/>
  <c r="K91" i="2"/>
  <c r="N85" i="2"/>
  <c r="ET85" i="2" s="1"/>
  <c r="O83" i="2"/>
  <c r="R81" i="2"/>
  <c r="EX81" i="2" s="1"/>
  <c r="U80" i="2"/>
  <c r="I80" i="2"/>
  <c r="E85" i="2"/>
  <c r="EK85" i="2" s="1"/>
  <c r="N83" i="2"/>
  <c r="ET83" i="2" s="1"/>
  <c r="U82" i="2"/>
  <c r="FA82" i="2" s="1"/>
  <c r="Q81" i="2"/>
  <c r="EW81" i="2" s="1"/>
  <c r="T80" i="2"/>
  <c r="H80" i="2"/>
  <c r="K88" i="2"/>
  <c r="L83" i="2"/>
  <c r="ER83" i="2" s="1"/>
  <c r="T82" i="2"/>
  <c r="EZ82" i="2" s="1"/>
  <c r="O81" i="2"/>
  <c r="S80" i="2"/>
  <c r="G80" i="2"/>
  <c r="L125" i="2"/>
  <c r="ER125" i="2" s="1"/>
  <c r="ER139" i="2" s="1"/>
  <c r="D96" i="2"/>
  <c r="EJ96" i="2" s="1"/>
  <c r="T90" i="2"/>
  <c r="EZ90" i="2" s="1"/>
  <c r="T84" i="2"/>
  <c r="EZ84" i="2" s="1"/>
  <c r="K83" i="2"/>
  <c r="N82" i="2"/>
  <c r="ET82" i="2" s="1"/>
  <c r="M81" i="2"/>
  <c r="ES81" i="2" s="1"/>
  <c r="R80" i="2"/>
  <c r="F80" i="2"/>
  <c r="E126" i="2"/>
  <c r="EK126" i="2" s="1"/>
  <c r="H90" i="2"/>
  <c r="EN90" i="2" s="1"/>
  <c r="R84" i="2"/>
  <c r="EX84" i="2" s="1"/>
  <c r="E83" i="2"/>
  <c r="EK83" i="2" s="1"/>
  <c r="L82" i="2"/>
  <c r="ER82" i="2" s="1"/>
  <c r="K81" i="2"/>
  <c r="Q80" i="2"/>
  <c r="E80" i="2"/>
  <c r="AG62" i="2"/>
  <c r="FM62" i="2" s="1"/>
  <c r="AH61" i="2"/>
  <c r="FN61" i="2" s="1"/>
  <c r="AK60" i="2"/>
  <c r="FQ60" i="2" s="1"/>
  <c r="Y60" i="2"/>
  <c r="FE60" i="2" s="1"/>
  <c r="Q84" i="2"/>
  <c r="EW84" i="2" s="1"/>
  <c r="C83" i="2"/>
  <c r="K82" i="2"/>
  <c r="J81" i="2"/>
  <c r="EP81" i="2" s="1"/>
  <c r="P80" i="2"/>
  <c r="D80" i="2"/>
  <c r="AF62" i="2"/>
  <c r="FL62" i="2" s="1"/>
  <c r="AG61" i="2"/>
  <c r="FM61" i="2" s="1"/>
  <c r="AJ60" i="2"/>
  <c r="FP60" i="2" s="1"/>
  <c r="X60" i="2"/>
  <c r="FD60" i="2" s="1"/>
  <c r="M87" i="2"/>
  <c r="ES87" i="2" s="1"/>
  <c r="O84" i="2"/>
  <c r="I82" i="2"/>
  <c r="EO82" i="2" s="1"/>
  <c r="I81" i="2"/>
  <c r="EO81" i="2" s="1"/>
  <c r="O80" i="2"/>
  <c r="AE62" i="2"/>
  <c r="AF61" i="2"/>
  <c r="FL61" i="2" s="1"/>
  <c r="AI60" i="2"/>
  <c r="S94" i="2"/>
  <c r="N84" i="2"/>
  <c r="ET84" i="2" s="1"/>
  <c r="H82" i="2"/>
  <c r="EN82" i="2" s="1"/>
  <c r="H81" i="2"/>
  <c r="EN81" i="2" s="1"/>
  <c r="N80" i="2"/>
  <c r="P93" i="2"/>
  <c r="EV93" i="2" s="1"/>
  <c r="V89" i="2"/>
  <c r="FB89" i="2" s="1"/>
  <c r="M86" i="2"/>
  <c r="ES86" i="2" s="1"/>
  <c r="H84" i="2"/>
  <c r="EN84" i="2" s="1"/>
  <c r="V81" i="2"/>
  <c r="FB81" i="2" s="1"/>
  <c r="G81" i="2"/>
  <c r="M80" i="2"/>
  <c r="AO62" i="2"/>
  <c r="FU62" i="2" s="1"/>
  <c r="AC62" i="2"/>
  <c r="FI62" i="2" s="1"/>
  <c r="AP61" i="2"/>
  <c r="FV61" i="2" s="1"/>
  <c r="AD61" i="2"/>
  <c r="FJ61" i="2" s="1"/>
  <c r="AG60" i="2"/>
  <c r="FM60" i="2" s="1"/>
  <c r="AJ59" i="2"/>
  <c r="FP59" i="2" s="1"/>
  <c r="X59" i="2"/>
  <c r="FD59" i="2" s="1"/>
  <c r="AD62" i="2"/>
  <c r="FJ62" i="2" s="1"/>
  <c r="AE61" i="2"/>
  <c r="AL60" i="2"/>
  <c r="FR60" i="2" s="1"/>
  <c r="AH59" i="2"/>
  <c r="FN59" i="2" s="1"/>
  <c r="AL58" i="2"/>
  <c r="FR58" i="2" s="1"/>
  <c r="Z58" i="2"/>
  <c r="FF58" i="2" s="1"/>
  <c r="AJ57" i="2"/>
  <c r="FP57" i="2" s="1"/>
  <c r="X57" i="2"/>
  <c r="FD57" i="2" s="1"/>
  <c r="AH56" i="2"/>
  <c r="FN56" i="2" s="1"/>
  <c r="AL55" i="2"/>
  <c r="FR55" i="2" s="1"/>
  <c r="Z55" i="2"/>
  <c r="FF55" i="2" s="1"/>
  <c r="AH54" i="2"/>
  <c r="FN54" i="2" s="1"/>
  <c r="F84" i="2"/>
  <c r="EL84" i="2" s="1"/>
  <c r="AB62" i="2"/>
  <c r="FH62" i="2" s="1"/>
  <c r="AC61" i="2"/>
  <c r="FI61" i="2" s="1"/>
  <c r="AH60" i="2"/>
  <c r="FN60" i="2" s="1"/>
  <c r="AG59" i="2"/>
  <c r="FM59" i="2" s="1"/>
  <c r="AK58" i="2"/>
  <c r="FQ58" i="2" s="1"/>
  <c r="Y58" i="2"/>
  <c r="FE58" i="2" s="1"/>
  <c r="AI57" i="2"/>
  <c r="Z62" i="2"/>
  <c r="FF62" i="2" s="1"/>
  <c r="AA61" i="2"/>
  <c r="AF60" i="2"/>
  <c r="FL60" i="2" s="1"/>
  <c r="AF59" i="2"/>
  <c r="FL59" i="2" s="1"/>
  <c r="AJ58" i="2"/>
  <c r="FP58" i="2" s="1"/>
  <c r="L80" i="2"/>
  <c r="Y62" i="2"/>
  <c r="FE62" i="2" s="1"/>
  <c r="Z61" i="2"/>
  <c r="FF61" i="2" s="1"/>
  <c r="AD60" i="2"/>
  <c r="FJ60" i="2" s="1"/>
  <c r="AE59" i="2"/>
  <c r="AI58" i="2"/>
  <c r="X62" i="2"/>
  <c r="FD62" i="2" s="1"/>
  <c r="Y61" i="2"/>
  <c r="FE61" i="2" s="1"/>
  <c r="AC60" i="2"/>
  <c r="FI60" i="2" s="1"/>
  <c r="AD59" i="2"/>
  <c r="FJ59" i="2" s="1"/>
  <c r="AH58" i="2"/>
  <c r="FN58" i="2" s="1"/>
  <c r="AF57" i="2"/>
  <c r="FL57" i="2" s="1"/>
  <c r="AP56" i="2"/>
  <c r="FV56" i="2" s="1"/>
  <c r="AD56" i="2"/>
  <c r="FJ56" i="2" s="1"/>
  <c r="AH55" i="2"/>
  <c r="FN55" i="2" s="1"/>
  <c r="AP54" i="2"/>
  <c r="FV54" i="2" s="1"/>
  <c r="AD54" i="2"/>
  <c r="FJ54" i="2" s="1"/>
  <c r="F54" i="2"/>
  <c r="EL54" i="2" s="1"/>
  <c r="J89" i="2"/>
  <c r="EP89" i="2" s="1"/>
  <c r="AP62" i="2"/>
  <c r="FV62" i="2" s="1"/>
  <c r="W62" i="2"/>
  <c r="X61" i="2"/>
  <c r="FD61" i="2" s="1"/>
  <c r="AB60" i="2"/>
  <c r="FH60" i="2" s="1"/>
  <c r="AP59" i="2"/>
  <c r="FV59" i="2" s="1"/>
  <c r="AC59" i="2"/>
  <c r="FI59" i="2" s="1"/>
  <c r="AG58" i="2"/>
  <c r="FM58" i="2" s="1"/>
  <c r="AE57" i="2"/>
  <c r="AO56" i="2"/>
  <c r="FU56" i="2" s="1"/>
  <c r="AC56" i="2"/>
  <c r="FI56" i="2" s="1"/>
  <c r="AG55" i="2"/>
  <c r="FM55" i="2" s="1"/>
  <c r="AO54" i="2"/>
  <c r="FU54" i="2" s="1"/>
  <c r="AN62" i="2"/>
  <c r="FT62" i="2" s="1"/>
  <c r="AO61" i="2"/>
  <c r="FU61" i="2" s="1"/>
  <c r="W61" i="2"/>
  <c r="AA60" i="2"/>
  <c r="AO59" i="2"/>
  <c r="FU59" i="2" s="1"/>
  <c r="AB59" i="2"/>
  <c r="FH59" i="2" s="1"/>
  <c r="AF58" i="2"/>
  <c r="FL58" i="2" s="1"/>
  <c r="AP57" i="2"/>
  <c r="FV57" i="2" s="1"/>
  <c r="AD57" i="2"/>
  <c r="FJ57" i="2" s="1"/>
  <c r="AN56" i="2"/>
  <c r="FT56" i="2" s="1"/>
  <c r="AB56" i="2"/>
  <c r="FH56" i="2" s="1"/>
  <c r="AF55" i="2"/>
  <c r="FL55" i="2" s="1"/>
  <c r="AN54" i="2"/>
  <c r="FT54" i="2" s="1"/>
  <c r="AB54" i="2"/>
  <c r="FH54" i="2" s="1"/>
  <c r="D54" i="2"/>
  <c r="EJ54" i="2" s="1"/>
  <c r="AL62" i="2"/>
  <c r="FR62" i="2" s="1"/>
  <c r="AM61" i="2"/>
  <c r="Z60" i="2"/>
  <c r="FF60" i="2" s="1"/>
  <c r="AN59" i="2"/>
  <c r="FT59" i="2" s="1"/>
  <c r="AA59" i="2"/>
  <c r="AE58" i="2"/>
  <c r="C93" i="2"/>
  <c r="EI93" i="2" s="1"/>
  <c r="AK62" i="2"/>
  <c r="FQ62" i="2" s="1"/>
  <c r="AL61" i="2"/>
  <c r="FR61" i="2" s="1"/>
  <c r="AP60" i="2"/>
  <c r="FV60" i="2" s="1"/>
  <c r="W60" i="2"/>
  <c r="AM59" i="2"/>
  <c r="Z59" i="2"/>
  <c r="FF59" i="2" s="1"/>
  <c r="U81" i="2"/>
  <c r="FA81" i="2" s="1"/>
  <c r="AJ62" i="2"/>
  <c r="FP62" i="2" s="1"/>
  <c r="AK61" i="2"/>
  <c r="FQ61" i="2" s="1"/>
  <c r="AO60" i="2"/>
  <c r="FU60" i="2" s="1"/>
  <c r="AL59" i="2"/>
  <c r="FR59" i="2" s="1"/>
  <c r="Y59" i="2"/>
  <c r="FE59" i="2" s="1"/>
  <c r="AO58" i="2"/>
  <c r="FU58" i="2" s="1"/>
  <c r="AC58" i="2"/>
  <c r="FI58" i="2" s="1"/>
  <c r="F81" i="2"/>
  <c r="EL81" i="2" s="1"/>
  <c r="AI62" i="2"/>
  <c r="AJ61" i="2"/>
  <c r="FP61" i="2" s="1"/>
  <c r="AN60" i="2"/>
  <c r="FT60" i="2" s="1"/>
  <c r="AK59" i="2"/>
  <c r="FQ59" i="2" s="1"/>
  <c r="W59" i="2"/>
  <c r="AN58" i="2"/>
  <c r="FT58" i="2" s="1"/>
  <c r="AB58" i="2"/>
  <c r="FH58" i="2" s="1"/>
  <c r="AL57" i="2"/>
  <c r="FR57" i="2" s="1"/>
  <c r="Z57" i="2"/>
  <c r="FF57" i="2" s="1"/>
  <c r="AJ56" i="2"/>
  <c r="FP56" i="2" s="1"/>
  <c r="X56" i="2"/>
  <c r="FD56" i="2" s="1"/>
  <c r="AN55" i="2"/>
  <c r="FT55" i="2" s="1"/>
  <c r="AB55" i="2"/>
  <c r="FH55" i="2" s="1"/>
  <c r="AJ54" i="2"/>
  <c r="FP54" i="2" s="1"/>
  <c r="X54" i="2"/>
  <c r="FD54" i="2" s="1"/>
  <c r="AI61" i="2"/>
  <c r="X58" i="2"/>
  <c r="FD58" i="2" s="1"/>
  <c r="AA57" i="2"/>
  <c r="AM56" i="2"/>
  <c r="AJ55" i="2"/>
  <c r="FP55" i="2" s="1"/>
  <c r="W54" i="2"/>
  <c r="AM53" i="2"/>
  <c r="AA53" i="2"/>
  <c r="C53" i="2"/>
  <c r="AE52" i="2"/>
  <c r="AO51" i="2"/>
  <c r="FU51" i="2" s="1"/>
  <c r="AC51" i="2"/>
  <c r="FI51" i="2" s="1"/>
  <c r="E51" i="2"/>
  <c r="EK51" i="2" s="1"/>
  <c r="AI50" i="2"/>
  <c r="W50" i="2"/>
  <c r="AO49" i="2"/>
  <c r="FU49" i="2" s="1"/>
  <c r="AC49" i="2"/>
  <c r="FI49" i="2" s="1"/>
  <c r="AI48" i="2"/>
  <c r="W48" i="2"/>
  <c r="W58" i="2"/>
  <c r="Y57" i="2"/>
  <c r="FE57" i="2" s="1"/>
  <c r="AL56" i="2"/>
  <c r="FR56" i="2" s="1"/>
  <c r="AI55" i="2"/>
  <c r="AM54" i="2"/>
  <c r="AL53" i="2"/>
  <c r="FR53" i="2" s="1"/>
  <c r="Z53" i="2"/>
  <c r="FF53" i="2" s="1"/>
  <c r="AP52" i="2"/>
  <c r="FV52" i="2" s="1"/>
  <c r="AD52" i="2"/>
  <c r="FJ52" i="2" s="1"/>
  <c r="F52" i="2"/>
  <c r="EL52" i="2" s="1"/>
  <c r="AN51" i="2"/>
  <c r="FT51" i="2" s="1"/>
  <c r="AB51" i="2"/>
  <c r="FH51" i="2" s="1"/>
  <c r="D51" i="2"/>
  <c r="EJ51" i="2" s="1"/>
  <c r="AH50" i="2"/>
  <c r="FN50" i="2" s="1"/>
  <c r="AN49" i="2"/>
  <c r="FT49" i="2" s="1"/>
  <c r="AB49" i="2"/>
  <c r="FH49" i="2" s="1"/>
  <c r="AM60" i="2"/>
  <c r="W57" i="2"/>
  <c r="AK56" i="2"/>
  <c r="FQ56" i="2" s="1"/>
  <c r="AE55" i="2"/>
  <c r="AL54" i="2"/>
  <c r="FR54" i="2" s="1"/>
  <c r="E54" i="2"/>
  <c r="EK54" i="2" s="1"/>
  <c r="AK53" i="2"/>
  <c r="FQ53" i="2" s="1"/>
  <c r="Y53" i="2"/>
  <c r="FE53" i="2" s="1"/>
  <c r="AO52" i="2"/>
  <c r="FU52" i="2" s="1"/>
  <c r="AC52" i="2"/>
  <c r="FI52" i="2" s="1"/>
  <c r="E52" i="2"/>
  <c r="EK52" i="2" s="1"/>
  <c r="AM51" i="2"/>
  <c r="AA51" i="2"/>
  <c r="C51" i="2"/>
  <c r="AG50" i="2"/>
  <c r="FM50" i="2" s="1"/>
  <c r="AI56" i="2"/>
  <c r="AD55" i="2"/>
  <c r="FJ55" i="2" s="1"/>
  <c r="AK54" i="2"/>
  <c r="FQ54" i="2" s="1"/>
  <c r="C54" i="2"/>
  <c r="AJ53" i="2"/>
  <c r="FP53" i="2" s="1"/>
  <c r="X53" i="2"/>
  <c r="FD53" i="2" s="1"/>
  <c r="AN52" i="2"/>
  <c r="FT52" i="2" s="1"/>
  <c r="AB52" i="2"/>
  <c r="FH52" i="2" s="1"/>
  <c r="D52" i="2"/>
  <c r="EJ52" i="2" s="1"/>
  <c r="AL51" i="2"/>
  <c r="FR51" i="2" s="1"/>
  <c r="Z51" i="2"/>
  <c r="FF51" i="2" s="1"/>
  <c r="AF50" i="2"/>
  <c r="FL50" i="2" s="1"/>
  <c r="AO57" i="2"/>
  <c r="FU57" i="2" s="1"/>
  <c r="AG56" i="2"/>
  <c r="FM56" i="2" s="1"/>
  <c r="AC55" i="2"/>
  <c r="FI55" i="2" s="1"/>
  <c r="AI54" i="2"/>
  <c r="AI53" i="2"/>
  <c r="W53" i="2"/>
  <c r="AM52" i="2"/>
  <c r="AA52" i="2"/>
  <c r="C52" i="2"/>
  <c r="AK51" i="2"/>
  <c r="FQ51" i="2" s="1"/>
  <c r="Y51" i="2"/>
  <c r="FE51" i="2" s="1"/>
  <c r="AE50" i="2"/>
  <c r="AK49" i="2"/>
  <c r="FQ49" i="2" s="1"/>
  <c r="Y49" i="2"/>
  <c r="FE49" i="2" s="1"/>
  <c r="AE48" i="2"/>
  <c r="AN57" i="2"/>
  <c r="FT57" i="2" s="1"/>
  <c r="AF56" i="2"/>
  <c r="FL56" i="2" s="1"/>
  <c r="AA55" i="2"/>
  <c r="AG54" i="2"/>
  <c r="FM54" i="2" s="1"/>
  <c r="AH53" i="2"/>
  <c r="FN53" i="2" s="1"/>
  <c r="AL52" i="2"/>
  <c r="FR52" i="2" s="1"/>
  <c r="Z52" i="2"/>
  <c r="FF52" i="2" s="1"/>
  <c r="AJ51" i="2"/>
  <c r="FP51" i="2" s="1"/>
  <c r="X51" i="2"/>
  <c r="FD51" i="2" s="1"/>
  <c r="AP50" i="2"/>
  <c r="FV50" i="2" s="1"/>
  <c r="AD50" i="2"/>
  <c r="FJ50" i="2" s="1"/>
  <c r="AJ49" i="2"/>
  <c r="FP49" i="2" s="1"/>
  <c r="X49" i="2"/>
  <c r="FD49" i="2" s="1"/>
  <c r="AM57" i="2"/>
  <c r="AE56" i="2"/>
  <c r="Y55" i="2"/>
  <c r="FE55" i="2" s="1"/>
  <c r="AF54" i="2"/>
  <c r="FL54" i="2" s="1"/>
  <c r="AG53" i="2"/>
  <c r="FM53" i="2" s="1"/>
  <c r="AK52" i="2"/>
  <c r="FQ52" i="2" s="1"/>
  <c r="Y52" i="2"/>
  <c r="FE52" i="2" s="1"/>
  <c r="AI51" i="2"/>
  <c r="W51" i="2"/>
  <c r="AO50" i="2"/>
  <c r="FU50" i="2" s="1"/>
  <c r="AC50" i="2"/>
  <c r="FI50" i="2" s="1"/>
  <c r="AK57" i="2"/>
  <c r="FQ57" i="2" s="1"/>
  <c r="AA56" i="2"/>
  <c r="X55" i="2"/>
  <c r="FD55" i="2" s="1"/>
  <c r="AE54" i="2"/>
  <c r="AF53" i="2"/>
  <c r="FL53" i="2" s="1"/>
  <c r="AJ52" i="2"/>
  <c r="FP52" i="2" s="1"/>
  <c r="X52" i="2"/>
  <c r="FD52" i="2" s="1"/>
  <c r="AH51" i="2"/>
  <c r="FN51" i="2" s="1"/>
  <c r="AN50" i="2"/>
  <c r="FT50" i="2" s="1"/>
  <c r="AB50" i="2"/>
  <c r="FH50" i="2" s="1"/>
  <c r="AI59" i="2"/>
  <c r="AP58" i="2"/>
  <c r="FV58" i="2" s="1"/>
  <c r="AH57" i="2"/>
  <c r="FN57" i="2" s="1"/>
  <c r="Z56" i="2"/>
  <c r="FF56" i="2" s="1"/>
  <c r="AP55" i="2"/>
  <c r="FV55" i="2" s="1"/>
  <c r="W55" i="2"/>
  <c r="AC54" i="2"/>
  <c r="FI54" i="2" s="1"/>
  <c r="AE53" i="2"/>
  <c r="AI52" i="2"/>
  <c r="W52" i="2"/>
  <c r="AG51" i="2"/>
  <c r="FM51" i="2" s="1"/>
  <c r="AM50" i="2"/>
  <c r="AM58" i="2"/>
  <c r="AG57" i="2"/>
  <c r="FM57" i="2" s="1"/>
  <c r="Y56" i="2"/>
  <c r="FE56" i="2" s="1"/>
  <c r="AO55" i="2"/>
  <c r="FU55" i="2" s="1"/>
  <c r="AA54" i="2"/>
  <c r="AP53" i="2"/>
  <c r="FV53" i="2" s="1"/>
  <c r="AD53" i="2"/>
  <c r="FJ53" i="2" s="1"/>
  <c r="F53" i="2"/>
  <c r="EL53" i="2" s="1"/>
  <c r="D53" i="2"/>
  <c r="EJ53" i="2" s="1"/>
  <c r="AL50" i="2"/>
  <c r="FR50" i="2" s="1"/>
  <c r="AM49" i="2"/>
  <c r="AG48" i="2"/>
  <c r="FM48" i="2" s="1"/>
  <c r="AE47" i="2"/>
  <c r="AF46" i="2"/>
  <c r="FL46" i="2" s="1"/>
  <c r="AX17" i="2"/>
  <c r="AY16" i="2"/>
  <c r="BA15" i="2"/>
  <c r="BC14" i="2"/>
  <c r="BC12" i="2"/>
  <c r="BC11" i="2"/>
  <c r="BC10" i="2"/>
  <c r="BC9" i="2"/>
  <c r="AU8" i="2"/>
  <c r="AZ7" i="2"/>
  <c r="BD6" i="2"/>
  <c r="AW5" i="2"/>
  <c r="W56" i="2"/>
  <c r="Z54" i="2"/>
  <c r="FF54" i="2" s="1"/>
  <c r="AK50" i="2"/>
  <c r="FQ50" i="2" s="1"/>
  <c r="AL49" i="2"/>
  <c r="FR49" i="2" s="1"/>
  <c r="AF48" i="2"/>
  <c r="FL48" i="2" s="1"/>
  <c r="AP47" i="2"/>
  <c r="FV47" i="2" s="1"/>
  <c r="AD47" i="2"/>
  <c r="FJ47" i="2" s="1"/>
  <c r="AE46" i="2"/>
  <c r="BD20" i="2"/>
  <c r="AX16" i="2"/>
  <c r="AZ15" i="2"/>
  <c r="BB14" i="2"/>
  <c r="BD13" i="2"/>
  <c r="BB12" i="2"/>
  <c r="BB11" i="2"/>
  <c r="BB10" i="2"/>
  <c r="BB9" i="2"/>
  <c r="AY7" i="2"/>
  <c r="BC6" i="2"/>
  <c r="AV5" i="2"/>
  <c r="Y54" i="2"/>
  <c r="FE54" i="2" s="1"/>
  <c r="AP51" i="2"/>
  <c r="FV51" i="2" s="1"/>
  <c r="FV68" i="2" s="1"/>
  <c r="AJ50" i="2"/>
  <c r="FP50" i="2" s="1"/>
  <c r="AI49" i="2"/>
  <c r="AD48" i="2"/>
  <c r="FJ48" i="2" s="1"/>
  <c r="AO47" i="2"/>
  <c r="FU47" i="2" s="1"/>
  <c r="AC47" i="2"/>
  <c r="FI47" i="2" s="1"/>
  <c r="AP46" i="2"/>
  <c r="FV46" i="2" s="1"/>
  <c r="AD46" i="2"/>
  <c r="FJ46" i="2" s="1"/>
  <c r="BC20" i="2"/>
  <c r="AW16" i="2"/>
  <c r="AY15" i="2"/>
  <c r="BA14" i="2"/>
  <c r="BC13" i="2"/>
  <c r="BA12" i="2"/>
  <c r="BA11" i="2"/>
  <c r="BA10" i="2"/>
  <c r="BA9" i="2"/>
  <c r="AX7" i="2"/>
  <c r="BB6" i="2"/>
  <c r="AU5" i="2"/>
  <c r="AC57" i="2"/>
  <c r="FI57" i="2" s="1"/>
  <c r="AF51" i="2"/>
  <c r="FL51" i="2" s="1"/>
  <c r="AA50" i="2"/>
  <c r="AH49" i="2"/>
  <c r="FN49" i="2" s="1"/>
  <c r="AC48" i="2"/>
  <c r="FI48" i="2" s="1"/>
  <c r="AN47" i="2"/>
  <c r="FT47" i="2" s="1"/>
  <c r="AB47" i="2"/>
  <c r="FH47" i="2" s="1"/>
  <c r="AO46" i="2"/>
  <c r="FU46" i="2" s="1"/>
  <c r="AC46" i="2"/>
  <c r="FI46" i="2" s="1"/>
  <c r="BB20" i="2"/>
  <c r="BD19" i="2"/>
  <c r="AX15" i="2"/>
  <c r="AZ14" i="2"/>
  <c r="BB13" i="2"/>
  <c r="AZ12" i="2"/>
  <c r="AZ11" i="2"/>
  <c r="AZ10" i="2"/>
  <c r="AZ9" i="2"/>
  <c r="BD8" i="2"/>
  <c r="AW7" i="2"/>
  <c r="BA6" i="2"/>
  <c r="AB57" i="2"/>
  <c r="FH57" i="2" s="1"/>
  <c r="AE51" i="2"/>
  <c r="Z50" i="2"/>
  <c r="FF50" i="2" s="1"/>
  <c r="AG49" i="2"/>
  <c r="FM49" i="2" s="1"/>
  <c r="AP48" i="2"/>
  <c r="FV48" i="2" s="1"/>
  <c r="AB48" i="2"/>
  <c r="FH48" i="2" s="1"/>
  <c r="AM47" i="2"/>
  <c r="AA47" i="2"/>
  <c r="AN46" i="2"/>
  <c r="FT46" i="2" s="1"/>
  <c r="AB46" i="2"/>
  <c r="FH46" i="2" s="1"/>
  <c r="BA20" i="2"/>
  <c r="BC19" i="2"/>
  <c r="AW15" i="2"/>
  <c r="AY14" i="2"/>
  <c r="BA13" i="2"/>
  <c r="AY12" i="2"/>
  <c r="AY11" i="2"/>
  <c r="AY10" i="2"/>
  <c r="AY9" i="2"/>
  <c r="BC8" i="2"/>
  <c r="AV7" i="2"/>
  <c r="AZ6" i="2"/>
  <c r="AO53" i="2"/>
  <c r="FU53" i="2" s="1"/>
  <c r="AH52" i="2"/>
  <c r="FN52" i="2" s="1"/>
  <c r="AD51" i="2"/>
  <c r="FJ51" i="2" s="1"/>
  <c r="Y50" i="2"/>
  <c r="FE50" i="2" s="1"/>
  <c r="AF49" i="2"/>
  <c r="FL49" i="2" s="1"/>
  <c r="AO48" i="2"/>
  <c r="FU48" i="2" s="1"/>
  <c r="AA48" i="2"/>
  <c r="AL47" i="2"/>
  <c r="FR47" i="2" s="1"/>
  <c r="Z47" i="2"/>
  <c r="FF47" i="2" s="1"/>
  <c r="AM46" i="2"/>
  <c r="AA46" i="2"/>
  <c r="AZ20" i="2"/>
  <c r="BB19" i="2"/>
  <c r="BD18" i="2"/>
  <c r="AX14" i="2"/>
  <c r="AZ13" i="2"/>
  <c r="AX12" i="2"/>
  <c r="AX11" i="2"/>
  <c r="AX10" i="2"/>
  <c r="AX9" i="2"/>
  <c r="BB8" i="2"/>
  <c r="AU7" i="2"/>
  <c r="AY6" i="2"/>
  <c r="AH62" i="2"/>
  <c r="FN62" i="2" s="1"/>
  <c r="AN53" i="2"/>
  <c r="FT53" i="2" s="1"/>
  <c r="AG52" i="2"/>
  <c r="FM52" i="2" s="1"/>
  <c r="X50" i="2"/>
  <c r="FD50" i="2" s="1"/>
  <c r="AE49" i="2"/>
  <c r="AN48" i="2"/>
  <c r="FT48" i="2" s="1"/>
  <c r="Z48" i="2"/>
  <c r="FF48" i="2" s="1"/>
  <c r="AK47" i="2"/>
  <c r="FQ47" i="2" s="1"/>
  <c r="Y47" i="2"/>
  <c r="FE47" i="2" s="1"/>
  <c r="AL46" i="2"/>
  <c r="FR46" i="2" s="1"/>
  <c r="Z46" i="2"/>
  <c r="FF46" i="2" s="1"/>
  <c r="AY20" i="2"/>
  <c r="BA19" i="2"/>
  <c r="BC18" i="2"/>
  <c r="BD17" i="2"/>
  <c r="AW14" i="2"/>
  <c r="AY13" i="2"/>
  <c r="AW12" i="2"/>
  <c r="AW11" i="2"/>
  <c r="AW10" i="2"/>
  <c r="AW9" i="2"/>
  <c r="AC53" i="2"/>
  <c r="FI53" i="2" s="1"/>
  <c r="AF52" i="2"/>
  <c r="FL52" i="2" s="1"/>
  <c r="AD49" i="2"/>
  <c r="FJ49" i="2" s="1"/>
  <c r="AM48" i="2"/>
  <c r="Y48" i="2"/>
  <c r="FE48" i="2" s="1"/>
  <c r="AJ47" i="2"/>
  <c r="FP47" i="2" s="1"/>
  <c r="X47" i="2"/>
  <c r="FD47" i="2" s="1"/>
  <c r="AK46" i="2"/>
  <c r="FQ46" i="2" s="1"/>
  <c r="Y46" i="2"/>
  <c r="FE46" i="2" s="1"/>
  <c r="AX20" i="2"/>
  <c r="AZ19" i="2"/>
  <c r="BB18" i="2"/>
  <c r="BC17" i="2"/>
  <c r="BD16" i="2"/>
  <c r="AX13" i="2"/>
  <c r="AV12" i="2"/>
  <c r="AV11" i="2"/>
  <c r="AB53" i="2"/>
  <c r="FH53" i="2" s="1"/>
  <c r="AA49" i="2"/>
  <c r="AL48" i="2"/>
  <c r="FR48" i="2" s="1"/>
  <c r="X48" i="2"/>
  <c r="FD48" i="2" s="1"/>
  <c r="AI47" i="2"/>
  <c r="W47" i="2"/>
  <c r="AJ46" i="2"/>
  <c r="FP46" i="2" s="1"/>
  <c r="X46" i="2"/>
  <c r="FD46" i="2" s="1"/>
  <c r="AY19" i="2"/>
  <c r="BA18" i="2"/>
  <c r="BB17" i="2"/>
  <c r="BC16" i="2"/>
  <c r="AW13" i="2"/>
  <c r="AU12" i="2"/>
  <c r="AU11" i="2"/>
  <c r="AU10" i="2"/>
  <c r="AU9" i="2"/>
  <c r="AY8" i="2"/>
  <c r="AD58" i="2"/>
  <c r="FJ58" i="2" s="1"/>
  <c r="AK55" i="2"/>
  <c r="FQ55" i="2" s="1"/>
  <c r="W49" i="2"/>
  <c r="AJ48" i="2"/>
  <c r="FP48" i="2" s="1"/>
  <c r="AG47" i="2"/>
  <c r="FM47" i="2" s="1"/>
  <c r="AH46" i="2"/>
  <c r="FN46" i="2" s="1"/>
  <c r="AY18" i="2"/>
  <c r="AZ17" i="2"/>
  <c r="BA16" i="2"/>
  <c r="BC15" i="2"/>
  <c r="AW8" i="2"/>
  <c r="BB7" i="2"/>
  <c r="AA58" i="2"/>
  <c r="E53" i="2"/>
  <c r="EK53" i="2" s="1"/>
  <c r="F51" i="2"/>
  <c r="EL51" i="2" s="1"/>
  <c r="AP49" i="2"/>
  <c r="FV49" i="2" s="1"/>
  <c r="AH48" i="2"/>
  <c r="FN48" i="2" s="1"/>
  <c r="AF47" i="2"/>
  <c r="FL47" i="2" s="1"/>
  <c r="AG46" i="2"/>
  <c r="FM46" i="2" s="1"/>
  <c r="AX18" i="2"/>
  <c r="AY17" i="2"/>
  <c r="AZ16" i="2"/>
  <c r="BB15" i="2"/>
  <c r="BD14" i="2"/>
  <c r="BD12" i="2"/>
  <c r="BD11" i="2"/>
  <c r="BD10" i="2"/>
  <c r="BD9" i="2"/>
  <c r="AV8" i="2"/>
  <c r="BA7" i="2"/>
  <c r="CA46" i="2"/>
  <c r="M46" i="2"/>
  <c r="BQ158" i="2"/>
  <c r="C158" i="2"/>
  <c r="CC158" i="2"/>
  <c r="O158" i="2"/>
  <c r="BB5" i="2"/>
  <c r="N159" i="2"/>
  <c r="CB159" i="2"/>
  <c r="AX6" i="2"/>
  <c r="L48" i="2"/>
  <c r="AV9" i="2"/>
  <c r="I54" i="2"/>
  <c r="BA17" i="2"/>
  <c r="AK48" i="2"/>
  <c r="FQ48" i="2" s="1"/>
  <c r="CB46" i="2"/>
  <c r="N46" i="2"/>
  <c r="BR158" i="2"/>
  <c r="D158" i="2"/>
  <c r="BQ159" i="2"/>
  <c r="C159" i="2"/>
  <c r="H50" i="2"/>
  <c r="BV50" i="2"/>
  <c r="J54" i="2"/>
  <c r="P55" i="2"/>
  <c r="CD55" i="2"/>
  <c r="T167" i="2"/>
  <c r="CH167" i="2"/>
  <c r="BQ46" i="2"/>
  <c r="C46" i="2"/>
  <c r="CC46" i="2"/>
  <c r="O46" i="2"/>
  <c r="E158" i="2"/>
  <c r="BS158" i="2"/>
  <c r="Q158" i="2"/>
  <c r="CE158" i="2"/>
  <c r="BD5" i="2"/>
  <c r="BZ47" i="2"/>
  <c r="L47" i="2"/>
  <c r="N48" i="2"/>
  <c r="R49" i="2"/>
  <c r="CF51" i="2"/>
  <c r="R51" i="2"/>
  <c r="J163" i="2"/>
  <c r="BX163" i="2"/>
  <c r="CJ163" i="2"/>
  <c r="V163" i="2"/>
  <c r="S60" i="2"/>
  <c r="CG60" i="2"/>
  <c r="K172" i="2"/>
  <c r="BY172" i="2"/>
  <c r="AX19" i="2"/>
  <c r="J47" i="2"/>
  <c r="EP47" i="2" s="1"/>
  <c r="DN47" i="2"/>
  <c r="AM55" i="2"/>
  <c r="BC5" i="2"/>
  <c r="M48" i="2"/>
  <c r="ES48" i="2" s="1"/>
  <c r="CH50" i="2"/>
  <c r="T50" i="2"/>
  <c r="H167" i="2"/>
  <c r="BV167" i="2"/>
  <c r="AV4" i="2"/>
  <c r="BR46" i="2"/>
  <c r="D46" i="2"/>
  <c r="CD46" i="2"/>
  <c r="P46" i="2"/>
  <c r="BT158" i="2"/>
  <c r="F158" i="2"/>
  <c r="CF158" i="2"/>
  <c r="R158" i="2"/>
  <c r="BQ48" i="2"/>
  <c r="C48" i="2"/>
  <c r="CC48" i="2"/>
  <c r="O48" i="2"/>
  <c r="BU160" i="2"/>
  <c r="G160" i="2"/>
  <c r="CG160" i="2"/>
  <c r="S160" i="2"/>
  <c r="G49" i="2"/>
  <c r="S49" i="2"/>
  <c r="AX8" i="2"/>
  <c r="AV10" i="2"/>
  <c r="CJ58" i="2"/>
  <c r="V58" i="2"/>
  <c r="N170" i="2"/>
  <c r="CB170" i="2"/>
  <c r="K46" i="2"/>
  <c r="V47" i="2"/>
  <c r="FB47" i="2" s="1"/>
  <c r="DN49" i="2"/>
  <c r="DN67" i="2" s="1"/>
  <c r="U52" i="2"/>
  <c r="FA52" i="2" s="1"/>
  <c r="AW4" i="2"/>
  <c r="E46" i="2"/>
  <c r="BS46" i="2"/>
  <c r="Q46" i="2"/>
  <c r="CE46" i="2"/>
  <c r="G158" i="2"/>
  <c r="BU158" i="2"/>
  <c r="S158" i="2"/>
  <c r="CG158" i="2"/>
  <c r="D48" i="2"/>
  <c r="BR48" i="2"/>
  <c r="P48" i="2"/>
  <c r="CD48" i="2"/>
  <c r="H160" i="2"/>
  <c r="BV160" i="2"/>
  <c r="T160" i="2"/>
  <c r="CH160" i="2"/>
  <c r="AZ8" i="2"/>
  <c r="CH51" i="2"/>
  <c r="T51" i="2"/>
  <c r="L163" i="2"/>
  <c r="BZ163" i="2"/>
  <c r="W46" i="2"/>
  <c r="AH47" i="2"/>
  <c r="FN47" i="2" s="1"/>
  <c r="AX4" i="2"/>
  <c r="F46" i="2"/>
  <c r="BT46" i="2"/>
  <c r="R46" i="2"/>
  <c r="CF46" i="2"/>
  <c r="CH158" i="2"/>
  <c r="T158" i="2"/>
  <c r="BS48" i="2"/>
  <c r="E48" i="2"/>
  <c r="Q48" i="2"/>
  <c r="CE48" i="2"/>
  <c r="BW160" i="2"/>
  <c r="I160" i="2"/>
  <c r="CI160" i="2"/>
  <c r="U160" i="2"/>
  <c r="BA8" i="2"/>
  <c r="R52" i="2"/>
  <c r="CF52" i="2"/>
  <c r="BX164" i="2"/>
  <c r="J164" i="2"/>
  <c r="CJ164" i="2"/>
  <c r="V164" i="2"/>
  <c r="N56" i="2"/>
  <c r="CB56" i="2"/>
  <c r="F168" i="2"/>
  <c r="BT168" i="2"/>
  <c r="R168" i="2"/>
  <c r="CF168" i="2"/>
  <c r="BB16" i="2"/>
  <c r="AI46" i="2"/>
  <c r="H158" i="2"/>
  <c r="BV158" i="2"/>
  <c r="AY4" i="2"/>
  <c r="G46" i="2"/>
  <c r="S46" i="2"/>
  <c r="BW158" i="2"/>
  <c r="I158" i="2"/>
  <c r="CI158" i="2"/>
  <c r="U158" i="2"/>
  <c r="D47" i="2"/>
  <c r="P47" i="2"/>
  <c r="BT48" i="2"/>
  <c r="F48" i="2"/>
  <c r="R48" i="2"/>
  <c r="CF48" i="2"/>
  <c r="BX160" i="2"/>
  <c r="J160" i="2"/>
  <c r="CJ160" i="2"/>
  <c r="V160" i="2"/>
  <c r="J49" i="2"/>
  <c r="BX49" i="2"/>
  <c r="CJ49" i="2"/>
  <c r="V49" i="2"/>
  <c r="CB161" i="2"/>
  <c r="N161" i="2"/>
  <c r="H49" i="2"/>
  <c r="EN49" i="2" s="1"/>
  <c r="BY47" i="2"/>
  <c r="K47" i="2"/>
  <c r="H46" i="2"/>
  <c r="BV46" i="2"/>
  <c r="BC7" i="2"/>
  <c r="BQ161" i="2"/>
  <c r="C161" i="2"/>
  <c r="CF53" i="2"/>
  <c r="DH53" i="2" s="1"/>
  <c r="ED53" i="2" s="1"/>
  <c r="R53" i="2"/>
  <c r="BX165" i="2"/>
  <c r="J165" i="2"/>
  <c r="I173" i="2"/>
  <c r="BW173" i="2"/>
  <c r="U173" i="2"/>
  <c r="CI173" i="2"/>
  <c r="Q53" i="2"/>
  <c r="EW53" i="2" s="1"/>
  <c r="BZ162" i="2"/>
  <c r="L162" i="2"/>
  <c r="AZ4" i="2"/>
  <c r="T46" i="2"/>
  <c r="CH46" i="2"/>
  <c r="E47" i="2"/>
  <c r="BS47" i="2"/>
  <c r="Q47" i="2"/>
  <c r="CE47" i="2"/>
  <c r="BY49" i="2"/>
  <c r="K49" i="2"/>
  <c r="CJ165" i="2"/>
  <c r="V165" i="2"/>
  <c r="AZ18" i="2"/>
  <c r="CE61" i="2"/>
  <c r="Q61" i="2"/>
  <c r="Z49" i="2"/>
  <c r="FF49" i="2" s="1"/>
  <c r="BA4" i="2"/>
  <c r="BW46" i="2"/>
  <c r="I46" i="2"/>
  <c r="AX5" i="2"/>
  <c r="F47" i="2"/>
  <c r="EL47" i="2" s="1"/>
  <c r="R47" i="2"/>
  <c r="BD7" i="2"/>
  <c r="BZ49" i="2"/>
  <c r="L49" i="2"/>
  <c r="BR161" i="2"/>
  <c r="D161" i="2"/>
  <c r="CD161" i="2"/>
  <c r="P161" i="2"/>
  <c r="CF47" i="2"/>
  <c r="CD158" i="2"/>
  <c r="P158" i="2"/>
  <c r="BB4" i="2"/>
  <c r="BX46" i="2"/>
  <c r="J46" i="2"/>
  <c r="CJ46" i="2"/>
  <c r="V46" i="2"/>
  <c r="BZ158" i="2"/>
  <c r="L158" i="2"/>
  <c r="AY5" i="2"/>
  <c r="G47" i="2"/>
  <c r="BU47" i="2"/>
  <c r="S47" i="2"/>
  <c r="CG47" i="2"/>
  <c r="K159" i="2"/>
  <c r="BY159" i="2"/>
  <c r="CA49" i="2"/>
  <c r="M49" i="2"/>
  <c r="BS161" i="2"/>
  <c r="E161" i="2"/>
  <c r="CE161" i="2"/>
  <c r="Q161" i="2"/>
  <c r="CF54" i="2"/>
  <c r="R54" i="2"/>
  <c r="BX166" i="2"/>
  <c r="J166" i="2"/>
  <c r="CJ166" i="2"/>
  <c r="V166" i="2"/>
  <c r="U59" i="2"/>
  <c r="CI59" i="2"/>
  <c r="M171" i="2"/>
  <c r="CA171" i="2"/>
  <c r="CC159" i="2"/>
  <c r="O159" i="2"/>
  <c r="BC4" i="2"/>
  <c r="AZ5" i="2"/>
  <c r="BV47" i="2"/>
  <c r="H47" i="2"/>
  <c r="CH47" i="2"/>
  <c r="T47" i="2"/>
  <c r="BZ159" i="2"/>
  <c r="L159" i="2"/>
  <c r="AV6" i="2"/>
  <c r="N49" i="2"/>
  <c r="ET49" i="2" s="1"/>
  <c r="BD15" i="2"/>
  <c r="BZ57" i="2"/>
  <c r="L57" i="2"/>
  <c r="BR169" i="2"/>
  <c r="D169" i="2"/>
  <c r="CD169" i="2"/>
  <c r="P169" i="2"/>
  <c r="H48" i="2"/>
  <c r="EN48" i="2" s="1"/>
  <c r="N50" i="2"/>
  <c r="ET50" i="2" s="1"/>
  <c r="H51" i="2"/>
  <c r="EN51" i="2" s="1"/>
  <c r="BW159" i="2"/>
  <c r="I159" i="2"/>
  <c r="CI159" i="2"/>
  <c r="U159" i="2"/>
  <c r="BS160" i="2"/>
  <c r="E160" i="2"/>
  <c r="CE160" i="2"/>
  <c r="Q160" i="2"/>
  <c r="L161" i="2"/>
  <c r="BZ161" i="2"/>
  <c r="BR50" i="2"/>
  <c r="D50" i="2"/>
  <c r="CD50" i="2"/>
  <c r="P50" i="2"/>
  <c r="BV162" i="2"/>
  <c r="H162" i="2"/>
  <c r="CH162" i="2"/>
  <c r="T162" i="2"/>
  <c r="P51" i="2"/>
  <c r="BV163" i="2"/>
  <c r="H163" i="2"/>
  <c r="CH163" i="2"/>
  <c r="T163" i="2"/>
  <c r="P52" i="2"/>
  <c r="BV164" i="2"/>
  <c r="H164" i="2"/>
  <c r="CH164" i="2"/>
  <c r="T164" i="2"/>
  <c r="BV165" i="2"/>
  <c r="H165" i="2"/>
  <c r="CH165" i="2"/>
  <c r="T165" i="2"/>
  <c r="P54" i="2"/>
  <c r="CD54" i="2"/>
  <c r="H166" i="2"/>
  <c r="BV166" i="2"/>
  <c r="CH166" i="2"/>
  <c r="T166" i="2"/>
  <c r="N55" i="2"/>
  <c r="CB55" i="2"/>
  <c r="BT167" i="2"/>
  <c r="F167" i="2"/>
  <c r="CF167" i="2"/>
  <c r="R167" i="2"/>
  <c r="BZ56" i="2"/>
  <c r="L56" i="2"/>
  <c r="BR168" i="2"/>
  <c r="D168" i="2"/>
  <c r="CD168" i="2"/>
  <c r="P168" i="2"/>
  <c r="V57" i="2"/>
  <c r="CJ57" i="2"/>
  <c r="CB169" i="2"/>
  <c r="N169" i="2"/>
  <c r="CH58" i="2"/>
  <c r="T58" i="2"/>
  <c r="BZ170" i="2"/>
  <c r="L170" i="2"/>
  <c r="EM70" i="2"/>
  <c r="S59" i="2"/>
  <c r="CG59" i="2"/>
  <c r="K171" i="2"/>
  <c r="BY171" i="2"/>
  <c r="Q60" i="2"/>
  <c r="CE60" i="2"/>
  <c r="I172" i="2"/>
  <c r="BW172" i="2"/>
  <c r="U172" i="2"/>
  <c r="CI172" i="2"/>
  <c r="CC61" i="2"/>
  <c r="O61" i="2"/>
  <c r="BU173" i="2"/>
  <c r="G173" i="2"/>
  <c r="CG173" i="2"/>
  <c r="S173" i="2"/>
  <c r="E174" i="2"/>
  <c r="BS174" i="2"/>
  <c r="Q174" i="2"/>
  <c r="CE174" i="2"/>
  <c r="U46" i="2"/>
  <c r="BR47" i="2"/>
  <c r="CD47" i="2"/>
  <c r="T48" i="2"/>
  <c r="EZ48" i="2" s="1"/>
  <c r="F49" i="2"/>
  <c r="EL49" i="2" s="1"/>
  <c r="BU49" i="2"/>
  <c r="L50" i="2"/>
  <c r="ER50" i="2" s="1"/>
  <c r="J52" i="2"/>
  <c r="EP52" i="2" s="1"/>
  <c r="R55" i="2"/>
  <c r="EX55" i="2" s="1"/>
  <c r="BX159" i="2"/>
  <c r="J159" i="2"/>
  <c r="CJ159" i="2"/>
  <c r="V159" i="2"/>
  <c r="F160" i="2"/>
  <c r="BT160" i="2"/>
  <c r="R160" i="2"/>
  <c r="CF160" i="2"/>
  <c r="CA161" i="2"/>
  <c r="M161" i="2"/>
  <c r="CE50" i="2"/>
  <c r="Q50" i="2"/>
  <c r="BW162" i="2"/>
  <c r="I162" i="2"/>
  <c r="CI162" i="2"/>
  <c r="U162" i="2"/>
  <c r="Q51" i="2"/>
  <c r="CE51" i="2"/>
  <c r="BW163" i="2"/>
  <c r="I163" i="2"/>
  <c r="CI163" i="2"/>
  <c r="U163" i="2"/>
  <c r="Q52" i="2"/>
  <c r="BW164" i="2"/>
  <c r="I164" i="2"/>
  <c r="CI164" i="2"/>
  <c r="U164" i="2"/>
  <c r="BW165" i="2"/>
  <c r="I165" i="2"/>
  <c r="CI165" i="2"/>
  <c r="U165" i="2"/>
  <c r="Q54" i="2"/>
  <c r="CE54" i="2"/>
  <c r="I166" i="2"/>
  <c r="BW166" i="2"/>
  <c r="CI166" i="2"/>
  <c r="U166" i="2"/>
  <c r="EI69" i="2"/>
  <c r="CC55" i="2"/>
  <c r="DH55" i="2" s="1"/>
  <c r="ED55" i="2" s="1"/>
  <c r="O55" i="2"/>
  <c r="BU167" i="2"/>
  <c r="G167" i="2"/>
  <c r="CG167" i="2"/>
  <c r="S167" i="2"/>
  <c r="CA56" i="2"/>
  <c r="M56" i="2"/>
  <c r="E168" i="2"/>
  <c r="BS168" i="2"/>
  <c r="Q168" i="2"/>
  <c r="CE168" i="2"/>
  <c r="BY57" i="2"/>
  <c r="K57" i="2"/>
  <c r="C169" i="2"/>
  <c r="BQ169" i="2"/>
  <c r="O169" i="2"/>
  <c r="CC169" i="2"/>
  <c r="CI58" i="2"/>
  <c r="U58" i="2"/>
  <c r="M170" i="2"/>
  <c r="CA170" i="2"/>
  <c r="T59" i="2"/>
  <c r="CH59" i="2"/>
  <c r="L171" i="2"/>
  <c r="BZ171" i="2"/>
  <c r="CF60" i="2"/>
  <c r="R60" i="2"/>
  <c r="J172" i="2"/>
  <c r="BX172" i="2"/>
  <c r="V172" i="2"/>
  <c r="CJ172" i="2"/>
  <c r="P61" i="2"/>
  <c r="CD61" i="2"/>
  <c r="BV173" i="2"/>
  <c r="H173" i="2"/>
  <c r="CH173" i="2"/>
  <c r="T173" i="2"/>
  <c r="F174" i="2"/>
  <c r="BT174" i="2"/>
  <c r="R174" i="2"/>
  <c r="CF174" i="2"/>
  <c r="U48" i="2"/>
  <c r="FA48" i="2" s="1"/>
  <c r="BZ48" i="2"/>
  <c r="DK49" i="2"/>
  <c r="DK67" i="2" s="1"/>
  <c r="M50" i="2"/>
  <c r="ES50" i="2" s="1"/>
  <c r="G51" i="2"/>
  <c r="DE51" i="2"/>
  <c r="T52" i="2"/>
  <c r="EZ52" i="2" s="1"/>
  <c r="P53" i="2"/>
  <c r="EV53" i="2" s="1"/>
  <c r="CC161" i="2"/>
  <c r="O161" i="2"/>
  <c r="BU50" i="2"/>
  <c r="G50" i="2"/>
  <c r="CG50" i="2"/>
  <c r="S50" i="2"/>
  <c r="K162" i="2"/>
  <c r="BY162" i="2"/>
  <c r="K163" i="2"/>
  <c r="BY163" i="2"/>
  <c r="G52" i="2"/>
  <c r="BU52" i="2"/>
  <c r="DF52" i="2" s="1"/>
  <c r="EB52" i="2" s="1"/>
  <c r="S52" i="2"/>
  <c r="CG52" i="2"/>
  <c r="DI52" i="2" s="1"/>
  <c r="EE52" i="2" s="1"/>
  <c r="BY164" i="2"/>
  <c r="K164" i="2"/>
  <c r="BU53" i="2"/>
  <c r="G53" i="2"/>
  <c r="CG53" i="2"/>
  <c r="S53" i="2"/>
  <c r="BY165" i="2"/>
  <c r="K165" i="2"/>
  <c r="BU54" i="2"/>
  <c r="G54" i="2"/>
  <c r="S54" i="2"/>
  <c r="CG54" i="2"/>
  <c r="BY166" i="2"/>
  <c r="K166" i="2"/>
  <c r="EK69" i="2"/>
  <c r="BW167" i="2"/>
  <c r="I167" i="2"/>
  <c r="CI167" i="2"/>
  <c r="U167" i="2"/>
  <c r="O56" i="2"/>
  <c r="BU168" i="2"/>
  <c r="G168" i="2"/>
  <c r="CG168" i="2"/>
  <c r="S168" i="2"/>
  <c r="CA57" i="2"/>
  <c r="M57" i="2"/>
  <c r="E169" i="2"/>
  <c r="BS169" i="2"/>
  <c r="Q169" i="2"/>
  <c r="CE169" i="2"/>
  <c r="BY58" i="2"/>
  <c r="K58" i="2"/>
  <c r="C170" i="2"/>
  <c r="BQ170" i="2"/>
  <c r="O170" i="2"/>
  <c r="CC170" i="2"/>
  <c r="CJ59" i="2"/>
  <c r="V59" i="2"/>
  <c r="N171" i="2"/>
  <c r="CB171" i="2"/>
  <c r="CH60" i="2"/>
  <c r="T60" i="2"/>
  <c r="L172" i="2"/>
  <c r="BZ172" i="2"/>
  <c r="R61" i="2"/>
  <c r="CF61" i="2"/>
  <c r="J173" i="2"/>
  <c r="BX173" i="2"/>
  <c r="V173" i="2"/>
  <c r="CJ173" i="2"/>
  <c r="CD62" i="2"/>
  <c r="P62" i="2"/>
  <c r="H174" i="2"/>
  <c r="BV174" i="2"/>
  <c r="T174" i="2"/>
  <c r="CH174" i="2"/>
  <c r="I48" i="2"/>
  <c r="EO48" i="2" s="1"/>
  <c r="CB48" i="2"/>
  <c r="I49" i="2"/>
  <c r="EO49" i="2" s="1"/>
  <c r="CC49" i="2"/>
  <c r="O50" i="2"/>
  <c r="V52" i="2"/>
  <c r="FB52" i="2" s="1"/>
  <c r="CD52" i="2"/>
  <c r="BZ164" i="2"/>
  <c r="L164" i="2"/>
  <c r="BV53" i="2"/>
  <c r="H53" i="2"/>
  <c r="CH53" i="2"/>
  <c r="T53" i="2"/>
  <c r="BZ165" i="2"/>
  <c r="L165" i="2"/>
  <c r="BV54" i="2"/>
  <c r="H54" i="2"/>
  <c r="CH54" i="2"/>
  <c r="T54" i="2"/>
  <c r="BZ166" i="2"/>
  <c r="L166" i="2"/>
  <c r="J167" i="2"/>
  <c r="BX167" i="2"/>
  <c r="V167" i="2"/>
  <c r="CJ167" i="2"/>
  <c r="CD56" i="2"/>
  <c r="P56" i="2"/>
  <c r="H168" i="2"/>
  <c r="BV168" i="2"/>
  <c r="T168" i="2"/>
  <c r="CH168" i="2"/>
  <c r="CB57" i="2"/>
  <c r="N57" i="2"/>
  <c r="F169" i="2"/>
  <c r="BT169" i="2"/>
  <c r="R169" i="2"/>
  <c r="CF169" i="2"/>
  <c r="BZ58" i="2"/>
  <c r="L58" i="2"/>
  <c r="BR170" i="2"/>
  <c r="D170" i="2"/>
  <c r="CD170" i="2"/>
  <c r="P170" i="2"/>
  <c r="C171" i="2"/>
  <c r="BQ171" i="2"/>
  <c r="O171" i="2"/>
  <c r="CC171" i="2"/>
  <c r="U60" i="2"/>
  <c r="CI60" i="2"/>
  <c r="M172" i="2"/>
  <c r="CA172" i="2"/>
  <c r="CG61" i="2"/>
  <c r="S61" i="2"/>
  <c r="K173" i="2"/>
  <c r="BY173" i="2"/>
  <c r="Q62" i="2"/>
  <c r="CE62" i="2"/>
  <c r="I174" i="2"/>
  <c r="BW174" i="2"/>
  <c r="U174" i="2"/>
  <c r="CI174" i="2"/>
  <c r="J48" i="2"/>
  <c r="EP48" i="2" s="1"/>
  <c r="S51" i="2"/>
  <c r="CE52" i="2"/>
  <c r="I50" i="2"/>
  <c r="U50" i="2"/>
  <c r="CA162" i="2"/>
  <c r="M162" i="2"/>
  <c r="BW51" i="2"/>
  <c r="I51" i="2"/>
  <c r="CI51" i="2"/>
  <c r="U51" i="2"/>
  <c r="M163" i="2"/>
  <c r="CA163" i="2"/>
  <c r="CA164" i="2"/>
  <c r="M164" i="2"/>
  <c r="BW53" i="2"/>
  <c r="I53" i="2"/>
  <c r="CI53" i="2"/>
  <c r="U53" i="2"/>
  <c r="CA165" i="2"/>
  <c r="M165" i="2"/>
  <c r="U54" i="2"/>
  <c r="CI54" i="2"/>
  <c r="CA166" i="2"/>
  <c r="M166" i="2"/>
  <c r="CG55" i="2"/>
  <c r="S55" i="2"/>
  <c r="K167" i="2"/>
  <c r="BY167" i="2"/>
  <c r="CE56" i="2"/>
  <c r="Q56" i="2"/>
  <c r="I168" i="2"/>
  <c r="BW168" i="2"/>
  <c r="U168" i="2"/>
  <c r="CI168" i="2"/>
  <c r="CC57" i="2"/>
  <c r="O57" i="2"/>
  <c r="BU169" i="2"/>
  <c r="G169" i="2"/>
  <c r="CG169" i="2"/>
  <c r="S169" i="2"/>
  <c r="CA58" i="2"/>
  <c r="M58" i="2"/>
  <c r="E170" i="2"/>
  <c r="BS170" i="2"/>
  <c r="Q170" i="2"/>
  <c r="CE170" i="2"/>
  <c r="BR171" i="2"/>
  <c r="D171" i="2"/>
  <c r="CD171" i="2"/>
  <c r="P171" i="2"/>
  <c r="CJ60" i="2"/>
  <c r="V60" i="2"/>
  <c r="N172" i="2"/>
  <c r="CB172" i="2"/>
  <c r="T61" i="2"/>
  <c r="CH61" i="2"/>
  <c r="L173" i="2"/>
  <c r="BZ173" i="2"/>
  <c r="CF62" i="2"/>
  <c r="R62" i="2"/>
  <c r="J174" i="2"/>
  <c r="BX174" i="2"/>
  <c r="V174" i="2"/>
  <c r="CJ174" i="2"/>
  <c r="M47" i="2"/>
  <c r="ES47" i="2" s="1"/>
  <c r="BW50" i="2"/>
  <c r="BU48" i="2"/>
  <c r="DF48" i="2" s="1"/>
  <c r="EB48" i="2" s="1"/>
  <c r="G48" i="2"/>
  <c r="CG48" i="2"/>
  <c r="DI48" i="2" s="1"/>
  <c r="EE48" i="2" s="1"/>
  <c r="S48" i="2"/>
  <c r="BY160" i="2"/>
  <c r="K160" i="2"/>
  <c r="BT161" i="2"/>
  <c r="F161" i="2"/>
  <c r="CF161" i="2"/>
  <c r="R161" i="2"/>
  <c r="J50" i="2"/>
  <c r="V50" i="2"/>
  <c r="N162" i="2"/>
  <c r="CB162" i="2"/>
  <c r="BX51" i="2"/>
  <c r="J51" i="2"/>
  <c r="CJ51" i="2"/>
  <c r="V51" i="2"/>
  <c r="N163" i="2"/>
  <c r="CB163" i="2"/>
  <c r="CB164" i="2"/>
  <c r="N164" i="2"/>
  <c r="BX53" i="2"/>
  <c r="J53" i="2"/>
  <c r="CJ53" i="2"/>
  <c r="V53" i="2"/>
  <c r="CB165" i="2"/>
  <c r="N165" i="2"/>
  <c r="V54" i="2"/>
  <c r="CJ54" i="2"/>
  <c r="CB166" i="2"/>
  <c r="N166" i="2"/>
  <c r="CH55" i="2"/>
  <c r="T55" i="2"/>
  <c r="BZ167" i="2"/>
  <c r="L167" i="2"/>
  <c r="CF56" i="2"/>
  <c r="R56" i="2"/>
  <c r="BX168" i="2"/>
  <c r="J168" i="2"/>
  <c r="CJ168" i="2"/>
  <c r="V168" i="2"/>
  <c r="CD57" i="2"/>
  <c r="P57" i="2"/>
  <c r="H169" i="2"/>
  <c r="BV169" i="2"/>
  <c r="T169" i="2"/>
  <c r="CH169" i="2"/>
  <c r="CB58" i="2"/>
  <c r="N58" i="2"/>
  <c r="F170" i="2"/>
  <c r="BT170" i="2"/>
  <c r="R170" i="2"/>
  <c r="CF170" i="2"/>
  <c r="E171" i="2"/>
  <c r="BS171" i="2"/>
  <c r="Q171" i="2"/>
  <c r="CE171" i="2"/>
  <c r="C172" i="2"/>
  <c r="BQ172" i="2"/>
  <c r="O172" i="2"/>
  <c r="CC172" i="2"/>
  <c r="U61" i="2"/>
  <c r="CI61" i="2"/>
  <c r="M173" i="2"/>
  <c r="CA173" i="2"/>
  <c r="S62" i="2"/>
  <c r="CG62" i="2"/>
  <c r="BY174" i="2"/>
  <c r="K174" i="2"/>
  <c r="N47" i="2"/>
  <c r="ET47" i="2" s="1"/>
  <c r="CF49" i="2"/>
  <c r="BX50" i="2"/>
  <c r="BW54" i="2"/>
  <c r="D159" i="2"/>
  <c r="BR159" i="2"/>
  <c r="P159" i="2"/>
  <c r="CD159" i="2"/>
  <c r="BZ160" i="2"/>
  <c r="L160" i="2"/>
  <c r="G161" i="2"/>
  <c r="BU161" i="2"/>
  <c r="S161" i="2"/>
  <c r="CG161" i="2"/>
  <c r="K50" i="2"/>
  <c r="BY50" i="2"/>
  <c r="DG50" i="2" s="1"/>
  <c r="EC50" i="2" s="1"/>
  <c r="BQ162" i="2"/>
  <c r="C162" i="2"/>
  <c r="CC162" i="2"/>
  <c r="O162" i="2"/>
  <c r="BY51" i="2"/>
  <c r="K51" i="2"/>
  <c r="BQ163" i="2"/>
  <c r="C163" i="2"/>
  <c r="O163" i="2"/>
  <c r="CC163" i="2"/>
  <c r="BY52" i="2"/>
  <c r="K52" i="2"/>
  <c r="BQ164" i="2"/>
  <c r="C164" i="2"/>
  <c r="CC164" i="2"/>
  <c r="O164" i="2"/>
  <c r="BY53" i="2"/>
  <c r="K53" i="2"/>
  <c r="BQ165" i="2"/>
  <c r="C165" i="2"/>
  <c r="EI165" i="2" s="1"/>
  <c r="CC165" i="2"/>
  <c r="O165" i="2"/>
  <c r="BY54" i="2"/>
  <c r="K54" i="2"/>
  <c r="BQ166" i="2"/>
  <c r="C166" i="2"/>
  <c r="CC166" i="2"/>
  <c r="O166" i="2"/>
  <c r="EO69" i="2"/>
  <c r="CI55" i="2"/>
  <c r="U55" i="2"/>
  <c r="M167" i="2"/>
  <c r="CA167" i="2"/>
  <c r="S56" i="2"/>
  <c r="CG56" i="2"/>
  <c r="BY168" i="2"/>
  <c r="K168" i="2"/>
  <c r="CE57" i="2"/>
  <c r="Q57" i="2"/>
  <c r="I169" i="2"/>
  <c r="BW169" i="2"/>
  <c r="U169" i="2"/>
  <c r="CI169" i="2"/>
  <c r="O58" i="2"/>
  <c r="CC58" i="2"/>
  <c r="G170" i="2"/>
  <c r="BU170" i="2"/>
  <c r="S170" i="2"/>
  <c r="CG170" i="2"/>
  <c r="F171" i="2"/>
  <c r="BT171" i="2"/>
  <c r="R171" i="2"/>
  <c r="CF171" i="2"/>
  <c r="D172" i="2"/>
  <c r="BR172" i="2"/>
  <c r="P172" i="2"/>
  <c r="CD172" i="2"/>
  <c r="V61" i="2"/>
  <c r="CJ61" i="2"/>
  <c r="N173" i="2"/>
  <c r="CB173" i="2"/>
  <c r="T62" i="2"/>
  <c r="CH62" i="2"/>
  <c r="BZ174" i="2"/>
  <c r="L174" i="2"/>
  <c r="C47" i="2"/>
  <c r="O47" i="2"/>
  <c r="CG49" i="2"/>
  <c r="CD51" i="2"/>
  <c r="DH51" i="2" s="1"/>
  <c r="ED51" i="2" s="1"/>
  <c r="BX54" i="2"/>
  <c r="BX158" i="2"/>
  <c r="J158" i="2"/>
  <c r="CJ158" i="2"/>
  <c r="V158" i="2"/>
  <c r="BS159" i="2"/>
  <c r="E159" i="2"/>
  <c r="Q159" i="2"/>
  <c r="CE159" i="2"/>
  <c r="CA160" i="2"/>
  <c r="M160" i="2"/>
  <c r="ES160" i="2" s="1"/>
  <c r="D49" i="2"/>
  <c r="P49" i="2"/>
  <c r="EV49" i="2" s="1"/>
  <c r="BV161" i="2"/>
  <c r="H161" i="2"/>
  <c r="CH161" i="2"/>
  <c r="T161" i="2"/>
  <c r="D162" i="2"/>
  <c r="BR162" i="2"/>
  <c r="P162" i="2"/>
  <c r="CD162" i="2"/>
  <c r="BZ51" i="2"/>
  <c r="L51" i="2"/>
  <c r="ER51" i="2" s="1"/>
  <c r="BR163" i="2"/>
  <c r="D163" i="2"/>
  <c r="P163" i="2"/>
  <c r="CD163" i="2"/>
  <c r="BZ52" i="2"/>
  <c r="L52" i="2"/>
  <c r="BR164" i="2"/>
  <c r="D164" i="2"/>
  <c r="P164" i="2"/>
  <c r="CD164" i="2"/>
  <c r="BZ53" i="2"/>
  <c r="L53" i="2"/>
  <c r="ER53" i="2" s="1"/>
  <c r="BR165" i="2"/>
  <c r="D165" i="2"/>
  <c r="CD165" i="2"/>
  <c r="P165" i="2"/>
  <c r="BZ54" i="2"/>
  <c r="L54" i="2"/>
  <c r="BR166" i="2"/>
  <c r="D166" i="2"/>
  <c r="CD166" i="2"/>
  <c r="P166" i="2"/>
  <c r="V55" i="2"/>
  <c r="CJ55" i="2"/>
  <c r="N167" i="2"/>
  <c r="CB167" i="2"/>
  <c r="T56" i="2"/>
  <c r="CH56" i="2"/>
  <c r="BZ168" i="2"/>
  <c r="L168" i="2"/>
  <c r="CF57" i="2"/>
  <c r="R57" i="2"/>
  <c r="BX169" i="2"/>
  <c r="J169" i="2"/>
  <c r="CJ169" i="2"/>
  <c r="V169" i="2"/>
  <c r="FB169" i="2" s="1"/>
  <c r="CD58" i="2"/>
  <c r="P58" i="2"/>
  <c r="H170" i="2"/>
  <c r="BV170" i="2"/>
  <c r="T170" i="2"/>
  <c r="CH170" i="2"/>
  <c r="EI70" i="2"/>
  <c r="CC59" i="2"/>
  <c r="O59" i="2"/>
  <c r="G171" i="2"/>
  <c r="BU171" i="2"/>
  <c r="S171" i="2"/>
  <c r="CG171" i="2"/>
  <c r="BS172" i="2"/>
  <c r="E172" i="2"/>
  <c r="CE172" i="2"/>
  <c r="Q172" i="2"/>
  <c r="C173" i="2"/>
  <c r="BQ173" i="2"/>
  <c r="O173" i="2"/>
  <c r="CC173" i="2"/>
  <c r="U62" i="2"/>
  <c r="CI62" i="2"/>
  <c r="M174" i="2"/>
  <c r="CA174" i="2"/>
  <c r="BQ49" i="2"/>
  <c r="CI50" i="2"/>
  <c r="DJ51" i="2"/>
  <c r="BY158" i="2"/>
  <c r="K158" i="2"/>
  <c r="BT159" i="2"/>
  <c r="F159" i="2"/>
  <c r="CF159" i="2"/>
  <c r="R159" i="2"/>
  <c r="CB160" i="2"/>
  <c r="N160" i="2"/>
  <c r="ET160" i="2" s="1"/>
  <c r="E49" i="2"/>
  <c r="Q49" i="2"/>
  <c r="EW49" i="2" s="1"/>
  <c r="BW161" i="2"/>
  <c r="I161" i="2"/>
  <c r="CI161" i="2"/>
  <c r="U161" i="2"/>
  <c r="BS162" i="2"/>
  <c r="E162" i="2"/>
  <c r="CE162" i="2"/>
  <c r="Q162" i="2"/>
  <c r="CA51" i="2"/>
  <c r="M51" i="2"/>
  <c r="ES51" i="2" s="1"/>
  <c r="BS163" i="2"/>
  <c r="E163" i="2"/>
  <c r="Q163" i="2"/>
  <c r="CE163" i="2"/>
  <c r="CA52" i="2"/>
  <c r="M52" i="2"/>
  <c r="BS164" i="2"/>
  <c r="E164" i="2"/>
  <c r="Q164" i="2"/>
  <c r="CE164" i="2"/>
  <c r="CA53" i="2"/>
  <c r="M53" i="2"/>
  <c r="ES53" i="2" s="1"/>
  <c r="BS165" i="2"/>
  <c r="E165" i="2"/>
  <c r="CE165" i="2"/>
  <c r="Q165" i="2"/>
  <c r="CA54" i="2"/>
  <c r="M54" i="2"/>
  <c r="BS166" i="2"/>
  <c r="E166" i="2"/>
  <c r="CE166" i="2"/>
  <c r="Q166" i="2"/>
  <c r="K55" i="2"/>
  <c r="BQ167" i="2"/>
  <c r="C167" i="2"/>
  <c r="CC167" i="2"/>
  <c r="O167" i="2"/>
  <c r="CA168" i="2"/>
  <c r="M168" i="2"/>
  <c r="CG57" i="2"/>
  <c r="S57" i="2"/>
  <c r="K169" i="2"/>
  <c r="BY169" i="2"/>
  <c r="CE58" i="2"/>
  <c r="Q58" i="2"/>
  <c r="I170" i="2"/>
  <c r="BW170" i="2"/>
  <c r="U170" i="2"/>
  <c r="CI170" i="2"/>
  <c r="EJ70" i="2"/>
  <c r="CD59" i="2"/>
  <c r="P59" i="2"/>
  <c r="H171" i="2"/>
  <c r="BV171" i="2"/>
  <c r="T171" i="2"/>
  <c r="CH171" i="2"/>
  <c r="BT172" i="2"/>
  <c r="F172" i="2"/>
  <c r="EL172" i="2" s="1"/>
  <c r="CF172" i="2"/>
  <c r="R172" i="2"/>
  <c r="D173" i="2"/>
  <c r="BR173" i="2"/>
  <c r="P173" i="2"/>
  <c r="CD173" i="2"/>
  <c r="CJ62" i="2"/>
  <c r="V62" i="2"/>
  <c r="N174" i="2"/>
  <c r="CB174" i="2"/>
  <c r="BR49" i="2"/>
  <c r="DJ49" i="2"/>
  <c r="DJ67" i="2" s="1"/>
  <c r="C50" i="2"/>
  <c r="CJ50" i="2"/>
  <c r="U56" i="2"/>
  <c r="FA56" i="2" s="1"/>
  <c r="BU159" i="2"/>
  <c r="G159" i="2"/>
  <c r="CG159" i="2"/>
  <c r="S159" i="2"/>
  <c r="K48" i="2"/>
  <c r="C160" i="2"/>
  <c r="BQ160" i="2"/>
  <c r="O160" i="2"/>
  <c r="CC160" i="2"/>
  <c r="J161" i="2"/>
  <c r="BX161" i="2"/>
  <c r="V161" i="2"/>
  <c r="CJ161" i="2"/>
  <c r="BT162" i="2"/>
  <c r="F162" i="2"/>
  <c r="CF162" i="2"/>
  <c r="R162" i="2"/>
  <c r="N51" i="2"/>
  <c r="ET51" i="2" s="1"/>
  <c r="BT163" i="2"/>
  <c r="F163" i="2"/>
  <c r="CF163" i="2"/>
  <c r="R163" i="2"/>
  <c r="CB52" i="2"/>
  <c r="N52" i="2"/>
  <c r="BT164" i="2"/>
  <c r="F164" i="2"/>
  <c r="CF164" i="2"/>
  <c r="R164" i="2"/>
  <c r="N53" i="2"/>
  <c r="ET53" i="2" s="1"/>
  <c r="BT165" i="2"/>
  <c r="F165" i="2"/>
  <c r="CF165" i="2"/>
  <c r="R165" i="2"/>
  <c r="EX165" i="2" s="1"/>
  <c r="CB54" i="2"/>
  <c r="N54" i="2"/>
  <c r="BT166" i="2"/>
  <c r="F166" i="2"/>
  <c r="CF166" i="2"/>
  <c r="R166" i="2"/>
  <c r="L55" i="2"/>
  <c r="BZ55" i="2"/>
  <c r="BR167" i="2"/>
  <c r="D167" i="2"/>
  <c r="P167" i="2"/>
  <c r="CD167" i="2"/>
  <c r="CJ56" i="2"/>
  <c r="V56" i="2"/>
  <c r="CB168" i="2"/>
  <c r="N168" i="2"/>
  <c r="CH57" i="2"/>
  <c r="T57" i="2"/>
  <c r="BZ169" i="2"/>
  <c r="L169" i="2"/>
  <c r="R58" i="2"/>
  <c r="CF58" i="2"/>
  <c r="BX170" i="2"/>
  <c r="J170" i="2"/>
  <c r="EP170" i="2" s="1"/>
  <c r="CJ170" i="2"/>
  <c r="V170" i="2"/>
  <c r="EK70" i="2"/>
  <c r="CE59" i="2"/>
  <c r="Q59" i="2"/>
  <c r="I171" i="2"/>
  <c r="BW171" i="2"/>
  <c r="U171" i="2"/>
  <c r="CI171" i="2"/>
  <c r="O60" i="2"/>
  <c r="CC60" i="2"/>
  <c r="G172" i="2"/>
  <c r="BU172" i="2"/>
  <c r="S172" i="2"/>
  <c r="CG172" i="2"/>
  <c r="E173" i="2"/>
  <c r="BS173" i="2"/>
  <c r="Q173" i="2"/>
  <c r="CE173" i="2"/>
  <c r="C174" i="2"/>
  <c r="BQ174" i="2"/>
  <c r="O174" i="2"/>
  <c r="CC174" i="2"/>
  <c r="DM48" i="2"/>
  <c r="DM67" i="2" s="1"/>
  <c r="T49" i="2"/>
  <c r="EZ49" i="2" s="1"/>
  <c r="BS49" i="2"/>
  <c r="E50" i="2"/>
  <c r="EK50" i="2" s="1"/>
  <c r="H52" i="2"/>
  <c r="EN52" i="2" s="1"/>
  <c r="CA158" i="2"/>
  <c r="M158" i="2"/>
  <c r="BV159" i="2"/>
  <c r="H159" i="2"/>
  <c r="CH159" i="2"/>
  <c r="T159" i="2"/>
  <c r="BR160" i="2"/>
  <c r="D160" i="2"/>
  <c r="EJ160" i="2" s="1"/>
  <c r="CD160" i="2"/>
  <c r="P160" i="2"/>
  <c r="BY161" i="2"/>
  <c r="K161" i="2"/>
  <c r="DE50" i="2"/>
  <c r="EA50" i="2" s="1"/>
  <c r="BU162" i="2"/>
  <c r="G162" i="2"/>
  <c r="CG162" i="2"/>
  <c r="S162" i="2"/>
  <c r="O51" i="2"/>
  <c r="BU163" i="2"/>
  <c r="DF163" i="2" s="1"/>
  <c r="G163" i="2"/>
  <c r="S163" i="2"/>
  <c r="CG163" i="2"/>
  <c r="CC52" i="2"/>
  <c r="O52" i="2"/>
  <c r="BU164" i="2"/>
  <c r="G164" i="2"/>
  <c r="CG164" i="2"/>
  <c r="S164" i="2"/>
  <c r="O53" i="2"/>
  <c r="BU165" i="2"/>
  <c r="G165" i="2"/>
  <c r="CG165" i="2"/>
  <c r="DI165" i="2" s="1"/>
  <c r="S165" i="2"/>
  <c r="O54" i="2"/>
  <c r="CC54" i="2"/>
  <c r="BU166" i="2"/>
  <c r="G166" i="2"/>
  <c r="CG166" i="2"/>
  <c r="DI166" i="2" s="1"/>
  <c r="S166" i="2"/>
  <c r="CA55" i="2"/>
  <c r="M55" i="2"/>
  <c r="BS167" i="2"/>
  <c r="E167" i="2"/>
  <c r="CE167" i="2"/>
  <c r="Q167" i="2"/>
  <c r="BY56" i="2"/>
  <c r="K56" i="2"/>
  <c r="C168" i="2"/>
  <c r="BQ168" i="2"/>
  <c r="O168" i="2"/>
  <c r="CC168" i="2"/>
  <c r="U57" i="2"/>
  <c r="CI57" i="2"/>
  <c r="CA169" i="2"/>
  <c r="M169" i="2"/>
  <c r="CG58" i="2"/>
  <c r="DI58" i="2" s="1"/>
  <c r="EE58" i="2" s="1"/>
  <c r="S58" i="2"/>
  <c r="K170" i="2"/>
  <c r="BY170" i="2"/>
  <c r="EL70" i="2"/>
  <c r="CF59" i="2"/>
  <c r="R59" i="2"/>
  <c r="J171" i="2"/>
  <c r="BX171" i="2"/>
  <c r="V171" i="2"/>
  <c r="CJ171" i="2"/>
  <c r="P60" i="2"/>
  <c r="CD60" i="2"/>
  <c r="H172" i="2"/>
  <c r="BV172" i="2"/>
  <c r="T172" i="2"/>
  <c r="CH172" i="2"/>
  <c r="F173" i="2"/>
  <c r="BT173" i="2"/>
  <c r="R173" i="2"/>
  <c r="CF173" i="2"/>
  <c r="D174" i="2"/>
  <c r="BR174" i="2"/>
  <c r="P174" i="2"/>
  <c r="CD174" i="2"/>
  <c r="U49" i="2"/>
  <c r="FA49" i="2" s="1"/>
  <c r="I52" i="2"/>
  <c r="EO52" i="2" s="1"/>
  <c r="Q55" i="2"/>
  <c r="EW55" i="2" s="1"/>
  <c r="DK61" i="2"/>
  <c r="DI80" i="2"/>
  <c r="DL61" i="2"/>
  <c r="DL67" i="2" s="1"/>
  <c r="DJ62" i="2"/>
  <c r="DM62" i="2"/>
  <c r="GO75" i="2"/>
  <c r="DJ61" i="2"/>
  <c r="EA80" i="2"/>
  <c r="DK60" i="2"/>
  <c r="DN60" i="2"/>
  <c r="BW102" i="2"/>
  <c r="CI102" i="2"/>
  <c r="DH82" i="2"/>
  <c r="DF88" i="2"/>
  <c r="DI88" i="2"/>
  <c r="EC88" i="2" s="1"/>
  <c r="BY102" i="2"/>
  <c r="DI91" i="2"/>
  <c r="DG80" i="2"/>
  <c r="DF82" i="2"/>
  <c r="DI82" i="2"/>
  <c r="EC82" i="2" s="1"/>
  <c r="CA102" i="2"/>
  <c r="DE81" i="2"/>
  <c r="EA81" i="2" s="1"/>
  <c r="BQ102" i="2"/>
  <c r="CC102" i="2"/>
  <c r="DH80" i="2"/>
  <c r="DH101" i="2" s="1"/>
  <c r="BR102" i="2"/>
  <c r="CD102" i="2"/>
  <c r="DI83" i="2"/>
  <c r="EC83" i="2" s="1"/>
  <c r="BU102" i="2"/>
  <c r="DF80" i="2"/>
  <c r="CG102" i="2"/>
  <c r="BZ102" i="2"/>
  <c r="DI93" i="2"/>
  <c r="DH125" i="2"/>
  <c r="DH126" i="2"/>
  <c r="CB102" i="2"/>
  <c r="DH94" i="2"/>
  <c r="BZ138" i="2"/>
  <c r="DG116" i="2"/>
  <c r="DI94" i="2"/>
  <c r="DH96" i="2"/>
  <c r="CA138" i="2"/>
  <c r="CB138" i="2"/>
  <c r="BQ138" i="2"/>
  <c r="CC138" i="2"/>
  <c r="DI116" i="2"/>
  <c r="CD138" i="2"/>
  <c r="DF121" i="2"/>
  <c r="DF137" i="2" s="1"/>
  <c r="DG123" i="2"/>
  <c r="EB123" i="2" s="1"/>
  <c r="BS138" i="2"/>
  <c r="CE138" i="2"/>
  <c r="DG125" i="2"/>
  <c r="DG126" i="2"/>
  <c r="DG127" i="2"/>
  <c r="BT138" i="2"/>
  <c r="CF138" i="2"/>
  <c r="DH123" i="2"/>
  <c r="DE119" i="2"/>
  <c r="EA119" i="2" s="1"/>
  <c r="BX138" i="2"/>
  <c r="CJ138" i="2"/>
  <c r="BY138" i="2"/>
  <c r="DE116" i="2"/>
  <c r="DH122" i="2"/>
  <c r="DH137" i="2" s="1"/>
  <c r="DI131" i="2"/>
  <c r="B35" i="1"/>
  <c r="B33" i="1"/>
  <c r="EJ174" i="2" l="1"/>
  <c r="EZ172" i="2"/>
  <c r="EN172" i="2"/>
  <c r="FB171" i="2"/>
  <c r="FA57" i="2"/>
  <c r="EI174" i="2"/>
  <c r="EW173" i="2"/>
  <c r="FA171" i="2"/>
  <c r="EO171" i="2"/>
  <c r="EX58" i="2"/>
  <c r="EP161" i="2"/>
  <c r="ET174" i="2"/>
  <c r="EZ171" i="2"/>
  <c r="EW164" i="2"/>
  <c r="EI173" i="2"/>
  <c r="EN170" i="2"/>
  <c r="EZ56" i="2"/>
  <c r="EV164" i="2"/>
  <c r="EV163" i="2"/>
  <c r="EZ62" i="2"/>
  <c r="EL171" i="2"/>
  <c r="EK171" i="2"/>
  <c r="ET163" i="2"/>
  <c r="ET162" i="2"/>
  <c r="EZ61" i="2"/>
  <c r="EK170" i="2"/>
  <c r="EO168" i="2"/>
  <c r="FA174" i="2"/>
  <c r="FA60" i="2"/>
  <c r="EN174" i="2"/>
  <c r="EP173" i="2"/>
  <c r="ET171" i="2"/>
  <c r="EW169" i="2"/>
  <c r="EL174" i="2"/>
  <c r="EV61" i="2"/>
  <c r="ES170" i="2"/>
  <c r="EI169" i="2"/>
  <c r="EK168" i="2"/>
  <c r="EW51" i="2"/>
  <c r="EW174" i="2"/>
  <c r="EO172" i="2"/>
  <c r="EW47" i="2"/>
  <c r="FA173" i="2"/>
  <c r="EO173" i="2"/>
  <c r="EX48" i="2"/>
  <c r="EW48" i="2"/>
  <c r="EN160" i="2"/>
  <c r="EJ48" i="2"/>
  <c r="EP163" i="2"/>
  <c r="ET159" i="2"/>
  <c r="K50" i="12"/>
  <c r="C50" i="1"/>
  <c r="AD24" i="13"/>
  <c r="AQ46" i="2"/>
  <c r="ES138" i="2"/>
  <c r="FQ69" i="2"/>
  <c r="DG161" i="2"/>
  <c r="DF51" i="2"/>
  <c r="EB51" i="2" s="1"/>
  <c r="DH54" i="2"/>
  <c r="ED54" i="2" s="1"/>
  <c r="EK49" i="2"/>
  <c r="DI171" i="2"/>
  <c r="EJ49" i="2"/>
  <c r="ET172" i="2"/>
  <c r="EK169" i="2"/>
  <c r="FB172" i="2"/>
  <c r="DF165" i="2"/>
  <c r="FB166" i="2"/>
  <c r="EM174" i="2"/>
  <c r="DI162" i="2"/>
  <c r="ER168" i="2"/>
  <c r="ER54" i="2"/>
  <c r="ER52" i="2"/>
  <c r="ER68" i="2" s="1"/>
  <c r="EZ161" i="2"/>
  <c r="EI166" i="2"/>
  <c r="EI164" i="2"/>
  <c r="EP168" i="2"/>
  <c r="ET165" i="2"/>
  <c r="EP51" i="2"/>
  <c r="FA51" i="2"/>
  <c r="EX169" i="2"/>
  <c r="FB167" i="2"/>
  <c r="EP165" i="2"/>
  <c r="ET161" i="2"/>
  <c r="EL48" i="2"/>
  <c r="FB162" i="2"/>
  <c r="Z25" i="13"/>
  <c r="Z21" i="13"/>
  <c r="Z22" i="13"/>
  <c r="Z20" i="13"/>
  <c r="FB173" i="2"/>
  <c r="EX174" i="2"/>
  <c r="EP172" i="2"/>
  <c r="EJ172" i="2"/>
  <c r="FA169" i="2"/>
  <c r="EN168" i="2"/>
  <c r="DH47" i="2"/>
  <c r="ED47" i="2" s="1"/>
  <c r="FB174" i="2"/>
  <c r="EV162" i="2"/>
  <c r="EW159" i="2"/>
  <c r="EP174" i="2"/>
  <c r="DE47" i="2"/>
  <c r="EA47" i="2" s="1"/>
  <c r="EW103" i="2"/>
  <c r="EX139" i="2"/>
  <c r="EN159" i="2"/>
  <c r="ER169" i="2"/>
  <c r="EX162" i="2"/>
  <c r="FB62" i="2"/>
  <c r="EK166" i="2"/>
  <c r="EK164" i="2"/>
  <c r="EK162" i="2"/>
  <c r="EL159" i="2"/>
  <c r="EZ173" i="2"/>
  <c r="FA162" i="2"/>
  <c r="FB159" i="2"/>
  <c r="EZ58" i="2"/>
  <c r="EX167" i="2"/>
  <c r="EZ165" i="2"/>
  <c r="EW160" i="2"/>
  <c r="DG47" i="2"/>
  <c r="EC47" i="2" s="1"/>
  <c r="DH168" i="2"/>
  <c r="DI164" i="2"/>
  <c r="FA104" i="2"/>
  <c r="DF162" i="2"/>
  <c r="DF164" i="2"/>
  <c r="DI49" i="2"/>
  <c r="EE49" i="2" s="1"/>
  <c r="DF166" i="2"/>
  <c r="EW50" i="2"/>
  <c r="EK174" i="2"/>
  <c r="EW60" i="2"/>
  <c r="DI46" i="2"/>
  <c r="EX52" i="2"/>
  <c r="EZ50" i="2"/>
  <c r="FB163" i="2"/>
  <c r="EP162" i="2"/>
  <c r="DI163" i="2"/>
  <c r="EX168" i="2"/>
  <c r="EL68" i="2"/>
  <c r="EI138" i="2"/>
  <c r="EW167" i="2"/>
  <c r="EX163" i="2"/>
  <c r="EI167" i="2"/>
  <c r="DH165" i="2"/>
  <c r="EP50" i="2"/>
  <c r="EV170" i="2"/>
  <c r="EZ54" i="2"/>
  <c r="EM173" i="2"/>
  <c r="DH50" i="2"/>
  <c r="ED50" i="2" s="1"/>
  <c r="ER162" i="2"/>
  <c r="EW102" i="2"/>
  <c r="EX138" i="2"/>
  <c r="FA140" i="2"/>
  <c r="EW139" i="2"/>
  <c r="EM140" i="2"/>
  <c r="FE67" i="2"/>
  <c r="FJ67" i="2"/>
  <c r="FH69" i="2"/>
  <c r="EZ139" i="2"/>
  <c r="FV67" i="2"/>
  <c r="FE69" i="2"/>
  <c r="EL104" i="2"/>
  <c r="FA102" i="2"/>
  <c r="EZ138" i="2"/>
  <c r="ET140" i="2"/>
  <c r="EI140" i="2"/>
  <c r="FP69" i="2"/>
  <c r="EO104" i="2"/>
  <c r="FT70" i="2"/>
  <c r="EK102" i="2"/>
  <c r="EV138" i="2"/>
  <c r="FD67" i="2"/>
  <c r="FR67" i="2"/>
  <c r="FM68" i="2"/>
  <c r="FD68" i="2"/>
  <c r="FH70" i="2"/>
  <c r="FI70" i="2"/>
  <c r="EZ140" i="2"/>
  <c r="ET168" i="2"/>
  <c r="EL166" i="2"/>
  <c r="EW165" i="2"/>
  <c r="EO161" i="2"/>
  <c r="EZ164" i="2"/>
  <c r="EN162" i="2"/>
  <c r="FA159" i="2"/>
  <c r="EX54" i="2"/>
  <c r="BV180" i="2"/>
  <c r="EP164" i="2"/>
  <c r="CI67" i="2"/>
  <c r="BW67" i="2"/>
  <c r="FA170" i="2"/>
  <c r="EV58" i="2"/>
  <c r="EJ165" i="2"/>
  <c r="EJ163" i="2"/>
  <c r="FB61" i="2"/>
  <c r="EM170" i="2"/>
  <c r="DH163" i="2"/>
  <c r="ER167" i="2"/>
  <c r="EP53" i="2"/>
  <c r="FB50" i="2"/>
  <c r="EW62" i="2"/>
  <c r="EI171" i="2"/>
  <c r="DG48" i="2"/>
  <c r="EC48" i="2" s="1"/>
  <c r="EO166" i="2"/>
  <c r="EV161" i="2"/>
  <c r="FB58" i="2"/>
  <c r="FA47" i="2"/>
  <c r="BU67" i="2"/>
  <c r="EI163" i="2"/>
  <c r="EQ174" i="2"/>
  <c r="EZ55" i="2"/>
  <c r="ET164" i="2"/>
  <c r="EO163" i="2"/>
  <c r="EJ168" i="2"/>
  <c r="EJ50" i="2"/>
  <c r="EK161" i="2"/>
  <c r="ES169" i="2"/>
  <c r="EK167" i="2"/>
  <c r="EK181" i="2" s="1"/>
  <c r="EL163" i="2"/>
  <c r="EW58" i="2"/>
  <c r="FA160" i="2"/>
  <c r="BT67" i="2"/>
  <c r="ER174" i="2"/>
  <c r="ER58" i="2"/>
  <c r="EV56" i="2"/>
  <c r="ER165" i="2"/>
  <c r="EO165" i="2"/>
  <c r="EL160" i="2"/>
  <c r="EV54" i="2"/>
  <c r="EN163" i="2"/>
  <c r="ER161" i="2"/>
  <c r="EZ47" i="2"/>
  <c r="FA59" i="2"/>
  <c r="EL168" i="2"/>
  <c r="EX51" i="2"/>
  <c r="EL50" i="2"/>
  <c r="DH56" i="2"/>
  <c r="ED56" i="2" s="1"/>
  <c r="E20" i="8"/>
  <c r="E21" i="8"/>
  <c r="EJ162" i="2"/>
  <c r="DH162" i="2"/>
  <c r="EV159" i="2"/>
  <c r="ES173" i="2"/>
  <c r="EX170" i="2"/>
  <c r="EX181" i="2" s="1"/>
  <c r="FB54" i="2"/>
  <c r="DG160" i="2"/>
  <c r="ES163" i="2"/>
  <c r="EX61" i="2"/>
  <c r="EI170" i="2"/>
  <c r="EX47" i="2"/>
  <c r="DI159" i="2"/>
  <c r="DG163" i="2"/>
  <c r="DI47" i="2"/>
  <c r="EE47" i="2" s="1"/>
  <c r="ET48" i="2"/>
  <c r="AN26" i="3"/>
  <c r="AM26" i="3"/>
  <c r="E21" i="5"/>
  <c r="E20" i="5"/>
  <c r="DG55" i="2"/>
  <c r="EC55" i="2" s="1"/>
  <c r="EL173" i="2"/>
  <c r="CA180" i="2"/>
  <c r="EW59" i="2"/>
  <c r="EL164" i="2"/>
  <c r="EV173" i="2"/>
  <c r="ES168" i="2"/>
  <c r="EW172" i="2"/>
  <c r="DI51" i="2"/>
  <c r="EE51" i="2" s="1"/>
  <c r="EN53" i="2"/>
  <c r="FA167" i="2"/>
  <c r="EZ59" i="2"/>
  <c r="EW168" i="2"/>
  <c r="ER47" i="2"/>
  <c r="E34" i="8"/>
  <c r="E21" i="12"/>
  <c r="E20" i="12"/>
  <c r="E20" i="11"/>
  <c r="E21" i="11"/>
  <c r="E21" i="9"/>
  <c r="E20" i="9"/>
  <c r="R28" i="7"/>
  <c r="E28" i="1"/>
  <c r="E28" i="6"/>
  <c r="E28" i="7"/>
  <c r="E20" i="7"/>
  <c r="E21" i="7"/>
  <c r="E21" i="6"/>
  <c r="E20" i="6"/>
  <c r="E34" i="1"/>
  <c r="AQ162" i="2"/>
  <c r="EI162" i="2"/>
  <c r="EU56" i="2"/>
  <c r="AT56" i="2"/>
  <c r="P67" i="2"/>
  <c r="EV46" i="2"/>
  <c r="AZ47" i="2"/>
  <c r="DX47" i="2" s="1"/>
  <c r="FS47" i="2"/>
  <c r="FO50" i="2"/>
  <c r="AY50" i="2"/>
  <c r="DW50" i="2" s="1"/>
  <c r="AX61" i="2"/>
  <c r="DV61" i="2" s="1"/>
  <c r="FK61" i="2"/>
  <c r="I101" i="2"/>
  <c r="EO80" i="2"/>
  <c r="EO101" i="2" s="1"/>
  <c r="EQ89" i="2"/>
  <c r="AS89" i="2"/>
  <c r="DQ89" i="2" s="1"/>
  <c r="AU119" i="2"/>
  <c r="DS119" i="2" s="1"/>
  <c r="EY119" i="2"/>
  <c r="GF119" i="2" s="1"/>
  <c r="EU121" i="2"/>
  <c r="AT121" i="2"/>
  <c r="DR121" i="2" s="1"/>
  <c r="EE121" i="2" s="1"/>
  <c r="EY123" i="2"/>
  <c r="GF123" i="2" s="1"/>
  <c r="AU123" i="2"/>
  <c r="DS123" i="2" s="1"/>
  <c r="EY132" i="2"/>
  <c r="GF132" i="2" s="1"/>
  <c r="AU132" i="2"/>
  <c r="DS132" i="2" s="1"/>
  <c r="DI137" i="2"/>
  <c r="EC116" i="2"/>
  <c r="EI168" i="2"/>
  <c r="EU52" i="2"/>
  <c r="AT52" i="2"/>
  <c r="EQ161" i="2"/>
  <c r="AS161" i="2"/>
  <c r="DQ161" i="2" s="1"/>
  <c r="EK173" i="2"/>
  <c r="DF159" i="2"/>
  <c r="EZ170" i="2"/>
  <c r="CJ180" i="2"/>
  <c r="DI170" i="2"/>
  <c r="EQ168" i="2"/>
  <c r="AS168" i="2"/>
  <c r="DE162" i="2"/>
  <c r="EJ159" i="2"/>
  <c r="FA61" i="2"/>
  <c r="EL170" i="2"/>
  <c r="ER173" i="2"/>
  <c r="EW170" i="2"/>
  <c r="EW181" i="2" s="1"/>
  <c r="FA168" i="2"/>
  <c r="FA54" i="2"/>
  <c r="DH171" i="2"/>
  <c r="EZ174" i="2"/>
  <c r="EZ182" i="2" s="1"/>
  <c r="ER172" i="2"/>
  <c r="DG58" i="2"/>
  <c r="EC58" i="2" s="1"/>
  <c r="DG165" i="2"/>
  <c r="EQ163" i="2"/>
  <c r="AS163" i="2"/>
  <c r="DQ163" i="2" s="1"/>
  <c r="ER171" i="2"/>
  <c r="DG57" i="2"/>
  <c r="EC57" i="2" s="1"/>
  <c r="U67" i="2"/>
  <c r="FA46" i="2"/>
  <c r="FA172" i="2"/>
  <c r="CG67" i="2"/>
  <c r="BZ180" i="2"/>
  <c r="EK47" i="2"/>
  <c r="H179" i="2"/>
  <c r="EN158" i="2"/>
  <c r="ER163" i="2"/>
  <c r="CG180" i="2"/>
  <c r="DI158" i="2"/>
  <c r="DI160" i="2"/>
  <c r="CD67" i="2"/>
  <c r="CC67" i="2"/>
  <c r="DH46" i="2"/>
  <c r="D179" i="2"/>
  <c r="EJ158" i="2"/>
  <c r="FG58" i="2"/>
  <c r="AW58" i="2"/>
  <c r="DU58" i="2" s="1"/>
  <c r="FP67" i="2"/>
  <c r="FG50" i="2"/>
  <c r="AW50" i="2"/>
  <c r="DU50" i="2" s="1"/>
  <c r="FK46" i="2"/>
  <c r="AX46" i="2"/>
  <c r="FC52" i="2"/>
  <c r="AV52" i="2"/>
  <c r="DT52" i="2" s="1"/>
  <c r="FN68" i="2"/>
  <c r="FP68" i="2"/>
  <c r="FE68" i="2"/>
  <c r="FF68" i="2"/>
  <c r="EI51" i="2"/>
  <c r="AQ51" i="2"/>
  <c r="AV57" i="2"/>
  <c r="DT57" i="2" s="1"/>
  <c r="FC57" i="2"/>
  <c r="EK68" i="2"/>
  <c r="FO61" i="2"/>
  <c r="AY61" i="2"/>
  <c r="DW61" i="2" s="1"/>
  <c r="FQ70" i="2"/>
  <c r="FS61" i="2"/>
  <c r="AZ61" i="2"/>
  <c r="DX61" i="2" s="1"/>
  <c r="FU70" i="2"/>
  <c r="FV70" i="2"/>
  <c r="EI83" i="2"/>
  <c r="FX83" i="2" s="1"/>
  <c r="AQ83" i="2"/>
  <c r="DO83" i="2" s="1"/>
  <c r="S101" i="2"/>
  <c r="EY80" i="2"/>
  <c r="AU80" i="2"/>
  <c r="U101" i="2"/>
  <c r="FA80" i="2"/>
  <c r="FA101" i="2" s="1"/>
  <c r="EI82" i="2"/>
  <c r="FX82" i="2" s="1"/>
  <c r="AQ82" i="2"/>
  <c r="DO82" i="2" s="1"/>
  <c r="ER103" i="2"/>
  <c r="ES103" i="2"/>
  <c r="ET103" i="2"/>
  <c r="M137" i="2"/>
  <c r="ES116" i="2"/>
  <c r="ES137" i="2" s="1"/>
  <c r="EL103" i="2"/>
  <c r="EI119" i="2"/>
  <c r="FX119" i="2" s="1"/>
  <c r="AQ119" i="2"/>
  <c r="DO119" i="2" s="1"/>
  <c r="EO103" i="2"/>
  <c r="D137" i="2"/>
  <c r="EJ116" i="2"/>
  <c r="EJ137" i="2" s="1"/>
  <c r="E137" i="2"/>
  <c r="EK116" i="2"/>
  <c r="EJ138" i="2"/>
  <c r="EO138" i="2"/>
  <c r="EU96" i="2"/>
  <c r="GD96" i="2" s="1"/>
  <c r="AT96" i="2"/>
  <c r="DR96" i="2" s="1"/>
  <c r="AS125" i="2"/>
  <c r="DQ125" i="2" s="1"/>
  <c r="EQ125" i="2"/>
  <c r="EQ124" i="2"/>
  <c r="GB124" i="2" s="1"/>
  <c r="AS124" i="2"/>
  <c r="DQ124" i="2" s="1"/>
  <c r="DE159" i="2"/>
  <c r="AV59" i="2"/>
  <c r="FC59" i="2"/>
  <c r="AS82" i="2"/>
  <c r="DQ82" i="2" s="1"/>
  <c r="EQ82" i="2"/>
  <c r="GB82" i="2" s="1"/>
  <c r="G101" i="2"/>
  <c r="EM80" i="2"/>
  <c r="AR80" i="2"/>
  <c r="AT88" i="2"/>
  <c r="DR88" i="2" s="1"/>
  <c r="EE88" i="2" s="1"/>
  <c r="EU88" i="2"/>
  <c r="GD88" i="2" s="1"/>
  <c r="AT120" i="2"/>
  <c r="DR120" i="2" s="1"/>
  <c r="EE120" i="2" s="1"/>
  <c r="EU120" i="2"/>
  <c r="GD120" i="2" s="1"/>
  <c r="EY95" i="2"/>
  <c r="GF95" i="2" s="1"/>
  <c r="AU95" i="2"/>
  <c r="DS95" i="2" s="1"/>
  <c r="AU96" i="2"/>
  <c r="DS96" i="2" s="1"/>
  <c r="EY96" i="2"/>
  <c r="GF96" i="2" s="1"/>
  <c r="AU126" i="2"/>
  <c r="DS126" i="2" s="1"/>
  <c r="EY126" i="2"/>
  <c r="GF126" i="2" s="1"/>
  <c r="AT119" i="2"/>
  <c r="DR119" i="2" s="1"/>
  <c r="EE119" i="2" s="1"/>
  <c r="EU119" i="2"/>
  <c r="GD119" i="2" s="1"/>
  <c r="AS123" i="2"/>
  <c r="DQ123" i="2" s="1"/>
  <c r="EQ123" i="2"/>
  <c r="GB123" i="2" s="1"/>
  <c r="EQ127" i="2"/>
  <c r="GB127" i="2" s="1"/>
  <c r="AS127" i="2"/>
  <c r="DQ127" i="2" s="1"/>
  <c r="EU127" i="2"/>
  <c r="GD127" i="2" s="1"/>
  <c r="AT127" i="2"/>
  <c r="DR127" i="2" s="1"/>
  <c r="EE127" i="2" s="1"/>
  <c r="C102" i="2" a="1"/>
  <c r="C102" i="2" s="1"/>
  <c r="DG170" i="2"/>
  <c r="EQ56" i="2"/>
  <c r="AS56" i="2"/>
  <c r="DH52" i="2"/>
  <c r="ED52" i="2" s="1"/>
  <c r="DI172" i="2"/>
  <c r="ET52" i="2"/>
  <c r="FB161" i="2"/>
  <c r="EJ173" i="2"/>
  <c r="AT167" i="2"/>
  <c r="EU167" i="2"/>
  <c r="EW163" i="2"/>
  <c r="EK172" i="2"/>
  <c r="EV165" i="2"/>
  <c r="EN161" i="2"/>
  <c r="J179" i="2"/>
  <c r="EP158" i="2"/>
  <c r="ET173" i="2"/>
  <c r="AU170" i="2"/>
  <c r="EY170" i="2"/>
  <c r="DG168" i="2"/>
  <c r="EQ54" i="2"/>
  <c r="AS54" i="2"/>
  <c r="EQ52" i="2"/>
  <c r="AS52" i="2"/>
  <c r="DH172" i="2"/>
  <c r="ET58" i="2"/>
  <c r="EX56" i="2"/>
  <c r="FB53" i="2"/>
  <c r="AR48" i="2"/>
  <c r="DP48" i="2" s="1"/>
  <c r="EM48" i="2"/>
  <c r="FZ48" i="2" s="1"/>
  <c r="ES165" i="2"/>
  <c r="EO51" i="2"/>
  <c r="EO174" i="2"/>
  <c r="EO182" i="2" s="1"/>
  <c r="EU171" i="2"/>
  <c r="AT171" i="2"/>
  <c r="EL169" i="2"/>
  <c r="EP167" i="2"/>
  <c r="EZ60" i="2"/>
  <c r="EZ70" i="2" s="1"/>
  <c r="EY53" i="2"/>
  <c r="AU53" i="2"/>
  <c r="EN173" i="2"/>
  <c r="FA164" i="2"/>
  <c r="EV51" i="2"/>
  <c r="EV169" i="2"/>
  <c r="ES171" i="2"/>
  <c r="V67" i="2"/>
  <c r="FB46" i="2"/>
  <c r="EJ161" i="2"/>
  <c r="CH67" i="2"/>
  <c r="FO46" i="2"/>
  <c r="AY46" i="2"/>
  <c r="EZ51" i="2"/>
  <c r="S179" i="2"/>
  <c r="EY158" i="2"/>
  <c r="AU158" i="2"/>
  <c r="EM160" i="2"/>
  <c r="AR160" i="2"/>
  <c r="D67" i="2"/>
  <c r="EJ46" i="2"/>
  <c r="C67" i="2"/>
  <c r="EI46" i="2"/>
  <c r="BR180" i="2"/>
  <c r="O179" i="2"/>
  <c r="AT158" i="2"/>
  <c r="EU158" i="2"/>
  <c r="AV47" i="2"/>
  <c r="DT47" i="2" s="1"/>
  <c r="FC47" i="2"/>
  <c r="FG48" i="2"/>
  <c r="AW48" i="2"/>
  <c r="DU48" i="2" s="1"/>
  <c r="FL68" i="2"/>
  <c r="FO52" i="2"/>
  <c r="AY52" i="2"/>
  <c r="DW52" i="2" s="1"/>
  <c r="FQ68" i="2"/>
  <c r="FR68" i="2"/>
  <c r="AW51" i="2"/>
  <c r="FG51" i="2"/>
  <c r="AZ60" i="2"/>
  <c r="DX60" i="2" s="1"/>
  <c r="FS60" i="2"/>
  <c r="AZ54" i="2"/>
  <c r="DX54" i="2" s="1"/>
  <c r="FS54" i="2"/>
  <c r="FI68" i="2"/>
  <c r="FF70" i="2"/>
  <c r="AW60" i="2"/>
  <c r="DU60" i="2" s="1"/>
  <c r="FG60" i="2"/>
  <c r="FL70" i="2"/>
  <c r="FD70" i="2"/>
  <c r="FB103" i="2"/>
  <c r="AT81" i="2"/>
  <c r="DR81" i="2" s="1"/>
  <c r="EE81" i="2" s="1"/>
  <c r="EU81" i="2"/>
  <c r="GD81" i="2" s="1"/>
  <c r="AX60" i="2"/>
  <c r="DV60" i="2" s="1"/>
  <c r="FK60" i="2"/>
  <c r="EU82" i="2"/>
  <c r="GD82" i="2" s="1"/>
  <c r="AT82" i="2"/>
  <c r="DR82" i="2" s="1"/>
  <c r="EE82" i="2" s="1"/>
  <c r="EM83" i="2"/>
  <c r="FZ83" i="2" s="1"/>
  <c r="AR83" i="2"/>
  <c r="DP83" i="2" s="1"/>
  <c r="ED83" i="2" s="1"/>
  <c r="EQ90" i="2"/>
  <c r="GB90" i="2" s="1"/>
  <c r="AS90" i="2"/>
  <c r="DQ90" i="2" s="1"/>
  <c r="EM82" i="2"/>
  <c r="FZ82" i="2" s="1"/>
  <c r="AR82" i="2"/>
  <c r="DP82" i="2" s="1"/>
  <c r="ED82" i="2" s="1"/>
  <c r="AS85" i="2"/>
  <c r="DQ85" i="2" s="1"/>
  <c r="EQ85" i="2"/>
  <c r="EX103" i="2"/>
  <c r="EN103" i="2"/>
  <c r="FA103" i="2"/>
  <c r="ET138" i="2"/>
  <c r="P137" i="2"/>
  <c r="EV116" i="2"/>
  <c r="EV137" i="2" s="1"/>
  <c r="EW116" i="2"/>
  <c r="EW137" i="2" s="1"/>
  <c r="Q137" i="2"/>
  <c r="AU121" i="2"/>
  <c r="DS121" i="2" s="1"/>
  <c r="EY121" i="2"/>
  <c r="EI139" i="2"/>
  <c r="EN138" i="2"/>
  <c r="EM122" i="2"/>
  <c r="FZ122" i="2" s="1"/>
  <c r="AR122" i="2"/>
  <c r="DP122" i="2" s="1"/>
  <c r="ED122" i="2" s="1"/>
  <c r="EP138" i="2"/>
  <c r="L137" i="2"/>
  <c r="ER116" i="2"/>
  <c r="ER137" i="2" s="1"/>
  <c r="EJ139" i="2"/>
  <c r="AT124" i="2"/>
  <c r="DR124" i="2" s="1"/>
  <c r="EE124" i="2" s="1"/>
  <c r="EU124" i="2"/>
  <c r="GD124" i="2" s="1"/>
  <c r="AS120" i="2"/>
  <c r="DQ120" i="2" s="1"/>
  <c r="EQ120" i="2"/>
  <c r="GB120" i="2" s="1"/>
  <c r="EY130" i="2"/>
  <c r="GF130" i="2" s="1"/>
  <c r="AU130" i="2"/>
  <c r="DS130" i="2" s="1"/>
  <c r="AS129" i="2"/>
  <c r="EQ129" i="2"/>
  <c r="EQ140" i="2" s="1"/>
  <c r="EX50" i="2"/>
  <c r="EO47" i="2"/>
  <c r="DI101" i="2"/>
  <c r="EC80" i="2"/>
  <c r="O67" i="2"/>
  <c r="EU46" i="2"/>
  <c r="AT46" i="2"/>
  <c r="AZ49" i="2"/>
  <c r="DX49" i="2" s="1"/>
  <c r="FS49" i="2"/>
  <c r="FK50" i="2"/>
  <c r="AX50" i="2"/>
  <c r="DV50" i="2" s="1"/>
  <c r="L101" i="2"/>
  <c r="ER80" i="2"/>
  <c r="ER101" i="2" s="1"/>
  <c r="O101" i="2"/>
  <c r="O103" i="2" s="1"/>
  <c r="EU80" i="2"/>
  <c r="AT80" i="2"/>
  <c r="C138" i="2" a="1"/>
  <c r="C138" i="2" s="1"/>
  <c r="EQ170" i="2"/>
  <c r="AS170" i="2"/>
  <c r="DG56" i="2"/>
  <c r="EC56" i="2" s="1"/>
  <c r="AT54" i="2"/>
  <c r="EU54" i="2"/>
  <c r="EV160" i="2"/>
  <c r="AU172" i="2"/>
  <c r="EY172" i="2"/>
  <c r="FB170" i="2"/>
  <c r="FB56" i="2"/>
  <c r="ET54" i="2"/>
  <c r="EX172" i="2"/>
  <c r="DH167" i="2"/>
  <c r="EK165" i="2"/>
  <c r="EK163" i="2"/>
  <c r="DE49" i="2"/>
  <c r="EA49" i="2" s="1"/>
  <c r="BX180" i="2"/>
  <c r="DI56" i="2"/>
  <c r="EE56" i="2" s="1"/>
  <c r="DG54" i="2"/>
  <c r="EC54" i="2" s="1"/>
  <c r="DG52" i="2"/>
  <c r="EC52" i="2" s="1"/>
  <c r="AS50" i="2"/>
  <c r="DQ50" i="2" s="1"/>
  <c r="EQ50" i="2"/>
  <c r="GB50" i="2" s="1"/>
  <c r="EU172" i="2"/>
  <c r="AT172" i="2"/>
  <c r="ET57" i="2"/>
  <c r="ER166" i="2"/>
  <c r="ER164" i="2"/>
  <c r="EO167" i="2"/>
  <c r="DI53" i="2"/>
  <c r="EE53" i="2" s="1"/>
  <c r="EM51" i="2"/>
  <c r="AR51" i="2"/>
  <c r="EO162" i="2"/>
  <c r="EP159" i="2"/>
  <c r="ET169" i="2"/>
  <c r="EL167" i="2"/>
  <c r="EN165" i="2"/>
  <c r="EZ162" i="2"/>
  <c r="EK160" i="2"/>
  <c r="EN47" i="2"/>
  <c r="ES49" i="2"/>
  <c r="CJ67" i="2"/>
  <c r="EW61" i="2"/>
  <c r="T67" i="2"/>
  <c r="EZ46" i="2"/>
  <c r="EX53" i="2"/>
  <c r="FB49" i="2"/>
  <c r="EV47" i="2"/>
  <c r="T179" i="2"/>
  <c r="EZ158" i="2"/>
  <c r="BU180" i="2"/>
  <c r="DF158" i="2"/>
  <c r="K67" i="2"/>
  <c r="EQ46" i="2"/>
  <c r="AS46" i="2"/>
  <c r="DF160" i="2"/>
  <c r="BR67" i="2"/>
  <c r="EX49" i="2"/>
  <c r="BQ67" i="2"/>
  <c r="DE46" i="2"/>
  <c r="N67" i="2"/>
  <c r="ET46" i="2"/>
  <c r="CC180" i="2"/>
  <c r="DH158" i="2"/>
  <c r="FO47" i="2"/>
  <c r="AY47" i="2"/>
  <c r="DW47" i="2" s="1"/>
  <c r="AX53" i="2"/>
  <c r="DV53" i="2" s="1"/>
  <c r="FK53" i="2"/>
  <c r="AQ52" i="2"/>
  <c r="DO52" i="2" s="1"/>
  <c r="EI52" i="2"/>
  <c r="AZ51" i="2"/>
  <c r="FS51" i="2"/>
  <c r="FO55" i="2"/>
  <c r="AY55" i="2"/>
  <c r="FU68" i="2"/>
  <c r="FS59" i="2"/>
  <c r="AZ59" i="2"/>
  <c r="AV61" i="2"/>
  <c r="DT61" i="2" s="1"/>
  <c r="FC61" i="2"/>
  <c r="FJ70" i="2"/>
  <c r="FF69" i="2"/>
  <c r="FP70" i="2"/>
  <c r="EV104" i="2"/>
  <c r="AT84" i="2"/>
  <c r="DR84" i="2" s="1"/>
  <c r="EE84" i="2" s="1"/>
  <c r="EU84" i="2"/>
  <c r="GD84" i="2" s="1"/>
  <c r="F101" i="2"/>
  <c r="F103" i="2" s="1"/>
  <c r="EL80" i="2"/>
  <c r="EL101" i="2" s="1"/>
  <c r="EU83" i="2"/>
  <c r="GD83" i="2" s="1"/>
  <c r="AT83" i="2"/>
  <c r="DR83" i="2" s="1"/>
  <c r="EE83" i="2" s="1"/>
  <c r="EY83" i="2"/>
  <c r="GF83" i="2" s="1"/>
  <c r="AU83" i="2"/>
  <c r="DS83" i="2" s="1"/>
  <c r="EY82" i="2"/>
  <c r="GF82" i="2" s="1"/>
  <c r="AU82" i="2"/>
  <c r="DS82" i="2" s="1"/>
  <c r="EI103" i="2"/>
  <c r="AR86" i="2"/>
  <c r="DP86" i="2" s="1"/>
  <c r="ED86" i="2" s="1"/>
  <c r="EM86" i="2"/>
  <c r="FZ86" i="2" s="1"/>
  <c r="EP104" i="2"/>
  <c r="EK103" i="2"/>
  <c r="ES104" i="2"/>
  <c r="EZ103" i="2"/>
  <c r="O137" i="2"/>
  <c r="O139" i="2" s="1"/>
  <c r="EU116" i="2"/>
  <c r="AT116" i="2"/>
  <c r="AR124" i="2"/>
  <c r="DP124" i="2" s="1"/>
  <c r="ED124" i="2" s="1"/>
  <c r="EM124" i="2"/>
  <c r="FZ124" i="2" s="1"/>
  <c r="EY122" i="2"/>
  <c r="GF122" i="2" s="1"/>
  <c r="AU122" i="2"/>
  <c r="DS122" i="2" s="1"/>
  <c r="H137" i="2"/>
  <c r="EN116" i="2"/>
  <c r="EN137" i="2" s="1"/>
  <c r="FB138" i="2"/>
  <c r="EV139" i="2"/>
  <c r="EN139" i="2"/>
  <c r="AS121" i="2"/>
  <c r="DQ121" i="2" s="1"/>
  <c r="EQ121" i="2"/>
  <c r="DI174" i="2"/>
  <c r="EL182" i="2"/>
  <c r="AZ55" i="2"/>
  <c r="FS55" i="2"/>
  <c r="EY56" i="2"/>
  <c r="GF56" i="2" s="1"/>
  <c r="AU56" i="2"/>
  <c r="EU165" i="2"/>
  <c r="AT165" i="2"/>
  <c r="DR165" i="2" s="1"/>
  <c r="DI161" i="2"/>
  <c r="ES58" i="2"/>
  <c r="EW56" i="2"/>
  <c r="FA53" i="2"/>
  <c r="FA68" i="2" s="1"/>
  <c r="ES162" i="2"/>
  <c r="EV62" i="2"/>
  <c r="AR53" i="2"/>
  <c r="EM53" i="2"/>
  <c r="DG162" i="2"/>
  <c r="FA166" i="2"/>
  <c r="EO164" i="2"/>
  <c r="EJ169" i="2"/>
  <c r="EP46" i="2"/>
  <c r="J67" i="2"/>
  <c r="ER49" i="2"/>
  <c r="EJ47" i="2"/>
  <c r="CH180" i="2"/>
  <c r="G179" i="2"/>
  <c r="EM158" i="2"/>
  <c r="AR158" i="2"/>
  <c r="AT48" i="2"/>
  <c r="EU48" i="2"/>
  <c r="CB67" i="2"/>
  <c r="C179" i="2"/>
  <c r="AQ158" i="2"/>
  <c r="EI158" i="2"/>
  <c r="AW52" i="2"/>
  <c r="DU52" i="2" s="1"/>
  <c r="FG52" i="2"/>
  <c r="FK52" i="2"/>
  <c r="AX52" i="2"/>
  <c r="DV52" i="2" s="1"/>
  <c r="AY62" i="2"/>
  <c r="DW62" i="2" s="1"/>
  <c r="FO62" i="2"/>
  <c r="AV60" i="2"/>
  <c r="DT60" i="2" s="1"/>
  <c r="FC60" i="2"/>
  <c r="AV62" i="2"/>
  <c r="DT62" i="2" s="1"/>
  <c r="FC62" i="2"/>
  <c r="FG61" i="2"/>
  <c r="AW61" i="2"/>
  <c r="DU61" i="2" s="1"/>
  <c r="FR69" i="2"/>
  <c r="N101" i="2"/>
  <c r="N103" i="2" s="1"/>
  <c r="ET80" i="2"/>
  <c r="ET101" i="2" s="1"/>
  <c r="R101" i="2"/>
  <c r="R103" i="2" s="1"/>
  <c r="EX80" i="2"/>
  <c r="EX101" i="2" s="1"/>
  <c r="ET102" i="2"/>
  <c r="EU91" i="2"/>
  <c r="GD91" i="2" s="1"/>
  <c r="AT91" i="2"/>
  <c r="DR91" i="2" s="1"/>
  <c r="EE91" i="2" s="1"/>
  <c r="EU89" i="2"/>
  <c r="AT89" i="2"/>
  <c r="DR89" i="2" s="1"/>
  <c r="EE89" i="2" s="1"/>
  <c r="EY86" i="2"/>
  <c r="GF86" i="2" s="1"/>
  <c r="AU86" i="2"/>
  <c r="DS86" i="2" s="1"/>
  <c r="EY90" i="2"/>
  <c r="GF90" i="2" s="1"/>
  <c r="AU90" i="2"/>
  <c r="DS90" i="2" s="1"/>
  <c r="AT123" i="2"/>
  <c r="DR123" i="2" s="1"/>
  <c r="EE123" i="2" s="1"/>
  <c r="EU123" i="2"/>
  <c r="GD123" i="2" s="1"/>
  <c r="AR117" i="2"/>
  <c r="DP117" i="2" s="1"/>
  <c r="ED117" i="2" s="1"/>
  <c r="EM117" i="2"/>
  <c r="FZ117" i="2" s="1"/>
  <c r="AT125" i="2"/>
  <c r="DR125" i="2" s="1"/>
  <c r="EE125" i="2" s="1"/>
  <c r="EU125" i="2"/>
  <c r="EQ126" i="2"/>
  <c r="GB126" i="2" s="1"/>
  <c r="AS126" i="2"/>
  <c r="DQ126" i="2" s="1"/>
  <c r="F137" i="2"/>
  <c r="F139" i="2" s="1"/>
  <c r="EL116" i="2"/>
  <c r="EL137" i="2" s="1"/>
  <c r="T137" i="2"/>
  <c r="T139" i="2" s="1"/>
  <c r="EZ116" i="2"/>
  <c r="EZ137" i="2" s="1"/>
  <c r="EY124" i="2"/>
  <c r="GF124" i="2" s="1"/>
  <c r="AU124" i="2"/>
  <c r="DS124" i="2" s="1"/>
  <c r="EY129" i="2"/>
  <c r="AU129" i="2"/>
  <c r="DS129" i="2" s="1"/>
  <c r="EY131" i="2"/>
  <c r="GF131" i="2" s="1"/>
  <c r="AU131" i="2"/>
  <c r="DS131" i="2" s="1"/>
  <c r="EY174" i="2"/>
  <c r="AU174" i="2"/>
  <c r="EM172" i="2"/>
  <c r="ES174" i="2"/>
  <c r="AT163" i="2"/>
  <c r="DR163" i="2" s="1"/>
  <c r="EU163" i="2"/>
  <c r="AS162" i="2"/>
  <c r="EQ162" i="2"/>
  <c r="DG159" i="2"/>
  <c r="BX67" i="2"/>
  <c r="EI161" i="2"/>
  <c r="AQ161" i="2"/>
  <c r="FA158" i="2"/>
  <c r="U179" i="2"/>
  <c r="CF67" i="2"/>
  <c r="CE67" i="2"/>
  <c r="ET170" i="2"/>
  <c r="DH48" i="2"/>
  <c r="ED48" i="2" s="1"/>
  <c r="EZ167" i="2"/>
  <c r="BQ180" i="2"/>
  <c r="DE158" i="2"/>
  <c r="FQ67" i="2"/>
  <c r="FK49" i="2"/>
  <c r="AX49" i="2"/>
  <c r="DV49" i="2" s="1"/>
  <c r="FK51" i="2"/>
  <c r="AX51" i="2"/>
  <c r="AV55" i="2"/>
  <c r="FC55" i="2"/>
  <c r="AX54" i="2"/>
  <c r="DV54" i="2" s="1"/>
  <c r="FK54" i="2"/>
  <c r="AZ52" i="2"/>
  <c r="DX52" i="2" s="1"/>
  <c r="FS52" i="2"/>
  <c r="EI53" i="2"/>
  <c r="AQ53" i="2"/>
  <c r="DO53" i="2" s="1"/>
  <c r="FT69" i="2"/>
  <c r="EQ88" i="2"/>
  <c r="GB88" i="2" s="1"/>
  <c r="AS88" i="2"/>
  <c r="DQ88" i="2" s="1"/>
  <c r="EQ91" i="2"/>
  <c r="GB91" i="2" s="1"/>
  <c r="AS91" i="2"/>
  <c r="DQ91" i="2" s="1"/>
  <c r="FG62" i="2"/>
  <c r="AW62" i="2"/>
  <c r="DU62" i="2" s="1"/>
  <c r="EQ84" i="2"/>
  <c r="GB84" i="2" s="1"/>
  <c r="AS84" i="2"/>
  <c r="DQ84" i="2" s="1"/>
  <c r="EO102" i="2"/>
  <c r="EQ92" i="2"/>
  <c r="GB92" i="2" s="1"/>
  <c r="AS92" i="2"/>
  <c r="DQ92" i="2" s="1"/>
  <c r="AR87" i="2"/>
  <c r="DP87" i="2" s="1"/>
  <c r="ED87" i="2" s="1"/>
  <c r="EM87" i="2"/>
  <c r="FZ87" i="2" s="1"/>
  <c r="AR84" i="2"/>
  <c r="DP84" i="2" s="1"/>
  <c r="ED84" i="2" s="1"/>
  <c r="EM84" i="2"/>
  <c r="FZ84" i="2" s="1"/>
  <c r="AU117" i="2"/>
  <c r="DS117" i="2" s="1"/>
  <c r="EY117" i="2"/>
  <c r="GF117" i="2" s="1"/>
  <c r="AR118" i="2"/>
  <c r="DP118" i="2" s="1"/>
  <c r="ED118" i="2" s="1"/>
  <c r="EM118" i="2"/>
  <c r="FZ118" i="2" s="1"/>
  <c r="AT126" i="2"/>
  <c r="DR126" i="2" s="1"/>
  <c r="EE126" i="2" s="1"/>
  <c r="EU126" i="2"/>
  <c r="GD126" i="2" s="1"/>
  <c r="R137" i="2"/>
  <c r="R139" i="2" s="1"/>
  <c r="EX116" i="2"/>
  <c r="EX137" i="2" s="1"/>
  <c r="EL138" i="2"/>
  <c r="EL139" i="2"/>
  <c r="EI118" i="2"/>
  <c r="FX118" i="2" s="1"/>
  <c r="AQ118" i="2"/>
  <c r="DO118" i="2" s="1"/>
  <c r="AU127" i="2"/>
  <c r="DS127" i="2" s="1"/>
  <c r="EY127" i="2"/>
  <c r="GF127" i="2" s="1"/>
  <c r="EJ140" i="2"/>
  <c r="EL140" i="2"/>
  <c r="CB180" i="2"/>
  <c r="V179" i="2"/>
  <c r="FB158" i="2"/>
  <c r="EQ58" i="2"/>
  <c r="AS58" i="2"/>
  <c r="AT55" i="2"/>
  <c r="EU55" i="2"/>
  <c r="AU160" i="2"/>
  <c r="DS160" i="2" s="1"/>
  <c r="EY160" i="2"/>
  <c r="AU171" i="2"/>
  <c r="DS171" i="2" s="1"/>
  <c r="EY171" i="2"/>
  <c r="AU161" i="2"/>
  <c r="EY161" i="2"/>
  <c r="DE101" i="2"/>
  <c r="EV60" i="2"/>
  <c r="AR165" i="2"/>
  <c r="DP165" i="2" s="1"/>
  <c r="EM165" i="2"/>
  <c r="FZ165" i="2" s="1"/>
  <c r="DH174" i="2"/>
  <c r="DH60" i="2"/>
  <c r="ED60" i="2" s="1"/>
  <c r="EV167" i="2"/>
  <c r="AT160" i="2"/>
  <c r="EU160" i="2"/>
  <c r="EQ55" i="2"/>
  <c r="AS55" i="2"/>
  <c r="EV172" i="2"/>
  <c r="EU58" i="2"/>
  <c r="AT58" i="2"/>
  <c r="ES167" i="2"/>
  <c r="ES181" i="2" s="1"/>
  <c r="EI180" i="2"/>
  <c r="DF161" i="2"/>
  <c r="EX161" i="2"/>
  <c r="FB60" i="2"/>
  <c r="EY169" i="2"/>
  <c r="AU169" i="2"/>
  <c r="DG167" i="2"/>
  <c r="EO53" i="2"/>
  <c r="FA50" i="2"/>
  <c r="EQ173" i="2"/>
  <c r="EZ168" i="2"/>
  <c r="FB59" i="2"/>
  <c r="FB70" i="2" s="1"/>
  <c r="ES57" i="2"/>
  <c r="AS166" i="2"/>
  <c r="EQ166" i="2"/>
  <c r="AS164" i="2"/>
  <c r="EQ164" i="2"/>
  <c r="AU50" i="2"/>
  <c r="EY50" i="2"/>
  <c r="FA58" i="2"/>
  <c r="ES56" i="2"/>
  <c r="EW52" i="2"/>
  <c r="EY173" i="2"/>
  <c r="AU173" i="2"/>
  <c r="FB57" i="2"/>
  <c r="ET55" i="2"/>
  <c r="ER57" i="2"/>
  <c r="DG46" i="2"/>
  <c r="AS159" i="2"/>
  <c r="DQ159" i="2" s="1"/>
  <c r="EQ159" i="2"/>
  <c r="FB165" i="2"/>
  <c r="DE161" i="2"/>
  <c r="EP49" i="2"/>
  <c r="CI180" i="2"/>
  <c r="R67" i="2"/>
  <c r="EX46" i="2"/>
  <c r="EZ160" i="2"/>
  <c r="Q67" i="2"/>
  <c r="EW46" i="2"/>
  <c r="AQ48" i="2"/>
  <c r="EI48" i="2"/>
  <c r="EQ172" i="2"/>
  <c r="M67" i="2"/>
  <c r="ES46" i="2"/>
  <c r="AW49" i="2"/>
  <c r="DU49" i="2" s="1"/>
  <c r="FG49" i="2"/>
  <c r="FJ68" i="2"/>
  <c r="FG54" i="2"/>
  <c r="AW54" i="2"/>
  <c r="DU54" i="2" s="1"/>
  <c r="FV69" i="2"/>
  <c r="FD69" i="2"/>
  <c r="FK56" i="2"/>
  <c r="AX56" i="2"/>
  <c r="DV56" i="2" s="1"/>
  <c r="AW55" i="2"/>
  <c r="FG55" i="2"/>
  <c r="AV53" i="2"/>
  <c r="DT53" i="2" s="1"/>
  <c r="FC53" i="2"/>
  <c r="EJ68" i="2"/>
  <c r="FC58" i="2"/>
  <c r="AV58" i="2"/>
  <c r="DT58" i="2" s="1"/>
  <c r="AW53" i="2"/>
  <c r="DU53" i="2" s="1"/>
  <c r="FG53" i="2"/>
  <c r="FL69" i="2"/>
  <c r="EP103" i="2"/>
  <c r="AY57" i="2"/>
  <c r="DW57" i="2" s="1"/>
  <c r="FO57" i="2"/>
  <c r="H101" i="2"/>
  <c r="H103" i="2" s="1"/>
  <c r="EN80" i="2"/>
  <c r="EN101" i="2" s="1"/>
  <c r="J101" i="2"/>
  <c r="J103" i="2" s="1"/>
  <c r="EP80" i="2"/>
  <c r="EP101" i="2" s="1"/>
  <c r="AZ62" i="2"/>
  <c r="DX62" i="2" s="1"/>
  <c r="FS62" i="2"/>
  <c r="EJ104" i="2"/>
  <c r="AR85" i="2"/>
  <c r="DP85" i="2" s="1"/>
  <c r="ED85" i="2" s="1"/>
  <c r="EM85" i="2"/>
  <c r="EN102" i="2"/>
  <c r="EN104" i="2"/>
  <c r="EY87" i="2"/>
  <c r="GF87" i="2" s="1"/>
  <c r="AU87" i="2"/>
  <c r="DS87" i="2" s="1"/>
  <c r="AT90" i="2"/>
  <c r="DR90" i="2" s="1"/>
  <c r="EE90" i="2" s="1"/>
  <c r="EU90" i="2"/>
  <c r="GD90" i="2" s="1"/>
  <c r="ES102" i="2"/>
  <c r="AU91" i="2"/>
  <c r="DS91" i="2" s="1"/>
  <c r="EY91" i="2"/>
  <c r="GF91" i="2" s="1"/>
  <c r="EY84" i="2"/>
  <c r="GF84" i="2" s="1"/>
  <c r="AU84" i="2"/>
  <c r="DS84" i="2" s="1"/>
  <c r="N137" i="2"/>
  <c r="N139" i="2" s="1"/>
  <c r="ET116" i="2"/>
  <c r="ET137" i="2" s="1"/>
  <c r="ES139" i="2"/>
  <c r="AU118" i="2"/>
  <c r="DS118" i="2" s="1"/>
  <c r="EY118" i="2"/>
  <c r="GF118" i="2" s="1"/>
  <c r="AU125" i="2"/>
  <c r="DS125" i="2" s="1"/>
  <c r="EY125" i="2"/>
  <c r="AS118" i="2"/>
  <c r="DQ118" i="2" s="1"/>
  <c r="EQ118" i="2"/>
  <c r="GB118" i="2" s="1"/>
  <c r="EM139" i="2"/>
  <c r="EU118" i="2"/>
  <c r="GD118" i="2" s="1"/>
  <c r="AT118" i="2"/>
  <c r="DR118" i="2" s="1"/>
  <c r="EE118" i="2" s="1"/>
  <c r="EV140" i="2"/>
  <c r="EX140" i="2"/>
  <c r="EU49" i="2"/>
  <c r="AT49" i="2"/>
  <c r="N179" i="2"/>
  <c r="ET158" i="2"/>
  <c r="ET179" i="2" s="1"/>
  <c r="EM159" i="2"/>
  <c r="AR159" i="2"/>
  <c r="DP159" i="2" s="1"/>
  <c r="EQ165" i="2"/>
  <c r="AS165" i="2"/>
  <c r="DQ165" i="2" s="1"/>
  <c r="EI181" i="2"/>
  <c r="ET167" i="2"/>
  <c r="EZ169" i="2"/>
  <c r="DF53" i="2"/>
  <c r="EB53" i="2" s="1"/>
  <c r="EV174" i="2"/>
  <c r="DF101" i="2"/>
  <c r="DG101" i="2"/>
  <c r="EB80" i="2"/>
  <c r="EU51" i="2"/>
  <c r="AT51" i="2"/>
  <c r="EZ159" i="2"/>
  <c r="EU174" i="2"/>
  <c r="AT174" i="2"/>
  <c r="DR174" i="2" s="1"/>
  <c r="AT60" i="2"/>
  <c r="EU60" i="2"/>
  <c r="EJ167" i="2"/>
  <c r="EL165" i="2"/>
  <c r="DE160" i="2"/>
  <c r="EW166" i="2"/>
  <c r="EW162" i="2"/>
  <c r="EX159" i="2"/>
  <c r="FA62" i="2"/>
  <c r="EM171" i="2"/>
  <c r="FB55" i="2"/>
  <c r="EU47" i="2"/>
  <c r="AT47" i="2"/>
  <c r="FA55" i="2"/>
  <c r="AR161" i="2"/>
  <c r="EM161" i="2"/>
  <c r="EW171" i="2"/>
  <c r="EN169" i="2"/>
  <c r="DI169" i="2"/>
  <c r="AS167" i="2"/>
  <c r="EQ167" i="2"/>
  <c r="EO50" i="2"/>
  <c r="AU61" i="2"/>
  <c r="EY61" i="2"/>
  <c r="EJ170" i="2"/>
  <c r="EN54" i="2"/>
  <c r="AT50" i="2"/>
  <c r="EU50" i="2"/>
  <c r="DG166" i="2"/>
  <c r="DG164" i="2"/>
  <c r="DI50" i="2"/>
  <c r="EE50" i="2" s="1"/>
  <c r="FA163" i="2"/>
  <c r="ES161" i="2"/>
  <c r="DI173" i="2"/>
  <c r="AS171" i="2"/>
  <c r="EQ171" i="2"/>
  <c r="EV168" i="2"/>
  <c r="EZ166" i="2"/>
  <c r="EN164" i="2"/>
  <c r="EV50" i="2"/>
  <c r="EO159" i="2"/>
  <c r="BY67" i="2"/>
  <c r="EP166" i="2"/>
  <c r="P179" i="2"/>
  <c r="EV158" i="2"/>
  <c r="FB160" i="2"/>
  <c r="I179" i="2"/>
  <c r="EO158" i="2"/>
  <c r="EO160" i="2"/>
  <c r="BS67" i="2"/>
  <c r="DE48" i="2"/>
  <c r="EA48" i="2" s="1"/>
  <c r="EN167" i="2"/>
  <c r="DI60" i="2"/>
  <c r="EE60" i="2" s="1"/>
  <c r="EV55" i="2"/>
  <c r="EO54" i="2"/>
  <c r="CA67" i="2"/>
  <c r="FM67" i="2"/>
  <c r="FI67" i="2"/>
  <c r="FU69" i="2"/>
  <c r="FG56" i="2"/>
  <c r="AW56" i="2"/>
  <c r="DU56" i="2" s="1"/>
  <c r="FS57" i="2"/>
  <c r="AZ57" i="2"/>
  <c r="DX57" i="2" s="1"/>
  <c r="FO53" i="2"/>
  <c r="AY53" i="2"/>
  <c r="DW53" i="2" s="1"/>
  <c r="FH68" i="2"/>
  <c r="AV48" i="2"/>
  <c r="DT48" i="2" s="1"/>
  <c r="FC48" i="2"/>
  <c r="AZ53" i="2"/>
  <c r="DX53" i="2" s="1"/>
  <c r="FS53" i="2"/>
  <c r="FM69" i="2"/>
  <c r="AY58" i="2"/>
  <c r="DW58" i="2" s="1"/>
  <c r="FO58" i="2"/>
  <c r="E101" i="2"/>
  <c r="E103" i="2" s="1"/>
  <c r="EK80" i="2"/>
  <c r="EK101" i="2" s="1"/>
  <c r="AS83" i="2"/>
  <c r="DQ83" i="2" s="1"/>
  <c r="EQ83" i="2"/>
  <c r="GB83" i="2" s="1"/>
  <c r="T101" i="2"/>
  <c r="T103" i="2" s="1"/>
  <c r="EZ80" i="2"/>
  <c r="EZ101" i="2" s="1"/>
  <c r="V101" i="2"/>
  <c r="V103" i="2" s="1"/>
  <c r="FB80" i="2"/>
  <c r="FB101" i="2" s="1"/>
  <c r="K101" i="2"/>
  <c r="K103" i="2" s="1"/>
  <c r="EQ80" i="2"/>
  <c r="AS80" i="2"/>
  <c r="EL102" i="2"/>
  <c r="EY85" i="2"/>
  <c r="AU85" i="2"/>
  <c r="DS85" i="2" s="1"/>
  <c r="EK104" i="2"/>
  <c r="EZ102" i="2"/>
  <c r="FB104" i="2"/>
  <c r="EP102" i="2"/>
  <c r="V137" i="2"/>
  <c r="V139" i="2" s="1"/>
  <c r="FB116" i="2"/>
  <c r="FB137" i="2" s="1"/>
  <c r="EM103" i="2"/>
  <c r="EJ102" i="2"/>
  <c r="AR119" i="2"/>
  <c r="DP119" i="2" s="1"/>
  <c r="ED119" i="2" s="1"/>
  <c r="EM119" i="2"/>
  <c r="FZ119" i="2" s="1"/>
  <c r="EX104" i="2"/>
  <c r="AS119" i="2"/>
  <c r="DQ119" i="2" s="1"/>
  <c r="EQ119" i="2"/>
  <c r="GB119" i="2" s="1"/>
  <c r="EK139" i="2"/>
  <c r="EK138" i="2"/>
  <c r="DH62" i="2"/>
  <c r="ED62" i="2" s="1"/>
  <c r="EI49" i="2"/>
  <c r="AQ49" i="2"/>
  <c r="L67" i="2"/>
  <c r="ER46" i="2"/>
  <c r="BY180" i="2"/>
  <c r="DG158" i="2"/>
  <c r="L179" i="2"/>
  <c r="ER158" i="2"/>
  <c r="AY51" i="2"/>
  <c r="FO51" i="2"/>
  <c r="AU58" i="2"/>
  <c r="EY58" i="2"/>
  <c r="AQ50" i="2"/>
  <c r="EI50" i="2"/>
  <c r="EO170" i="2"/>
  <c r="ES55" i="2"/>
  <c r="EU53" i="2"/>
  <c r="GD53" i="2" s="1"/>
  <c r="AT53" i="2"/>
  <c r="EY162" i="2"/>
  <c r="AU162" i="2"/>
  <c r="DS162" i="2" s="1"/>
  <c r="AQ160" i="2"/>
  <c r="DO160" i="2" s="1"/>
  <c r="EI160" i="2"/>
  <c r="DG169" i="2"/>
  <c r="DH173" i="2"/>
  <c r="EU59" i="2"/>
  <c r="AT59" i="2"/>
  <c r="EP169" i="2"/>
  <c r="EV166" i="2"/>
  <c r="AQ47" i="2"/>
  <c r="EI47" i="2"/>
  <c r="EQ53" i="2"/>
  <c r="GB53" i="2" s="1"/>
  <c r="AS53" i="2"/>
  <c r="AS51" i="2"/>
  <c r="E49" i="15" s="1"/>
  <c r="EQ51" i="2"/>
  <c r="ER160" i="2"/>
  <c r="DI62" i="2"/>
  <c r="EE62" i="2" s="1"/>
  <c r="EV57" i="2"/>
  <c r="ET166" i="2"/>
  <c r="EL161" i="2"/>
  <c r="EV171" i="2"/>
  <c r="EM169" i="2"/>
  <c r="AU55" i="2"/>
  <c r="EY55" i="2"/>
  <c r="ES164" i="2"/>
  <c r="DI61" i="2"/>
  <c r="EE61" i="2" s="1"/>
  <c r="DH49" i="2"/>
  <c r="ED49" i="2" s="1"/>
  <c r="DH170" i="2"/>
  <c r="EY168" i="2"/>
  <c r="AU168" i="2"/>
  <c r="DI54" i="2"/>
  <c r="EE54" i="2" s="1"/>
  <c r="AR50" i="2"/>
  <c r="EM50" i="2"/>
  <c r="DH169" i="2"/>
  <c r="EY167" i="2"/>
  <c r="AU167" i="2"/>
  <c r="DF49" i="2"/>
  <c r="EB49" i="2" s="1"/>
  <c r="DI59" i="2"/>
  <c r="EE59" i="2" s="1"/>
  <c r="EY47" i="2"/>
  <c r="AU47" i="2"/>
  <c r="CD180" i="2"/>
  <c r="EQ49" i="2"/>
  <c r="AS49" i="2"/>
  <c r="BV67" i="2"/>
  <c r="BW180" i="2"/>
  <c r="F67" i="2"/>
  <c r="EL46" i="2"/>
  <c r="E67" i="2"/>
  <c r="EK46" i="2"/>
  <c r="R179" i="2"/>
  <c r="EX158" i="2"/>
  <c r="EY60" i="2"/>
  <c r="AU60" i="2"/>
  <c r="CE180" i="2"/>
  <c r="EP54" i="2"/>
  <c r="FN67" i="2"/>
  <c r="FU67" i="2"/>
  <c r="FC56" i="2"/>
  <c r="AV56" i="2"/>
  <c r="DT56" i="2" s="1"/>
  <c r="AY54" i="2"/>
  <c r="DW54" i="2" s="1"/>
  <c r="FO54" i="2"/>
  <c r="AQ54" i="2"/>
  <c r="DO54" i="2" s="1"/>
  <c r="EI54" i="2"/>
  <c r="FT68" i="2"/>
  <c r="FO48" i="2"/>
  <c r="AY48" i="2"/>
  <c r="DW48" i="2" s="1"/>
  <c r="AV54" i="2"/>
  <c r="DT54" i="2" s="1"/>
  <c r="FC54" i="2"/>
  <c r="FE70" i="2"/>
  <c r="EI104" i="2"/>
  <c r="AX59" i="2"/>
  <c r="FK59" i="2"/>
  <c r="EY94" i="2"/>
  <c r="GF94" i="2" s="1"/>
  <c r="AU94" i="2"/>
  <c r="DS94" i="2" s="1"/>
  <c r="Q101" i="2"/>
  <c r="Q103" i="2" s="1"/>
  <c r="EW80" i="2"/>
  <c r="EW101" i="2" s="1"/>
  <c r="EI81" i="2"/>
  <c r="FX81" i="2" s="1"/>
  <c r="AQ81" i="2"/>
  <c r="DO81" i="2" s="1"/>
  <c r="EX102" i="2"/>
  <c r="EZ104" i="2"/>
  <c r="FB102" i="2"/>
  <c r="ER102" i="2"/>
  <c r="AT92" i="2"/>
  <c r="DR92" i="2" s="1"/>
  <c r="EE92" i="2" s="1"/>
  <c r="EU92" i="2"/>
  <c r="GD92" i="2" s="1"/>
  <c r="EY89" i="2"/>
  <c r="AU89" i="2"/>
  <c r="DS89" i="2" s="1"/>
  <c r="EI102" i="2"/>
  <c r="EV102" i="2"/>
  <c r="EM104" i="2"/>
  <c r="I137" i="2"/>
  <c r="I139" i="2" s="1"/>
  <c r="EO116" i="2"/>
  <c r="EO137" i="2" s="1"/>
  <c r="ER140" i="2"/>
  <c r="K137" i="2"/>
  <c r="K139" i="2" s="1"/>
  <c r="EQ116" i="2"/>
  <c r="AS116" i="2"/>
  <c r="EW138" i="2"/>
  <c r="EU130" i="2"/>
  <c r="GD130" i="2" s="1"/>
  <c r="AT130" i="2"/>
  <c r="DR130" i="2" s="1"/>
  <c r="EE130" i="2" s="1"/>
  <c r="EP140" i="2"/>
  <c r="ET139" i="2"/>
  <c r="AT62" i="2"/>
  <c r="EU62" i="2"/>
  <c r="BZ67" i="2"/>
  <c r="EE46" i="2"/>
  <c r="EY165" i="2"/>
  <c r="AU165" i="2"/>
  <c r="DS165" i="2" s="1"/>
  <c r="DH160" i="2"/>
  <c r="DE137" i="2"/>
  <c r="EA116" i="2"/>
  <c r="DG137" i="2"/>
  <c r="EB116" i="2"/>
  <c r="AU164" i="2"/>
  <c r="DS164" i="2" s="1"/>
  <c r="EY164" i="2"/>
  <c r="FA182" i="2"/>
  <c r="EQ48" i="2"/>
  <c r="AS48" i="2"/>
  <c r="DQ48" i="2" s="1"/>
  <c r="AS169" i="2"/>
  <c r="EQ169" i="2"/>
  <c r="EU173" i="2"/>
  <c r="AT173" i="2"/>
  <c r="DH59" i="2"/>
  <c r="ED59" i="2" s="1"/>
  <c r="DG53" i="2"/>
  <c r="EC53" i="2" s="1"/>
  <c r="DG51" i="2"/>
  <c r="EC51" i="2" s="1"/>
  <c r="AU62" i="2"/>
  <c r="EY62" i="2"/>
  <c r="EK182" i="2"/>
  <c r="DI55" i="2"/>
  <c r="EE55" i="2" s="1"/>
  <c r="EY51" i="2"/>
  <c r="AU51" i="2"/>
  <c r="AT170" i="2"/>
  <c r="EU170" i="2"/>
  <c r="DI168" i="2"/>
  <c r="EY54" i="2"/>
  <c r="AU54" i="2"/>
  <c r="EY52" i="2"/>
  <c r="GF52" i="2" s="1"/>
  <c r="AU52" i="2"/>
  <c r="DF50" i="2"/>
  <c r="EB50" i="2" s="1"/>
  <c r="AT169" i="2"/>
  <c r="EU169" i="2"/>
  <c r="GD169" i="2" s="1"/>
  <c r="DI167" i="2"/>
  <c r="EW54" i="2"/>
  <c r="AU59" i="2"/>
  <c r="G133" i="15" s="1"/>
  <c r="EY59" i="2"/>
  <c r="EV52" i="2"/>
  <c r="AT159" i="2"/>
  <c r="EU159" i="2"/>
  <c r="DF47" i="2"/>
  <c r="EB47" i="2" s="1"/>
  <c r="DG49" i="2"/>
  <c r="EC49" i="2" s="1"/>
  <c r="H67" i="2"/>
  <c r="EN46" i="2"/>
  <c r="EP160" i="2"/>
  <c r="S67" i="2"/>
  <c r="EY46" i="2"/>
  <c r="AU46" i="2"/>
  <c r="ET56" i="2"/>
  <c r="CF180" i="2"/>
  <c r="Q179" i="2"/>
  <c r="EW158" i="2"/>
  <c r="ER48" i="2"/>
  <c r="FS48" i="2"/>
  <c r="AZ48" i="2"/>
  <c r="DX48" i="2" s="1"/>
  <c r="FH67" i="2"/>
  <c r="AY49" i="2"/>
  <c r="DW49" i="2" s="1"/>
  <c r="FO49" i="2"/>
  <c r="FL67" i="2"/>
  <c r="AX48" i="2"/>
  <c r="DV48" i="2" s="1"/>
  <c r="FK48" i="2"/>
  <c r="FI69" i="2"/>
  <c r="FR70" i="2"/>
  <c r="AX58" i="2"/>
  <c r="DV58" i="2" s="1"/>
  <c r="FK58" i="2"/>
  <c r="FM70" i="2"/>
  <c r="M101" i="2"/>
  <c r="M103" i="2" s="1"/>
  <c r="ES80" i="2"/>
  <c r="ES101" i="2" s="1"/>
  <c r="AY60" i="2"/>
  <c r="DW60" i="2" s="1"/>
  <c r="FO60" i="2"/>
  <c r="D101" i="2"/>
  <c r="D103" i="2" s="1"/>
  <c r="EJ80" i="2"/>
  <c r="EJ101" i="2" s="1"/>
  <c r="EQ81" i="2"/>
  <c r="GB81" i="2" s="1"/>
  <c r="AS81" i="2"/>
  <c r="DQ81" i="2" s="1"/>
  <c r="EY81" i="2"/>
  <c r="GF81" i="2" s="1"/>
  <c r="AU81" i="2"/>
  <c r="DS81" i="2" s="1"/>
  <c r="AT86" i="2"/>
  <c r="DR86" i="2" s="1"/>
  <c r="EE86" i="2" s="1"/>
  <c r="EU86" i="2"/>
  <c r="GD86" i="2" s="1"/>
  <c r="EJ103" i="2"/>
  <c r="ER104" i="2"/>
  <c r="EU85" i="2"/>
  <c r="AT85" i="2"/>
  <c r="DR85" i="2" s="1"/>
  <c r="EE85" i="2" s="1"/>
  <c r="EU93" i="2"/>
  <c r="AT93" i="2"/>
  <c r="EY93" i="2"/>
  <c r="AU93" i="2"/>
  <c r="AR121" i="2"/>
  <c r="DP121" i="2" s="1"/>
  <c r="ED121" i="2" s="1"/>
  <c r="EM121" i="2"/>
  <c r="U137" i="2"/>
  <c r="U139" i="2" s="1"/>
  <c r="FA116" i="2"/>
  <c r="FA137" i="2" s="1"/>
  <c r="EI117" i="2"/>
  <c r="FX117" i="2" s="1"/>
  <c r="AQ117" i="2"/>
  <c r="DO117" i="2" s="1"/>
  <c r="ER138" i="2"/>
  <c r="AT128" i="2"/>
  <c r="DR128" i="2" s="1"/>
  <c r="EE128" i="2" s="1"/>
  <c r="EU128" i="2"/>
  <c r="GD128" i="2" s="1"/>
  <c r="EU129" i="2"/>
  <c r="AT129" i="2"/>
  <c r="DR129" i="2" s="1"/>
  <c r="EE129" i="2" s="1"/>
  <c r="AU128" i="2"/>
  <c r="DS128" i="2" s="1"/>
  <c r="EY128" i="2"/>
  <c r="GF128" i="2" s="1"/>
  <c r="EP139" i="2"/>
  <c r="FB140" i="2"/>
  <c r="AR166" i="2"/>
  <c r="EM166" i="2"/>
  <c r="AS57" i="2"/>
  <c r="DQ57" i="2" s="1"/>
  <c r="EQ57" i="2"/>
  <c r="EY88" i="2"/>
  <c r="GF88" i="2" s="1"/>
  <c r="AU88" i="2"/>
  <c r="DS88" i="2" s="1"/>
  <c r="EY163" i="2"/>
  <c r="AU163" i="2"/>
  <c r="DS163" i="2" s="1"/>
  <c r="EM163" i="2"/>
  <c r="AR163" i="2"/>
  <c r="DP163" i="2" s="1"/>
  <c r="DH58" i="2"/>
  <c r="ED58" i="2" s="1"/>
  <c r="EI172" i="2"/>
  <c r="EI182" i="2" s="1"/>
  <c r="EX173" i="2"/>
  <c r="EP171" i="2"/>
  <c r="AU166" i="2"/>
  <c r="DS166" i="2" s="1"/>
  <c r="EY166" i="2"/>
  <c r="EM162" i="2"/>
  <c r="FZ162" i="2" s="1"/>
  <c r="AR162" i="2"/>
  <c r="DP162" i="2" s="1"/>
  <c r="ER55" i="2"/>
  <c r="EX164" i="2"/>
  <c r="EY159" i="2"/>
  <c r="AU159" i="2"/>
  <c r="DS159" i="2" s="1"/>
  <c r="EN171" i="2"/>
  <c r="EN182" i="2" s="1"/>
  <c r="EY57" i="2"/>
  <c r="AU57" i="2"/>
  <c r="EX57" i="2"/>
  <c r="EX69" i="2" s="1"/>
  <c r="EJ166" i="2"/>
  <c r="EJ164" i="2"/>
  <c r="EK159" i="2"/>
  <c r="EX171" i="2"/>
  <c r="EO169" i="2"/>
  <c r="AT166" i="2"/>
  <c r="EU166" i="2"/>
  <c r="AT164" i="2"/>
  <c r="EU164" i="2"/>
  <c r="AT162" i="2"/>
  <c r="DR162" i="2" s="1"/>
  <c r="EU162" i="2"/>
  <c r="FB168" i="2"/>
  <c r="FB181" i="2" s="1"/>
  <c r="FB51" i="2"/>
  <c r="EQ160" i="2"/>
  <c r="GB160" i="2" s="1"/>
  <c r="AS160" i="2"/>
  <c r="DQ160" i="2" s="1"/>
  <c r="EX62" i="2"/>
  <c r="EJ171" i="2"/>
  <c r="EJ182" i="2" s="1"/>
  <c r="AT57" i="2"/>
  <c r="EU57" i="2"/>
  <c r="ES166" i="2"/>
  <c r="ES172" i="2"/>
  <c r="EM168" i="2"/>
  <c r="EM54" i="2"/>
  <c r="AR54" i="2"/>
  <c r="EU161" i="2"/>
  <c r="AT161" i="2"/>
  <c r="EX60" i="2"/>
  <c r="EM167" i="2"/>
  <c r="FA165" i="2"/>
  <c r="EX160" i="2"/>
  <c r="EU61" i="2"/>
  <c r="AT61" i="2"/>
  <c r="EN166" i="2"/>
  <c r="EZ163" i="2"/>
  <c r="DH159" i="2"/>
  <c r="EM47" i="2"/>
  <c r="FZ47" i="2" s="1"/>
  <c r="AR47" i="2"/>
  <c r="AS47" i="2"/>
  <c r="EQ47" i="2"/>
  <c r="GB47" i="2" s="1"/>
  <c r="G67" i="2"/>
  <c r="AR46" i="2"/>
  <c r="EM46" i="2"/>
  <c r="FB164" i="2"/>
  <c r="EV48" i="2"/>
  <c r="EY49" i="2"/>
  <c r="GF49" i="2" s="1"/>
  <c r="AU49" i="2"/>
  <c r="F179" i="2"/>
  <c r="EL158" i="2"/>
  <c r="BS180" i="2"/>
  <c r="EN50" i="2"/>
  <c r="AW46" i="2"/>
  <c r="FG46" i="2"/>
  <c r="FT67" i="2"/>
  <c r="FK47" i="2"/>
  <c r="AX47" i="2"/>
  <c r="DV47" i="2" s="1"/>
  <c r="FS58" i="2"/>
  <c r="AZ58" i="2"/>
  <c r="DX58" i="2" s="1"/>
  <c r="AY59" i="2"/>
  <c r="FO59" i="2"/>
  <c r="FJ69" i="2"/>
  <c r="FS56" i="2"/>
  <c r="AZ56" i="2"/>
  <c r="DX56" i="2" s="1"/>
  <c r="AW59" i="2"/>
  <c r="FG59" i="2"/>
  <c r="AX57" i="2"/>
  <c r="DV57" i="2" s="1"/>
  <c r="FK57" i="2"/>
  <c r="FN69" i="2"/>
  <c r="FN70" i="2"/>
  <c r="EM81" i="2"/>
  <c r="FZ81" i="2" s="1"/>
  <c r="AR81" i="2"/>
  <c r="DP81" i="2" s="1"/>
  <c r="ED81" i="2" s="1"/>
  <c r="P101" i="2"/>
  <c r="P103" i="2" s="1"/>
  <c r="EV80" i="2"/>
  <c r="EV101" i="2" s="1"/>
  <c r="EV103" i="2"/>
  <c r="AS93" i="2"/>
  <c r="EQ93" i="2"/>
  <c r="EQ104" i="2" s="1"/>
  <c r="AS86" i="2"/>
  <c r="DQ86" i="2" s="1"/>
  <c r="EQ86" i="2"/>
  <c r="GB86" i="2" s="1"/>
  <c r="ET104" i="2"/>
  <c r="AQ120" i="2"/>
  <c r="DO120" i="2" s="1"/>
  <c r="EI120" i="2"/>
  <c r="FX120" i="2" s="1"/>
  <c r="AU120" i="2"/>
  <c r="DS120" i="2" s="1"/>
  <c r="EY120" i="2"/>
  <c r="GF120" i="2" s="1"/>
  <c r="EY116" i="2"/>
  <c r="S137" i="2"/>
  <c r="S139" i="2" s="1"/>
  <c r="AU116" i="2"/>
  <c r="FA138" i="2"/>
  <c r="EU117" i="2"/>
  <c r="GD117" i="2" s="1"/>
  <c r="AT117" i="2"/>
  <c r="DR117" i="2" s="1"/>
  <c r="EE117" i="2" s="1"/>
  <c r="EQ122" i="2"/>
  <c r="GB122" i="2" s="1"/>
  <c r="AS122" i="2"/>
  <c r="DQ122" i="2" s="1"/>
  <c r="AT122" i="2"/>
  <c r="DR122" i="2" s="1"/>
  <c r="EE122" i="2" s="1"/>
  <c r="EU122" i="2"/>
  <c r="GD122" i="2" s="1"/>
  <c r="ES140" i="2"/>
  <c r="EU131" i="2"/>
  <c r="GD131" i="2" s="1"/>
  <c r="AT131" i="2"/>
  <c r="DR131" i="2" s="1"/>
  <c r="EK140" i="2"/>
  <c r="EO139" i="2"/>
  <c r="FB139" i="2"/>
  <c r="AS128" i="2"/>
  <c r="DQ128" i="2" s="1"/>
  <c r="EQ128" i="2"/>
  <c r="GB128" i="2" s="1"/>
  <c r="AU48" i="2"/>
  <c r="EY48" i="2"/>
  <c r="GF48" i="2" s="1"/>
  <c r="EX59" i="2"/>
  <c r="EU168" i="2"/>
  <c r="AT168" i="2"/>
  <c r="DR168" i="2" s="1"/>
  <c r="EM164" i="2"/>
  <c r="AR164" i="2"/>
  <c r="DP164" i="2" s="1"/>
  <c r="M179" i="2"/>
  <c r="ES158" i="2"/>
  <c r="EZ57" i="2"/>
  <c r="EX166" i="2"/>
  <c r="EL162" i="2"/>
  <c r="EV59" i="2"/>
  <c r="EV70" i="2" s="1"/>
  <c r="DI57" i="2"/>
  <c r="EE57" i="2" s="1"/>
  <c r="ES54" i="2"/>
  <c r="ES52" i="2"/>
  <c r="FA161" i="2"/>
  <c r="K179" i="2"/>
  <c r="AS158" i="2"/>
  <c r="EQ158" i="2"/>
  <c r="EW57" i="2"/>
  <c r="DH166" i="2"/>
  <c r="DH164" i="2"/>
  <c r="DH57" i="2"/>
  <c r="ED57" i="2" s="1"/>
  <c r="EZ53" i="2"/>
  <c r="DF54" i="2"/>
  <c r="EB54" i="2" s="1"/>
  <c r="EM52" i="2"/>
  <c r="FZ52" i="2" s="1"/>
  <c r="AR52" i="2"/>
  <c r="DP52" i="2" s="1"/>
  <c r="DH161" i="2"/>
  <c r="DH61" i="2"/>
  <c r="ED61" i="2" s="1"/>
  <c r="ER170" i="2"/>
  <c r="ER56" i="2"/>
  <c r="ER159" i="2"/>
  <c r="DF46" i="2"/>
  <c r="EW161" i="2"/>
  <c r="I67" i="2"/>
  <c r="EO46" i="2"/>
  <c r="EO67" i="2" s="1"/>
  <c r="EK48" i="2"/>
  <c r="FC46" i="2"/>
  <c r="AV46" i="2"/>
  <c r="EM49" i="2"/>
  <c r="AR49" i="2"/>
  <c r="BT180" i="2"/>
  <c r="E179" i="2"/>
  <c r="EK158" i="2"/>
  <c r="AQ159" i="2"/>
  <c r="EI159" i="2"/>
  <c r="AV49" i="2"/>
  <c r="DT49" i="2" s="1"/>
  <c r="FC49" i="2"/>
  <c r="FF67" i="2"/>
  <c r="AZ46" i="2"/>
  <c r="FS46" i="2"/>
  <c r="AW47" i="2"/>
  <c r="DU47" i="2" s="1"/>
  <c r="FG47" i="2"/>
  <c r="AZ50" i="2"/>
  <c r="DX50" i="2" s="1"/>
  <c r="FS50" i="2"/>
  <c r="AV51" i="2"/>
  <c r="FC51" i="2"/>
  <c r="FC68" i="2" s="1"/>
  <c r="FO56" i="2"/>
  <c r="AY56" i="2"/>
  <c r="DW56" i="2" s="1"/>
  <c r="FK55" i="2"/>
  <c r="FK69" i="2" s="1"/>
  <c r="AX55" i="2"/>
  <c r="FC50" i="2"/>
  <c r="AV50" i="2"/>
  <c r="DT50" i="2" s="1"/>
  <c r="AW57" i="2"/>
  <c r="DU57" i="2" s="1"/>
  <c r="FG57" i="2"/>
  <c r="AX62" i="2"/>
  <c r="DV62" i="2" s="1"/>
  <c r="FK62" i="2"/>
  <c r="AQ84" i="2"/>
  <c r="DO84" i="2" s="1"/>
  <c r="EI84" i="2"/>
  <c r="FX84" i="2" s="1"/>
  <c r="AU92" i="2"/>
  <c r="DS92" i="2" s="1"/>
  <c r="EY92" i="2"/>
  <c r="GF92" i="2" s="1"/>
  <c r="AT87" i="2"/>
  <c r="DR87" i="2" s="1"/>
  <c r="EE87" i="2" s="1"/>
  <c r="EU87" i="2"/>
  <c r="GD87" i="2" s="1"/>
  <c r="G137" i="2"/>
  <c r="G139" i="2" s="1"/>
  <c r="AR116" i="2"/>
  <c r="EM116" i="2"/>
  <c r="J137" i="2"/>
  <c r="EP116" i="2"/>
  <c r="EP137" i="2" s="1"/>
  <c r="EM88" i="2"/>
  <c r="FZ88" i="2" s="1"/>
  <c r="AR88" i="2"/>
  <c r="DP88" i="2" s="1"/>
  <c r="ED88" i="2" s="1"/>
  <c r="AT95" i="2"/>
  <c r="DR95" i="2" s="1"/>
  <c r="EU95" i="2"/>
  <c r="GD95" i="2" s="1"/>
  <c r="AS87" i="2"/>
  <c r="DQ87" i="2" s="1"/>
  <c r="EQ87" i="2"/>
  <c r="GB87" i="2" s="1"/>
  <c r="AT94" i="2"/>
  <c r="DR94" i="2" s="1"/>
  <c r="EE94" i="2" s="1"/>
  <c r="EU94" i="2"/>
  <c r="GD94" i="2" s="1"/>
  <c r="EM120" i="2"/>
  <c r="FZ120" i="2" s="1"/>
  <c r="AR120" i="2"/>
  <c r="DP120" i="2" s="1"/>
  <c r="ED120" i="2" s="1"/>
  <c r="AS117" i="2"/>
  <c r="DQ117" i="2" s="1"/>
  <c r="EQ117" i="2"/>
  <c r="GB117" i="2" s="1"/>
  <c r="AR123" i="2"/>
  <c r="DP123" i="2" s="1"/>
  <c r="ED123" i="2" s="1"/>
  <c r="EM123" i="2"/>
  <c r="FZ123" i="2" s="1"/>
  <c r="AT132" i="2"/>
  <c r="DR132" i="2" s="1"/>
  <c r="EU132" i="2"/>
  <c r="GD132" i="2" s="1"/>
  <c r="EW140" i="2"/>
  <c r="FA139" i="2"/>
  <c r="EN140" i="2"/>
  <c r="EO140" i="2"/>
  <c r="C116" i="2"/>
  <c r="C80" i="2"/>
  <c r="AU4" i="2"/>
  <c r="DU59" i="2" l="1"/>
  <c r="I133" i="15"/>
  <c r="DW59" i="2"/>
  <c r="K133" i="15"/>
  <c r="DV59" i="2"/>
  <c r="J133" i="15"/>
  <c r="F133" i="15"/>
  <c r="DX59" i="2"/>
  <c r="L133" i="15"/>
  <c r="DT59" i="2"/>
  <c r="H133" i="15"/>
  <c r="DV55" i="2"/>
  <c r="J91" i="15"/>
  <c r="G91" i="15"/>
  <c r="DU55" i="2"/>
  <c r="I91" i="15"/>
  <c r="F91" i="15"/>
  <c r="DT55" i="2"/>
  <c r="H91" i="15"/>
  <c r="DX55" i="2"/>
  <c r="L91" i="15"/>
  <c r="DW55" i="2"/>
  <c r="K91" i="15"/>
  <c r="DS93" i="2"/>
  <c r="DR93" i="2"/>
  <c r="EE93" i="2" s="1"/>
  <c r="DQ55" i="2"/>
  <c r="E91" i="15"/>
  <c r="DT51" i="2"/>
  <c r="H49" i="15"/>
  <c r="G49" i="15"/>
  <c r="DW51" i="2"/>
  <c r="K49" i="15"/>
  <c r="F49" i="15"/>
  <c r="DV51" i="2"/>
  <c r="J49" i="15"/>
  <c r="DX51" i="2"/>
  <c r="L49" i="15"/>
  <c r="DP51" i="2"/>
  <c r="D49" i="15"/>
  <c r="DU51" i="2"/>
  <c r="I49" i="15"/>
  <c r="C49" i="15"/>
  <c r="L7" i="15"/>
  <c r="H7" i="15"/>
  <c r="I7" i="15"/>
  <c r="D7" i="15"/>
  <c r="G7" i="15"/>
  <c r="E7" i="15"/>
  <c r="F7" i="15"/>
  <c r="K7" i="15"/>
  <c r="J7" i="15"/>
  <c r="C7" i="15"/>
  <c r="GF173" i="2"/>
  <c r="FX49" i="2"/>
  <c r="EX68" i="2"/>
  <c r="EP182" i="2"/>
  <c r="GD49" i="2"/>
  <c r="ET182" i="2"/>
  <c r="EL67" i="2"/>
  <c r="DR171" i="2"/>
  <c r="FB182" i="2"/>
  <c r="ES180" i="2"/>
  <c r="DP49" i="2"/>
  <c r="GF47" i="2"/>
  <c r="GD61" i="2"/>
  <c r="GD170" i="2"/>
  <c r="FX47" i="2"/>
  <c r="EN68" i="2"/>
  <c r="EW67" i="2"/>
  <c r="DQ166" i="2"/>
  <c r="DQ170" i="2"/>
  <c r="DQ168" i="2"/>
  <c r="GF54" i="2"/>
  <c r="FB180" i="2"/>
  <c r="FG70" i="2"/>
  <c r="EV180" i="2"/>
  <c r="GF61" i="2"/>
  <c r="FK68" i="2"/>
  <c r="DS174" i="2"/>
  <c r="ET67" i="2"/>
  <c r="DQ47" i="2"/>
  <c r="DR161" i="2"/>
  <c r="EP68" i="2"/>
  <c r="ET180" i="2"/>
  <c r="GK125" i="2"/>
  <c r="ET68" i="2"/>
  <c r="EV179" i="2"/>
  <c r="FA70" i="2"/>
  <c r="GD58" i="2"/>
  <c r="ER181" i="2"/>
  <c r="DP166" i="2"/>
  <c r="EZ67" i="2"/>
  <c r="FZ49" i="2"/>
  <c r="EP180" i="2"/>
  <c r="ES67" i="2"/>
  <c r="FA181" i="2"/>
  <c r="FX160" i="2"/>
  <c r="EV69" i="2"/>
  <c r="GF172" i="2"/>
  <c r="GD168" i="2"/>
  <c r="EX70" i="2"/>
  <c r="EL180" i="2"/>
  <c r="EW70" i="2"/>
  <c r="GF162" i="2"/>
  <c r="GK130" i="2"/>
  <c r="GD47" i="2"/>
  <c r="EZ69" i="2"/>
  <c r="FB69" i="2"/>
  <c r="GB168" i="2"/>
  <c r="EO180" i="2"/>
  <c r="GD165" i="2"/>
  <c r="EX182" i="2"/>
  <c r="FB67" i="2"/>
  <c r="DQ53" i="2"/>
  <c r="EW182" i="2"/>
  <c r="DS161" i="2"/>
  <c r="EJ180" i="2"/>
  <c r="GF166" i="2"/>
  <c r="GB57" i="2"/>
  <c r="FZ161" i="2"/>
  <c r="DP160" i="2"/>
  <c r="ES182" i="2"/>
  <c r="GB54" i="2"/>
  <c r="DR167" i="2"/>
  <c r="ES179" i="2"/>
  <c r="FB68" i="2"/>
  <c r="GB169" i="2"/>
  <c r="EN180" i="2"/>
  <c r="DP161" i="2"/>
  <c r="GK167" i="2"/>
  <c r="EW68" i="2"/>
  <c r="FZ54" i="2"/>
  <c r="FZ166" i="2"/>
  <c r="ET181" i="2"/>
  <c r="EW69" i="2"/>
  <c r="GD162" i="2"/>
  <c r="FZ164" i="2"/>
  <c r="EZ180" i="2"/>
  <c r="GB48" i="2"/>
  <c r="EO179" i="2"/>
  <c r="EQ182" i="2"/>
  <c r="DQ49" i="2"/>
  <c r="ES68" i="2"/>
  <c r="EW179" i="2"/>
  <c r="GF62" i="2"/>
  <c r="GF164" i="2"/>
  <c r="GB49" i="2"/>
  <c r="FX50" i="2"/>
  <c r="EM182" i="2"/>
  <c r="GB165" i="2"/>
  <c r="DQ58" i="2"/>
  <c r="FX161" i="2"/>
  <c r="DQ56" i="2"/>
  <c r="EX180" i="2"/>
  <c r="GF60" i="2"/>
  <c r="DQ167" i="2"/>
  <c r="FZ159" i="2"/>
  <c r="EL181" i="2"/>
  <c r="EQ67" i="2"/>
  <c r="GB46" i="2"/>
  <c r="C137" i="2"/>
  <c r="C139" i="2" s="1"/>
  <c r="AQ116" i="2"/>
  <c r="EI116" i="2"/>
  <c r="EM137" i="2"/>
  <c r="FZ116" i="2"/>
  <c r="GA116" i="2" s="1"/>
  <c r="AS179" i="2"/>
  <c r="DQ158" i="2"/>
  <c r="AU137" i="2"/>
  <c r="DS137" i="2" s="1"/>
  <c r="DS116" i="2"/>
  <c r="DP47" i="2"/>
  <c r="GD161" i="2"/>
  <c r="EU102" i="2"/>
  <c r="GD85" i="2"/>
  <c r="GE85" i="2" s="1"/>
  <c r="DR170" i="2"/>
  <c r="DR173" i="2"/>
  <c r="GD62" i="2"/>
  <c r="FZ50" i="2"/>
  <c r="EV182" i="2"/>
  <c r="BK86" i="2"/>
  <c r="DR53" i="2"/>
  <c r="FG69" i="2"/>
  <c r="GF50" i="2"/>
  <c r="GB58" i="2"/>
  <c r="GF174" i="2"/>
  <c r="EU103" i="2"/>
  <c r="GD89" i="2"/>
  <c r="GE89" i="2" s="1"/>
  <c r="EM68" i="2"/>
  <c r="FZ51" i="2"/>
  <c r="DS172" i="2"/>
  <c r="L103" i="2"/>
  <c r="FZ160" i="2"/>
  <c r="EO68" i="2"/>
  <c r="D139" i="2"/>
  <c r="BL92" i="2"/>
  <c r="DS59" i="2"/>
  <c r="AR137" i="2"/>
  <c r="DP137" i="2" s="1"/>
  <c r="DP116" i="2"/>
  <c r="ED116" i="2" s="1"/>
  <c r="FS67" i="2"/>
  <c r="AV67" i="2"/>
  <c r="DT46" i="2"/>
  <c r="DT67" i="2" s="1"/>
  <c r="EL179" i="2"/>
  <c r="DP54" i="2"/>
  <c r="BL84" i="2"/>
  <c r="DS51" i="2"/>
  <c r="GD173" i="2"/>
  <c r="BK95" i="2"/>
  <c r="DR62" i="2"/>
  <c r="DP50" i="2"/>
  <c r="EN181" i="2"/>
  <c r="GD50" i="2"/>
  <c r="BK82" i="2"/>
  <c r="DR49" i="2"/>
  <c r="GB159" i="2"/>
  <c r="BL83" i="2"/>
  <c r="DS50" i="2"/>
  <c r="DS169" i="2"/>
  <c r="FB179" i="2"/>
  <c r="DE179" i="2"/>
  <c r="EU139" i="2"/>
  <c r="GD125" i="2"/>
  <c r="GE125" i="2" s="1"/>
  <c r="GD48" i="2"/>
  <c r="FS70" i="2"/>
  <c r="DH179" i="2"/>
  <c r="DF179" i="2"/>
  <c r="AU179" i="2"/>
  <c r="DS158" i="2"/>
  <c r="EV68" i="2"/>
  <c r="GF170" i="2"/>
  <c r="U103" i="2"/>
  <c r="AX67" i="2"/>
  <c r="DV46" i="2"/>
  <c r="DV67" i="2" s="1"/>
  <c r="FA67" i="2"/>
  <c r="FC67" i="2"/>
  <c r="EY137" i="2"/>
  <c r="GF116" i="2"/>
  <c r="GG116" i="2" s="1"/>
  <c r="FO70" i="2"/>
  <c r="BL90" i="2"/>
  <c r="DS57" i="2"/>
  <c r="EN67" i="2"/>
  <c r="EY68" i="2"/>
  <c r="GF51" i="2"/>
  <c r="BK92" i="2"/>
  <c r="DR59" i="2"/>
  <c r="ES69" i="2"/>
  <c r="DG179" i="2"/>
  <c r="BK83" i="2"/>
  <c r="DR50" i="2"/>
  <c r="EJ181" i="2"/>
  <c r="FX48" i="2"/>
  <c r="GB164" i="2"/>
  <c r="GF169" i="2"/>
  <c r="EQ69" i="2"/>
  <c r="GB55" i="2"/>
  <c r="GI55" i="2"/>
  <c r="C180" i="2" a="1"/>
  <c r="C180" i="2" s="1"/>
  <c r="C181" i="2" s="1"/>
  <c r="BK81" i="2"/>
  <c r="DR48" i="2"/>
  <c r="EO181" i="2"/>
  <c r="GD54" i="2"/>
  <c r="EQ102" i="2"/>
  <c r="GB85" i="2"/>
  <c r="GC85" i="2" s="1"/>
  <c r="EU179" i="2"/>
  <c r="GD158" i="2"/>
  <c r="EY179" i="2"/>
  <c r="GF158" i="2"/>
  <c r="DS170" i="2"/>
  <c r="AU101" i="2"/>
  <c r="DS101" i="2" s="1"/>
  <c r="DS80" i="2"/>
  <c r="FK67" i="2"/>
  <c r="C101" i="2"/>
  <c r="C103" i="2" s="1"/>
  <c r="EI80" i="2"/>
  <c r="AQ80" i="2"/>
  <c r="EY67" i="2"/>
  <c r="GF46" i="2"/>
  <c r="BL82" i="2"/>
  <c r="DS49" i="2"/>
  <c r="GF57" i="2"/>
  <c r="DQ169" i="2"/>
  <c r="DS168" i="2"/>
  <c r="EU70" i="2"/>
  <c r="GD59" i="2"/>
  <c r="GI60" i="2"/>
  <c r="EY102" i="2"/>
  <c r="GF85" i="2"/>
  <c r="GG85" i="2" s="1"/>
  <c r="FA69" i="2"/>
  <c r="GD60" i="2"/>
  <c r="BH81" i="2"/>
  <c r="DO48" i="2"/>
  <c r="DG67" i="2"/>
  <c r="EC46" i="2"/>
  <c r="DQ164" i="2"/>
  <c r="GD160" i="2"/>
  <c r="GF161" i="2"/>
  <c r="EZ181" i="2"/>
  <c r="GB162" i="2"/>
  <c r="AR179" i="2"/>
  <c r="DP179" i="2" s="1"/>
  <c r="DP158" i="2"/>
  <c r="EZ179" i="2"/>
  <c r="BK87" i="2"/>
  <c r="DR54" i="2"/>
  <c r="FG68" i="2"/>
  <c r="AT179" i="2"/>
  <c r="DR158" i="2"/>
  <c r="EQ139" i="2"/>
  <c r="GB125" i="2"/>
  <c r="GC125" i="2" s="1"/>
  <c r="EY101" i="2"/>
  <c r="GF80" i="2"/>
  <c r="GG80" i="2" s="1"/>
  <c r="DI179" i="2"/>
  <c r="AZ67" i="2"/>
  <c r="DX46" i="2"/>
  <c r="DX67" i="2" s="1"/>
  <c r="GD164" i="2"/>
  <c r="DR169" i="2"/>
  <c r="GP85" i="2"/>
  <c r="BL93" i="2"/>
  <c r="DS60" i="2"/>
  <c r="GF168" i="2"/>
  <c r="ER67" i="2"/>
  <c r="BK80" i="2"/>
  <c r="DR47" i="2"/>
  <c r="BK93" i="2"/>
  <c r="DR60" i="2"/>
  <c r="EM102" i="2"/>
  <c r="FZ85" i="2"/>
  <c r="GA85" i="2" s="1"/>
  <c r="GB166" i="2"/>
  <c r="DR160" i="2"/>
  <c r="DQ162" i="2"/>
  <c r="EY140" i="2"/>
  <c r="GF129" i="2"/>
  <c r="GG129" i="2" s="1"/>
  <c r="EM179" i="2"/>
  <c r="FZ158" i="2"/>
  <c r="FZ53" i="2"/>
  <c r="BL89" i="2"/>
  <c r="DS56" i="2"/>
  <c r="H139" i="2"/>
  <c r="FO69" i="2"/>
  <c r="EK180" i="2"/>
  <c r="GK163" i="2"/>
  <c r="EY138" i="2"/>
  <c r="GF121" i="2"/>
  <c r="GG121" i="2" s="1"/>
  <c r="EZ68" i="2"/>
  <c r="BL86" i="2"/>
  <c r="DS53" i="2"/>
  <c r="EP179" i="2"/>
  <c r="AR101" i="2"/>
  <c r="DP101" i="2" s="1"/>
  <c r="DP80" i="2"/>
  <c r="ED80" i="2" s="1"/>
  <c r="S103" i="2"/>
  <c r="ER182" i="2"/>
  <c r="EU138" i="2"/>
  <c r="GD121" i="2"/>
  <c r="GE121" i="2" s="1"/>
  <c r="BH80" i="2"/>
  <c r="DO47" i="2"/>
  <c r="BK94" i="2"/>
  <c r="DR61" i="2"/>
  <c r="DR164" i="2"/>
  <c r="BL80" i="2"/>
  <c r="DS47" i="2"/>
  <c r="BH83" i="2"/>
  <c r="DO50" i="2"/>
  <c r="AS101" i="2"/>
  <c r="DQ101" i="2" s="1"/>
  <c r="DQ80" i="2"/>
  <c r="ET69" i="2"/>
  <c r="GF171" i="2"/>
  <c r="GG171" i="2" s="1"/>
  <c r="EY182" i="2"/>
  <c r="DP53" i="2"/>
  <c r="FS68" i="2"/>
  <c r="DE67" i="2"/>
  <c r="EA46" i="2"/>
  <c r="BK79" i="2"/>
  <c r="AT67" i="2"/>
  <c r="AT68" i="2" s="1"/>
  <c r="AT69" i="2" s="1"/>
  <c r="DR46" i="2"/>
  <c r="AY67" i="2"/>
  <c r="DW46" i="2"/>
  <c r="DW67" i="2" s="1"/>
  <c r="GF53" i="2"/>
  <c r="EM101" i="2"/>
  <c r="FZ80" i="2"/>
  <c r="GA80" i="2" s="1"/>
  <c r="BH84" i="2"/>
  <c r="DO51" i="2"/>
  <c r="ER180" i="2"/>
  <c r="GB161" i="2"/>
  <c r="EV67" i="2"/>
  <c r="EM138" i="2"/>
  <c r="FZ121" i="2"/>
  <c r="GA121" i="2" s="1"/>
  <c r="FX159" i="2"/>
  <c r="GD57" i="2"/>
  <c r="GD166" i="2"/>
  <c r="GF159" i="2"/>
  <c r="EM180" i="2"/>
  <c r="FZ163" i="2"/>
  <c r="GD159" i="2"/>
  <c r="BL85" i="2"/>
  <c r="DS52" i="2"/>
  <c r="GK172" i="2"/>
  <c r="GF165" i="2"/>
  <c r="EX179" i="2"/>
  <c r="EQ68" i="2"/>
  <c r="GB51" i="2"/>
  <c r="GF58" i="2"/>
  <c r="BH82" i="2"/>
  <c r="DO49" i="2"/>
  <c r="EQ101" i="2"/>
  <c r="GB80" i="2"/>
  <c r="GC80" i="2" s="1"/>
  <c r="BL94" i="2"/>
  <c r="DS61" i="2"/>
  <c r="GD174" i="2"/>
  <c r="EV181" i="2"/>
  <c r="FC69" i="2"/>
  <c r="FC66" i="2" s="1"/>
  <c r="EU180" i="2"/>
  <c r="GD163" i="2"/>
  <c r="FS69" i="2"/>
  <c r="GP89" i="2"/>
  <c r="C68" i="2" a="1"/>
  <c r="C68" i="2" s="1"/>
  <c r="C72" i="2" s="1"/>
  <c r="DR172" i="2"/>
  <c r="GB170" i="2"/>
  <c r="EU67" i="2"/>
  <c r="GD46" i="2"/>
  <c r="Q139" i="2"/>
  <c r="EI67" i="2"/>
  <c r="FX46" i="2"/>
  <c r="GI46" i="2"/>
  <c r="FO67" i="2"/>
  <c r="GB56" i="2"/>
  <c r="G103" i="2"/>
  <c r="M139" i="2"/>
  <c r="EI68" i="2"/>
  <c r="GI51" i="2"/>
  <c r="EN179" i="2"/>
  <c r="EQ180" i="2"/>
  <c r="GB163" i="2"/>
  <c r="BK85" i="2"/>
  <c r="DR52" i="2"/>
  <c r="DO159" i="2"/>
  <c r="DF67" i="2"/>
  <c r="EB46" i="2"/>
  <c r="BL81" i="2"/>
  <c r="DS48" i="2"/>
  <c r="EM67" i="2"/>
  <c r="FZ46" i="2"/>
  <c r="BK90" i="2"/>
  <c r="DR57" i="2"/>
  <c r="DR166" i="2"/>
  <c r="DR159" i="2"/>
  <c r="EY103" i="2"/>
  <c r="GF89" i="2"/>
  <c r="GG89" i="2" s="1"/>
  <c r="DQ51" i="2"/>
  <c r="BL91" i="2"/>
  <c r="DS58" i="2"/>
  <c r="EX67" i="2"/>
  <c r="DS173" i="2"/>
  <c r="GF160" i="2"/>
  <c r="GD172" i="2"/>
  <c r="BH79" i="2"/>
  <c r="AQ67" i="2"/>
  <c r="AQ68" i="2" s="1"/>
  <c r="AQ69" i="2" s="1"/>
  <c r="DO46" i="2"/>
  <c r="EP181" i="2"/>
  <c r="GD52" i="2"/>
  <c r="BK89" i="2"/>
  <c r="DR56" i="2"/>
  <c r="EK179" i="2"/>
  <c r="GK158" i="2"/>
  <c r="AR67" i="2"/>
  <c r="AR68" i="2" s="1"/>
  <c r="AR69" i="2" s="1"/>
  <c r="DP46" i="2"/>
  <c r="ER69" i="2"/>
  <c r="EY180" i="2"/>
  <c r="GF163" i="2"/>
  <c r="EY104" i="2"/>
  <c r="GF93" i="2"/>
  <c r="GG93" i="2" s="1"/>
  <c r="BL87" i="2"/>
  <c r="DS54" i="2"/>
  <c r="BL95" i="2"/>
  <c r="DS62" i="2"/>
  <c r="AS137" i="2"/>
  <c r="DQ137" i="2" s="1"/>
  <c r="DQ116" i="2"/>
  <c r="FK70" i="2"/>
  <c r="EK67" i="2"/>
  <c r="FO68" i="2"/>
  <c r="EQ181" i="2"/>
  <c r="GB167" i="2"/>
  <c r="BK84" i="2"/>
  <c r="DR51" i="2"/>
  <c r="AT101" i="2"/>
  <c r="DR101" i="2" s="1"/>
  <c r="DR80" i="2"/>
  <c r="EE80" i="2" s="1"/>
  <c r="DQ52" i="2"/>
  <c r="EJ179" i="2"/>
  <c r="GB89" i="2"/>
  <c r="GC89" i="2" s="1"/>
  <c r="EQ103" i="2"/>
  <c r="GD56" i="2"/>
  <c r="FG67" i="2"/>
  <c r="EM181" i="2"/>
  <c r="EU140" i="2"/>
  <c r="GD129" i="2"/>
  <c r="GE129" i="2" s="1"/>
  <c r="DI67" i="2"/>
  <c r="EQ137" i="2"/>
  <c r="GB116" i="2"/>
  <c r="GC116" i="2" s="1"/>
  <c r="DS167" i="2"/>
  <c r="EY69" i="2"/>
  <c r="GF55" i="2"/>
  <c r="GK121" i="2"/>
  <c r="FA180" i="2"/>
  <c r="EU68" i="2"/>
  <c r="GD51" i="2"/>
  <c r="BK91" i="2"/>
  <c r="DR58" i="2"/>
  <c r="EU69" i="2"/>
  <c r="GD55" i="2"/>
  <c r="FA179" i="2"/>
  <c r="EI179" i="2"/>
  <c r="FX158" i="2"/>
  <c r="AT137" i="2"/>
  <c r="DR137" i="2" s="1"/>
  <c r="DR116" i="2"/>
  <c r="EE116" i="2" s="1"/>
  <c r="EU101" i="2"/>
  <c r="GD80" i="2"/>
  <c r="GE80" i="2" s="1"/>
  <c r="P139" i="2"/>
  <c r="EJ67" i="2"/>
  <c r="GB52" i="2"/>
  <c r="EW180" i="2"/>
  <c r="FC70" i="2"/>
  <c r="EK137" i="2"/>
  <c r="GK116" i="2"/>
  <c r="FX162" i="2"/>
  <c r="EQ179" i="2"/>
  <c r="GB158" i="2"/>
  <c r="AW67" i="2"/>
  <c r="DU46" i="2"/>
  <c r="DU67" i="2" s="1"/>
  <c r="EU104" i="2"/>
  <c r="GD93" i="2"/>
  <c r="GE93" i="2" s="1"/>
  <c r="BL79" i="2"/>
  <c r="AU67" i="2"/>
  <c r="AU68" i="2" s="1"/>
  <c r="AU69" i="2" s="1"/>
  <c r="DS46" i="2"/>
  <c r="GF59" i="2"/>
  <c r="EY70" i="2"/>
  <c r="GP94" i="2"/>
  <c r="EY181" i="2"/>
  <c r="GF167" i="2"/>
  <c r="GG167" i="2" s="1"/>
  <c r="BL88" i="2"/>
  <c r="DS55" i="2"/>
  <c r="ER179" i="2"/>
  <c r="EY139" i="2"/>
  <c r="GF125" i="2"/>
  <c r="GG125" i="2" s="1"/>
  <c r="GH125" i="2" s="1"/>
  <c r="BK88" i="2"/>
  <c r="DR55" i="2"/>
  <c r="DO161" i="2"/>
  <c r="AQ179" i="2"/>
  <c r="DO158" i="2"/>
  <c r="EP67" i="2"/>
  <c r="EQ138" i="2"/>
  <c r="GB121" i="2"/>
  <c r="GC121" i="2" s="1"/>
  <c r="EU137" i="2"/>
  <c r="GD116" i="2"/>
  <c r="GE116" i="2" s="1"/>
  <c r="AS67" i="2"/>
  <c r="AS68" i="2" s="1"/>
  <c r="AS69" i="2" s="1"/>
  <c r="DQ46" i="2"/>
  <c r="L139" i="2"/>
  <c r="D72" i="2"/>
  <c r="EU182" i="2"/>
  <c r="GD171" i="2"/>
  <c r="DQ54" i="2"/>
  <c r="GD167" i="2"/>
  <c r="GE167" i="2" s="1"/>
  <c r="EU181" i="2"/>
  <c r="E139" i="2"/>
  <c r="DH67" i="2"/>
  <c r="ED46" i="2"/>
  <c r="I103" i="2"/>
  <c r="DO162" i="2"/>
  <c r="FY109" i="2" l="1"/>
  <c r="DS67" i="2"/>
  <c r="Q72" i="2"/>
  <c r="GE51" i="2"/>
  <c r="DO179" i="2"/>
  <c r="FY144" i="2"/>
  <c r="GC46" i="2"/>
  <c r="GG46" i="2"/>
  <c r="FY108" i="2"/>
  <c r="K72" i="2"/>
  <c r="FY107" i="2"/>
  <c r="GC163" i="2"/>
  <c r="DP67" i="2"/>
  <c r="DP69" i="2" s="1"/>
  <c r="GA158" i="2"/>
  <c r="FY143" i="2"/>
  <c r="GG59" i="2"/>
  <c r="GH89" i="2"/>
  <c r="FY145" i="2"/>
  <c r="GE163" i="2"/>
  <c r="GG158" i="2"/>
  <c r="GC167" i="2"/>
  <c r="FY46" i="2"/>
  <c r="FY186" i="2"/>
  <c r="FY185" i="2"/>
  <c r="GA51" i="2"/>
  <c r="GC158" i="2"/>
  <c r="EY66" i="2"/>
  <c r="GA163" i="2"/>
  <c r="FY187" i="2"/>
  <c r="FC72" i="2" a="1"/>
  <c r="FC72" i="2" s="1"/>
  <c r="GE171" i="2"/>
  <c r="T72" i="2"/>
  <c r="EI72" i="2" a="1"/>
  <c r="FY67" i="2"/>
  <c r="FZ67" i="2" s="1"/>
  <c r="FY72" i="2"/>
  <c r="DW68" i="2"/>
  <c r="DW69" i="2"/>
  <c r="V181" i="2"/>
  <c r="DQ179" i="2"/>
  <c r="DV68" i="2"/>
  <c r="DV69" i="2"/>
  <c r="V72" i="2"/>
  <c r="D181" i="2"/>
  <c r="P181" i="2"/>
  <c r="G72" i="2"/>
  <c r="R72" i="2"/>
  <c r="GA46" i="2"/>
  <c r="GE46" i="2"/>
  <c r="DR67" i="2"/>
  <c r="L181" i="2"/>
  <c r="GC55" i="2"/>
  <c r="GG51" i="2"/>
  <c r="J72" i="2"/>
  <c r="I72" i="2"/>
  <c r="O181" i="2"/>
  <c r="GH85" i="2"/>
  <c r="GE158" i="2"/>
  <c r="FY74" i="2"/>
  <c r="S72" i="2"/>
  <c r="EI137" i="2"/>
  <c r="FX116" i="2"/>
  <c r="FY116" i="2" s="1"/>
  <c r="GG55" i="2"/>
  <c r="E181" i="2"/>
  <c r="H181" i="2"/>
  <c r="I181" i="2"/>
  <c r="GH121" i="2"/>
  <c r="AQ137" i="2"/>
  <c r="DO137" i="2" s="1"/>
  <c r="DO116" i="2"/>
  <c r="DX68" i="2"/>
  <c r="DX69" i="2"/>
  <c r="U181" i="2"/>
  <c r="DS68" i="2"/>
  <c r="DS69" i="2"/>
  <c r="FY158" i="2"/>
  <c r="DQ67" i="2"/>
  <c r="FY184" i="2"/>
  <c r="EI184" i="2" a="1"/>
  <c r="EI184" i="2" s="1"/>
  <c r="FY73" i="2"/>
  <c r="L72" i="2"/>
  <c r="AQ101" i="2"/>
  <c r="DO101" i="2" s="1"/>
  <c r="DO80" i="2"/>
  <c r="M72" i="2"/>
  <c r="GG163" i="2"/>
  <c r="Q181" i="2"/>
  <c r="S181" i="2"/>
  <c r="GE59" i="2"/>
  <c r="EI101" i="2"/>
  <c r="GP80" i="2"/>
  <c r="FX80" i="2"/>
  <c r="FY80" i="2" s="1"/>
  <c r="GH80" i="2" s="1"/>
  <c r="DO67" i="2"/>
  <c r="GE55" i="2"/>
  <c r="E72" i="2"/>
  <c r="R181" i="2"/>
  <c r="FY75" i="2"/>
  <c r="F181" i="2"/>
  <c r="DS179" i="2"/>
  <c r="N181" i="2"/>
  <c r="DU68" i="2"/>
  <c r="DU69" i="2"/>
  <c r="T181" i="2"/>
  <c r="DR179" i="2"/>
  <c r="U72" i="2"/>
  <c r="K181" i="2"/>
  <c r="O72" i="2"/>
  <c r="F72" i="2"/>
  <c r="G181" i="2"/>
  <c r="N72" i="2"/>
  <c r="GH116" i="2"/>
  <c r="DT68" i="2"/>
  <c r="DT69" i="2"/>
  <c r="GH167" i="2"/>
  <c r="P72" i="2"/>
  <c r="GC51" i="2"/>
  <c r="H72" i="2"/>
  <c r="M181" i="2"/>
  <c r="GH60" i="2" l="1"/>
  <c r="GH46" i="2"/>
  <c r="DP68" i="2"/>
  <c r="GH163" i="2"/>
  <c r="GH158" i="2"/>
  <c r="DQ69" i="2"/>
  <c r="DQ68" i="2"/>
  <c r="FY142" i="2"/>
  <c r="EI142" i="2" a="1"/>
  <c r="EI142" i="2" s="1"/>
  <c r="DO70" i="2"/>
  <c r="DO69" i="2"/>
  <c r="DO68" i="2"/>
  <c r="FY106" i="2"/>
  <c r="EI106" i="2" a="1"/>
  <c r="EI106" i="2" s="1"/>
  <c r="GH51" i="2"/>
  <c r="DR69" i="2"/>
  <c r="DR68" i="2"/>
  <c r="GH55" i="2"/>
  <c r="GA72" i="2"/>
  <c r="EQ76" i="2"/>
  <c r="EI72" i="2"/>
  <c r="Q25" i="7" l="1"/>
  <c r="Q25" i="6"/>
  <c r="M25" i="7"/>
  <c r="M25" i="1"/>
  <c r="M25" i="6"/>
  <c r="E25" i="7"/>
  <c r="E25" i="6"/>
  <c r="E25" i="1"/>
  <c r="L25" i="1"/>
  <c r="L25" i="7"/>
  <c r="L25" i="6"/>
  <c r="R25" i="7"/>
  <c r="T25" i="7"/>
  <c r="J25" i="1"/>
  <c r="J25" i="7"/>
  <c r="J25" i="6"/>
  <c r="K25" i="1"/>
  <c r="K25" i="7"/>
  <c r="K25" i="6"/>
  <c r="N25" i="7"/>
  <c r="N25" i="6"/>
  <c r="U25" i="7"/>
  <c r="I25" i="6" l="1"/>
  <c r="I25" i="1"/>
  <c r="I25" i="7"/>
  <c r="F25" i="7"/>
  <c r="F25" i="6"/>
  <c r="F25" i="1"/>
  <c r="S25" i="7"/>
  <c r="O25" i="7"/>
  <c r="O25" i="6"/>
  <c r="G25" i="6"/>
  <c r="G25" i="7"/>
  <c r="G25" i="1"/>
  <c r="P25" i="7"/>
  <c r="P25" i="6"/>
  <c r="H25" i="6"/>
  <c r="H25" i="1"/>
  <c r="H25" i="7"/>
  <c r="D115" i="1" l="1" a="1"/>
  <c r="D115" i="8" a="1"/>
  <c r="D115" i="5" a="1"/>
  <c r="D115" i="11" a="1"/>
  <c r="D115" i="6" a="1"/>
  <c r="D115" i="10" a="1"/>
  <c r="D115" i="9" a="1"/>
  <c r="D114" i="13" a="1"/>
  <c r="D115" i="7" a="1"/>
  <c r="D115" i="12" a="1"/>
  <c r="M127" i="12" l="1"/>
  <c r="T27" i="12"/>
  <c r="F27" i="12"/>
  <c r="U127" i="12"/>
  <c r="P127" i="12"/>
  <c r="M27" i="12"/>
  <c r="H127" i="12"/>
  <c r="P27" i="12"/>
  <c r="K127" i="12"/>
  <c r="O127" i="12"/>
  <c r="E27" i="12"/>
  <c r="R27" i="12"/>
  <c r="N27" i="12"/>
  <c r="O27" i="12"/>
  <c r="I127" i="12"/>
  <c r="J127" i="12"/>
  <c r="S27" i="12"/>
  <c r="N127" i="12"/>
  <c r="H27" i="12"/>
  <c r="Q127" i="12"/>
  <c r="U27" i="12"/>
  <c r="T127" i="12"/>
  <c r="J27" i="12"/>
  <c r="K27" i="12"/>
  <c r="S127" i="12"/>
  <c r="L27" i="12"/>
  <c r="Q27" i="12"/>
  <c r="G127" i="12"/>
  <c r="I27" i="12"/>
  <c r="R127" i="12"/>
  <c r="V127" i="12"/>
  <c r="D115" i="12"/>
  <c r="F127" i="12"/>
  <c r="L127" i="12"/>
  <c r="G27" i="12"/>
  <c r="Q127" i="7"/>
  <c r="S127" i="7"/>
  <c r="K27" i="7"/>
  <c r="H27" i="7"/>
  <c r="H127" i="7"/>
  <c r="P27" i="7"/>
  <c r="J27" i="7"/>
  <c r="T127" i="7"/>
  <c r="Q27" i="7"/>
  <c r="O27" i="7"/>
  <c r="N27" i="7"/>
  <c r="V127" i="7"/>
  <c r="U127" i="7"/>
  <c r="E27" i="7"/>
  <c r="R127" i="7"/>
  <c r="N127" i="7"/>
  <c r="D115" i="7"/>
  <c r="G127" i="7"/>
  <c r="U27" i="7"/>
  <c r="F127" i="7"/>
  <c r="O127" i="7"/>
  <c r="L127" i="7"/>
  <c r="S27" i="7"/>
  <c r="T27" i="7"/>
  <c r="I127" i="7"/>
  <c r="R27" i="7"/>
  <c r="M127" i="7"/>
  <c r="I27" i="7"/>
  <c r="F27" i="7"/>
  <c r="L27" i="7"/>
  <c r="M27" i="7"/>
  <c r="P127" i="7"/>
  <c r="J127" i="7"/>
  <c r="G27" i="7"/>
  <c r="K127" i="7"/>
  <c r="T26" i="13"/>
  <c r="L126" i="13"/>
  <c r="K26" i="13"/>
  <c r="J26" i="13"/>
  <c r="G26" i="13"/>
  <c r="V126" i="13"/>
  <c r="H26" i="13"/>
  <c r="G126" i="13"/>
  <c r="N126" i="13"/>
  <c r="R126" i="13"/>
  <c r="S126" i="13"/>
  <c r="K126" i="13"/>
  <c r="I126" i="13"/>
  <c r="F126" i="13"/>
  <c r="S26" i="13"/>
  <c r="Q26" i="13"/>
  <c r="I26" i="13"/>
  <c r="T126" i="13"/>
  <c r="L26" i="13"/>
  <c r="D114" i="13"/>
  <c r="U26" i="13"/>
  <c r="N26" i="13"/>
  <c r="H126" i="13"/>
  <c r="O26" i="13"/>
  <c r="O126" i="13"/>
  <c r="U126" i="13"/>
  <c r="R26" i="13"/>
  <c r="F26" i="13"/>
  <c r="M126" i="13"/>
  <c r="E26" i="13"/>
  <c r="P126" i="13"/>
  <c r="J126" i="13"/>
  <c r="Q126" i="13"/>
  <c r="M26" i="13"/>
  <c r="P26" i="13"/>
  <c r="J27" i="9"/>
  <c r="S27" i="9"/>
  <c r="K27" i="9"/>
  <c r="V127" i="9"/>
  <c r="S127" i="9"/>
  <c r="N27" i="9"/>
  <c r="F127" i="9"/>
  <c r="J127" i="9"/>
  <c r="F27" i="9"/>
  <c r="U27" i="9"/>
  <c r="E27" i="9"/>
  <c r="M27" i="9"/>
  <c r="O27" i="9"/>
  <c r="D115" i="9"/>
  <c r="L127" i="9"/>
  <c r="I127" i="9"/>
  <c r="L27" i="9"/>
  <c r="H27" i="9"/>
  <c r="R27" i="9"/>
  <c r="N127" i="9"/>
  <c r="Q27" i="9"/>
  <c r="G27" i="9"/>
  <c r="P127" i="9"/>
  <c r="U127" i="9"/>
  <c r="K127" i="9"/>
  <c r="Q127" i="9"/>
  <c r="G127" i="9"/>
  <c r="P27" i="9"/>
  <c r="O127" i="9"/>
  <c r="I27" i="9"/>
  <c r="H127" i="9"/>
  <c r="R127" i="9"/>
  <c r="T127" i="9"/>
  <c r="M127" i="9"/>
  <c r="T27" i="9"/>
  <c r="J27" i="10"/>
  <c r="F27" i="10"/>
  <c r="I27" i="10"/>
  <c r="O127" i="10"/>
  <c r="Q27" i="10"/>
  <c r="M27" i="10"/>
  <c r="H27" i="10"/>
  <c r="J127" i="10"/>
  <c r="F127" i="10"/>
  <c r="L27" i="10"/>
  <c r="S27" i="10"/>
  <c r="O27" i="10"/>
  <c r="M127" i="10"/>
  <c r="U27" i="10"/>
  <c r="K27" i="10"/>
  <c r="T27" i="10"/>
  <c r="G127" i="10"/>
  <c r="N127" i="10"/>
  <c r="E27" i="10"/>
  <c r="R127" i="10"/>
  <c r="U127" i="10"/>
  <c r="N27" i="10"/>
  <c r="P127" i="10"/>
  <c r="T127" i="10"/>
  <c r="K127" i="10"/>
  <c r="S127" i="10"/>
  <c r="D115" i="10"/>
  <c r="G27" i="10"/>
  <c r="V127" i="10"/>
  <c r="H127" i="10"/>
  <c r="L127" i="10"/>
  <c r="I127" i="10"/>
  <c r="P27" i="10"/>
  <c r="R27" i="10"/>
  <c r="Q127" i="10"/>
  <c r="H127" i="6"/>
  <c r="N127" i="6"/>
  <c r="M27" i="6"/>
  <c r="U127" i="6"/>
  <c r="O27" i="6"/>
  <c r="Q27" i="6"/>
  <c r="F127" i="6"/>
  <c r="I27" i="6"/>
  <c r="F27" i="6"/>
  <c r="K127" i="6"/>
  <c r="L27" i="6"/>
  <c r="K27" i="6"/>
  <c r="G27" i="6"/>
  <c r="Q127" i="6"/>
  <c r="S127" i="6"/>
  <c r="J27" i="6"/>
  <c r="J127" i="6"/>
  <c r="O127" i="6"/>
  <c r="H27" i="6"/>
  <c r="D115" i="6"/>
  <c r="R127" i="6"/>
  <c r="L127" i="6"/>
  <c r="V127" i="6"/>
  <c r="M127" i="6"/>
  <c r="P127" i="6"/>
  <c r="T127" i="6"/>
  <c r="I127" i="6"/>
  <c r="P27" i="6"/>
  <c r="E27" i="6"/>
  <c r="G127" i="6"/>
  <c r="N27" i="6"/>
  <c r="K27" i="11"/>
  <c r="S127" i="11"/>
  <c r="P127" i="11"/>
  <c r="J27" i="11"/>
  <c r="U127" i="11"/>
  <c r="M127" i="11"/>
  <c r="M27" i="11"/>
  <c r="I127" i="11"/>
  <c r="S27" i="11"/>
  <c r="H27" i="11"/>
  <c r="F27" i="11"/>
  <c r="D115" i="11"/>
  <c r="E27" i="11"/>
  <c r="R127" i="11"/>
  <c r="T27" i="11"/>
  <c r="U27" i="11"/>
  <c r="H127" i="11"/>
  <c r="K127" i="11"/>
  <c r="T127" i="11"/>
  <c r="O127" i="11"/>
  <c r="J127" i="11"/>
  <c r="N27" i="11"/>
  <c r="Q27" i="11"/>
  <c r="G127" i="11"/>
  <c r="V127" i="11"/>
  <c r="O27" i="11"/>
  <c r="L127" i="11"/>
  <c r="I27" i="11"/>
  <c r="Q127" i="11"/>
  <c r="N127" i="11"/>
  <c r="P27" i="11"/>
  <c r="F127" i="11"/>
  <c r="G27" i="11"/>
  <c r="L27" i="11"/>
  <c r="R27" i="11"/>
  <c r="V127" i="5"/>
  <c r="O127" i="5"/>
  <c r="L27" i="5"/>
  <c r="F27" i="5"/>
  <c r="I127" i="5"/>
  <c r="E27" i="5"/>
  <c r="U127" i="5"/>
  <c r="M27" i="5"/>
  <c r="T127" i="5"/>
  <c r="Q127" i="5"/>
  <c r="L127" i="5"/>
  <c r="G127" i="5"/>
  <c r="J27" i="5"/>
  <c r="G27" i="5"/>
  <c r="R127" i="5"/>
  <c r="M127" i="5"/>
  <c r="S127" i="5"/>
  <c r="D115" i="5"/>
  <c r="K27" i="5"/>
  <c r="H27" i="5"/>
  <c r="I27" i="5"/>
  <c r="P127" i="5"/>
  <c r="F127" i="5"/>
  <c r="H127" i="5"/>
  <c r="J127" i="5"/>
  <c r="K127" i="5"/>
  <c r="N127" i="5"/>
  <c r="V127" i="8"/>
  <c r="G27" i="8"/>
  <c r="K27" i="8"/>
  <c r="O127" i="8"/>
  <c r="N127" i="8"/>
  <c r="O27" i="8"/>
  <c r="H27" i="8"/>
  <c r="L27" i="8"/>
  <c r="M27" i="8"/>
  <c r="T127" i="8"/>
  <c r="L127" i="8"/>
  <c r="S27" i="8"/>
  <c r="Q27" i="8"/>
  <c r="I127" i="8"/>
  <c r="J27" i="8"/>
  <c r="U27" i="8"/>
  <c r="G127" i="8"/>
  <c r="J127" i="8"/>
  <c r="E27" i="8"/>
  <c r="F27" i="8"/>
  <c r="P27" i="8"/>
  <c r="K127" i="8"/>
  <c r="Q127" i="8"/>
  <c r="I27" i="8"/>
  <c r="D115" i="8"/>
  <c r="R27" i="8"/>
  <c r="P127" i="8"/>
  <c r="R127" i="8"/>
  <c r="H127" i="8"/>
  <c r="S127" i="8"/>
  <c r="F127" i="8"/>
  <c r="M127" i="8"/>
  <c r="T27" i="8"/>
  <c r="N27" i="8"/>
  <c r="U127" i="8"/>
  <c r="S127" i="1"/>
  <c r="L127" i="1"/>
  <c r="J127" i="1"/>
  <c r="P127" i="1"/>
  <c r="K27" i="1"/>
  <c r="V127" i="1"/>
  <c r="T127" i="1"/>
  <c r="R127" i="1"/>
  <c r="U127" i="1"/>
  <c r="O127" i="1"/>
  <c r="Q127" i="1"/>
  <c r="M27" i="1"/>
  <c r="F127" i="1"/>
  <c r="D115" i="1"/>
  <c r="F27" i="1"/>
  <c r="H27" i="1"/>
  <c r="I127" i="1"/>
  <c r="L27" i="1"/>
  <c r="I27" i="1"/>
  <c r="J27" i="1"/>
  <c r="M127" i="1"/>
  <c r="H127" i="1"/>
  <c r="K127" i="1"/>
  <c r="G27" i="1"/>
  <c r="E27" i="1"/>
  <c r="G127" i="1"/>
  <c r="N127" i="1"/>
  <c r="E55" i="1" l="1"/>
  <c r="E55" i="11"/>
  <c r="E55" i="6"/>
  <c r="Z26" i="13"/>
  <c r="Z23" i="13"/>
  <c r="D130" i="8" a="1"/>
  <c r="D130" i="12" a="1"/>
  <c r="D130" i="11" a="1"/>
  <c r="D130" i="5" a="1"/>
  <c r="D130" i="1" a="1"/>
  <c r="D130" i="6" a="1"/>
  <c r="D130" i="9" a="1"/>
  <c r="D129" i="13" a="1"/>
  <c r="D130" i="7" a="1"/>
  <c r="D130" i="10" a="1"/>
  <c r="E55" i="8"/>
  <c r="E55" i="12"/>
  <c r="E55" i="9"/>
  <c r="E55" i="5"/>
  <c r="E54" i="13"/>
  <c r="E55" i="10"/>
  <c r="E55" i="7"/>
  <c r="Y12" i="13" l="1"/>
  <c r="Y9" i="13"/>
  <c r="Y11" i="13"/>
  <c r="Y10" i="13"/>
  <c r="Y14" i="13"/>
  <c r="Y16" i="13"/>
  <c r="Y15" i="13"/>
  <c r="Y13" i="13"/>
  <c r="L140" i="7"/>
  <c r="M140" i="7"/>
  <c r="S140" i="7"/>
  <c r="H140" i="7"/>
  <c r="G140" i="7"/>
  <c r="R140" i="7"/>
  <c r="P140" i="7"/>
  <c r="V140" i="7"/>
  <c r="K140" i="7"/>
  <c r="U140" i="7"/>
  <c r="D130" i="7"/>
  <c r="T140" i="7"/>
  <c r="Q140" i="7"/>
  <c r="N140" i="7"/>
  <c r="F140" i="7"/>
  <c r="O140" i="7"/>
  <c r="I140" i="7"/>
  <c r="J140" i="7"/>
  <c r="V139" i="13"/>
  <c r="D129" i="13"/>
  <c r="Q139" i="13"/>
  <c r="I139" i="13"/>
  <c r="O139" i="13"/>
  <c r="H139" i="13"/>
  <c r="L139" i="13"/>
  <c r="J139" i="13"/>
  <c r="S139" i="13"/>
  <c r="P139" i="13"/>
  <c r="R139" i="13"/>
  <c r="G139" i="13"/>
  <c r="K139" i="13"/>
  <c r="F139" i="13"/>
  <c r="U139" i="13"/>
  <c r="T139" i="13"/>
  <c r="N139" i="13"/>
  <c r="M139" i="13"/>
  <c r="V140" i="9"/>
  <c r="N140" i="9"/>
  <c r="O140" i="9"/>
  <c r="T140" i="9"/>
  <c r="D130" i="9"/>
  <c r="K140" i="9"/>
  <c r="F140" i="9"/>
  <c r="J140" i="9"/>
  <c r="I140" i="9"/>
  <c r="S140" i="9"/>
  <c r="H140" i="9"/>
  <c r="U140" i="9"/>
  <c r="P140" i="9"/>
  <c r="M140" i="9"/>
  <c r="R140" i="9"/>
  <c r="Q140" i="9"/>
  <c r="L140" i="9"/>
  <c r="G140" i="9"/>
  <c r="H140" i="6"/>
  <c r="G140" i="6"/>
  <c r="S140" i="6"/>
  <c r="M140" i="6"/>
  <c r="R140" i="6"/>
  <c r="V140" i="6"/>
  <c r="N140" i="6"/>
  <c r="K140" i="6"/>
  <c r="J140" i="6"/>
  <c r="L140" i="6"/>
  <c r="O140" i="6"/>
  <c r="F140" i="6"/>
  <c r="P140" i="6"/>
  <c r="T140" i="6"/>
  <c r="I140" i="6"/>
  <c r="D130" i="6"/>
  <c r="U140" i="6"/>
  <c r="Q140" i="6"/>
  <c r="O140" i="1"/>
  <c r="M140" i="1"/>
  <c r="V140" i="1"/>
  <c r="U140" i="1"/>
  <c r="P140" i="1"/>
  <c r="T140" i="1"/>
  <c r="Q140" i="1"/>
  <c r="N140" i="1"/>
  <c r="H140" i="1"/>
  <c r="R140" i="1"/>
  <c r="I140" i="1"/>
  <c r="K140" i="1"/>
  <c r="S140" i="1"/>
  <c r="D130" i="1"/>
  <c r="G140" i="1"/>
  <c r="F140" i="1"/>
  <c r="J140" i="1"/>
  <c r="L140" i="1"/>
  <c r="V140" i="5"/>
  <c r="I140" i="5"/>
  <c r="G140" i="5"/>
  <c r="H140" i="5"/>
  <c r="S140" i="5"/>
  <c r="R140" i="5"/>
  <c r="U140" i="5"/>
  <c r="T140" i="5"/>
  <c r="O140" i="5"/>
  <c r="K140" i="5"/>
  <c r="M140" i="5"/>
  <c r="N140" i="5"/>
  <c r="D130" i="5"/>
  <c r="J140" i="5"/>
  <c r="L140" i="5"/>
  <c r="Q140" i="5"/>
  <c r="F140" i="5"/>
  <c r="P140" i="5"/>
  <c r="N140" i="10"/>
  <c r="R140" i="10"/>
  <c r="M140" i="10"/>
  <c r="K140" i="10"/>
  <c r="L140" i="10"/>
  <c r="V140" i="10"/>
  <c r="P140" i="10"/>
  <c r="F140" i="10"/>
  <c r="Q140" i="10"/>
  <c r="G140" i="10"/>
  <c r="U140" i="10"/>
  <c r="D130" i="10"/>
  <c r="O140" i="10"/>
  <c r="J140" i="10"/>
  <c r="S140" i="10"/>
  <c r="H140" i="10"/>
  <c r="I140" i="10"/>
  <c r="T140" i="10"/>
  <c r="J140" i="11"/>
  <c r="L140" i="11"/>
  <c r="U140" i="11"/>
  <c r="N140" i="11"/>
  <c r="I140" i="11"/>
  <c r="P140" i="11"/>
  <c r="H140" i="11"/>
  <c r="G140" i="11"/>
  <c r="O140" i="11"/>
  <c r="D130" i="11"/>
  <c r="V140" i="11"/>
  <c r="S140" i="11"/>
  <c r="Q140" i="11"/>
  <c r="T140" i="11"/>
  <c r="F140" i="11"/>
  <c r="K140" i="11"/>
  <c r="R140" i="11"/>
  <c r="M140" i="11"/>
  <c r="N140" i="12"/>
  <c r="F140" i="12"/>
  <c r="V140" i="12"/>
  <c r="G140" i="12"/>
  <c r="H140" i="12"/>
  <c r="T140" i="12"/>
  <c r="O140" i="12"/>
  <c r="R140" i="12"/>
  <c r="K140" i="12"/>
  <c r="L140" i="12"/>
  <c r="S140" i="12"/>
  <c r="D130" i="12"/>
  <c r="M140" i="12"/>
  <c r="P140" i="12"/>
  <c r="U140" i="12"/>
  <c r="J140" i="12"/>
  <c r="Q140" i="12"/>
  <c r="I140" i="12"/>
  <c r="G140" i="8"/>
  <c r="O140" i="8"/>
  <c r="S140" i="8"/>
  <c r="R140" i="8"/>
  <c r="T140" i="8"/>
  <c r="H140" i="8"/>
  <c r="I140" i="8"/>
  <c r="M140" i="8"/>
  <c r="F140" i="8"/>
  <c r="U140" i="8"/>
  <c r="D130" i="8"/>
  <c r="N140" i="8"/>
  <c r="V140" i="8"/>
  <c r="K140" i="8"/>
  <c r="P140" i="8"/>
  <c r="Q140" i="8"/>
  <c r="J140" i="8"/>
  <c r="L140" i="8"/>
  <c r="E6" i="14" l="1" a="1"/>
  <c r="F6" i="14" a="1"/>
  <c r="D6" i="14" a="1"/>
  <c r="C6" i="14" l="1" a="1"/>
  <c r="D6" i="14"/>
  <c r="N13" i="6"/>
  <c r="E118" i="15" s="1"/>
  <c r="E107" i="15" s="1"/>
  <c r="J13" i="6"/>
  <c r="E76" i="15" s="1"/>
  <c r="J13" i="12"/>
  <c r="K76" i="15" s="1"/>
  <c r="J13" i="9"/>
  <c r="H76" i="15" s="1"/>
  <c r="J13" i="5"/>
  <c r="D76" i="15" s="1"/>
  <c r="J13" i="7"/>
  <c r="F76" i="15" s="1"/>
  <c r="J13" i="10"/>
  <c r="I76" i="15" s="1"/>
  <c r="J13" i="13"/>
  <c r="L76" i="15" s="1"/>
  <c r="J13" i="11"/>
  <c r="J76" i="15" s="1"/>
  <c r="J13" i="8"/>
  <c r="G76" i="15" s="1"/>
  <c r="F6" i="14"/>
  <c r="R13" i="12"/>
  <c r="K160" i="15" s="1"/>
  <c r="R13" i="9"/>
  <c r="H160" i="15" s="1"/>
  <c r="R13" i="11"/>
  <c r="J160" i="15" s="1"/>
  <c r="R13" i="8"/>
  <c r="G160" i="15" s="1"/>
  <c r="R13" i="13"/>
  <c r="L160" i="15" s="1"/>
  <c r="R13" i="10"/>
  <c r="I160" i="15" s="1"/>
  <c r="R13" i="7"/>
  <c r="F160" i="15" s="1"/>
  <c r="E6" i="14"/>
  <c r="N13" i="12"/>
  <c r="K118" i="15" s="1"/>
  <c r="N13" i="9"/>
  <c r="H118" i="15" s="1"/>
  <c r="N13" i="11"/>
  <c r="J118" i="15" s="1"/>
  <c r="N13" i="8"/>
  <c r="G118" i="15" s="1"/>
  <c r="N13" i="13"/>
  <c r="L118" i="15" s="1"/>
  <c r="N13" i="10"/>
  <c r="I118" i="15" s="1"/>
  <c r="N13" i="7"/>
  <c r="F118" i="15" s="1"/>
  <c r="G149" i="15" l="1"/>
  <c r="H149" i="15"/>
  <c r="I149" i="15"/>
  <c r="J149" i="15"/>
  <c r="K149" i="15"/>
  <c r="L149" i="15"/>
  <c r="F149" i="15"/>
  <c r="F145" i="15"/>
  <c r="F146" i="15"/>
  <c r="F137" i="15"/>
  <c r="F162" i="15"/>
  <c r="F165" i="15" s="1"/>
  <c r="F161" i="15"/>
  <c r="F163" i="15" s="1"/>
  <c r="F148" i="15"/>
  <c r="F135" i="15"/>
  <c r="F139" i="15"/>
  <c r="F134" i="15"/>
  <c r="F136" i="15"/>
  <c r="F141" i="15"/>
  <c r="F138" i="15"/>
  <c r="F140" i="15"/>
  <c r="F166" i="15" s="1"/>
  <c r="I145" i="15"/>
  <c r="I146" i="15"/>
  <c r="I137" i="15"/>
  <c r="I138" i="15"/>
  <c r="I141" i="15"/>
  <c r="I162" i="15"/>
  <c r="I165" i="15" s="1"/>
  <c r="I161" i="15"/>
  <c r="I163" i="15" s="1"/>
  <c r="I148" i="15"/>
  <c r="I135" i="15"/>
  <c r="I139" i="15"/>
  <c r="I134" i="15"/>
  <c r="I136" i="15"/>
  <c r="I140" i="15"/>
  <c r="I142" i="15" s="1"/>
  <c r="I143" i="15" s="1"/>
  <c r="L145" i="15"/>
  <c r="L146" i="15"/>
  <c r="L137" i="15"/>
  <c r="L138" i="15"/>
  <c r="L141" i="15"/>
  <c r="L162" i="15"/>
  <c r="L165" i="15" s="1"/>
  <c r="L161" i="15"/>
  <c r="L163" i="15" s="1"/>
  <c r="L148" i="15"/>
  <c r="L135" i="15"/>
  <c r="L139" i="15"/>
  <c r="L134" i="15"/>
  <c r="L136" i="15"/>
  <c r="L140" i="15"/>
  <c r="L142" i="15" s="1"/>
  <c r="L143" i="15" s="1"/>
  <c r="G145" i="15"/>
  <c r="G146" i="15"/>
  <c r="G151" i="15"/>
  <c r="G137" i="15"/>
  <c r="G138" i="15"/>
  <c r="G141" i="15"/>
  <c r="G162" i="15"/>
  <c r="G165" i="15" s="1"/>
  <c r="G161" i="15"/>
  <c r="G163" i="15" s="1"/>
  <c r="G135" i="15"/>
  <c r="G148" i="15"/>
  <c r="G139" i="15"/>
  <c r="G134" i="15"/>
  <c r="G136" i="15"/>
  <c r="G140" i="15"/>
  <c r="G142" i="15" s="1"/>
  <c r="G143" i="15" s="1"/>
  <c r="J145" i="15"/>
  <c r="J146" i="15"/>
  <c r="J141" i="15"/>
  <c r="J137" i="15"/>
  <c r="J138" i="15"/>
  <c r="J162" i="15"/>
  <c r="J165" i="15" s="1"/>
  <c r="J161" i="15"/>
  <c r="J163" i="15" s="1"/>
  <c r="J148" i="15"/>
  <c r="J135" i="15"/>
  <c r="J139" i="15"/>
  <c r="J134" i="15"/>
  <c r="J136" i="15"/>
  <c r="J140" i="15"/>
  <c r="J142" i="15" s="1"/>
  <c r="J143" i="15" s="1"/>
  <c r="H145" i="15"/>
  <c r="H146" i="15"/>
  <c r="H137" i="15"/>
  <c r="H138" i="15"/>
  <c r="H141" i="15"/>
  <c r="H162" i="15"/>
  <c r="H165" i="15" s="1"/>
  <c r="H161" i="15"/>
  <c r="H163" i="15" s="1"/>
  <c r="H148" i="15"/>
  <c r="H135" i="15"/>
  <c r="H139" i="15"/>
  <c r="H134" i="15"/>
  <c r="H136" i="15"/>
  <c r="H140" i="15"/>
  <c r="H142" i="15" s="1"/>
  <c r="H143" i="15" s="1"/>
  <c r="K145" i="15"/>
  <c r="K146" i="15"/>
  <c r="K151" i="15"/>
  <c r="K137" i="15"/>
  <c r="K138" i="15"/>
  <c r="K141" i="15"/>
  <c r="K162" i="15"/>
  <c r="K165" i="15" s="1"/>
  <c r="K161" i="15"/>
  <c r="K163" i="15" s="1"/>
  <c r="K148" i="15"/>
  <c r="K135" i="15"/>
  <c r="K139" i="15"/>
  <c r="K134" i="15"/>
  <c r="K136" i="15"/>
  <c r="K140" i="15"/>
  <c r="K142" i="15" s="1"/>
  <c r="K143" i="15" s="1"/>
  <c r="F107" i="15"/>
  <c r="I107" i="15"/>
  <c r="I103" i="15"/>
  <c r="I104" i="15"/>
  <c r="I106" i="15"/>
  <c r="L107" i="15"/>
  <c r="L103" i="15"/>
  <c r="L104" i="15"/>
  <c r="L106" i="15"/>
  <c r="G167" i="15"/>
  <c r="G152" i="15"/>
  <c r="G107" i="15"/>
  <c r="J167" i="15"/>
  <c r="J152" i="15"/>
  <c r="J107" i="15"/>
  <c r="J103" i="15"/>
  <c r="J104" i="15"/>
  <c r="J106" i="15"/>
  <c r="H107" i="15"/>
  <c r="H103" i="15"/>
  <c r="H104" i="15"/>
  <c r="H106" i="15"/>
  <c r="K167" i="15"/>
  <c r="K152" i="15"/>
  <c r="K107" i="15"/>
  <c r="K103" i="15"/>
  <c r="K104" i="15"/>
  <c r="K106" i="15"/>
  <c r="F103" i="15"/>
  <c r="F104" i="15"/>
  <c r="F95" i="15"/>
  <c r="F120" i="15"/>
  <c r="F123" i="15" s="1"/>
  <c r="F119" i="15"/>
  <c r="F121" i="15" s="1"/>
  <c r="F97" i="15"/>
  <c r="F99" i="15"/>
  <c r="F94" i="15"/>
  <c r="F106" i="15"/>
  <c r="F92" i="15"/>
  <c r="F93" i="15"/>
  <c r="F96" i="15"/>
  <c r="F98" i="15"/>
  <c r="F100" i="15" s="1"/>
  <c r="F101" i="15" s="1"/>
  <c r="I95" i="15"/>
  <c r="I96" i="15"/>
  <c r="I99" i="15"/>
  <c r="I120" i="15"/>
  <c r="I123" i="15" s="1"/>
  <c r="I119" i="15"/>
  <c r="I121" i="15" s="1"/>
  <c r="I97" i="15"/>
  <c r="I94" i="15"/>
  <c r="I93" i="15"/>
  <c r="I92" i="15"/>
  <c r="I98" i="15"/>
  <c r="I100" i="15" s="1"/>
  <c r="I101" i="15" s="1"/>
  <c r="L95" i="15"/>
  <c r="L96" i="15"/>
  <c r="L99" i="15"/>
  <c r="L120" i="15"/>
  <c r="L123" i="15" s="1"/>
  <c r="L119" i="15"/>
  <c r="L121" i="15" s="1"/>
  <c r="L97" i="15"/>
  <c r="L94" i="15"/>
  <c r="L92" i="15"/>
  <c r="L93" i="15"/>
  <c r="L98" i="15"/>
  <c r="L100" i="15" s="1"/>
  <c r="L101" i="15" s="1"/>
  <c r="G103" i="15"/>
  <c r="G104" i="15"/>
  <c r="G99" i="15"/>
  <c r="G95" i="15"/>
  <c r="G96" i="15"/>
  <c r="G120" i="15"/>
  <c r="G123" i="15" s="1"/>
  <c r="G119" i="15"/>
  <c r="G121" i="15" s="1"/>
  <c r="G97" i="15"/>
  <c r="G106" i="15"/>
  <c r="G92" i="15"/>
  <c r="G93" i="15"/>
  <c r="G94" i="15"/>
  <c r="G98" i="15"/>
  <c r="G100" i="15" s="1"/>
  <c r="G101" i="15" s="1"/>
  <c r="J95" i="15"/>
  <c r="J96" i="15"/>
  <c r="J99" i="15"/>
  <c r="J120" i="15"/>
  <c r="J123" i="15" s="1"/>
  <c r="J119" i="15"/>
  <c r="J121" i="15" s="1"/>
  <c r="J97" i="15"/>
  <c r="J92" i="15"/>
  <c r="J94" i="15"/>
  <c r="J93" i="15"/>
  <c r="J98" i="15"/>
  <c r="J100" i="15" s="1"/>
  <c r="J101" i="15" s="1"/>
  <c r="H95" i="15"/>
  <c r="H96" i="15"/>
  <c r="H99" i="15"/>
  <c r="H120" i="15"/>
  <c r="H123" i="15" s="1"/>
  <c r="H119" i="15"/>
  <c r="H121" i="15" s="1"/>
  <c r="H97" i="15"/>
  <c r="H92" i="15"/>
  <c r="H93" i="15"/>
  <c r="H94" i="15"/>
  <c r="H98" i="15"/>
  <c r="H100" i="15" s="1"/>
  <c r="H101" i="15" s="1"/>
  <c r="K95" i="15"/>
  <c r="K96" i="15"/>
  <c r="K99" i="15"/>
  <c r="K120" i="15"/>
  <c r="K123" i="15" s="1"/>
  <c r="K119" i="15"/>
  <c r="K121" i="15" s="1"/>
  <c r="K97" i="15"/>
  <c r="K92" i="15"/>
  <c r="K94" i="15"/>
  <c r="K93" i="15"/>
  <c r="K98" i="15"/>
  <c r="K100" i="15" s="1"/>
  <c r="K101" i="15" s="1"/>
  <c r="E103" i="15"/>
  <c r="E104" i="15"/>
  <c r="E95" i="15"/>
  <c r="E120" i="15"/>
  <c r="E123" i="15" s="1"/>
  <c r="E119" i="15"/>
  <c r="E121" i="15" s="1"/>
  <c r="E97" i="15"/>
  <c r="E99" i="15"/>
  <c r="E106" i="15"/>
  <c r="E92" i="15"/>
  <c r="E94" i="15"/>
  <c r="E93" i="15"/>
  <c r="E96" i="15"/>
  <c r="E98" i="15"/>
  <c r="E100" i="15" s="1"/>
  <c r="E101" i="15" s="1"/>
  <c r="G78" i="15"/>
  <c r="G81" i="15" s="1"/>
  <c r="G65" i="15"/>
  <c r="G77" i="15"/>
  <c r="G79" i="15" s="1"/>
  <c r="J78" i="15"/>
  <c r="J81" i="15" s="1"/>
  <c r="J65" i="15"/>
  <c r="J61" i="15"/>
  <c r="J62" i="15"/>
  <c r="J77" i="15"/>
  <c r="J79" i="15" s="1"/>
  <c r="J64" i="15"/>
  <c r="L78" i="15"/>
  <c r="L81" i="15" s="1"/>
  <c r="L65" i="15"/>
  <c r="L61" i="15"/>
  <c r="L62" i="15"/>
  <c r="L77" i="15"/>
  <c r="L79" i="15" s="1"/>
  <c r="L64" i="15"/>
  <c r="I78" i="15"/>
  <c r="I81" i="15" s="1"/>
  <c r="I65" i="15"/>
  <c r="I61" i="15"/>
  <c r="I62" i="15"/>
  <c r="I77" i="15"/>
  <c r="I79" i="15" s="1"/>
  <c r="I64" i="15"/>
  <c r="F78" i="15"/>
  <c r="F81" i="15" s="1"/>
  <c r="F65" i="15"/>
  <c r="G61" i="15"/>
  <c r="G62" i="15"/>
  <c r="F77" i="15"/>
  <c r="F79" i="15" s="1"/>
  <c r="G64" i="15"/>
  <c r="D78" i="15"/>
  <c r="D81" i="15" s="1"/>
  <c r="D65" i="15"/>
  <c r="D77" i="15"/>
  <c r="D79" i="15" s="1"/>
  <c r="H78" i="15"/>
  <c r="H81" i="15" s="1"/>
  <c r="H65" i="15"/>
  <c r="H61" i="15"/>
  <c r="H62" i="15"/>
  <c r="H77" i="15"/>
  <c r="H79" i="15" s="1"/>
  <c r="H64" i="15"/>
  <c r="K78" i="15"/>
  <c r="K81" i="15" s="1"/>
  <c r="K65" i="15"/>
  <c r="K61" i="15"/>
  <c r="K62" i="15"/>
  <c r="K77" i="15"/>
  <c r="K79" i="15" s="1"/>
  <c r="K64" i="15"/>
  <c r="E78" i="15"/>
  <c r="E81" i="15" s="1"/>
  <c r="E65" i="15"/>
  <c r="E77" i="15"/>
  <c r="E79" i="15" s="1"/>
  <c r="G53" i="15"/>
  <c r="G54" i="15"/>
  <c r="G57" i="15"/>
  <c r="G55" i="15"/>
  <c r="G50" i="15"/>
  <c r="G52" i="15"/>
  <c r="G51" i="15"/>
  <c r="G56" i="15"/>
  <c r="G58" i="15" s="1"/>
  <c r="J53" i="15"/>
  <c r="J54" i="15"/>
  <c r="J57" i="15"/>
  <c r="J55" i="15"/>
  <c r="J50" i="15"/>
  <c r="J52" i="15"/>
  <c r="J51" i="15"/>
  <c r="J56" i="15"/>
  <c r="J58" i="15" s="1"/>
  <c r="L53" i="15"/>
  <c r="L54" i="15"/>
  <c r="L57" i="15"/>
  <c r="L55" i="15"/>
  <c r="L50" i="15"/>
  <c r="L52" i="15"/>
  <c r="L51" i="15"/>
  <c r="L56" i="15"/>
  <c r="L58" i="15" s="1"/>
  <c r="I57" i="15"/>
  <c r="I53" i="15"/>
  <c r="I54" i="15"/>
  <c r="I55" i="15"/>
  <c r="I50" i="15"/>
  <c r="I52" i="15"/>
  <c r="I51" i="15"/>
  <c r="I56" i="15"/>
  <c r="I58" i="15" s="1"/>
  <c r="F61" i="15"/>
  <c r="F62" i="15"/>
  <c r="F53" i="15"/>
  <c r="F57" i="15"/>
  <c r="F64" i="15"/>
  <c r="F51" i="15"/>
  <c r="F55" i="15"/>
  <c r="F50" i="15"/>
  <c r="F52" i="15"/>
  <c r="F54" i="15"/>
  <c r="F56" i="15"/>
  <c r="F58" i="15" s="1"/>
  <c r="D61" i="15"/>
  <c r="D62" i="15"/>
  <c r="D57" i="15"/>
  <c r="D54" i="15"/>
  <c r="D53" i="15"/>
  <c r="D50" i="15"/>
  <c r="D55" i="15"/>
  <c r="D64" i="15"/>
  <c r="D51" i="15"/>
  <c r="D52" i="15"/>
  <c r="D56" i="15"/>
  <c r="D58" i="15" s="1"/>
  <c r="H53" i="15"/>
  <c r="H54" i="15"/>
  <c r="H57" i="15"/>
  <c r="H55" i="15"/>
  <c r="H50" i="15"/>
  <c r="H52" i="15"/>
  <c r="H51" i="15"/>
  <c r="H56" i="15"/>
  <c r="H58" i="15" s="1"/>
  <c r="K53" i="15"/>
  <c r="K54" i="15"/>
  <c r="K57" i="15"/>
  <c r="K55" i="15"/>
  <c r="K50" i="15"/>
  <c r="K52" i="15"/>
  <c r="K51" i="15"/>
  <c r="K56" i="15"/>
  <c r="K58" i="15" s="1"/>
  <c r="E61" i="15"/>
  <c r="E62" i="15"/>
  <c r="E53" i="15"/>
  <c r="E57" i="15"/>
  <c r="E51" i="15"/>
  <c r="E52" i="15"/>
  <c r="E64" i="15"/>
  <c r="E55" i="15"/>
  <c r="E50" i="15"/>
  <c r="E54" i="15"/>
  <c r="E56" i="15"/>
  <c r="E58" i="15" s="1"/>
  <c r="T39" i="10"/>
  <c r="R35" i="10"/>
  <c r="T35" i="10"/>
  <c r="S35" i="10"/>
  <c r="U39" i="10"/>
  <c r="R12" i="10"/>
  <c r="U35" i="10"/>
  <c r="R39" i="10"/>
  <c r="S39" i="10"/>
  <c r="T33" i="10"/>
  <c r="R33" i="10"/>
  <c r="S33" i="10"/>
  <c r="U33" i="10"/>
  <c r="Q35" i="10"/>
  <c r="O35" i="10"/>
  <c r="N35" i="10"/>
  <c r="N39" i="10"/>
  <c r="Q39" i="10"/>
  <c r="P39" i="10"/>
  <c r="N12" i="10"/>
  <c r="O39" i="10"/>
  <c r="P35" i="10"/>
  <c r="N33" i="10"/>
  <c r="P33" i="10"/>
  <c r="Q33" i="10"/>
  <c r="O33" i="10"/>
  <c r="U35" i="7"/>
  <c r="S35" i="7"/>
  <c r="R35" i="7"/>
  <c r="T35" i="7"/>
  <c r="T39" i="7"/>
  <c r="U39" i="7"/>
  <c r="R12" i="7"/>
  <c r="R39" i="7"/>
  <c r="S39" i="7"/>
  <c r="S33" i="7"/>
  <c r="U33" i="7"/>
  <c r="T33" i="7"/>
  <c r="R33" i="7"/>
  <c r="F147" i="15" s="1"/>
  <c r="R35" i="11"/>
  <c r="R39" i="11"/>
  <c r="T39" i="11"/>
  <c r="U39" i="11"/>
  <c r="S35" i="11"/>
  <c r="T35" i="11"/>
  <c r="R12" i="11"/>
  <c r="U35" i="11"/>
  <c r="S39" i="11"/>
  <c r="T33" i="11"/>
  <c r="R33" i="11"/>
  <c r="S33" i="11"/>
  <c r="U33" i="11"/>
  <c r="L35" i="5"/>
  <c r="K36" i="5"/>
  <c r="M39" i="5"/>
  <c r="J36" i="5"/>
  <c r="L36" i="5"/>
  <c r="J35" i="5"/>
  <c r="M36" i="5"/>
  <c r="K35" i="5"/>
  <c r="J12" i="5"/>
  <c r="J39" i="5"/>
  <c r="K39" i="5"/>
  <c r="M35" i="5"/>
  <c r="L39" i="5"/>
  <c r="M33" i="5"/>
  <c r="J33" i="5"/>
  <c r="L33" i="5"/>
  <c r="K33" i="5"/>
  <c r="T39" i="8"/>
  <c r="S35" i="8"/>
  <c r="U35" i="8"/>
  <c r="T35" i="8"/>
  <c r="R12" i="8"/>
  <c r="R35" i="8"/>
  <c r="U39" i="8"/>
  <c r="R39" i="8"/>
  <c r="S39" i="8"/>
  <c r="T33" i="8"/>
  <c r="U33" i="8"/>
  <c r="R33" i="8"/>
  <c r="S33" i="8"/>
  <c r="N39" i="7"/>
  <c r="P39" i="7"/>
  <c r="P35" i="7"/>
  <c r="O39" i="7"/>
  <c r="O35" i="7"/>
  <c r="Q39" i="7"/>
  <c r="N35" i="7"/>
  <c r="N12" i="7"/>
  <c r="Q35" i="7"/>
  <c r="P33" i="7"/>
  <c r="N33" i="7"/>
  <c r="Q33" i="7"/>
  <c r="O33" i="7"/>
  <c r="U35" i="9"/>
  <c r="T35" i="9"/>
  <c r="S35" i="9"/>
  <c r="U39" i="9"/>
  <c r="R35" i="9"/>
  <c r="T39" i="9"/>
  <c r="S39" i="9"/>
  <c r="R39" i="9"/>
  <c r="H154" i="15" s="1"/>
  <c r="R12" i="9"/>
  <c r="R33" i="9"/>
  <c r="U33" i="9"/>
  <c r="S33" i="9"/>
  <c r="T33" i="9"/>
  <c r="K35" i="8"/>
  <c r="L35" i="8"/>
  <c r="J39" i="8"/>
  <c r="M35" i="8"/>
  <c r="M36" i="8"/>
  <c r="K39" i="8"/>
  <c r="J36" i="8"/>
  <c r="J35" i="8"/>
  <c r="L39" i="8"/>
  <c r="M39" i="8"/>
  <c r="K36" i="8"/>
  <c r="L36" i="8"/>
  <c r="J12" i="8"/>
  <c r="K33" i="8"/>
  <c r="M33" i="8"/>
  <c r="L33" i="8"/>
  <c r="J33" i="8"/>
  <c r="G63" i="15" s="1"/>
  <c r="R34" i="13"/>
  <c r="U34" i="13"/>
  <c r="S38" i="13"/>
  <c r="R12" i="13"/>
  <c r="U38" i="13"/>
  <c r="T38" i="13"/>
  <c r="R38" i="13"/>
  <c r="S34" i="13"/>
  <c r="T34" i="13"/>
  <c r="S32" i="13"/>
  <c r="U32" i="13"/>
  <c r="R32" i="13"/>
  <c r="T32" i="13"/>
  <c r="L39" i="6"/>
  <c r="J35" i="6"/>
  <c r="M36" i="6"/>
  <c r="M35" i="6"/>
  <c r="L36" i="6"/>
  <c r="L35" i="6"/>
  <c r="J36" i="6"/>
  <c r="M39" i="6"/>
  <c r="K36" i="6"/>
  <c r="K35" i="6"/>
  <c r="K39" i="6"/>
  <c r="J12" i="6"/>
  <c r="J39" i="6"/>
  <c r="E70" i="15" s="1"/>
  <c r="L33" i="6"/>
  <c r="M33" i="6"/>
  <c r="J33" i="6"/>
  <c r="K33" i="6"/>
  <c r="Q34" i="13"/>
  <c r="N38" i="13"/>
  <c r="O38" i="13"/>
  <c r="P38" i="13"/>
  <c r="Q38" i="13"/>
  <c r="O34" i="13"/>
  <c r="N34" i="13"/>
  <c r="N12" i="13"/>
  <c r="P34" i="13"/>
  <c r="O32" i="13"/>
  <c r="P32" i="13"/>
  <c r="N32" i="13"/>
  <c r="Q32" i="13"/>
  <c r="U35" i="12"/>
  <c r="T35" i="12"/>
  <c r="S35" i="12"/>
  <c r="R35" i="12"/>
  <c r="U39" i="12"/>
  <c r="S39" i="12"/>
  <c r="R39" i="12"/>
  <c r="R12" i="12"/>
  <c r="T39" i="12"/>
  <c r="R33" i="12"/>
  <c r="S33" i="12"/>
  <c r="T33" i="12"/>
  <c r="U33" i="12"/>
  <c r="O39" i="11"/>
  <c r="P35" i="11"/>
  <c r="Q39" i="11"/>
  <c r="Q35" i="11"/>
  <c r="P39" i="11"/>
  <c r="N12" i="11"/>
  <c r="O35" i="11"/>
  <c r="N39" i="11"/>
  <c r="J112" i="15" s="1"/>
  <c r="N35" i="11"/>
  <c r="O33" i="11"/>
  <c r="Q33" i="11"/>
  <c r="P33" i="11"/>
  <c r="N33" i="11"/>
  <c r="L39" i="7"/>
  <c r="M39" i="7"/>
  <c r="L36" i="7"/>
  <c r="M35" i="7"/>
  <c r="K39" i="7"/>
  <c r="K36" i="7"/>
  <c r="L35" i="7"/>
  <c r="J39" i="7"/>
  <c r="F70" i="15" s="1"/>
  <c r="K35" i="7"/>
  <c r="J35" i="7"/>
  <c r="J36" i="7"/>
  <c r="J12" i="7"/>
  <c r="M36" i="7"/>
  <c r="J33" i="7"/>
  <c r="L33" i="7"/>
  <c r="M33" i="7"/>
  <c r="K33" i="7"/>
  <c r="J39" i="9"/>
  <c r="K35" i="9"/>
  <c r="K36" i="9"/>
  <c r="M39" i="9"/>
  <c r="J36" i="9"/>
  <c r="K39" i="9"/>
  <c r="M35" i="9"/>
  <c r="M36" i="9"/>
  <c r="L35" i="9"/>
  <c r="L36" i="9"/>
  <c r="L39" i="9"/>
  <c r="J12" i="9"/>
  <c r="J35" i="9"/>
  <c r="J33" i="9"/>
  <c r="L33" i="9"/>
  <c r="M33" i="9"/>
  <c r="K33" i="9"/>
  <c r="L39" i="12"/>
  <c r="J12" i="12"/>
  <c r="J39" i="12"/>
  <c r="K39" i="12"/>
  <c r="M39" i="12"/>
  <c r="J35" i="12"/>
  <c r="K35" i="12"/>
  <c r="J36" i="12"/>
  <c r="L35" i="12"/>
  <c r="K36" i="12"/>
  <c r="M36" i="12"/>
  <c r="M35" i="12"/>
  <c r="L36" i="12"/>
  <c r="L33" i="12"/>
  <c r="M33" i="12"/>
  <c r="K33" i="12"/>
  <c r="J33" i="12"/>
  <c r="K63" i="15" s="1"/>
  <c r="O39" i="6"/>
  <c r="Q35" i="6"/>
  <c r="P35" i="6"/>
  <c r="O35" i="6"/>
  <c r="P39" i="6"/>
  <c r="N39" i="6"/>
  <c r="N12" i="6"/>
  <c r="N35" i="6"/>
  <c r="Q39" i="6"/>
  <c r="N33" i="6"/>
  <c r="Q33" i="6"/>
  <c r="P33" i="6"/>
  <c r="O33" i="6"/>
  <c r="Q39" i="8"/>
  <c r="O39" i="8"/>
  <c r="O35" i="8"/>
  <c r="N35" i="8"/>
  <c r="P35" i="8"/>
  <c r="Q35" i="8"/>
  <c r="P39" i="8"/>
  <c r="N12" i="8"/>
  <c r="N39" i="8"/>
  <c r="G112" i="15" s="1"/>
  <c r="Q33" i="8"/>
  <c r="P33" i="8"/>
  <c r="N33" i="8"/>
  <c r="O33" i="8"/>
  <c r="C6" i="14"/>
  <c r="E13" i="1" s="1"/>
  <c r="C34" i="15" s="1"/>
  <c r="C23" i="15" s="1"/>
  <c r="E13" i="6"/>
  <c r="E34" i="15" s="1"/>
  <c r="E23" i="15" s="1"/>
  <c r="E13" i="12"/>
  <c r="K34" i="15" s="1"/>
  <c r="K23" i="15" s="1"/>
  <c r="E13" i="9"/>
  <c r="H34" i="15" s="1"/>
  <c r="H23" i="15" s="1"/>
  <c r="E13" i="5"/>
  <c r="D34" i="15" s="1"/>
  <c r="D23" i="15" s="1"/>
  <c r="J13" i="1"/>
  <c r="C76" i="15" s="1"/>
  <c r="E13" i="10"/>
  <c r="I34" i="15" s="1"/>
  <c r="I23" i="15" s="1"/>
  <c r="E13" i="11"/>
  <c r="J34" i="15" s="1"/>
  <c r="J23" i="15" s="1"/>
  <c r="E13" i="8"/>
  <c r="G34" i="15" s="1"/>
  <c r="G23" i="15" s="1"/>
  <c r="E13" i="13"/>
  <c r="L34" i="15" s="1"/>
  <c r="L23" i="15" s="1"/>
  <c r="E13" i="7"/>
  <c r="F34" i="15" s="1"/>
  <c r="P39" i="9"/>
  <c r="P35" i="9"/>
  <c r="N35" i="9"/>
  <c r="Q39" i="9"/>
  <c r="O39" i="9"/>
  <c r="O35" i="9"/>
  <c r="N39" i="9"/>
  <c r="H112" i="15" s="1"/>
  <c r="N12" i="9"/>
  <c r="Q35" i="9"/>
  <c r="O33" i="9"/>
  <c r="N33" i="9"/>
  <c r="P33" i="9"/>
  <c r="Q33" i="9"/>
  <c r="J35" i="11"/>
  <c r="M39" i="11"/>
  <c r="L36" i="11"/>
  <c r="L35" i="11"/>
  <c r="M36" i="11"/>
  <c r="J39" i="11"/>
  <c r="M35" i="11"/>
  <c r="K39" i="11"/>
  <c r="J12" i="11"/>
  <c r="L39" i="11"/>
  <c r="K35" i="11"/>
  <c r="J36" i="11"/>
  <c r="K36" i="11"/>
  <c r="L33" i="11"/>
  <c r="K33" i="11"/>
  <c r="M33" i="11"/>
  <c r="J33" i="11"/>
  <c r="J63" i="15" s="1"/>
  <c r="Q35" i="12"/>
  <c r="O39" i="12"/>
  <c r="P35" i="12"/>
  <c r="N35" i="12"/>
  <c r="P39" i="12"/>
  <c r="N39" i="12"/>
  <c r="Q39" i="12"/>
  <c r="N12" i="12"/>
  <c r="O35" i="12"/>
  <c r="N33" i="12"/>
  <c r="O33" i="12"/>
  <c r="P33" i="12"/>
  <c r="Q33" i="12"/>
  <c r="M35" i="13"/>
  <c r="M34" i="13"/>
  <c r="J34" i="13"/>
  <c r="J35" i="13"/>
  <c r="L34" i="13"/>
  <c r="K35" i="13"/>
  <c r="L38" i="13"/>
  <c r="K38" i="13"/>
  <c r="L35" i="13"/>
  <c r="M38" i="13"/>
  <c r="K34" i="13"/>
  <c r="J12" i="13"/>
  <c r="J38" i="13"/>
  <c r="L70" i="15" s="1"/>
  <c r="M32" i="13"/>
  <c r="K32" i="13"/>
  <c r="L32" i="13"/>
  <c r="J32" i="13"/>
  <c r="L63" i="15" s="1"/>
  <c r="J35" i="10"/>
  <c r="M35" i="10"/>
  <c r="K39" i="10"/>
  <c r="K35" i="10"/>
  <c r="L36" i="10"/>
  <c r="K36" i="10"/>
  <c r="L39" i="10"/>
  <c r="M39" i="10"/>
  <c r="M36" i="10"/>
  <c r="J36" i="10"/>
  <c r="I66" i="15" s="1"/>
  <c r="J39" i="10"/>
  <c r="I70" i="15" s="1"/>
  <c r="J12" i="10"/>
  <c r="L35" i="10"/>
  <c r="L33" i="10"/>
  <c r="K33" i="10"/>
  <c r="M33" i="10"/>
  <c r="J33" i="10"/>
  <c r="I63" i="15" s="1"/>
  <c r="K112" i="15" l="1"/>
  <c r="K154" i="15"/>
  <c r="L154" i="15"/>
  <c r="L112" i="15"/>
  <c r="F112" i="15"/>
  <c r="G154" i="15"/>
  <c r="J154" i="15"/>
  <c r="F154" i="15"/>
  <c r="I112" i="15"/>
  <c r="I154" i="15"/>
  <c r="F142" i="15"/>
  <c r="F143" i="15" s="1"/>
  <c r="K105" i="15"/>
  <c r="H105" i="15"/>
  <c r="K147" i="15"/>
  <c r="J147" i="15"/>
  <c r="L105" i="15"/>
  <c r="L147" i="15"/>
  <c r="H147" i="15"/>
  <c r="G147" i="15"/>
  <c r="J105" i="15"/>
  <c r="I105" i="15"/>
  <c r="I147" i="15"/>
  <c r="K166" i="15"/>
  <c r="H166" i="15"/>
  <c r="J166" i="15"/>
  <c r="G166" i="15"/>
  <c r="L166" i="15"/>
  <c r="I166" i="15"/>
  <c r="L66" i="15"/>
  <c r="J66" i="15"/>
  <c r="J70" i="15"/>
  <c r="E112" i="15"/>
  <c r="K66" i="15"/>
  <c r="K70" i="15"/>
  <c r="H66" i="15"/>
  <c r="H70" i="15"/>
  <c r="F108" i="15"/>
  <c r="G66" i="15"/>
  <c r="G70" i="15"/>
  <c r="G105" i="15"/>
  <c r="E105" i="15"/>
  <c r="H63" i="15"/>
  <c r="F105" i="15"/>
  <c r="F23" i="15"/>
  <c r="C78" i="15"/>
  <c r="C81" i="15" s="1"/>
  <c r="C65" i="15"/>
  <c r="C77" i="15"/>
  <c r="C79" i="15" s="1"/>
  <c r="E82" i="15"/>
  <c r="E59" i="15"/>
  <c r="K82" i="15"/>
  <c r="K59" i="15"/>
  <c r="H82" i="15"/>
  <c r="H59" i="15"/>
  <c r="D59" i="15"/>
  <c r="D82" i="15"/>
  <c r="F82" i="15"/>
  <c r="F59" i="15"/>
  <c r="I82" i="15"/>
  <c r="I59" i="15"/>
  <c r="L82" i="15"/>
  <c r="L59" i="15"/>
  <c r="J82" i="15"/>
  <c r="J59" i="15"/>
  <c r="G82" i="15"/>
  <c r="G59" i="15"/>
  <c r="E124" i="15"/>
  <c r="K124" i="15"/>
  <c r="H124" i="15"/>
  <c r="F124" i="15"/>
  <c r="I124" i="15"/>
  <c r="L124" i="15"/>
  <c r="J124" i="15"/>
  <c r="G124" i="15"/>
  <c r="F35" i="15"/>
  <c r="F37" i="15" s="1"/>
  <c r="F36" i="15"/>
  <c r="F39" i="15" s="1"/>
  <c r="F19" i="15"/>
  <c r="F20" i="15"/>
  <c r="F11" i="15"/>
  <c r="F22" i="15"/>
  <c r="F13" i="15"/>
  <c r="F10" i="15"/>
  <c r="F9" i="15"/>
  <c r="F8" i="15"/>
  <c r="F15" i="15"/>
  <c r="F12" i="15"/>
  <c r="F14" i="15"/>
  <c r="F16" i="15" s="1"/>
  <c r="L35" i="15"/>
  <c r="L37" i="15" s="1"/>
  <c r="L36" i="15"/>
  <c r="L39" i="15" s="1"/>
  <c r="L11" i="15"/>
  <c r="L12" i="15"/>
  <c r="L15" i="15"/>
  <c r="L19" i="15"/>
  <c r="L20" i="15"/>
  <c r="L22" i="15"/>
  <c r="L9" i="15"/>
  <c r="L13" i="15"/>
  <c r="L10" i="15"/>
  <c r="L8" i="15"/>
  <c r="L14" i="15"/>
  <c r="L16" i="15" s="1"/>
  <c r="G35" i="15"/>
  <c r="G37" i="15" s="1"/>
  <c r="G36" i="15"/>
  <c r="G39" i="15" s="1"/>
  <c r="G19" i="15"/>
  <c r="G20" i="15"/>
  <c r="G15" i="15"/>
  <c r="G12" i="15"/>
  <c r="G11" i="15"/>
  <c r="G13" i="15"/>
  <c r="G10" i="15"/>
  <c r="G22" i="15"/>
  <c r="G9" i="15"/>
  <c r="G8" i="15"/>
  <c r="G14" i="15"/>
  <c r="G16" i="15" s="1"/>
  <c r="J35" i="15"/>
  <c r="J37" i="15" s="1"/>
  <c r="J36" i="15"/>
  <c r="J39" i="15" s="1"/>
  <c r="J19" i="15"/>
  <c r="J20" i="15"/>
  <c r="J15" i="15"/>
  <c r="J12" i="15"/>
  <c r="J11" i="15"/>
  <c r="J22" i="15"/>
  <c r="J13" i="15"/>
  <c r="J10" i="15"/>
  <c r="J9" i="15"/>
  <c r="J8" i="15"/>
  <c r="J14" i="15"/>
  <c r="J16" i="15" s="1"/>
  <c r="I35" i="15"/>
  <c r="I37" i="15" s="1"/>
  <c r="I36" i="15"/>
  <c r="I39" i="15" s="1"/>
  <c r="I19" i="15"/>
  <c r="I20" i="15"/>
  <c r="I15" i="15"/>
  <c r="I12" i="15"/>
  <c r="I11" i="15"/>
  <c r="I22" i="15"/>
  <c r="I9" i="15"/>
  <c r="I13" i="15"/>
  <c r="I10" i="15"/>
  <c r="I8" i="15"/>
  <c r="I14" i="15"/>
  <c r="I16" i="15" s="1"/>
  <c r="C61" i="15"/>
  <c r="C62" i="15"/>
  <c r="C53" i="15"/>
  <c r="C57" i="15"/>
  <c r="C51" i="15"/>
  <c r="C55" i="15"/>
  <c r="C64" i="15"/>
  <c r="C50" i="15"/>
  <c r="C52" i="15"/>
  <c r="C54" i="15"/>
  <c r="C56" i="15"/>
  <c r="C58" i="15" s="1"/>
  <c r="D36" i="15"/>
  <c r="D39" i="15" s="1"/>
  <c r="D12" i="15"/>
  <c r="D19" i="15"/>
  <c r="D20" i="15"/>
  <c r="D15" i="15"/>
  <c r="D11" i="15"/>
  <c r="D35" i="15"/>
  <c r="D37" i="15" s="1"/>
  <c r="D10" i="15"/>
  <c r="D22" i="15"/>
  <c r="D13" i="15"/>
  <c r="D8" i="15"/>
  <c r="D9" i="15"/>
  <c r="D14" i="15"/>
  <c r="D16" i="15" s="1"/>
  <c r="H35" i="15"/>
  <c r="H37" i="15" s="1"/>
  <c r="H36" i="15"/>
  <c r="H39" i="15" s="1"/>
  <c r="H19" i="15"/>
  <c r="H20" i="15"/>
  <c r="H15" i="15"/>
  <c r="H12" i="15"/>
  <c r="H11" i="15"/>
  <c r="H22" i="15"/>
  <c r="H13" i="15"/>
  <c r="H10" i="15"/>
  <c r="H8" i="15"/>
  <c r="H9" i="15"/>
  <c r="H14" i="15"/>
  <c r="H16" i="15" s="1"/>
  <c r="K35" i="15"/>
  <c r="K37" i="15" s="1"/>
  <c r="K36" i="15"/>
  <c r="K39" i="15" s="1"/>
  <c r="K19" i="15"/>
  <c r="K20" i="15"/>
  <c r="K11" i="15"/>
  <c r="K15" i="15"/>
  <c r="K12" i="15"/>
  <c r="K22" i="15"/>
  <c r="K13" i="15"/>
  <c r="K10" i="15"/>
  <c r="K8" i="15"/>
  <c r="K9" i="15"/>
  <c r="K14" i="15"/>
  <c r="K16" i="15" s="1"/>
  <c r="E35" i="15"/>
  <c r="E37" i="15" s="1"/>
  <c r="E36" i="15"/>
  <c r="E39" i="15" s="1"/>
  <c r="E19" i="15"/>
  <c r="E20" i="15"/>
  <c r="E11" i="15"/>
  <c r="E10" i="15"/>
  <c r="E13" i="15"/>
  <c r="E22" i="15"/>
  <c r="E8" i="15"/>
  <c r="E9" i="15"/>
  <c r="E15" i="15"/>
  <c r="E12" i="15"/>
  <c r="E14" i="15"/>
  <c r="E16" i="15" s="1"/>
  <c r="C35" i="15"/>
  <c r="C37" i="15" s="1"/>
  <c r="C36" i="15"/>
  <c r="C39" i="15" s="1"/>
  <c r="C12" i="15"/>
  <c r="C19" i="15"/>
  <c r="C20" i="15"/>
  <c r="C11" i="15"/>
  <c r="C13" i="15"/>
  <c r="C10" i="15"/>
  <c r="C8" i="15"/>
  <c r="C9" i="15"/>
  <c r="C22" i="15"/>
  <c r="C15" i="15"/>
  <c r="C14" i="15"/>
  <c r="C16" i="15" s="1"/>
  <c r="F66" i="15"/>
  <c r="E66" i="15"/>
  <c r="D70" i="15"/>
  <c r="D66" i="15"/>
  <c r="F63" i="15"/>
  <c r="E63" i="15"/>
  <c r="D63" i="15"/>
  <c r="K36" i="1"/>
  <c r="L36" i="1"/>
  <c r="M36" i="1"/>
  <c r="J36" i="1"/>
  <c r="C66" i="15" s="1"/>
  <c r="K35" i="1"/>
  <c r="L35" i="1"/>
  <c r="M35" i="1"/>
  <c r="J35" i="1"/>
  <c r="M39" i="1"/>
  <c r="L39" i="1"/>
  <c r="K39" i="1"/>
  <c r="J39" i="1"/>
  <c r="C70" i="15" s="1"/>
  <c r="J12" i="1"/>
  <c r="L33" i="1"/>
  <c r="K33" i="1"/>
  <c r="M33" i="1"/>
  <c r="J33" i="1"/>
  <c r="C63" i="15" s="1"/>
  <c r="R36" i="12"/>
  <c r="I35" i="12"/>
  <c r="E35" i="12"/>
  <c r="F39" i="12"/>
  <c r="F35" i="12"/>
  <c r="T36" i="12"/>
  <c r="G39" i="12"/>
  <c r="G35" i="12"/>
  <c r="G36" i="12"/>
  <c r="N36" i="12"/>
  <c r="E39" i="12"/>
  <c r="I39" i="12"/>
  <c r="Q36" i="12"/>
  <c r="O36" i="12"/>
  <c r="H36" i="12"/>
  <c r="P36" i="12"/>
  <c r="S36" i="12"/>
  <c r="U36" i="12"/>
  <c r="F36" i="12"/>
  <c r="H35" i="12"/>
  <c r="I36" i="12"/>
  <c r="E36" i="12"/>
  <c r="K24" i="15" s="1"/>
  <c r="H39" i="12"/>
  <c r="E12" i="12"/>
  <c r="E49" i="12"/>
  <c r="E48" i="12"/>
  <c r="E51" i="12"/>
  <c r="F33" i="12"/>
  <c r="I33" i="12"/>
  <c r="E33" i="12"/>
  <c r="H33" i="12"/>
  <c r="G33" i="12"/>
  <c r="S38" i="7"/>
  <c r="U30" i="7"/>
  <c r="U40" i="7"/>
  <c r="T40" i="7"/>
  <c r="U38" i="7"/>
  <c r="S41" i="7"/>
  <c r="R41" i="7"/>
  <c r="S30" i="7"/>
  <c r="T38" i="7"/>
  <c r="T41" i="7"/>
  <c r="R38" i="7"/>
  <c r="F153" i="15" s="1"/>
  <c r="T30" i="7"/>
  <c r="R30" i="7"/>
  <c r="F144" i="15" s="1"/>
  <c r="U41" i="7"/>
  <c r="R40" i="7"/>
  <c r="S40" i="7"/>
  <c r="H39" i="6"/>
  <c r="H36" i="6"/>
  <c r="H35" i="6"/>
  <c r="G39" i="6"/>
  <c r="G36" i="6"/>
  <c r="G35" i="6"/>
  <c r="F39" i="6"/>
  <c r="F36" i="6"/>
  <c r="F35" i="6"/>
  <c r="Q36" i="6"/>
  <c r="E36" i="6"/>
  <c r="E35" i="6"/>
  <c r="P36" i="6"/>
  <c r="O36" i="6"/>
  <c r="N36" i="6"/>
  <c r="E108" i="15" s="1"/>
  <c r="I39" i="6"/>
  <c r="I36" i="6"/>
  <c r="I35" i="6"/>
  <c r="E39" i="6"/>
  <c r="E28" i="15" s="1"/>
  <c r="E12" i="6"/>
  <c r="E49" i="6"/>
  <c r="E48" i="6"/>
  <c r="E51" i="6"/>
  <c r="F33" i="6"/>
  <c r="E33" i="6"/>
  <c r="H33" i="6"/>
  <c r="I33" i="6"/>
  <c r="G33" i="6"/>
  <c r="U40" i="13"/>
  <c r="S37" i="13"/>
  <c r="S40" i="13"/>
  <c r="R40" i="13"/>
  <c r="S29" i="13"/>
  <c r="R29" i="13"/>
  <c r="U29" i="13"/>
  <c r="T37" i="13"/>
  <c r="R39" i="13"/>
  <c r="T39" i="13"/>
  <c r="T40" i="13"/>
  <c r="T29" i="13"/>
  <c r="U39" i="13"/>
  <c r="U37" i="13"/>
  <c r="R37" i="13"/>
  <c r="S39" i="13"/>
  <c r="P30" i="10"/>
  <c r="O40" i="10"/>
  <c r="N30" i="10"/>
  <c r="Q30" i="10"/>
  <c r="O30" i="10"/>
  <c r="N41" i="10"/>
  <c r="P38" i="10"/>
  <c r="Q38" i="10"/>
  <c r="P41" i="10"/>
  <c r="Q40" i="10"/>
  <c r="N40" i="10"/>
  <c r="O41" i="10"/>
  <c r="O38" i="10"/>
  <c r="P40" i="10"/>
  <c r="Q41" i="10"/>
  <c r="N38" i="10"/>
  <c r="I111" i="15" s="1"/>
  <c r="S36" i="9"/>
  <c r="P36" i="9"/>
  <c r="I39" i="9"/>
  <c r="R36" i="9"/>
  <c r="F36" i="9"/>
  <c r="E36" i="9"/>
  <c r="Q36" i="9"/>
  <c r="T36" i="9"/>
  <c r="H36" i="9"/>
  <c r="G36" i="9"/>
  <c r="U36" i="9"/>
  <c r="E35" i="9"/>
  <c r="I36" i="9"/>
  <c r="N36" i="9"/>
  <c r="E39" i="9"/>
  <c r="H35" i="9"/>
  <c r="F35" i="9"/>
  <c r="I35" i="9"/>
  <c r="G35" i="9"/>
  <c r="G39" i="9"/>
  <c r="F39" i="9"/>
  <c r="H39" i="9"/>
  <c r="O36" i="9"/>
  <c r="E12" i="9"/>
  <c r="E49" i="9"/>
  <c r="E48" i="9"/>
  <c r="E51" i="9"/>
  <c r="I33" i="9"/>
  <c r="F33" i="9"/>
  <c r="H33" i="9"/>
  <c r="G33" i="9"/>
  <c r="E33" i="9"/>
  <c r="H21" i="15" s="1"/>
  <c r="F36" i="1"/>
  <c r="G39" i="1"/>
  <c r="F35" i="1"/>
  <c r="G36" i="1"/>
  <c r="E35" i="1"/>
  <c r="H39" i="1"/>
  <c r="G35" i="1"/>
  <c r="H36" i="1"/>
  <c r="E39" i="1"/>
  <c r="I36" i="1"/>
  <c r="I39" i="1"/>
  <c r="E36" i="1"/>
  <c r="C24" i="15" s="1"/>
  <c r="H35" i="1"/>
  <c r="I35" i="1"/>
  <c r="F39" i="1"/>
  <c r="E49" i="1"/>
  <c r="E12" i="1"/>
  <c r="E48" i="1"/>
  <c r="E51" i="1"/>
  <c r="I33" i="1"/>
  <c r="F33" i="1"/>
  <c r="E33" i="1"/>
  <c r="G33" i="1"/>
  <c r="H33" i="1"/>
  <c r="R38" i="12"/>
  <c r="S41" i="12"/>
  <c r="U30" i="12"/>
  <c r="T30" i="12"/>
  <c r="R40" i="12"/>
  <c r="S30" i="12"/>
  <c r="S40" i="12"/>
  <c r="R30" i="12"/>
  <c r="U40" i="12"/>
  <c r="T41" i="12"/>
  <c r="T38" i="12"/>
  <c r="T40" i="12"/>
  <c r="R41" i="12"/>
  <c r="U41" i="12"/>
  <c r="S38" i="12"/>
  <c r="U38" i="12"/>
  <c r="T40" i="9"/>
  <c r="T30" i="9"/>
  <c r="U41" i="9"/>
  <c r="R30" i="9"/>
  <c r="T41" i="9"/>
  <c r="R41" i="9"/>
  <c r="U38" i="9"/>
  <c r="R38" i="9"/>
  <c r="S40" i="9"/>
  <c r="R40" i="9"/>
  <c r="U40" i="9"/>
  <c r="S38" i="9"/>
  <c r="U30" i="9"/>
  <c r="T38" i="9"/>
  <c r="S30" i="9"/>
  <c r="S41" i="9"/>
  <c r="J39" i="13"/>
  <c r="J29" i="13"/>
  <c r="M37" i="13"/>
  <c r="L29" i="13"/>
  <c r="K40" i="13"/>
  <c r="M40" i="13"/>
  <c r="K37" i="13"/>
  <c r="M39" i="13"/>
  <c r="L40" i="13"/>
  <c r="J40" i="13"/>
  <c r="L72" i="15" s="1"/>
  <c r="L39" i="13"/>
  <c r="J37" i="13"/>
  <c r="L37" i="13"/>
  <c r="M29" i="13"/>
  <c r="K39" i="13"/>
  <c r="K29" i="13"/>
  <c r="L30" i="9"/>
  <c r="L41" i="9"/>
  <c r="M30" i="9"/>
  <c r="M38" i="9"/>
  <c r="L38" i="9"/>
  <c r="J40" i="9"/>
  <c r="J41" i="9"/>
  <c r="J30" i="9"/>
  <c r="K40" i="9"/>
  <c r="K38" i="9"/>
  <c r="J38" i="9"/>
  <c r="H69" i="15" s="1"/>
  <c r="M41" i="9"/>
  <c r="K41" i="9"/>
  <c r="L40" i="9"/>
  <c r="M40" i="9"/>
  <c r="K30" i="9"/>
  <c r="O41" i="11"/>
  <c r="O30" i="11"/>
  <c r="Q30" i="11"/>
  <c r="P40" i="11"/>
  <c r="N30" i="11"/>
  <c r="O40" i="11"/>
  <c r="Q38" i="11"/>
  <c r="Q40" i="11"/>
  <c r="O38" i="11"/>
  <c r="P30" i="11"/>
  <c r="N41" i="11"/>
  <c r="Q41" i="11"/>
  <c r="P41" i="11"/>
  <c r="N38" i="11"/>
  <c r="N40" i="11"/>
  <c r="J113" i="15" s="1"/>
  <c r="P38" i="11"/>
  <c r="Q40" i="13"/>
  <c r="N40" i="13"/>
  <c r="Q37" i="13"/>
  <c r="P37" i="13"/>
  <c r="Q39" i="13"/>
  <c r="Q29" i="13"/>
  <c r="O37" i="13"/>
  <c r="P40" i="13"/>
  <c r="N37" i="13"/>
  <c r="O40" i="13"/>
  <c r="P29" i="13"/>
  <c r="P39" i="13"/>
  <c r="O39" i="13"/>
  <c r="N39" i="13"/>
  <c r="N29" i="13"/>
  <c r="O29" i="13"/>
  <c r="U30" i="10"/>
  <c r="R40" i="10"/>
  <c r="U38" i="10"/>
  <c r="S38" i="10"/>
  <c r="U41" i="10"/>
  <c r="S40" i="10"/>
  <c r="U40" i="10"/>
  <c r="R38" i="10"/>
  <c r="S41" i="10"/>
  <c r="R30" i="10"/>
  <c r="T38" i="10"/>
  <c r="T40" i="10"/>
  <c r="S30" i="10"/>
  <c r="R41" i="10"/>
  <c r="T41" i="10"/>
  <c r="T30" i="10"/>
  <c r="N40" i="6"/>
  <c r="O30" i="6"/>
  <c r="O41" i="6"/>
  <c r="P38" i="6"/>
  <c r="Q41" i="6"/>
  <c r="N30" i="6"/>
  <c r="O38" i="6"/>
  <c r="Q30" i="6"/>
  <c r="P41" i="6"/>
  <c r="P40" i="6"/>
  <c r="N38" i="6"/>
  <c r="Q38" i="6"/>
  <c r="N41" i="6"/>
  <c r="E114" i="15" s="1"/>
  <c r="P30" i="6"/>
  <c r="O40" i="6"/>
  <c r="Q40" i="6"/>
  <c r="U38" i="11"/>
  <c r="R41" i="11"/>
  <c r="T30" i="11"/>
  <c r="U41" i="11"/>
  <c r="S30" i="11"/>
  <c r="T40" i="11"/>
  <c r="R40" i="11"/>
  <c r="T41" i="11"/>
  <c r="R30" i="11"/>
  <c r="S40" i="11"/>
  <c r="S38" i="11"/>
  <c r="S41" i="11"/>
  <c r="U40" i="11"/>
  <c r="R38" i="11"/>
  <c r="T38" i="11"/>
  <c r="U30" i="11"/>
  <c r="L38" i="10"/>
  <c r="J41" i="10"/>
  <c r="K38" i="10"/>
  <c r="J30" i="10"/>
  <c r="L41" i="10"/>
  <c r="J40" i="10"/>
  <c r="M40" i="10"/>
  <c r="K41" i="10"/>
  <c r="M41" i="10"/>
  <c r="M38" i="10"/>
  <c r="K30" i="10"/>
  <c r="L30" i="10"/>
  <c r="J38" i="10"/>
  <c r="I69" i="15" s="1"/>
  <c r="L40" i="10"/>
  <c r="M30" i="10"/>
  <c r="K40" i="10"/>
  <c r="P36" i="7"/>
  <c r="Q36" i="7"/>
  <c r="O36" i="7"/>
  <c r="R36" i="7"/>
  <c r="I36" i="7"/>
  <c r="H39" i="7"/>
  <c r="H36" i="7"/>
  <c r="G39" i="7"/>
  <c r="G36" i="7"/>
  <c r="I35" i="7"/>
  <c r="E39" i="7"/>
  <c r="F36" i="7"/>
  <c r="G35" i="7"/>
  <c r="U36" i="7"/>
  <c r="E36" i="7"/>
  <c r="F24" i="15" s="1"/>
  <c r="E35" i="7"/>
  <c r="T36" i="7"/>
  <c r="S36" i="7"/>
  <c r="N36" i="7"/>
  <c r="I39" i="7"/>
  <c r="E12" i="7"/>
  <c r="F35" i="7"/>
  <c r="F39" i="7"/>
  <c r="H35" i="7"/>
  <c r="E49" i="7"/>
  <c r="E48" i="7"/>
  <c r="E51" i="7"/>
  <c r="I33" i="7"/>
  <c r="G33" i="7"/>
  <c r="H33" i="7"/>
  <c r="F33" i="7"/>
  <c r="E33" i="7"/>
  <c r="F21" i="15" s="1"/>
  <c r="K40" i="6"/>
  <c r="L30" i="6"/>
  <c r="K38" i="6"/>
  <c r="J38" i="6"/>
  <c r="K41" i="6"/>
  <c r="M41" i="6"/>
  <c r="M38" i="6"/>
  <c r="L38" i="6"/>
  <c r="L40" i="6"/>
  <c r="J41" i="6"/>
  <c r="L41" i="6"/>
  <c r="M30" i="6"/>
  <c r="J40" i="6"/>
  <c r="J30" i="6"/>
  <c r="K30" i="6"/>
  <c r="M40" i="6"/>
  <c r="P38" i="7"/>
  <c r="N40" i="7"/>
  <c r="O40" i="7"/>
  <c r="P41" i="7"/>
  <c r="O41" i="7"/>
  <c r="O30" i="7"/>
  <c r="N30" i="7"/>
  <c r="O38" i="7"/>
  <c r="P30" i="7"/>
  <c r="Q41" i="7"/>
  <c r="Q40" i="7"/>
  <c r="Q30" i="7"/>
  <c r="N38" i="7"/>
  <c r="Q38" i="7"/>
  <c r="N41" i="7"/>
  <c r="F114" i="15" s="1"/>
  <c r="P40" i="7"/>
  <c r="T35" i="13"/>
  <c r="H38" i="13"/>
  <c r="G38" i="13"/>
  <c r="I34" i="13"/>
  <c r="H34" i="13"/>
  <c r="F34" i="13"/>
  <c r="N35" i="13"/>
  <c r="I38" i="13"/>
  <c r="G34" i="13"/>
  <c r="E38" i="13"/>
  <c r="O35" i="13"/>
  <c r="E34" i="13"/>
  <c r="Q35" i="13"/>
  <c r="E12" i="13"/>
  <c r="E35" i="13"/>
  <c r="H35" i="13"/>
  <c r="G35" i="13"/>
  <c r="F38" i="13"/>
  <c r="F35" i="13"/>
  <c r="P35" i="13"/>
  <c r="R35" i="13"/>
  <c r="I35" i="13"/>
  <c r="S35" i="13"/>
  <c r="U35" i="13"/>
  <c r="E47" i="13"/>
  <c r="E48" i="13"/>
  <c r="E50" i="13"/>
  <c r="H32" i="13"/>
  <c r="I32" i="13"/>
  <c r="E32" i="13"/>
  <c r="G32" i="13"/>
  <c r="F32" i="13"/>
  <c r="M41" i="5"/>
  <c r="K38" i="5"/>
  <c r="M38" i="5"/>
  <c r="J40" i="5"/>
  <c r="K30" i="5"/>
  <c r="J38" i="5"/>
  <c r="M30" i="5"/>
  <c r="M40" i="5"/>
  <c r="L41" i="5"/>
  <c r="J41" i="5"/>
  <c r="L30" i="5"/>
  <c r="L40" i="5"/>
  <c r="K40" i="5"/>
  <c r="K41" i="5"/>
  <c r="J30" i="5"/>
  <c r="D60" i="15" s="1"/>
  <c r="D67" i="15" s="1"/>
  <c r="L38" i="5"/>
  <c r="N40" i="12"/>
  <c r="N30" i="12"/>
  <c r="P38" i="12"/>
  <c r="P30" i="12"/>
  <c r="O38" i="12"/>
  <c r="Q30" i="12"/>
  <c r="Q38" i="12"/>
  <c r="P41" i="12"/>
  <c r="N38" i="12"/>
  <c r="K111" i="15" s="1"/>
  <c r="Q41" i="12"/>
  <c r="Q40" i="12"/>
  <c r="P40" i="12"/>
  <c r="N41" i="12"/>
  <c r="O30" i="12"/>
  <c r="O41" i="12"/>
  <c r="O40" i="12"/>
  <c r="K38" i="11"/>
  <c r="L40" i="11"/>
  <c r="M30" i="11"/>
  <c r="K30" i="11"/>
  <c r="L38" i="11"/>
  <c r="M40" i="11"/>
  <c r="L41" i="11"/>
  <c r="M38" i="11"/>
  <c r="J40" i="11"/>
  <c r="L30" i="11"/>
  <c r="J38" i="11"/>
  <c r="J69" i="15" s="1"/>
  <c r="J30" i="11"/>
  <c r="J60" i="15" s="1"/>
  <c r="J67" i="15" s="1"/>
  <c r="M41" i="11"/>
  <c r="J41" i="11"/>
  <c r="K40" i="11"/>
  <c r="K41" i="11"/>
  <c r="Q36" i="8"/>
  <c r="G35" i="8"/>
  <c r="F35" i="8"/>
  <c r="S36" i="8"/>
  <c r="R36" i="8"/>
  <c r="G36" i="8"/>
  <c r="F36" i="8"/>
  <c r="F39" i="8"/>
  <c r="P36" i="8"/>
  <c r="I35" i="8"/>
  <c r="N36" i="8"/>
  <c r="E35" i="8"/>
  <c r="I36" i="8"/>
  <c r="I39" i="8"/>
  <c r="E36" i="8"/>
  <c r="U36" i="8"/>
  <c r="G39" i="8"/>
  <c r="O36" i="8"/>
  <c r="T36" i="8"/>
  <c r="H35" i="8"/>
  <c r="E39" i="8"/>
  <c r="H39" i="8"/>
  <c r="H36" i="8"/>
  <c r="E49" i="8"/>
  <c r="E12" i="8"/>
  <c r="E48" i="8"/>
  <c r="E51" i="8"/>
  <c r="I33" i="8"/>
  <c r="F33" i="8"/>
  <c r="H33" i="8"/>
  <c r="G33" i="8"/>
  <c r="E33" i="8"/>
  <c r="G21" i="15" s="1"/>
  <c r="H35" i="5"/>
  <c r="E35" i="5"/>
  <c r="I35" i="5"/>
  <c r="G39" i="5"/>
  <c r="F36" i="5"/>
  <c r="I39" i="5"/>
  <c r="E36" i="5"/>
  <c r="I36" i="5"/>
  <c r="H39" i="5"/>
  <c r="E39" i="5"/>
  <c r="G36" i="5"/>
  <c r="E12" i="5"/>
  <c r="F35" i="5"/>
  <c r="H36" i="5"/>
  <c r="F39" i="5"/>
  <c r="G35" i="5"/>
  <c r="E49" i="5"/>
  <c r="E48" i="5"/>
  <c r="E51" i="5"/>
  <c r="E33" i="5"/>
  <c r="I33" i="5"/>
  <c r="H33" i="5"/>
  <c r="G33" i="5"/>
  <c r="F33" i="5"/>
  <c r="G39" i="11"/>
  <c r="E39" i="11"/>
  <c r="T36" i="11"/>
  <c r="E36" i="11"/>
  <c r="F35" i="11"/>
  <c r="I35" i="11"/>
  <c r="F39" i="11"/>
  <c r="O36" i="11"/>
  <c r="R36" i="11"/>
  <c r="H36" i="11"/>
  <c r="G35" i="11"/>
  <c r="S36" i="11"/>
  <c r="I39" i="11"/>
  <c r="F36" i="11"/>
  <c r="P36" i="11"/>
  <c r="I36" i="11"/>
  <c r="H39" i="11"/>
  <c r="N36" i="11"/>
  <c r="U36" i="11"/>
  <c r="H35" i="11"/>
  <c r="E35" i="11"/>
  <c r="G36" i="11"/>
  <c r="Q36" i="11"/>
  <c r="E12" i="11"/>
  <c r="E49" i="11"/>
  <c r="E48" i="11"/>
  <c r="E51" i="11"/>
  <c r="E33" i="11"/>
  <c r="H33" i="11"/>
  <c r="I33" i="11"/>
  <c r="F33" i="11"/>
  <c r="G33" i="11"/>
  <c r="J38" i="8"/>
  <c r="K40" i="8"/>
  <c r="M38" i="8"/>
  <c r="M30" i="8"/>
  <c r="K41" i="8"/>
  <c r="M40" i="8"/>
  <c r="J41" i="8"/>
  <c r="K30" i="8"/>
  <c r="L30" i="8"/>
  <c r="L40" i="8"/>
  <c r="J40" i="8"/>
  <c r="G71" i="15" s="1"/>
  <c r="M41" i="8"/>
  <c r="L38" i="8"/>
  <c r="J30" i="8"/>
  <c r="G60" i="15" s="1"/>
  <c r="G67" i="15" s="1"/>
  <c r="K38" i="8"/>
  <c r="L41" i="8"/>
  <c r="O40" i="9"/>
  <c r="Q38" i="9"/>
  <c r="P41" i="9"/>
  <c r="N40" i="9"/>
  <c r="Q41" i="9"/>
  <c r="N30" i="9"/>
  <c r="N38" i="9"/>
  <c r="O41" i="9"/>
  <c r="O38" i="9"/>
  <c r="P40" i="9"/>
  <c r="Q40" i="9"/>
  <c r="Q30" i="9"/>
  <c r="P38" i="9"/>
  <c r="O30" i="9"/>
  <c r="P30" i="9"/>
  <c r="N41" i="9"/>
  <c r="H114" i="15" s="1"/>
  <c r="G39" i="10"/>
  <c r="H39" i="10"/>
  <c r="F39" i="10"/>
  <c r="E39" i="10"/>
  <c r="U36" i="10"/>
  <c r="S36" i="10"/>
  <c r="S43" i="10" s="1"/>
  <c r="S44" i="10" s="1"/>
  <c r="F35" i="10"/>
  <c r="I36" i="10"/>
  <c r="E36" i="10"/>
  <c r="T36" i="10"/>
  <c r="E12" i="10"/>
  <c r="E35" i="10"/>
  <c r="G35" i="10"/>
  <c r="N36" i="10"/>
  <c r="H35" i="10"/>
  <c r="I39" i="10"/>
  <c r="R36" i="10"/>
  <c r="I150" i="15" s="1"/>
  <c r="G36" i="10"/>
  <c r="O36" i="10"/>
  <c r="I35" i="10"/>
  <c r="Q36" i="10"/>
  <c r="P36" i="10"/>
  <c r="H36" i="10"/>
  <c r="F36" i="10"/>
  <c r="E49" i="10"/>
  <c r="E48" i="10"/>
  <c r="E51" i="10"/>
  <c r="E33" i="10"/>
  <c r="F33" i="10"/>
  <c r="G33" i="10"/>
  <c r="H33" i="10"/>
  <c r="I33" i="10"/>
  <c r="P38" i="8"/>
  <c r="O38" i="8"/>
  <c r="P30" i="8"/>
  <c r="Q40" i="8"/>
  <c r="O30" i="8"/>
  <c r="N38" i="8"/>
  <c r="Q30" i="8"/>
  <c r="N40" i="8"/>
  <c r="P40" i="8"/>
  <c r="P41" i="8"/>
  <c r="O40" i="8"/>
  <c r="Q41" i="8"/>
  <c r="N30" i="8"/>
  <c r="G102" i="15" s="1"/>
  <c r="N41" i="8"/>
  <c r="O41" i="8"/>
  <c r="Q38" i="8"/>
  <c r="J40" i="12"/>
  <c r="M41" i="12"/>
  <c r="J38" i="12"/>
  <c r="K40" i="12"/>
  <c r="L38" i="12"/>
  <c r="K30" i="12"/>
  <c r="J41" i="12"/>
  <c r="J30" i="12"/>
  <c r="K38" i="12"/>
  <c r="M30" i="12"/>
  <c r="L30" i="12"/>
  <c r="L41" i="12"/>
  <c r="L40" i="12"/>
  <c r="M38" i="12"/>
  <c r="K41" i="12"/>
  <c r="M40" i="12"/>
  <c r="L38" i="7"/>
  <c r="M41" i="7"/>
  <c r="L40" i="7"/>
  <c r="J38" i="7"/>
  <c r="J41" i="7"/>
  <c r="J30" i="7"/>
  <c r="M38" i="7"/>
  <c r="K30" i="7"/>
  <c r="M30" i="7"/>
  <c r="K41" i="7"/>
  <c r="K40" i="7"/>
  <c r="L41" i="7"/>
  <c r="L30" i="7"/>
  <c r="L43" i="7" s="1"/>
  <c r="L44" i="7" s="1"/>
  <c r="M40" i="7"/>
  <c r="J40" i="7"/>
  <c r="F71" i="15" s="1"/>
  <c r="K38" i="7"/>
  <c r="R38" i="8"/>
  <c r="R41" i="8"/>
  <c r="S30" i="8"/>
  <c r="T38" i="8"/>
  <c r="R40" i="8"/>
  <c r="U38" i="8"/>
  <c r="S41" i="8"/>
  <c r="R30" i="8"/>
  <c r="T41" i="8"/>
  <c r="U30" i="8"/>
  <c r="T40" i="8"/>
  <c r="S38" i="8"/>
  <c r="U40" i="8"/>
  <c r="T30" i="8"/>
  <c r="U41" i="8"/>
  <c r="S40" i="8"/>
  <c r="U43" i="7"/>
  <c r="U44" i="7" s="1"/>
  <c r="I108" i="15" l="1"/>
  <c r="J108" i="15"/>
  <c r="G150" i="15"/>
  <c r="L150" i="15"/>
  <c r="L108" i="15"/>
  <c r="F150" i="15"/>
  <c r="H108" i="15"/>
  <c r="H150" i="15"/>
  <c r="F151" i="15"/>
  <c r="K108" i="15"/>
  <c r="K150" i="15"/>
  <c r="J150" i="15"/>
  <c r="K156" i="15"/>
  <c r="J144" i="15"/>
  <c r="K144" i="15"/>
  <c r="K155" i="15"/>
  <c r="K153" i="15"/>
  <c r="K157" i="15" s="1"/>
  <c r="L111" i="15"/>
  <c r="L153" i="15"/>
  <c r="L155" i="15"/>
  <c r="L144" i="15"/>
  <c r="L151" i="15" s="1"/>
  <c r="L156" i="15"/>
  <c r="J153" i="15"/>
  <c r="J155" i="15"/>
  <c r="J156" i="15"/>
  <c r="I156" i="15"/>
  <c r="I144" i="15"/>
  <c r="I151" i="15" s="1"/>
  <c r="I153" i="15"/>
  <c r="I155" i="15"/>
  <c r="H155" i="15"/>
  <c r="H153" i="15"/>
  <c r="H156" i="15"/>
  <c r="H144" i="15"/>
  <c r="H151" i="15" s="1"/>
  <c r="G144" i="15"/>
  <c r="G155" i="15"/>
  <c r="G156" i="15"/>
  <c r="G153" i="15"/>
  <c r="G157" i="15" s="1"/>
  <c r="F155" i="15"/>
  <c r="F167" i="15"/>
  <c r="F152" i="15"/>
  <c r="F156" i="15"/>
  <c r="G114" i="15"/>
  <c r="G113" i="15"/>
  <c r="G111" i="15"/>
  <c r="G115" i="15" s="1"/>
  <c r="G126" i="15" s="1"/>
  <c r="H111" i="15"/>
  <c r="H102" i="15"/>
  <c r="H113" i="15"/>
  <c r="K114" i="15"/>
  <c r="K102" i="15"/>
  <c r="K109" i="15" s="1"/>
  <c r="K113" i="15"/>
  <c r="K115" i="15" s="1"/>
  <c r="K126" i="15" s="1"/>
  <c r="F111" i="15"/>
  <c r="F113" i="15"/>
  <c r="J102" i="15"/>
  <c r="J109" i="15" s="1"/>
  <c r="L102" i="15"/>
  <c r="L109" i="15" s="1"/>
  <c r="J111" i="15"/>
  <c r="J114" i="15"/>
  <c r="I113" i="15"/>
  <c r="I114" i="15"/>
  <c r="I102" i="15"/>
  <c r="I109" i="15" s="1"/>
  <c r="L113" i="15"/>
  <c r="L114" i="15"/>
  <c r="G108" i="15"/>
  <c r="G109" i="15" s="1"/>
  <c r="F102" i="15"/>
  <c r="F109" i="15" s="1"/>
  <c r="G125" i="15"/>
  <c r="G127" i="15"/>
  <c r="G110" i="15"/>
  <c r="G116" i="15" s="1"/>
  <c r="H109" i="15"/>
  <c r="E111" i="15"/>
  <c r="E102" i="15"/>
  <c r="E109" i="15" s="1"/>
  <c r="E113" i="15"/>
  <c r="E110" i="15"/>
  <c r="F72" i="15"/>
  <c r="F69" i="15"/>
  <c r="F73" i="15" s="1"/>
  <c r="F84" i="15" s="1"/>
  <c r="K60" i="15"/>
  <c r="K67" i="15" s="1"/>
  <c r="K72" i="15"/>
  <c r="K69" i="15"/>
  <c r="K71" i="15"/>
  <c r="G83" i="15"/>
  <c r="G68" i="15"/>
  <c r="G72" i="15"/>
  <c r="G69" i="15"/>
  <c r="G73" i="15" s="1"/>
  <c r="J72" i="15"/>
  <c r="J83" i="15"/>
  <c r="J68" i="15"/>
  <c r="J71" i="15"/>
  <c r="J73" i="15" s="1"/>
  <c r="D68" i="15"/>
  <c r="D83" i="15"/>
  <c r="I71" i="15"/>
  <c r="I60" i="15"/>
  <c r="I67" i="15" s="1"/>
  <c r="I72" i="15"/>
  <c r="H60" i="15"/>
  <c r="H67" i="15" s="1"/>
  <c r="H60" i="9"/>
  <c r="H72" i="15"/>
  <c r="H71" i="15"/>
  <c r="H73" i="15" s="1"/>
  <c r="H84" i="15" s="1"/>
  <c r="L69" i="15"/>
  <c r="L60" i="15"/>
  <c r="L67" i="15" s="1"/>
  <c r="L71" i="15"/>
  <c r="C59" i="15"/>
  <c r="C82" i="15"/>
  <c r="L68" i="15"/>
  <c r="I24" i="15"/>
  <c r="I28" i="15"/>
  <c r="J24" i="15"/>
  <c r="J28" i="15"/>
  <c r="D28" i="15"/>
  <c r="D24" i="15"/>
  <c r="G28" i="15"/>
  <c r="G24" i="15"/>
  <c r="L24" i="15"/>
  <c r="L28" i="15"/>
  <c r="F28" i="15"/>
  <c r="C28" i="15"/>
  <c r="H28" i="15"/>
  <c r="H24" i="15"/>
  <c r="E24" i="15"/>
  <c r="K28" i="15"/>
  <c r="C17" i="15"/>
  <c r="C40" i="15"/>
  <c r="E40" i="15"/>
  <c r="E17" i="15"/>
  <c r="K40" i="15"/>
  <c r="K17" i="15"/>
  <c r="H40" i="15"/>
  <c r="H17" i="15"/>
  <c r="D40" i="15"/>
  <c r="D17" i="15"/>
  <c r="I40" i="15"/>
  <c r="I17" i="15"/>
  <c r="J40" i="15"/>
  <c r="J17" i="15"/>
  <c r="G40" i="15"/>
  <c r="G17" i="15"/>
  <c r="L40" i="15"/>
  <c r="L17" i="15"/>
  <c r="F40" i="15"/>
  <c r="F17" i="15"/>
  <c r="F60" i="15"/>
  <c r="F67" i="15" s="1"/>
  <c r="I21" i="15"/>
  <c r="J21" i="15"/>
  <c r="D21" i="15"/>
  <c r="L21" i="15"/>
  <c r="C21" i="15"/>
  <c r="E21" i="15"/>
  <c r="K21" i="15"/>
  <c r="E60" i="15"/>
  <c r="E67" i="15" s="1"/>
  <c r="E71" i="15"/>
  <c r="E72" i="15"/>
  <c r="E69" i="15"/>
  <c r="E73" i="15" s="1"/>
  <c r="E84" i="15" s="1"/>
  <c r="D72" i="15"/>
  <c r="D69" i="15"/>
  <c r="D71" i="15"/>
  <c r="M43" i="7"/>
  <c r="M44" i="7" s="1"/>
  <c r="K43" i="5"/>
  <c r="K44" i="5" s="1"/>
  <c r="T43" i="9"/>
  <c r="T44" i="9" s="1"/>
  <c r="Q43" i="10"/>
  <c r="Q44" i="10" s="1"/>
  <c r="K42" i="13"/>
  <c r="K43" i="13" s="1"/>
  <c r="R43" i="8"/>
  <c r="R44" i="8" s="1"/>
  <c r="O43" i="11"/>
  <c r="O44" i="11" s="1"/>
  <c r="U43" i="11"/>
  <c r="U44" i="11" s="1"/>
  <c r="J42" i="13"/>
  <c r="J43" i="13" s="1"/>
  <c r="R43" i="9"/>
  <c r="R44" i="9" s="1"/>
  <c r="R43" i="12"/>
  <c r="R44" i="12" s="1"/>
  <c r="N43" i="10"/>
  <c r="N44" i="10" s="1"/>
  <c r="L43" i="12"/>
  <c r="L44" i="12" s="1"/>
  <c r="O43" i="8"/>
  <c r="O44" i="8" s="1"/>
  <c r="R42" i="13"/>
  <c r="R43" i="13" s="1"/>
  <c r="P43" i="11"/>
  <c r="P44" i="11" s="1"/>
  <c r="R43" i="10"/>
  <c r="R44" i="10" s="1"/>
  <c r="T43" i="12"/>
  <c r="T44" i="12" s="1"/>
  <c r="T42" i="13"/>
  <c r="T43" i="13" s="1"/>
  <c r="S43" i="7"/>
  <c r="S44" i="7" s="1"/>
  <c r="O43" i="6"/>
  <c r="O44" i="6" s="1"/>
  <c r="U43" i="10"/>
  <c r="U44" i="10" s="1"/>
  <c r="P42" i="13"/>
  <c r="P43" i="13" s="1"/>
  <c r="Q43" i="11"/>
  <c r="Q44" i="11" s="1"/>
  <c r="S43" i="8"/>
  <c r="S44" i="8" s="1"/>
  <c r="M43" i="11"/>
  <c r="M44" i="11" s="1"/>
  <c r="Q43" i="12"/>
  <c r="Q44" i="12" s="1"/>
  <c r="M43" i="10"/>
  <c r="M44" i="10" s="1"/>
  <c r="Q43" i="6"/>
  <c r="Q44" i="6" s="1"/>
  <c r="T43" i="10"/>
  <c r="T44" i="10" s="1"/>
  <c r="P43" i="12"/>
  <c r="P44" i="12" s="1"/>
  <c r="K43" i="12"/>
  <c r="K44" i="12" s="1"/>
  <c r="J43" i="8"/>
  <c r="J44" i="8" s="1"/>
  <c r="M43" i="5"/>
  <c r="M44" i="5" s="1"/>
  <c r="U43" i="8"/>
  <c r="U44" i="8" s="1"/>
  <c r="N43" i="12"/>
  <c r="N44" i="12" s="1"/>
  <c r="L43" i="11"/>
  <c r="L44" i="11" s="1"/>
  <c r="J43" i="9"/>
  <c r="J44" i="9" s="1"/>
  <c r="S43" i="12"/>
  <c r="S44" i="12" s="1"/>
  <c r="K43" i="7"/>
  <c r="K44" i="7" s="1"/>
  <c r="J43" i="12"/>
  <c r="J44" i="12" s="1"/>
  <c r="Q43" i="8"/>
  <c r="Q44" i="8" s="1"/>
  <c r="N43" i="9"/>
  <c r="N44" i="9" s="1"/>
  <c r="K43" i="6"/>
  <c r="K44" i="6" s="1"/>
  <c r="R43" i="11"/>
  <c r="R44" i="11" s="1"/>
  <c r="P43" i="6"/>
  <c r="P44" i="6" s="1"/>
  <c r="N43" i="11"/>
  <c r="N44" i="11" s="1"/>
  <c r="J43" i="6"/>
  <c r="J44" i="6" s="1"/>
  <c r="L43" i="6"/>
  <c r="L44" i="6" s="1"/>
  <c r="J43" i="10"/>
  <c r="J44" i="10" s="1"/>
  <c r="T43" i="11"/>
  <c r="T44" i="11" s="1"/>
  <c r="N43" i="6"/>
  <c r="N44" i="6" s="1"/>
  <c r="U43" i="9"/>
  <c r="U44" i="9" s="1"/>
  <c r="S43" i="9"/>
  <c r="S44" i="9" s="1"/>
  <c r="L43" i="8"/>
  <c r="L44" i="8" s="1"/>
  <c r="P43" i="7"/>
  <c r="P44" i="7" s="1"/>
  <c r="K43" i="9"/>
  <c r="K44" i="9" s="1"/>
  <c r="M43" i="9"/>
  <c r="M44" i="9" s="1"/>
  <c r="J43" i="5"/>
  <c r="J44" i="5" s="1"/>
  <c r="M43" i="6"/>
  <c r="M44" i="6" s="1"/>
  <c r="U43" i="12"/>
  <c r="U44" i="12" s="1"/>
  <c r="P43" i="8"/>
  <c r="P44" i="8" s="1"/>
  <c r="P43" i="9"/>
  <c r="P44" i="9" s="1"/>
  <c r="K43" i="11"/>
  <c r="K44" i="11" s="1"/>
  <c r="N43" i="7"/>
  <c r="N44" i="7" s="1"/>
  <c r="Q43" i="7"/>
  <c r="Q44" i="7" s="1"/>
  <c r="T43" i="8"/>
  <c r="T44" i="8" s="1"/>
  <c r="J43" i="7"/>
  <c r="J44" i="7" s="1"/>
  <c r="M43" i="12"/>
  <c r="M44" i="12" s="1"/>
  <c r="O43" i="9"/>
  <c r="O44" i="9" s="1"/>
  <c r="Q42" i="13"/>
  <c r="Q43" i="13" s="1"/>
  <c r="O43" i="7"/>
  <c r="O44" i="7" s="1"/>
  <c r="L43" i="10"/>
  <c r="L44" i="10" s="1"/>
  <c r="L43" i="9"/>
  <c r="L44" i="9" s="1"/>
  <c r="O43" i="12"/>
  <c r="O44" i="12" s="1"/>
  <c r="U42" i="13"/>
  <c r="U43" i="13" s="1"/>
  <c r="K43" i="10"/>
  <c r="K44" i="10" s="1"/>
  <c r="O42" i="13"/>
  <c r="O43" i="13" s="1"/>
  <c r="L42" i="13"/>
  <c r="L43" i="13" s="1"/>
  <c r="O43" i="10"/>
  <c r="O44" i="10" s="1"/>
  <c r="P43" i="10"/>
  <c r="P44" i="10" s="1"/>
  <c r="R43" i="7"/>
  <c r="R44" i="7" s="1"/>
  <c r="AD25" i="13"/>
  <c r="Q43" i="9"/>
  <c r="Q44" i="9" s="1"/>
  <c r="S43" i="11"/>
  <c r="S44" i="11" s="1"/>
  <c r="L43" i="5"/>
  <c r="L44" i="5" s="1"/>
  <c r="S42" i="13"/>
  <c r="S43" i="13" s="1"/>
  <c r="N42" i="13"/>
  <c r="N43" i="13" s="1"/>
  <c r="T43" i="7"/>
  <c r="T44" i="7" s="1"/>
  <c r="N43" i="8"/>
  <c r="N44" i="8" s="1"/>
  <c r="K43" i="8"/>
  <c r="K44" i="8" s="1"/>
  <c r="M43" i="8"/>
  <c r="M44" i="8" s="1"/>
  <c r="J43" i="11"/>
  <c r="J44" i="11" s="1"/>
  <c r="AH20" i="13"/>
  <c r="M42" i="13"/>
  <c r="M43" i="13" s="1"/>
  <c r="E41" i="7"/>
  <c r="I40" i="7"/>
  <c r="H38" i="7"/>
  <c r="G38" i="7"/>
  <c r="F30" i="7"/>
  <c r="G30" i="7"/>
  <c r="G41" i="7"/>
  <c r="H30" i="7"/>
  <c r="I38" i="7"/>
  <c r="I30" i="7"/>
  <c r="E30" i="7"/>
  <c r="F18" i="15" s="1"/>
  <c r="F25" i="15" s="1"/>
  <c r="F40" i="7"/>
  <c r="E40" i="7"/>
  <c r="G40" i="7"/>
  <c r="F41" i="7"/>
  <c r="E38" i="7"/>
  <c r="F38" i="7"/>
  <c r="H40" i="7"/>
  <c r="H41" i="7"/>
  <c r="I41" i="7"/>
  <c r="E30" i="6"/>
  <c r="H40" i="6"/>
  <c r="G30" i="6"/>
  <c r="F41" i="6"/>
  <c r="G40" i="6"/>
  <c r="G41" i="6"/>
  <c r="F30" i="6"/>
  <c r="I40" i="6"/>
  <c r="H41" i="6"/>
  <c r="F38" i="6"/>
  <c r="I30" i="6"/>
  <c r="H30" i="6"/>
  <c r="I41" i="6"/>
  <c r="G38" i="6"/>
  <c r="I38" i="6"/>
  <c r="H38" i="6"/>
  <c r="F40" i="6"/>
  <c r="E38" i="6"/>
  <c r="E27" i="15" s="1"/>
  <c r="E41" i="6"/>
  <c r="E30" i="15" s="1"/>
  <c r="E40" i="6"/>
  <c r="E29" i="15" s="1"/>
  <c r="I38" i="10"/>
  <c r="G30" i="10"/>
  <c r="H41" i="10"/>
  <c r="I30" i="10"/>
  <c r="E40" i="10"/>
  <c r="E38" i="10"/>
  <c r="E41" i="10"/>
  <c r="G38" i="10"/>
  <c r="H40" i="10"/>
  <c r="I41" i="10"/>
  <c r="G40" i="10"/>
  <c r="F38" i="10"/>
  <c r="G41" i="10"/>
  <c r="I40" i="10"/>
  <c r="H30" i="10"/>
  <c r="F40" i="10"/>
  <c r="F30" i="10"/>
  <c r="E30" i="10"/>
  <c r="I18" i="15" s="1"/>
  <c r="I25" i="15" s="1"/>
  <c r="F41" i="10"/>
  <c r="H38" i="10"/>
  <c r="E41" i="12"/>
  <c r="I40" i="12"/>
  <c r="E30" i="12"/>
  <c r="G40" i="12"/>
  <c r="F41" i="12"/>
  <c r="H38" i="12"/>
  <c r="F30" i="12"/>
  <c r="G38" i="12"/>
  <c r="H41" i="12"/>
  <c r="H30" i="12"/>
  <c r="I41" i="12"/>
  <c r="I30" i="12"/>
  <c r="G30" i="12"/>
  <c r="E38" i="12"/>
  <c r="F40" i="12"/>
  <c r="G41" i="12"/>
  <c r="F38" i="12"/>
  <c r="E40" i="12"/>
  <c r="H40" i="12"/>
  <c r="I38" i="12"/>
  <c r="E41" i="11"/>
  <c r="H30" i="11"/>
  <c r="E38" i="11"/>
  <c r="G41" i="11"/>
  <c r="I30" i="11"/>
  <c r="F38" i="11"/>
  <c r="I38" i="11"/>
  <c r="H40" i="11"/>
  <c r="H38" i="11"/>
  <c r="G40" i="11"/>
  <c r="H41" i="11"/>
  <c r="I40" i="11"/>
  <c r="F40" i="11"/>
  <c r="G30" i="11"/>
  <c r="E40" i="11"/>
  <c r="J29" i="15" s="1"/>
  <c r="I41" i="11"/>
  <c r="E30" i="11"/>
  <c r="F30" i="11"/>
  <c r="G38" i="11"/>
  <c r="F41" i="11"/>
  <c r="E38" i="8"/>
  <c r="I30" i="8"/>
  <c r="E40" i="8"/>
  <c r="F30" i="8"/>
  <c r="I41" i="8"/>
  <c r="E30" i="8"/>
  <c r="E41" i="8"/>
  <c r="F38" i="8"/>
  <c r="F40" i="8"/>
  <c r="H30" i="8"/>
  <c r="I40" i="8"/>
  <c r="H40" i="8"/>
  <c r="I38" i="8"/>
  <c r="G38" i="8"/>
  <c r="H41" i="8"/>
  <c r="G41" i="8"/>
  <c r="G40" i="8"/>
  <c r="G30" i="8"/>
  <c r="H38" i="8"/>
  <c r="F41" i="8"/>
  <c r="AD23" i="13"/>
  <c r="I40" i="5"/>
  <c r="H38" i="5"/>
  <c r="G38" i="5"/>
  <c r="F38" i="5"/>
  <c r="I41" i="5"/>
  <c r="E41" i="5"/>
  <c r="F40" i="5"/>
  <c r="I30" i="5"/>
  <c r="E38" i="5"/>
  <c r="H40" i="5"/>
  <c r="G30" i="5"/>
  <c r="G41" i="5"/>
  <c r="F41" i="5"/>
  <c r="I38" i="5"/>
  <c r="G40" i="5"/>
  <c r="H30" i="5"/>
  <c r="F30" i="5"/>
  <c r="H41" i="5"/>
  <c r="E40" i="5"/>
  <c r="D29" i="15" s="1"/>
  <c r="E30" i="5"/>
  <c r="D18" i="15" s="1"/>
  <c r="D25" i="15" s="1"/>
  <c r="E41" i="9"/>
  <c r="I41" i="9"/>
  <c r="G40" i="9"/>
  <c r="F38" i="9"/>
  <c r="G38" i="9"/>
  <c r="H40" i="9"/>
  <c r="I40" i="9"/>
  <c r="H38" i="9"/>
  <c r="F30" i="9"/>
  <c r="I38" i="9"/>
  <c r="F41" i="9"/>
  <c r="F40" i="9"/>
  <c r="E30" i="9"/>
  <c r="G41" i="9"/>
  <c r="H41" i="9"/>
  <c r="E40" i="9"/>
  <c r="H29" i="15" s="1"/>
  <c r="E38" i="9"/>
  <c r="H27" i="15" s="1"/>
  <c r="I30" i="9"/>
  <c r="G30" i="9"/>
  <c r="H30" i="9"/>
  <c r="AD26" i="13"/>
  <c r="E38" i="1"/>
  <c r="H40" i="1"/>
  <c r="H38" i="1"/>
  <c r="G41" i="1"/>
  <c r="G40" i="1"/>
  <c r="F40" i="1"/>
  <c r="I38" i="1"/>
  <c r="E40" i="1"/>
  <c r="F41" i="1"/>
  <c r="E41" i="1"/>
  <c r="I30" i="1"/>
  <c r="H30" i="1"/>
  <c r="G30" i="1"/>
  <c r="I40" i="1"/>
  <c r="F30" i="1"/>
  <c r="H41" i="1"/>
  <c r="E30" i="1"/>
  <c r="C18" i="15" s="1"/>
  <c r="C25" i="15" s="1"/>
  <c r="G38" i="1"/>
  <c r="I41" i="1"/>
  <c r="F38" i="1"/>
  <c r="I29" i="13"/>
  <c r="H39" i="13"/>
  <c r="H40" i="13"/>
  <c r="G39" i="13"/>
  <c r="G29" i="13"/>
  <c r="E37" i="13"/>
  <c r="F37" i="13"/>
  <c r="F29" i="13"/>
  <c r="E39" i="13"/>
  <c r="H37" i="13"/>
  <c r="I37" i="13"/>
  <c r="H29" i="13"/>
  <c r="G37" i="13"/>
  <c r="F39" i="13"/>
  <c r="I40" i="13"/>
  <c r="F40" i="13"/>
  <c r="E29" i="13"/>
  <c r="L18" i="15" s="1"/>
  <c r="L25" i="15" s="1"/>
  <c r="G40" i="13"/>
  <c r="I39" i="13"/>
  <c r="E40" i="13"/>
  <c r="L30" i="15" s="1"/>
  <c r="M38" i="1"/>
  <c r="K38" i="1"/>
  <c r="J41" i="1"/>
  <c r="J38" i="1"/>
  <c r="K41" i="1"/>
  <c r="L30" i="1"/>
  <c r="K30" i="1"/>
  <c r="L40" i="1"/>
  <c r="J30" i="1"/>
  <c r="L38" i="1"/>
  <c r="K40" i="1"/>
  <c r="L41" i="1"/>
  <c r="J40" i="1"/>
  <c r="M41" i="1"/>
  <c r="M40" i="1"/>
  <c r="M30" i="1"/>
  <c r="F157" i="15" l="1"/>
  <c r="G168" i="15"/>
  <c r="G158" i="15"/>
  <c r="G169" i="15"/>
  <c r="H157" i="15"/>
  <c r="H168" i="15" s="1"/>
  <c r="I157" i="15"/>
  <c r="I168" i="15" s="1"/>
  <c r="J157" i="15"/>
  <c r="L167" i="15"/>
  <c r="L152" i="15"/>
  <c r="L157" i="15"/>
  <c r="K168" i="15"/>
  <c r="K158" i="15"/>
  <c r="K169" i="15"/>
  <c r="I167" i="15"/>
  <c r="I152" i="15"/>
  <c r="I158" i="15" s="1"/>
  <c r="I169" i="15"/>
  <c r="H167" i="15"/>
  <c r="H152" i="15"/>
  <c r="H158" i="15" s="1"/>
  <c r="H169" i="15"/>
  <c r="E115" i="15"/>
  <c r="L115" i="15"/>
  <c r="L126" i="15" s="1"/>
  <c r="I125" i="15"/>
  <c r="I110" i="15"/>
  <c r="I115" i="15"/>
  <c r="J115" i="15"/>
  <c r="J126" i="15" s="1"/>
  <c r="L125" i="15"/>
  <c r="L110" i="15"/>
  <c r="L116" i="15" s="1"/>
  <c r="L127" i="15"/>
  <c r="J125" i="15"/>
  <c r="J110" i="15"/>
  <c r="J116" i="15" s="1"/>
  <c r="J127" i="15"/>
  <c r="F115" i="15"/>
  <c r="F126" i="15" s="1"/>
  <c r="K125" i="15"/>
  <c r="K110" i="15"/>
  <c r="K116" i="15" s="1"/>
  <c r="K127" i="15"/>
  <c r="H115" i="15"/>
  <c r="H126" i="15" s="1"/>
  <c r="H125" i="15"/>
  <c r="H110" i="15"/>
  <c r="H116" i="15" s="1"/>
  <c r="H127" i="15"/>
  <c r="F125" i="15"/>
  <c r="F127" i="15"/>
  <c r="F110" i="15"/>
  <c r="F116" i="15" s="1"/>
  <c r="E125" i="15"/>
  <c r="E127" i="15"/>
  <c r="E68" i="15"/>
  <c r="E83" i="15"/>
  <c r="E85" i="15"/>
  <c r="F68" i="15"/>
  <c r="F74" i="15" s="1"/>
  <c r="F83" i="15"/>
  <c r="F85" i="15"/>
  <c r="L83" i="15"/>
  <c r="L73" i="15"/>
  <c r="H83" i="15"/>
  <c r="H85" i="15"/>
  <c r="H68" i="15"/>
  <c r="H74" i="15" s="1"/>
  <c r="I83" i="15"/>
  <c r="I68" i="15"/>
  <c r="I73" i="15"/>
  <c r="J84" i="15"/>
  <c r="J85" i="15"/>
  <c r="J74" i="15"/>
  <c r="G84" i="15"/>
  <c r="G85" i="15"/>
  <c r="G74" i="15"/>
  <c r="K73" i="15"/>
  <c r="K84" i="15" s="1"/>
  <c r="K83" i="15"/>
  <c r="K85" i="15"/>
  <c r="K68" i="15"/>
  <c r="K74" i="15" s="1"/>
  <c r="E74" i="15"/>
  <c r="C71" i="15"/>
  <c r="C60" i="15"/>
  <c r="C67" i="15" s="1"/>
  <c r="C69" i="15"/>
  <c r="C72" i="15"/>
  <c r="L26" i="15"/>
  <c r="L41" i="15"/>
  <c r="C26" i="15"/>
  <c r="C41" i="15"/>
  <c r="H30" i="15"/>
  <c r="H31" i="15" s="1"/>
  <c r="H42" i="15" s="1"/>
  <c r="D26" i="15"/>
  <c r="D41" i="15"/>
  <c r="G30" i="15"/>
  <c r="G29" i="15"/>
  <c r="I26" i="15"/>
  <c r="I41" i="15"/>
  <c r="I30" i="15"/>
  <c r="I29" i="15"/>
  <c r="E31" i="15"/>
  <c r="E42" i="15" s="1"/>
  <c r="F29" i="15"/>
  <c r="F26" i="15"/>
  <c r="F41" i="15"/>
  <c r="F30" i="15"/>
  <c r="D73" i="15"/>
  <c r="L29" i="15"/>
  <c r="L27" i="15"/>
  <c r="L31" i="15" s="1"/>
  <c r="C30" i="15"/>
  <c r="C29" i="15"/>
  <c r="C27" i="15"/>
  <c r="C31" i="15" s="1"/>
  <c r="H18" i="15"/>
  <c r="H25" i="15" s="1"/>
  <c r="D27" i="15"/>
  <c r="D30" i="15"/>
  <c r="G18" i="15"/>
  <c r="G25" i="15" s="1"/>
  <c r="G27" i="15"/>
  <c r="G31" i="15" s="1"/>
  <c r="G42" i="15" s="1"/>
  <c r="J18" i="15"/>
  <c r="J25" i="15" s="1"/>
  <c r="J27" i="15"/>
  <c r="J30" i="15"/>
  <c r="K29" i="15"/>
  <c r="K27" i="15"/>
  <c r="G43" i="12"/>
  <c r="G44" i="12" s="1"/>
  <c r="K18" i="15"/>
  <c r="K25" i="15" s="1"/>
  <c r="K30" i="15"/>
  <c r="I27" i="15"/>
  <c r="I31" i="15" s="1"/>
  <c r="E18" i="15"/>
  <c r="E25" i="15" s="1"/>
  <c r="F27" i="15"/>
  <c r="F31" i="15" s="1"/>
  <c r="F32" i="15"/>
  <c r="I43" i="6"/>
  <c r="I44" i="6" s="1"/>
  <c r="G43" i="10"/>
  <c r="G44" i="10" s="1"/>
  <c r="F43" i="6"/>
  <c r="F44" i="6" s="1"/>
  <c r="M43" i="1"/>
  <c r="M44" i="1" s="1"/>
  <c r="F43" i="1"/>
  <c r="F44" i="1" s="1"/>
  <c r="F43" i="7"/>
  <c r="F44" i="7" s="1"/>
  <c r="G43" i="8"/>
  <c r="G44" i="8" s="1"/>
  <c r="G43" i="11"/>
  <c r="G44" i="11" s="1"/>
  <c r="H43" i="11"/>
  <c r="H44" i="11" s="1"/>
  <c r="E57" i="10"/>
  <c r="H43" i="6"/>
  <c r="H44" i="6" s="1"/>
  <c r="E52" i="11"/>
  <c r="I43" i="5"/>
  <c r="I44" i="5" s="1"/>
  <c r="F43" i="11"/>
  <c r="F44" i="11" s="1"/>
  <c r="F43" i="10"/>
  <c r="F44" i="10" s="1"/>
  <c r="K43" i="1"/>
  <c r="K44" i="1" s="1"/>
  <c r="G43" i="1"/>
  <c r="G44" i="1" s="1"/>
  <c r="I43" i="1"/>
  <c r="I44" i="1" s="1"/>
  <c r="AH22" i="13"/>
  <c r="I43" i="12"/>
  <c r="I44" i="12" s="1"/>
  <c r="G42" i="13"/>
  <c r="G43" i="13" s="1"/>
  <c r="E57" i="11"/>
  <c r="G43" i="6"/>
  <c r="G44" i="6" s="1"/>
  <c r="E52" i="10"/>
  <c r="L43" i="1"/>
  <c r="L44" i="1" s="1"/>
  <c r="F43" i="9"/>
  <c r="F44" i="9" s="1"/>
  <c r="E52" i="5"/>
  <c r="F43" i="8"/>
  <c r="F44" i="8" s="1"/>
  <c r="I43" i="10"/>
  <c r="I44" i="10" s="1"/>
  <c r="I43" i="7"/>
  <c r="I44" i="7" s="1"/>
  <c r="I42" i="13"/>
  <c r="I43" i="13" s="1"/>
  <c r="H43" i="9"/>
  <c r="H44" i="9" s="1"/>
  <c r="F43" i="12"/>
  <c r="F44" i="12" s="1"/>
  <c r="H43" i="10"/>
  <c r="H44" i="10" s="1"/>
  <c r="H43" i="7"/>
  <c r="H44" i="7" s="1"/>
  <c r="F43" i="5"/>
  <c r="F44" i="5" s="1"/>
  <c r="I43" i="8"/>
  <c r="I44" i="8" s="1"/>
  <c r="H43" i="12"/>
  <c r="H44" i="12" s="1"/>
  <c r="G43" i="7"/>
  <c r="G44" i="7" s="1"/>
  <c r="H42" i="13"/>
  <c r="H43" i="13" s="1"/>
  <c r="I43" i="9"/>
  <c r="I44" i="9" s="1"/>
  <c r="H43" i="5"/>
  <c r="H44" i="5" s="1"/>
  <c r="G43" i="9"/>
  <c r="G44" i="9" s="1"/>
  <c r="G43" i="5"/>
  <c r="G44" i="5" s="1"/>
  <c r="F42" i="13"/>
  <c r="F43" i="13" s="1"/>
  <c r="H43" i="8"/>
  <c r="H44" i="8" s="1"/>
  <c r="J43" i="1"/>
  <c r="J44" i="1" s="1"/>
  <c r="H43" i="1"/>
  <c r="H44" i="1" s="1"/>
  <c r="I43" i="11"/>
  <c r="I44" i="11" s="1"/>
  <c r="E52" i="8"/>
  <c r="E56" i="12"/>
  <c r="E43" i="12"/>
  <c r="E44" i="12" s="1"/>
  <c r="E53" i="12"/>
  <c r="E57" i="12"/>
  <c r="E57" i="7"/>
  <c r="E53" i="10"/>
  <c r="E56" i="10"/>
  <c r="E43" i="10"/>
  <c r="E44" i="10" s="1"/>
  <c r="E57" i="8"/>
  <c r="E52" i="12"/>
  <c r="E52" i="1"/>
  <c r="E57" i="9"/>
  <c r="E52" i="6"/>
  <c r="E43" i="8"/>
  <c r="E44" i="8" s="1"/>
  <c r="E53" i="8"/>
  <c r="E56" i="8"/>
  <c r="E51" i="13"/>
  <c r="AH21" i="13"/>
  <c r="E52" i="7"/>
  <c r="E56" i="5"/>
  <c r="E53" i="5"/>
  <c r="E43" i="5"/>
  <c r="E44" i="5" s="1"/>
  <c r="AD20" i="13"/>
  <c r="E52" i="13"/>
  <c r="E55" i="13"/>
  <c r="E42" i="13"/>
  <c r="E43" i="13" s="1"/>
  <c r="E57" i="6"/>
  <c r="E56" i="13"/>
  <c r="E56" i="1"/>
  <c r="E53" i="1"/>
  <c r="E43" i="1"/>
  <c r="E44" i="1" s="1"/>
  <c r="E43" i="11"/>
  <c r="E44" i="11" s="1"/>
  <c r="E53" i="11"/>
  <c r="E56" i="11"/>
  <c r="E43" i="7"/>
  <c r="E44" i="7" s="1"/>
  <c r="E53" i="7"/>
  <c r="E56" i="7"/>
  <c r="E57" i="1"/>
  <c r="E53" i="6"/>
  <c r="E43" i="6"/>
  <c r="E44" i="6" s="1"/>
  <c r="E56" i="6"/>
  <c r="E52" i="9"/>
  <c r="E53" i="9"/>
  <c r="E56" i="9"/>
  <c r="E43" i="9"/>
  <c r="E44" i="9" s="1"/>
  <c r="E57" i="5"/>
  <c r="L168" i="15" l="1"/>
  <c r="L169" i="15"/>
  <c r="L158" i="15"/>
  <c r="J168" i="15"/>
  <c r="J158" i="15"/>
  <c r="J169" i="15"/>
  <c r="F168" i="15"/>
  <c r="F169" i="15"/>
  <c r="F158" i="15"/>
  <c r="I126" i="15"/>
  <c r="I127" i="15"/>
  <c r="I116" i="15"/>
  <c r="E126" i="15"/>
  <c r="E116" i="15"/>
  <c r="D74" i="15"/>
  <c r="D84" i="15"/>
  <c r="D85" i="15"/>
  <c r="C68" i="15"/>
  <c r="C83" i="15"/>
  <c r="I84" i="15"/>
  <c r="I85" i="15"/>
  <c r="I74" i="15"/>
  <c r="L84" i="15"/>
  <c r="L74" i="15"/>
  <c r="L85" i="15"/>
  <c r="F42" i="15"/>
  <c r="F43" i="15"/>
  <c r="E26" i="15"/>
  <c r="E32" i="15" s="1"/>
  <c r="E41" i="15"/>
  <c r="E43" i="15"/>
  <c r="I32" i="15"/>
  <c r="I42" i="15"/>
  <c r="I43" i="15"/>
  <c r="K26" i="15"/>
  <c r="K41" i="15"/>
  <c r="J26" i="15"/>
  <c r="J41" i="15"/>
  <c r="G26" i="15"/>
  <c r="G41" i="15"/>
  <c r="G43" i="15"/>
  <c r="H26" i="15"/>
  <c r="H32" i="15" s="1"/>
  <c r="H41" i="15"/>
  <c r="H43" i="15"/>
  <c r="C32" i="15"/>
  <c r="C42" i="15"/>
  <c r="C43" i="15"/>
  <c r="L32" i="15"/>
  <c r="L42" i="15"/>
  <c r="L43" i="15"/>
  <c r="C73" i="15"/>
  <c r="C74" i="15"/>
  <c r="AA11" i="13"/>
  <c r="K31" i="15"/>
  <c r="J31" i="15"/>
  <c r="J32" i="15"/>
  <c r="G32" i="15"/>
  <c r="D31" i="15"/>
  <c r="U6" i="14" a="1"/>
  <c r="O6" i="14" a="1"/>
  <c r="V6" i="14" a="1"/>
  <c r="P6" i="14" a="1"/>
  <c r="P6" i="14"/>
  <c r="Q6" i="14" a="1"/>
  <c r="W6" i="14" a="1"/>
  <c r="R6" i="14" a="1"/>
  <c r="AA10" i="13"/>
  <c r="AA9" i="13"/>
  <c r="Z9" i="13"/>
  <c r="Z10" i="13"/>
  <c r="Z13" i="13"/>
  <c r="Z11" i="13"/>
  <c r="Z14" i="13"/>
  <c r="X6" i="14" a="1"/>
  <c r="Z12" i="13"/>
  <c r="T6" i="14" a="1"/>
  <c r="S6" i="14" a="1"/>
  <c r="Z15" i="13"/>
  <c r="C84" i="15" l="1"/>
  <c r="C85" i="15"/>
  <c r="D32" i="15"/>
  <c r="D42" i="15"/>
  <c r="D43" i="15"/>
  <c r="J42" i="15"/>
  <c r="J43" i="15"/>
  <c r="K32" i="15"/>
  <c r="K42" i="15"/>
  <c r="K43" i="15"/>
  <c r="V6" i="14"/>
  <c r="U6" i="14"/>
  <c r="O6" i="14"/>
  <c r="Y9" i="14"/>
  <c r="Q6" i="14"/>
  <c r="Y13" i="14"/>
  <c r="C24" i="14" s="1"/>
  <c r="R6" i="14"/>
  <c r="Y10" i="14"/>
  <c r="Y15" i="14"/>
  <c r="C26" i="14" s="1"/>
  <c r="T6" i="14"/>
  <c r="Y12" i="14"/>
  <c r="S6" i="14"/>
  <c r="Y7" i="14"/>
  <c r="X6" i="14"/>
  <c r="Y14" i="14"/>
  <c r="C25" i="14" s="1"/>
  <c r="W6" i="14"/>
  <c r="Y11" i="14"/>
  <c r="D25" i="14" l="1"/>
  <c r="D26" i="14"/>
  <c r="D24" i="14"/>
  <c r="Y6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13618102 Serena Putri Purnama Dagun</author>
  </authors>
  <commentList>
    <comment ref="D23" authorId="0" shapeId="0" xr:uid="{F50A3843-9A2F-43B9-9120-FBA2492A7017}">
      <text>
        <r>
          <rPr>
            <sz val="11"/>
            <color theme="1"/>
            <rFont val="Calibri"/>
            <family val="2"/>
            <scheme val="minor"/>
          </rPr>
          <t xml:space="preserve">13618102 Serena Putri Purnama Dagun:
 $14,100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<sst xmlns="http://schemas.openxmlformats.org/spreadsheetml/2006/main" count="2109" uniqueCount="324">
  <si>
    <t xml:space="preserve">Aglis Total Tonnage, limitor FF </t>
  </si>
  <si>
    <t>usd to idr</t>
  </si>
  <si>
    <t>ratio earned by airlines</t>
  </si>
  <si>
    <t>Airbus A321 P2F no of aircraft</t>
  </si>
  <si>
    <t>Airbus A321 P2F</t>
  </si>
  <si>
    <t>B767</t>
  </si>
  <si>
    <t>Rotation</t>
  </si>
  <si>
    <t>O-D</t>
  </si>
  <si>
    <t>AVERAGE DEMAND PER YEAR</t>
  </si>
  <si>
    <t>Price per Kilogram</t>
  </si>
  <si>
    <t>KALO NO OF AIRCRAFT BERUBAH TINGGAL DIGANTI ASAL FORMATNYA SAMA</t>
  </si>
  <si>
    <t>COST / TRIP</t>
  </si>
  <si>
    <t>Aglis's Price</t>
  </si>
  <si>
    <t>Lion Air</t>
  </si>
  <si>
    <t>aglis rupiah</t>
  </si>
  <si>
    <t>PLM-SUB</t>
  </si>
  <si>
    <t>SUB-CGK</t>
  </si>
  <si>
    <t>CGK-PKY</t>
  </si>
  <si>
    <t>PKY-CGK</t>
  </si>
  <si>
    <t>CGK-PLM</t>
  </si>
  <si>
    <t>MDC-SRG</t>
  </si>
  <si>
    <t>SRG-KDI</t>
  </si>
  <si>
    <t>SRG-AMQ</t>
  </si>
  <si>
    <t>KDI-PNK</t>
  </si>
  <si>
    <t>AMQ-CGK</t>
  </si>
  <si>
    <t>PNK-MDC</t>
  </si>
  <si>
    <t>CGK-MDC</t>
  </si>
  <si>
    <t>TTE-KNO</t>
  </si>
  <si>
    <t>KNO-PKU</t>
  </si>
  <si>
    <t>PKU-BDO</t>
  </si>
  <si>
    <t>BDO-TTE</t>
  </si>
  <si>
    <t>BDO-UPG</t>
  </si>
  <si>
    <t>LOP-TIM</t>
  </si>
  <si>
    <t>UPG-TTE</t>
  </si>
  <si>
    <t>TIM-AMQ</t>
  </si>
  <si>
    <t>TIM-UPG</t>
  </si>
  <si>
    <t>CGK-LOP</t>
  </si>
  <si>
    <t>UPG-KDI</t>
  </si>
  <si>
    <t>PNK-CGK</t>
  </si>
  <si>
    <t xml:space="preserve">Percentage yang airline dapat </t>
  </si>
  <si>
    <t>year</t>
  </si>
  <si>
    <t>freq/year rotation1</t>
  </si>
  <si>
    <t>freq/year rotation2</t>
  </si>
  <si>
    <t>freq/year rotation3</t>
  </si>
  <si>
    <t>-</t>
  </si>
  <si>
    <t>freq/year rotation4</t>
  </si>
  <si>
    <t>QUARTAL REVENUE</t>
  </si>
  <si>
    <t>TOTAL COST</t>
  </si>
  <si>
    <t>PROFIT</t>
  </si>
  <si>
    <t>ditambahin lease deposit</t>
  </si>
  <si>
    <t>REVENUE AIRBUS A321 P2F</t>
  </si>
  <si>
    <t>Total Revenue per year</t>
  </si>
  <si>
    <t>Aglis Total Cost Based on No of Aircraft (Airbus A321P2F)</t>
  </si>
  <si>
    <t>Total Cost per year</t>
  </si>
  <si>
    <t>Total Profit per year</t>
  </si>
  <si>
    <t>Assume Target Revenue = 110% * Average Cost</t>
  </si>
  <si>
    <t>Aglis Profit Airbus A321P2F</t>
  </si>
  <si>
    <t xml:space="preserve">Revenue Cargo Space (Max Payload - Pallet Weight ) </t>
  </si>
  <si>
    <t>AVERAGE PROFIT/ YEAR (2022)</t>
  </si>
  <si>
    <t>AVERAGE PROFIT/ YEAR (2023)</t>
  </si>
  <si>
    <t>AVERAGE PROFIT/ YEAR (2024)</t>
  </si>
  <si>
    <t>AVERAGE PROFIT/ YEAR (2025)</t>
  </si>
  <si>
    <t>AVERAGE PROFIT/ YEAR (2026)</t>
  </si>
  <si>
    <t>SUM 5YEAR</t>
  </si>
  <si>
    <t>TOTAL 5 YEAR</t>
  </si>
  <si>
    <t>Aircraft Type</t>
  </si>
  <si>
    <t>Payload (Tons)</t>
  </si>
  <si>
    <t>Target Revenue / year (2022)</t>
  </si>
  <si>
    <t>Target Revenue / year (2023)</t>
  </si>
  <si>
    <t>Target Revenue / year (2024)</t>
  </si>
  <si>
    <t>Target Revenue / year (2025)</t>
  </si>
  <si>
    <t>Target Revenue / year (2026)</t>
  </si>
  <si>
    <t>Aibus A321 P2F</t>
  </si>
  <si>
    <t>Boeing 737-8 BCF</t>
  </si>
  <si>
    <t>A321P2F</t>
  </si>
  <si>
    <t>B737-800</t>
  </si>
  <si>
    <t>A330</t>
  </si>
  <si>
    <t>Airbus A330</t>
  </si>
  <si>
    <t>Boeing 767-300BCF</t>
  </si>
  <si>
    <t>PER YEAR</t>
  </si>
  <si>
    <t>/ ROTATION PER YEAR</t>
  </si>
  <si>
    <t>QUARTAL</t>
  </si>
  <si>
    <t>TOTAL REVENUE / QUARTER</t>
  </si>
  <si>
    <t>TOTAL COST / QUARTER</t>
  </si>
  <si>
    <t>Cost / rotation</t>
  </si>
  <si>
    <t>per tahun</t>
  </si>
  <si>
    <t>Marketing cost/tahun/OD</t>
  </si>
  <si>
    <t>NPM</t>
  </si>
  <si>
    <t>Rotation 1</t>
  </si>
  <si>
    <t>ROI</t>
  </si>
  <si>
    <t>10  year sum</t>
  </si>
  <si>
    <t>quarter</t>
  </si>
  <si>
    <t>PROFIT / ROTATION</t>
  </si>
  <si>
    <t>5 YEAR PROFIT</t>
  </si>
  <si>
    <t>TOTAL PROFIT / QUARTER</t>
  </si>
  <si>
    <t>B737BCF</t>
  </si>
  <si>
    <t>B767-300</t>
  </si>
  <si>
    <t>REVENUE BOEING 737-8 BCF</t>
  </si>
  <si>
    <t>Aglis Total Cost Based on No of Aircraft (B737-8 BCF)</t>
  </si>
  <si>
    <t>Total Daily Profit per year</t>
  </si>
  <si>
    <t>Aglis Profit Airbus B737BCF</t>
  </si>
  <si>
    <t xml:space="preserve"> Revenue / year (2022)</t>
  </si>
  <si>
    <t>Revenue / year (2023)</t>
  </si>
  <si>
    <t>Revenue / year (2024)</t>
  </si>
  <si>
    <t xml:space="preserve"> Revenue / year (2025)</t>
  </si>
  <si>
    <t>Revenue / year (2026)</t>
  </si>
  <si>
    <t>Rotation 2</t>
  </si>
  <si>
    <t>NPV</t>
  </si>
  <si>
    <t>Rotation 3</t>
  </si>
  <si>
    <t>5 years profit</t>
  </si>
  <si>
    <t>REVENUE A330</t>
  </si>
  <si>
    <t>Aglis Total Cost Based on No of Aircraft (A330</t>
  </si>
  <si>
    <t>Aglis Profit Airbus A330</t>
  </si>
  <si>
    <t>S</t>
  </si>
  <si>
    <t>AVG demand</t>
  </si>
  <si>
    <t>REVENUE B767</t>
  </si>
  <si>
    <t>Aglis Total Cost Based on No of Aircraft B767</t>
  </si>
  <si>
    <t>Aglis Profit B767</t>
  </si>
  <si>
    <t>Revenie</t>
  </si>
  <si>
    <t>A330-200F</t>
  </si>
  <si>
    <t>B7B7-8</t>
  </si>
  <si>
    <t>Operating Cost</t>
  </si>
  <si>
    <t>Profit</t>
  </si>
  <si>
    <t>JANGAN DIDELETE!</t>
  </si>
  <si>
    <t>PARKING FEE</t>
  </si>
  <si>
    <t>1 Rp = 0.00007</t>
  </si>
  <si>
    <t>Routes</t>
  </si>
  <si>
    <t>IATA CODE</t>
  </si>
  <si>
    <t>Fee (Rp/Ton)</t>
  </si>
  <si>
    <t>Fee (US $/ Ton)</t>
  </si>
  <si>
    <t>Parking Fee</t>
  </si>
  <si>
    <t>PLM</t>
  </si>
  <si>
    <t>Landing Fee Airbus A321P2F</t>
  </si>
  <si>
    <t>SUB</t>
  </si>
  <si>
    <t>Landing Fee Boeing 737-800BCF</t>
  </si>
  <si>
    <t>PKY</t>
  </si>
  <si>
    <t>Landing Fee Tupalov</t>
  </si>
  <si>
    <t>CGK</t>
  </si>
  <si>
    <t>Landing Fee Airbus A330-200F</t>
  </si>
  <si>
    <t>MDC</t>
  </si>
  <si>
    <t>Landing Fee Boeing 767-300BCF</t>
  </si>
  <si>
    <t>SRG</t>
  </si>
  <si>
    <t>AMQ</t>
  </si>
  <si>
    <t>TTE</t>
  </si>
  <si>
    <t>KNO</t>
  </si>
  <si>
    <t>BDO</t>
  </si>
  <si>
    <t>SWQ</t>
  </si>
  <si>
    <t>TIM</t>
  </si>
  <si>
    <t>KDI</t>
  </si>
  <si>
    <t>PNK</t>
  </si>
  <si>
    <t>UPG</t>
  </si>
  <si>
    <t>PKU</t>
  </si>
  <si>
    <t>LANDING FEE</t>
  </si>
  <si>
    <t>Fee &gt;100 Ton Fix(Rp/Ton)</t>
  </si>
  <si>
    <t>Fee 40-100 Ton Fix Rate(Rp/ Ton)</t>
  </si>
  <si>
    <t>Variable Cost (100Ton)</t>
  </si>
  <si>
    <t>Variable Cost Rp/ Ton(40-100)</t>
  </si>
  <si>
    <t>Airbus A320P2F(US$)</t>
  </si>
  <si>
    <t>Boeing 737-800BCF(US$)</t>
  </si>
  <si>
    <t>Tupalov (US$)</t>
  </si>
  <si>
    <t>Airbus A330-200F</t>
  </si>
  <si>
    <t>Airbus  A321</t>
  </si>
  <si>
    <t>Boeing 737</t>
  </si>
  <si>
    <t>Tupalov</t>
  </si>
  <si>
    <t xml:space="preserve">SWQ </t>
  </si>
  <si>
    <t>*swq = lop</t>
  </si>
  <si>
    <t>*swq=lop</t>
  </si>
  <si>
    <t>*tim = bik</t>
  </si>
  <si>
    <t>*tte = amq</t>
  </si>
  <si>
    <t>Year</t>
  </si>
  <si>
    <t>Rotation1</t>
  </si>
  <si>
    <t>Rotation2</t>
  </si>
  <si>
    <t>Rotation3</t>
  </si>
  <si>
    <t>Rotation4</t>
  </si>
  <si>
    <t>Cost Metrics</t>
  </si>
  <si>
    <t>10 YEARS AVERAGE</t>
  </si>
  <si>
    <t xml:space="preserve">                    Flight Crew Cost (increase by 1.5% per year)</t>
  </si>
  <si>
    <t xml:space="preserve">                    Fuel Cost (increase by 1% per year) </t>
  </si>
  <si>
    <t xml:space="preserve">                    Maintenance Cost</t>
  </si>
  <si>
    <t>Other Operating Cost (increase by 1.5% per year)</t>
  </si>
  <si>
    <t>Depreciation Cost</t>
  </si>
  <si>
    <t>Indirect Cost (increase 1.5% per year)</t>
  </si>
  <si>
    <t>Summary</t>
  </si>
  <si>
    <t>Direct Cost</t>
  </si>
  <si>
    <t>Indirect Cost</t>
  </si>
  <si>
    <t>Ownership Cost</t>
  </si>
  <si>
    <t>METRICS</t>
  </si>
  <si>
    <t>VALUE</t>
  </si>
  <si>
    <t>%</t>
  </si>
  <si>
    <t>Rotation 1 Profitabilitty</t>
  </si>
  <si>
    <t>Net Revenues</t>
  </si>
  <si>
    <t>Flight Crew Cost</t>
  </si>
  <si>
    <t>Direct Maintenance</t>
  </si>
  <si>
    <t>Fuel Cost</t>
  </si>
  <si>
    <t>Terminal Navigation</t>
  </si>
  <si>
    <t>Landing Fees</t>
  </si>
  <si>
    <t>Navigation En Route</t>
  </si>
  <si>
    <t>Ground Handling</t>
  </si>
  <si>
    <t>Parking Fees</t>
  </si>
  <si>
    <t>Total Direct Cost</t>
  </si>
  <si>
    <t>CM 1</t>
  </si>
  <si>
    <t>General Admission Airplane</t>
  </si>
  <si>
    <t>GPE Maintenance &amp; Overhead</t>
  </si>
  <si>
    <t>GPE Depreciation &amp; Amortization</t>
  </si>
  <si>
    <t>Marketing Cost</t>
  </si>
  <si>
    <t>Maintenance Overhead</t>
  </si>
  <si>
    <t>Crew &amp; Technician Accomodation Cost</t>
  </si>
  <si>
    <t>Warehouse lease</t>
  </si>
  <si>
    <t>Total Indirect Cost</t>
  </si>
  <si>
    <t>CM 2</t>
  </si>
  <si>
    <t>Interest</t>
  </si>
  <si>
    <t>Insurance</t>
  </si>
  <si>
    <t>Depreciation</t>
  </si>
  <si>
    <t>Lease</t>
  </si>
  <si>
    <t>Total Fleet Cost</t>
  </si>
  <si>
    <t>CM 3</t>
  </si>
  <si>
    <t>No of flight</t>
  </si>
  <si>
    <t>Total Annual Blocktime Hour</t>
  </si>
  <si>
    <t>ATK</t>
  </si>
  <si>
    <t>Average Daily utilization</t>
  </si>
  <si>
    <t>No of flight crew</t>
  </si>
  <si>
    <t>Revenue/ATK</t>
  </si>
  <si>
    <t>Direct cost/BH</t>
  </si>
  <si>
    <t>Indirect Cost/BH</t>
  </si>
  <si>
    <t>Fleet cost /BH</t>
  </si>
  <si>
    <t>Total cost/BH</t>
  </si>
  <si>
    <t>Rotation 2 Profitabilitty</t>
  </si>
  <si>
    <t>Rotation 3 Profitabilitty</t>
  </si>
  <si>
    <t>Rotation 4 Profitabilitty</t>
  </si>
  <si>
    <t>Total Investment</t>
  </si>
  <si>
    <t>PMT per 6 bulan</t>
  </si>
  <si>
    <t>Airbus A321P2F</t>
  </si>
  <si>
    <t>Engine Type</t>
  </si>
  <si>
    <t>CFM International CFM56</t>
  </si>
  <si>
    <t>First Delivery</t>
  </si>
  <si>
    <t>Airplane Price (US $) (Average Price) in 2017</t>
  </si>
  <si>
    <t xml:space="preserve">Engine Price (US$ per engine) </t>
  </si>
  <si>
    <t>Dry lease ($/month) ALP/12</t>
  </si>
  <si>
    <t>MTOW (kg.)</t>
  </si>
  <si>
    <t>Stage Length (km)</t>
  </si>
  <si>
    <t>OEW (kg.)</t>
  </si>
  <si>
    <t>Block time</t>
  </si>
  <si>
    <t>MLW (kg.)</t>
  </si>
  <si>
    <t>Block fuel</t>
  </si>
  <si>
    <t>Revenue Payload</t>
  </si>
  <si>
    <t>Annual Utilization per rotation</t>
  </si>
  <si>
    <t>Design range (km.)</t>
  </si>
  <si>
    <t>No of Flight per Rotation</t>
  </si>
  <si>
    <t>Range at mixed class passenger capacity (km)</t>
  </si>
  <si>
    <t>Flight Crew Each Trip</t>
  </si>
  <si>
    <t>Maximum Speed (kts)</t>
  </si>
  <si>
    <t>Fuel ccnsumption (kg/h)</t>
  </si>
  <si>
    <t>Weight factor for navigation en route</t>
  </si>
  <si>
    <t>Unit Rate per tahun 2019 ($)</t>
  </si>
  <si>
    <t>DIRECT COST  ($)</t>
  </si>
  <si>
    <t>Charge Terminal Navigation (Include all)</t>
  </si>
  <si>
    <t>CEF1990</t>
  </si>
  <si>
    <t>MILPAY</t>
  </si>
  <si>
    <t>GWPAY</t>
  </si>
  <si>
    <t>CF1</t>
  </si>
  <si>
    <t>CF2</t>
  </si>
  <si>
    <t>PF</t>
  </si>
  <si>
    <t>biaya lain2 flight crew per block hour</t>
  </si>
  <si>
    <t>OTHER INDIRECT COST  ($)</t>
  </si>
  <si>
    <t>Direct Maintenance Cost (US $/Block Hour) indexed</t>
  </si>
  <si>
    <t>Maintenance Overhead (US$/Block indexed
 Hour)</t>
  </si>
  <si>
    <t>Maintenance Index tergantung umur pesawat</t>
  </si>
  <si>
    <t>Interest / year</t>
  </si>
  <si>
    <t>Lease cost / year</t>
  </si>
  <si>
    <t>Insurance/year</t>
  </si>
  <si>
    <t>OWNERSHIP COST ($)</t>
  </si>
  <si>
    <t>Umur Pesawat</t>
  </si>
  <si>
    <t>Fuel deterioration rate (% per year)</t>
  </si>
  <si>
    <t>Maximum daily utilisation (block hour)</t>
  </si>
  <si>
    <t>TOTAL</t>
  </si>
  <si>
    <t xml:space="preserve">Total Operating Cost / Trip </t>
  </si>
  <si>
    <t>Total Operating Cost / Block hour</t>
  </si>
  <si>
    <t>ATTACHMENT B:</t>
  </si>
  <si>
    <t>COST AND FINANCIAL FACTORS</t>
  </si>
  <si>
    <t>Cost Factors</t>
  </si>
  <si>
    <t>Fuel price</t>
  </si>
  <si>
    <t>Fleet Cost</t>
  </si>
  <si>
    <t>Pilot or Co-pilot cost per year (Average in Indonesia)</t>
  </si>
  <si>
    <t>per block hour per person</t>
  </si>
  <si>
    <t>Other cost (US$ per Trip):</t>
  </si>
  <si>
    <t>FF Cost</t>
  </si>
  <si>
    <t>Navigation Charges</t>
  </si>
  <si>
    <t>Ground Handling Cost</t>
  </si>
  <si>
    <t>- Airplane</t>
  </si>
  <si>
    <t>Maintenance Index for 5 year old</t>
  </si>
  <si>
    <t>Reservation &amp; sales</t>
  </si>
  <si>
    <t>Sales commissions</t>
  </si>
  <si>
    <t>Advertising &amp; publicity</t>
  </si>
  <si>
    <t>General &amp; Administration - airplane related (annual)</t>
  </si>
  <si>
    <t>Station costs</t>
  </si>
  <si>
    <t>Warehouse lease per year (CGK)</t>
  </si>
  <si>
    <t>Spares</t>
  </si>
  <si>
    <t>Depreciation narrow body (years)</t>
  </si>
  <si>
    <t>Financial (loan) period</t>
  </si>
  <si>
    <t>Airframe insurance</t>
  </si>
  <si>
    <t>Inflation rate</t>
  </si>
  <si>
    <t>Airframe Investment Rate</t>
  </si>
  <si>
    <t>Bare engine investment rate</t>
  </si>
  <si>
    <t>Residual Value</t>
  </si>
  <si>
    <t>Depreciation wide body (years)</t>
  </si>
  <si>
    <t>lease rate</t>
  </si>
  <si>
    <t>Lease period</t>
  </si>
  <si>
    <t>debt ratio i</t>
  </si>
  <si>
    <t>crew stay cost ($) / year</t>
  </si>
  <si>
    <t>Station costs $/ kg</t>
  </si>
  <si>
    <t>Accumulated Time Since New (in year)</t>
  </si>
  <si>
    <t>New</t>
  </si>
  <si>
    <t>Maintenance index</t>
  </si>
  <si>
    <t>average demand per route</t>
  </si>
  <si>
    <t>average station cost per route</t>
  </si>
  <si>
    <t>Warehouse lease per year (MDC)</t>
  </si>
  <si>
    <t>Annual utilization (block hour)</t>
  </si>
  <si>
    <t>Formula</t>
  </si>
  <si>
    <t>Direct</t>
  </si>
  <si>
    <t>Indirect</t>
  </si>
  <si>
    <t>Ownership</t>
  </si>
  <si>
    <t>Percentage</t>
  </si>
  <si>
    <t>Average All Routes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</si>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</sst>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#,##0.0000"/>
    <numFmt numFmtId="166" formatCode="&quot;$&quot;#,##0.00"/>
    <numFmt numFmtId="167" formatCode="&quot;$&quot;#,##0.0"/>
    <numFmt numFmtId="168" formatCode="#,##0.000"/>
    <numFmt numFmtId="169" formatCode="_(&quot;$&quot;* #,##0_);_(&quot;$&quot;* \(#,##0\);_(&quot;$&quot;* &quot;-&quot;??_);_(@_)"/>
    <numFmt numFmtId="170" formatCode="_([$$-409]* #,##0_);_([$$-409]* \(#,##0\);_([$$-409]* &quot;-&quot;??_);_(@_)"/>
    <numFmt numFmtId="171" formatCode="0.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4"/>
      <color rgb="FFF0EED6"/>
      <name val="Tahoma"/>
      <family val="2"/>
    </font>
    <font>
      <b/>
      <sz val="10"/>
      <color rgb="FF000000"/>
      <name val="Tahoma"/>
      <family val="2"/>
    </font>
    <font>
      <sz val="10"/>
      <name val="Tahoma"/>
      <family val="2"/>
    </font>
    <font>
      <sz val="11"/>
      <color rgb="FF444444"/>
      <name val="Calibri"/>
      <family val="2"/>
      <charset val="1"/>
    </font>
    <font>
      <sz val="10"/>
      <color rgb="FF3C3B3F"/>
      <name val="Tahoma"/>
      <family val="2"/>
    </font>
    <font>
      <b/>
      <sz val="10"/>
      <color rgb="FFF0EED6"/>
      <name val="Tahoma"/>
      <family val="2"/>
    </font>
    <font>
      <i/>
      <sz val="10"/>
      <color theme="1"/>
      <name val="Tahoma"/>
      <family val="2"/>
    </font>
    <font>
      <b/>
      <i/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b/>
      <i/>
      <sz val="9"/>
      <color rgb="FF000000"/>
      <name val="&quot;Liberation Sans Narrow&quot;"/>
    </font>
    <font>
      <sz val="9"/>
      <color rgb="FF000000"/>
      <name val="&quot;Liberation Sans Narrow&quot;"/>
    </font>
    <font>
      <b/>
      <sz val="9"/>
      <color rgb="FF000000"/>
      <name val="&quot;Liberation Sans Narrow&quot;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rgb="FFC00000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122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EE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5" fillId="0" borderId="0"/>
    <xf numFmtId="0" fontId="28" fillId="0" borderId="112" applyNumberFormat="0" applyFill="0" applyAlignment="0" applyProtection="0"/>
  </cellStyleXfs>
  <cellXfs count="896"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5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3" fontId="4" fillId="4" borderId="18" xfId="0" applyNumberFormat="1" applyFont="1" applyFill="1" applyBorder="1" applyAlignment="1">
      <alignment horizontal="center" vertical="top"/>
    </xf>
    <xf numFmtId="0" fontId="4" fillId="0" borderId="23" xfId="0" applyFont="1" applyBorder="1" applyAlignment="1">
      <alignment vertical="top"/>
    </xf>
    <xf numFmtId="0" fontId="9" fillId="0" borderId="12" xfId="0" applyFont="1" applyBorder="1" applyAlignment="1">
      <alignment horizontal="center"/>
    </xf>
    <xf numFmtId="0" fontId="4" fillId="0" borderId="23" xfId="0" applyFont="1" applyBorder="1" applyAlignment="1">
      <alignment vertical="top" wrapText="1"/>
    </xf>
    <xf numFmtId="3" fontId="4" fillId="0" borderId="12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top"/>
    </xf>
    <xf numFmtId="3" fontId="6" fillId="0" borderId="12" xfId="0" applyNumberFormat="1" applyFont="1" applyBorder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0" fontId="4" fillId="5" borderId="23" xfId="0" applyFont="1" applyFill="1" applyBorder="1" applyAlignment="1">
      <alignment vertical="top"/>
    </xf>
    <xf numFmtId="3" fontId="6" fillId="5" borderId="12" xfId="0" applyNumberFormat="1" applyFont="1" applyFill="1" applyBorder="1" applyAlignment="1">
      <alignment horizontal="center"/>
    </xf>
    <xf numFmtId="3" fontId="11" fillId="0" borderId="12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66" fontId="4" fillId="5" borderId="10" xfId="0" applyNumberFormat="1" applyFont="1" applyFill="1" applyBorder="1" applyAlignment="1">
      <alignment horizontal="center"/>
    </xf>
    <xf numFmtId="166" fontId="4" fillId="7" borderId="10" xfId="0" applyNumberFormat="1" applyFont="1" applyFill="1" applyBorder="1" applyAlignment="1">
      <alignment horizontal="center"/>
    </xf>
    <xf numFmtId="166" fontId="4" fillId="8" borderId="10" xfId="0" applyNumberFormat="1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top"/>
    </xf>
    <xf numFmtId="166" fontId="4" fillId="5" borderId="12" xfId="0" applyNumberFormat="1" applyFont="1" applyFill="1" applyBorder="1" applyAlignment="1">
      <alignment horizontal="center"/>
    </xf>
    <xf numFmtId="166" fontId="4" fillId="7" borderId="12" xfId="0" applyNumberFormat="1" applyFont="1" applyFill="1" applyBorder="1" applyAlignment="1">
      <alignment horizontal="center"/>
    </xf>
    <xf numFmtId="166" fontId="4" fillId="8" borderId="12" xfId="0" applyNumberFormat="1" applyFont="1" applyFill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9" fontId="13" fillId="0" borderId="12" xfId="0" applyNumberFormat="1" applyFont="1" applyBorder="1" applyAlignment="1">
      <alignment horizontal="center" vertical="top"/>
    </xf>
    <xf numFmtId="9" fontId="4" fillId="0" borderId="12" xfId="0" applyNumberFormat="1" applyFont="1" applyBorder="1" applyAlignment="1">
      <alignment horizontal="center" vertical="top"/>
    </xf>
    <xf numFmtId="0" fontId="4" fillId="0" borderId="23" xfId="0" applyFont="1" applyBorder="1" applyAlignment="1">
      <alignment horizontal="left" vertical="top"/>
    </xf>
    <xf numFmtId="166" fontId="4" fillId="5" borderId="19" xfId="0" applyNumberFormat="1" applyFont="1" applyFill="1" applyBorder="1" applyAlignment="1">
      <alignment horizontal="center"/>
    </xf>
    <xf numFmtId="166" fontId="4" fillId="7" borderId="19" xfId="0" applyNumberFormat="1" applyFont="1" applyFill="1" applyBorder="1" applyAlignment="1">
      <alignment horizontal="center"/>
    </xf>
    <xf numFmtId="168" fontId="4" fillId="0" borderId="8" xfId="0" applyNumberFormat="1" applyFont="1" applyBorder="1" applyAlignment="1">
      <alignment horizontal="center" vertical="top"/>
    </xf>
    <xf numFmtId="0" fontId="4" fillId="0" borderId="7" xfId="0" applyFont="1" applyBorder="1" applyAlignment="1">
      <alignment vertical="top" wrapText="1"/>
    </xf>
    <xf numFmtId="168" fontId="4" fillId="0" borderId="18" xfId="0" applyNumberFormat="1" applyFont="1" applyBorder="1" applyAlignment="1">
      <alignment horizontal="center" vertical="top"/>
    </xf>
    <xf numFmtId="0" fontId="4" fillId="10" borderId="23" xfId="0" applyFont="1" applyFill="1" applyBorder="1" applyAlignment="1">
      <alignment vertical="top"/>
    </xf>
    <xf numFmtId="0" fontId="4" fillId="10" borderId="12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right" vertical="top"/>
    </xf>
    <xf numFmtId="0" fontId="4" fillId="0" borderId="39" xfId="0" applyFont="1" applyBorder="1" applyAlignment="1">
      <alignment vertical="top"/>
    </xf>
    <xf numFmtId="0" fontId="4" fillId="10" borderId="7" xfId="0" applyFont="1" applyFill="1" applyBorder="1" applyAlignment="1">
      <alignment horizontal="left" vertical="top"/>
    </xf>
    <xf numFmtId="3" fontId="4" fillId="10" borderId="8" xfId="0" applyNumberFormat="1" applyFont="1" applyFill="1" applyBorder="1" applyAlignment="1">
      <alignment horizontal="center" vertical="top"/>
    </xf>
    <xf numFmtId="166" fontId="4" fillId="0" borderId="0" xfId="0" applyNumberFormat="1" applyFont="1"/>
    <xf numFmtId="166" fontId="4" fillId="5" borderId="41" xfId="0" applyNumberFormat="1" applyFont="1" applyFill="1" applyBorder="1" applyAlignment="1">
      <alignment horizontal="center"/>
    </xf>
    <xf numFmtId="166" fontId="4" fillId="7" borderId="41" xfId="0" applyNumberFormat="1" applyFont="1" applyFill="1" applyBorder="1" applyAlignment="1">
      <alignment horizontal="center"/>
    </xf>
    <xf numFmtId="166" fontId="4" fillId="8" borderId="41" xfId="0" applyNumberFormat="1" applyFont="1" applyFill="1" applyBorder="1" applyAlignment="1">
      <alignment horizontal="center"/>
    </xf>
    <xf numFmtId="10" fontId="4" fillId="0" borderId="0" xfId="0" applyNumberFormat="1" applyFont="1"/>
    <xf numFmtId="0" fontId="4" fillId="0" borderId="42" xfId="0" applyFont="1" applyBorder="1" applyAlignment="1">
      <alignment vertical="top"/>
    </xf>
    <xf numFmtId="3" fontId="4" fillId="0" borderId="43" xfId="0" applyNumberFormat="1" applyFont="1" applyBorder="1" applyAlignment="1">
      <alignment horizontal="center" vertical="top"/>
    </xf>
    <xf numFmtId="166" fontId="4" fillId="5" borderId="44" xfId="0" applyNumberFormat="1" applyFont="1" applyFill="1" applyBorder="1" applyAlignment="1">
      <alignment horizontal="center"/>
    </xf>
    <xf numFmtId="166" fontId="4" fillId="7" borderId="44" xfId="0" applyNumberFormat="1" applyFont="1" applyFill="1" applyBorder="1" applyAlignment="1">
      <alignment horizontal="center"/>
    </xf>
    <xf numFmtId="166" fontId="4" fillId="8" borderId="44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/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0" xfId="0" applyFont="1"/>
    <xf numFmtId="0" fontId="13" fillId="0" borderId="47" xfId="0" applyFont="1" applyBorder="1" applyAlignment="1">
      <alignment horizontal="center" vertical="top"/>
    </xf>
    <xf numFmtId="0" fontId="4" fillId="0" borderId="48" xfId="0" applyFont="1" applyBorder="1" applyAlignment="1">
      <alignment horizontal="center" vertical="top"/>
    </xf>
    <xf numFmtId="0" fontId="13" fillId="0" borderId="49" xfId="0" applyFont="1" applyBorder="1" applyAlignment="1">
      <alignment vertical="top"/>
    </xf>
    <xf numFmtId="3" fontId="4" fillId="0" borderId="50" xfId="0" applyNumberFormat="1" applyFont="1" applyBorder="1" applyAlignment="1">
      <alignment horizontal="center" vertical="top"/>
    </xf>
    <xf numFmtId="0" fontId="9" fillId="0" borderId="51" xfId="0" applyFont="1" applyBorder="1"/>
    <xf numFmtId="0" fontId="4" fillId="0" borderId="50" xfId="0" applyFont="1" applyBorder="1" applyAlignment="1">
      <alignment horizontal="center" vertical="top"/>
    </xf>
    <xf numFmtId="0" fontId="13" fillId="0" borderId="54" xfId="0" applyFont="1" applyBorder="1" applyAlignment="1">
      <alignment horizontal="center" vertical="top"/>
    </xf>
    <xf numFmtId="0" fontId="6" fillId="14" borderId="50" xfId="0" applyFont="1" applyFill="1" applyBorder="1" applyAlignment="1">
      <alignment horizontal="center"/>
    </xf>
    <xf numFmtId="0" fontId="13" fillId="0" borderId="55" xfId="0" applyFont="1" applyBorder="1" applyAlignment="1">
      <alignment horizontal="center" vertical="top"/>
    </xf>
    <xf numFmtId="0" fontId="4" fillId="0" borderId="56" xfId="0" applyFont="1" applyBorder="1" applyAlignment="1">
      <alignment horizontal="center" vertical="top"/>
    </xf>
    <xf numFmtId="0" fontId="13" fillId="0" borderId="47" xfId="0" applyFont="1" applyBorder="1" applyAlignment="1">
      <alignment vertical="top"/>
    </xf>
    <xf numFmtId="0" fontId="4" fillId="0" borderId="57" xfId="0" applyFont="1" applyBorder="1" applyAlignment="1">
      <alignment horizontal="center" vertical="top"/>
    </xf>
    <xf numFmtId="0" fontId="13" fillId="0" borderId="51" xfId="0" applyFont="1" applyBorder="1" applyAlignment="1">
      <alignment vertical="top"/>
    </xf>
    <xf numFmtId="9" fontId="4" fillId="0" borderId="58" xfId="0" applyNumberFormat="1" applyFont="1" applyBorder="1" applyAlignment="1">
      <alignment horizontal="center" vertical="top"/>
    </xf>
    <xf numFmtId="0" fontId="4" fillId="0" borderId="51" xfId="0" applyFont="1" applyBorder="1" applyAlignment="1">
      <alignment vertical="top"/>
    </xf>
    <xf numFmtId="0" fontId="4" fillId="0" borderId="58" xfId="0" applyFont="1" applyBorder="1" applyAlignment="1">
      <alignment horizontal="center" vertical="top"/>
    </xf>
    <xf numFmtId="10" fontId="4" fillId="0" borderId="58" xfId="0" applyNumberFormat="1" applyFont="1" applyBorder="1" applyAlignment="1">
      <alignment horizontal="center" vertical="top"/>
    </xf>
    <xf numFmtId="0" fontId="13" fillId="0" borderId="62" xfId="0" applyFont="1" applyBorder="1" applyAlignment="1">
      <alignment vertical="top"/>
    </xf>
    <xf numFmtId="9" fontId="4" fillId="0" borderId="63" xfId="0" applyNumberFormat="1" applyFont="1" applyBorder="1" applyAlignment="1">
      <alignment horizontal="center" vertical="top"/>
    </xf>
    <xf numFmtId="0" fontId="16" fillId="0" borderId="51" xfId="0" applyFont="1" applyBorder="1" applyAlignment="1">
      <alignment vertical="top"/>
    </xf>
    <xf numFmtId="0" fontId="16" fillId="0" borderId="26" xfId="0" applyFont="1" applyBorder="1" applyAlignment="1">
      <alignment horizontal="center" vertical="top"/>
    </xf>
    <xf numFmtId="0" fontId="17" fillId="0" borderId="54" xfId="0" applyFont="1" applyBorder="1" applyAlignment="1">
      <alignment vertical="top"/>
    </xf>
    <xf numFmtId="0" fontId="17" fillId="0" borderId="27" xfId="0" applyFont="1" applyBorder="1" applyAlignment="1">
      <alignment horizontal="center" vertical="top"/>
    </xf>
    <xf numFmtId="0" fontId="16" fillId="0" borderId="54" xfId="0" applyFont="1" applyBorder="1" applyAlignment="1">
      <alignment vertical="top"/>
    </xf>
    <xf numFmtId="0" fontId="18" fillId="0" borderId="27" xfId="0" applyFont="1" applyBorder="1" applyAlignment="1">
      <alignment horizontal="center" vertical="top"/>
    </xf>
    <xf numFmtId="0" fontId="17" fillId="0" borderId="55" xfId="0" applyFont="1" applyBorder="1" applyAlignment="1">
      <alignment vertical="top"/>
    </xf>
    <xf numFmtId="0" fontId="17" fillId="0" borderId="69" xfId="0" applyFont="1" applyBorder="1" applyAlignment="1">
      <alignment horizontal="center"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 wrapText="1"/>
    </xf>
    <xf numFmtId="4" fontId="19" fillId="0" borderId="0" xfId="0" applyNumberFormat="1" applyFont="1"/>
    <xf numFmtId="0" fontId="20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6" xfId="0" applyBorder="1"/>
    <xf numFmtId="0" fontId="0" fillId="0" borderId="30" xfId="0" applyBorder="1"/>
    <xf numFmtId="0" fontId="15" fillId="0" borderId="21" xfId="0" applyFont="1" applyBorder="1"/>
    <xf numFmtId="166" fontId="0" fillId="0" borderId="0" xfId="0" applyNumberFormat="1"/>
    <xf numFmtId="0" fontId="3" fillId="19" borderId="0" xfId="0" applyFont="1" applyFill="1"/>
    <xf numFmtId="0" fontId="0" fillId="0" borderId="12" xfId="0" applyBorder="1" applyAlignment="1">
      <alignment horizontal="center"/>
    </xf>
    <xf numFmtId="166" fontId="0" fillId="0" borderId="16" xfId="0" applyNumberFormat="1" applyBorder="1"/>
    <xf numFmtId="0" fontId="15" fillId="0" borderId="83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7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12" xfId="0" applyFill="1" applyBorder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2" fontId="15" fillId="2" borderId="12" xfId="0" applyNumberFormat="1" applyFont="1" applyFill="1" applyBorder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7" borderId="29" xfId="0" applyFill="1" applyBorder="1" applyAlignment="1">
      <alignment horizontal="center"/>
    </xf>
    <xf numFmtId="2" fontId="0" fillId="0" borderId="88" xfId="0" applyNumberFormat="1" applyBorder="1" applyAlignment="1">
      <alignment horizontal="center"/>
    </xf>
    <xf numFmtId="2" fontId="0" fillId="0" borderId="8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8" fontId="15" fillId="0" borderId="0" xfId="0" applyNumberFormat="1" applyFont="1"/>
    <xf numFmtId="0" fontId="0" fillId="7" borderId="13" xfId="0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8" fontId="15" fillId="0" borderId="0" xfId="0" applyNumberFormat="1" applyFont="1" applyAlignment="1">
      <alignment horizontal="center"/>
    </xf>
    <xf numFmtId="3" fontId="0" fillId="0" borderId="0" xfId="0" applyNumberFormat="1"/>
    <xf numFmtId="1" fontId="0" fillId="0" borderId="12" xfId="0" applyNumberFormat="1" applyBorder="1" applyAlignment="1">
      <alignment horizontal="center"/>
    </xf>
    <xf numFmtId="166" fontId="0" fillId="0" borderId="82" xfId="0" applyNumberFormat="1" applyBorder="1" applyAlignment="1">
      <alignment horizontal="center"/>
    </xf>
    <xf numFmtId="166" fontId="0" fillId="0" borderId="90" xfId="0" applyNumberFormat="1" applyBorder="1" applyAlignment="1">
      <alignment horizontal="center"/>
    </xf>
    <xf numFmtId="166" fontId="0" fillId="0" borderId="84" xfId="0" applyNumberFormat="1" applyBorder="1" applyAlignment="1">
      <alignment horizontal="center"/>
    </xf>
    <xf numFmtId="166" fontId="0" fillId="0" borderId="79" xfId="0" applyNumberFormat="1" applyBorder="1" applyAlignment="1">
      <alignment horizontal="center"/>
    </xf>
    <xf numFmtId="166" fontId="0" fillId="0" borderId="64" xfId="0" applyNumberFormat="1" applyBorder="1" applyAlignment="1">
      <alignment horizontal="center"/>
    </xf>
    <xf numFmtId="166" fontId="0" fillId="0" borderId="66" xfId="0" applyNumberFormat="1" applyBorder="1" applyAlignment="1">
      <alignment horizontal="center"/>
    </xf>
    <xf numFmtId="164" fontId="0" fillId="0" borderId="8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5" fillId="0" borderId="27" xfId="0" applyFont="1" applyBorder="1" applyAlignment="1">
      <alignment horizontal="center"/>
    </xf>
    <xf numFmtId="1" fontId="0" fillId="0" borderId="0" xfId="0" applyNumberFormat="1"/>
    <xf numFmtId="164" fontId="0" fillId="0" borderId="91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85" xfId="0" applyNumberFormat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0" fontId="15" fillId="21" borderId="27" xfId="0" applyFont="1" applyFill="1" applyBorder="1" applyAlignment="1">
      <alignment horizontal="center"/>
    </xf>
    <xf numFmtId="0" fontId="15" fillId="11" borderId="12" xfId="0" applyFont="1" applyFill="1" applyBorder="1" applyAlignment="1">
      <alignment horizontal="center"/>
    </xf>
    <xf numFmtId="0" fontId="15" fillId="11" borderId="29" xfId="0" applyFont="1" applyFill="1" applyBorder="1" applyAlignment="1">
      <alignment horizontal="center"/>
    </xf>
    <xf numFmtId="0" fontId="15" fillId="11" borderId="13" xfId="0" applyFont="1" applyFill="1" applyBorder="1" applyAlignment="1">
      <alignment horizontal="center"/>
    </xf>
    <xf numFmtId="0" fontId="15" fillId="22" borderId="12" xfId="0" applyFont="1" applyFill="1" applyBorder="1" applyAlignment="1">
      <alignment horizontal="center"/>
    </xf>
    <xf numFmtId="0" fontId="15" fillId="22" borderId="29" xfId="0" applyFont="1" applyFill="1" applyBorder="1" applyAlignment="1">
      <alignment horizontal="center"/>
    </xf>
    <xf numFmtId="2" fontId="0" fillId="2" borderId="74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0" fontId="15" fillId="22" borderId="13" xfId="0" applyFont="1" applyFill="1" applyBorder="1" applyAlignment="1">
      <alignment horizontal="center"/>
    </xf>
    <xf numFmtId="164" fontId="0" fillId="2" borderId="74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2" fontId="0" fillId="2" borderId="91" xfId="0" applyNumberFormat="1" applyFill="1" applyBorder="1" applyAlignment="1">
      <alignment horizontal="center"/>
    </xf>
    <xf numFmtId="164" fontId="0" fillId="2" borderId="91" xfId="0" applyNumberFormat="1" applyFill="1" applyBorder="1" applyAlignment="1">
      <alignment horizontal="center"/>
    </xf>
    <xf numFmtId="2" fontId="0" fillId="2" borderId="85" xfId="0" applyNumberFormat="1" applyFill="1" applyBorder="1" applyAlignment="1">
      <alignment horizontal="center"/>
    </xf>
    <xf numFmtId="164" fontId="0" fillId="2" borderId="85" xfId="0" applyNumberFormat="1" applyFill="1" applyBorder="1" applyAlignment="1">
      <alignment horizontal="center"/>
    </xf>
    <xf numFmtId="0" fontId="15" fillId="23" borderId="12" xfId="0" applyFont="1" applyFill="1" applyBorder="1" applyAlignment="1">
      <alignment horizontal="center"/>
    </xf>
    <xf numFmtId="0" fontId="15" fillId="23" borderId="29" xfId="0" applyFont="1" applyFill="1" applyBorder="1" applyAlignment="1">
      <alignment horizontal="center"/>
    </xf>
    <xf numFmtId="2" fontId="0" fillId="0" borderId="0" xfId="0" applyNumberFormat="1"/>
    <xf numFmtId="0" fontId="15" fillId="23" borderId="13" xfId="0" applyFont="1" applyFill="1" applyBorder="1" applyAlignment="1">
      <alignment horizontal="center"/>
    </xf>
    <xf numFmtId="164" fontId="0" fillId="2" borderId="92" xfId="0" applyNumberFormat="1" applyFill="1" applyBorder="1" applyAlignment="1">
      <alignment horizontal="center"/>
    </xf>
    <xf numFmtId="0" fontId="0" fillId="23" borderId="12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164" fontId="0" fillId="2" borderId="29" xfId="0" applyNumberFormat="1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3" borderId="45" xfId="0" applyFill="1" applyBorder="1" applyAlignment="1">
      <alignment horizontal="center"/>
    </xf>
    <xf numFmtId="0" fontId="0" fillId="23" borderId="72" xfId="0" applyFill="1" applyBorder="1" applyAlignment="1">
      <alignment horizontal="center"/>
    </xf>
    <xf numFmtId="2" fontId="0" fillId="2" borderId="45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93" xfId="0" applyNumberFormat="1" applyBorder="1" applyAlignment="1">
      <alignment horizontal="center"/>
    </xf>
    <xf numFmtId="0" fontId="0" fillId="23" borderId="46" xfId="0" applyFill="1" applyBorder="1" applyAlignment="1">
      <alignment horizontal="center"/>
    </xf>
    <xf numFmtId="0" fontId="0" fillId="23" borderId="19" xfId="0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2" borderId="72" xfId="0" applyNumberFormat="1" applyFill="1" applyBorder="1" applyAlignment="1">
      <alignment horizontal="center"/>
    </xf>
    <xf numFmtId="164" fontId="0" fillId="2" borderId="45" xfId="0" applyNumberFormat="1" applyFill="1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164" fontId="0" fillId="0" borderId="46" xfId="0" applyNumberFormat="1" applyBorder="1" applyAlignment="1">
      <alignment horizontal="center"/>
    </xf>
    <xf numFmtId="0" fontId="15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9" fontId="15" fillId="0" borderId="0" xfId="1" applyFont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36" xfId="0" applyFont="1" applyBorder="1"/>
    <xf numFmtId="0" fontId="15" fillId="0" borderId="37" xfId="0" applyFont="1" applyBorder="1"/>
    <xf numFmtId="9" fontId="15" fillId="0" borderId="4" xfId="0" applyNumberFormat="1" applyFont="1" applyBorder="1"/>
    <xf numFmtId="9" fontId="15" fillId="0" borderId="0" xfId="0" applyNumberFormat="1" applyFont="1"/>
    <xf numFmtId="0" fontId="21" fillId="0" borderId="1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/>
    <xf numFmtId="0" fontId="15" fillId="0" borderId="12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3" fillId="0" borderId="0" xfId="0" applyFont="1" applyAlignment="1">
      <alignment vertical="center"/>
    </xf>
    <xf numFmtId="0" fontId="0" fillId="15" borderId="15" xfId="0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15" fillId="15" borderId="15" xfId="0" applyFont="1" applyFill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9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24" fillId="2" borderId="94" xfId="0" applyFont="1" applyFill="1" applyBorder="1" applyAlignment="1">
      <alignment horizontal="center" vertical="center"/>
    </xf>
    <xf numFmtId="0" fontId="15" fillId="0" borderId="22" xfId="0" applyFont="1" applyBorder="1"/>
    <xf numFmtId="164" fontId="15" fillId="0" borderId="17" xfId="0" applyNumberFormat="1" applyFont="1" applyBorder="1" applyAlignment="1">
      <alignment horizontal="center"/>
    </xf>
    <xf numFmtId="164" fontId="24" fillId="0" borderId="12" xfId="0" applyNumberFormat="1" applyFont="1" applyBorder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6" fontId="24" fillId="0" borderId="0" xfId="0" applyNumberFormat="1" applyFont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24" fillId="0" borderId="0" xfId="0" applyFont="1" applyAlignment="1">
      <alignment vertical="center"/>
    </xf>
    <xf numFmtId="0" fontId="0" fillId="7" borderId="81" xfId="0" applyFill="1" applyBorder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166" fontId="24" fillId="0" borderId="64" xfId="0" applyNumberFormat="1" applyFont="1" applyBorder="1" applyAlignment="1">
      <alignment horizontal="center" vertical="center"/>
    </xf>
    <xf numFmtId="166" fontId="24" fillId="0" borderId="12" xfId="0" applyNumberFormat="1" applyFont="1" applyBorder="1" applyAlignment="1">
      <alignment horizontal="center" vertical="center"/>
    </xf>
    <xf numFmtId="166" fontId="24" fillId="0" borderId="13" xfId="0" applyNumberFormat="1" applyFont="1" applyBorder="1" applyAlignment="1">
      <alignment horizontal="center" vertical="center"/>
    </xf>
    <xf numFmtId="166" fontId="24" fillId="0" borderId="71" xfId="0" applyNumberFormat="1" applyFont="1" applyBorder="1" applyAlignment="1">
      <alignment horizontal="center" vertical="center"/>
    </xf>
    <xf numFmtId="166" fontId="24" fillId="2" borderId="64" xfId="0" applyNumberFormat="1" applyFont="1" applyFill="1" applyBorder="1" applyAlignment="1">
      <alignment horizontal="center" vertical="center"/>
    </xf>
    <xf numFmtId="166" fontId="24" fillId="2" borderId="12" xfId="0" applyNumberFormat="1" applyFont="1" applyFill="1" applyBorder="1" applyAlignment="1">
      <alignment horizontal="center" vertical="center"/>
    </xf>
    <xf numFmtId="166" fontId="24" fillId="2" borderId="13" xfId="0" applyNumberFormat="1" applyFont="1" applyFill="1" applyBorder="1" applyAlignment="1">
      <alignment horizontal="center" vertical="center"/>
    </xf>
    <xf numFmtId="0" fontId="0" fillId="12" borderId="81" xfId="0" applyFill="1" applyBorder="1" applyAlignment="1">
      <alignment horizontal="center"/>
    </xf>
    <xf numFmtId="164" fontId="15" fillId="12" borderId="0" xfId="0" applyNumberFormat="1" applyFont="1" applyFill="1" applyAlignment="1">
      <alignment horizontal="center" vertical="center"/>
    </xf>
    <xf numFmtId="166" fontId="0" fillId="0" borderId="96" xfId="0" applyNumberFormat="1" applyBorder="1" applyAlignment="1">
      <alignment horizontal="center" vertical="center"/>
    </xf>
    <xf numFmtId="0" fontId="0" fillId="12" borderId="13" xfId="0" applyFill="1" applyBorder="1" applyAlignment="1">
      <alignment horizontal="center"/>
    </xf>
    <xf numFmtId="166" fontId="24" fillId="0" borderId="31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6" xfId="0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22" borderId="11" xfId="0" applyNumberFormat="1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166" fontId="0" fillId="0" borderId="59" xfId="0" applyNumberFormat="1" applyBorder="1" applyAlignment="1">
      <alignment horizontal="center" vertical="center"/>
    </xf>
    <xf numFmtId="166" fontId="0" fillId="0" borderId="98" xfId="0" applyNumberFormat="1" applyBorder="1" applyAlignment="1">
      <alignment horizontal="center" vertical="center"/>
    </xf>
    <xf numFmtId="0" fontId="0" fillId="0" borderId="64" xfId="0" applyBorder="1" applyAlignment="1">
      <alignment horizontal="center"/>
    </xf>
    <xf numFmtId="167" fontId="0" fillId="22" borderId="12" xfId="0" applyNumberFormat="1" applyFill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6" fontId="0" fillId="0" borderId="6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7" fontId="0" fillId="22" borderId="13" xfId="0" applyNumberFormat="1" applyFill="1" applyBorder="1" applyAlignment="1">
      <alignment horizontal="center"/>
    </xf>
    <xf numFmtId="0" fontId="24" fillId="2" borderId="64" xfId="0" applyFont="1" applyFill="1" applyBorder="1" applyAlignment="1">
      <alignment horizontal="center" vertical="center"/>
    </xf>
    <xf numFmtId="164" fontId="15" fillId="11" borderId="0" xfId="0" applyNumberFormat="1" applyFont="1" applyFill="1" applyAlignment="1">
      <alignment horizontal="center" vertical="center"/>
    </xf>
    <xf numFmtId="166" fontId="0" fillId="0" borderId="2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66" xfId="0" applyBorder="1" applyAlignment="1">
      <alignment horizontal="center"/>
    </xf>
    <xf numFmtId="167" fontId="0" fillId="22" borderId="45" xfId="0" applyNumberFormat="1" applyFill="1" applyBorder="1" applyAlignment="1">
      <alignment horizontal="center"/>
    </xf>
    <xf numFmtId="167" fontId="0" fillId="0" borderId="45" xfId="0" applyNumberFormat="1" applyBorder="1" applyAlignment="1">
      <alignment horizontal="center"/>
    </xf>
    <xf numFmtId="167" fontId="0" fillId="0" borderId="46" xfId="0" applyNumberFormat="1" applyBorder="1" applyAlignment="1">
      <alignment horizontal="center"/>
    </xf>
    <xf numFmtId="166" fontId="0" fillId="0" borderId="66" xfId="0" applyNumberFormat="1" applyBorder="1" applyAlignment="1">
      <alignment horizontal="center" vertical="center"/>
    </xf>
    <xf numFmtId="9" fontId="0" fillId="0" borderId="0" xfId="0" applyNumberFormat="1"/>
    <xf numFmtId="3" fontId="6" fillId="0" borderId="0" xfId="0" applyNumberFormat="1" applyFont="1" applyAlignment="1">
      <alignment horizontal="center"/>
    </xf>
    <xf numFmtId="164" fontId="15" fillId="2" borderId="17" xfId="0" applyNumberFormat="1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 vertical="center"/>
    </xf>
    <xf numFmtId="164" fontId="15" fillId="2" borderId="0" xfId="0" applyNumberFormat="1" applyFont="1" applyFill="1" applyAlignment="1">
      <alignment horizontal="center" vertical="center"/>
    </xf>
    <xf numFmtId="164" fontId="15" fillId="22" borderId="0" xfId="0" applyNumberFormat="1" applyFont="1" applyFill="1" applyAlignment="1">
      <alignment horizontal="center" vertical="center"/>
    </xf>
    <xf numFmtId="0" fontId="15" fillId="25" borderId="13" xfId="0" applyFont="1" applyFill="1" applyBorder="1" applyAlignment="1">
      <alignment horizontal="center"/>
    </xf>
    <xf numFmtId="164" fontId="15" fillId="25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22" xfId="0" applyNumberFormat="1" applyBorder="1" applyAlignment="1">
      <alignment vertical="center"/>
    </xf>
    <xf numFmtId="0" fontId="0" fillId="25" borderId="13" xfId="0" applyFill="1" applyBorder="1" applyAlignment="1">
      <alignment horizontal="center"/>
    </xf>
    <xf numFmtId="0" fontId="23" fillId="2" borderId="64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0" fillId="0" borderId="21" xfId="0" applyBorder="1"/>
    <xf numFmtId="166" fontId="0" fillId="0" borderId="100" xfId="0" applyNumberFormat="1" applyBorder="1" applyAlignment="1">
      <alignment horizontal="center" vertical="center"/>
    </xf>
    <xf numFmtId="166" fontId="24" fillId="0" borderId="30" xfId="0" applyNumberFormat="1" applyFont="1" applyBorder="1" applyAlignment="1">
      <alignment horizontal="center" vertical="center"/>
    </xf>
    <xf numFmtId="0" fontId="23" fillId="2" borderId="66" xfId="0" applyFont="1" applyFill="1" applyBorder="1" applyAlignment="1">
      <alignment horizontal="center" vertical="center"/>
    </xf>
    <xf numFmtId="0" fontId="23" fillId="2" borderId="45" xfId="0" applyFont="1" applyFill="1" applyBorder="1" applyAlignment="1">
      <alignment horizontal="center" vertical="center"/>
    </xf>
    <xf numFmtId="166" fontId="24" fillId="2" borderId="45" xfId="0" applyNumberFormat="1" applyFont="1" applyFill="1" applyBorder="1" applyAlignment="1">
      <alignment horizontal="center" vertical="center"/>
    </xf>
    <xf numFmtId="0" fontId="0" fillId="25" borderId="20" xfId="0" applyFill="1" applyBorder="1" applyAlignment="1">
      <alignment horizontal="center"/>
    </xf>
    <xf numFmtId="166" fontId="0" fillId="0" borderId="24" xfId="0" applyNumberFormat="1" applyBorder="1"/>
    <xf numFmtId="166" fontId="0" fillId="0" borderId="1" xfId="0" applyNumberFormat="1" applyBorder="1"/>
    <xf numFmtId="164" fontId="0" fillId="0" borderId="0" xfId="0" applyNumberFormat="1" applyAlignment="1">
      <alignment horizontal="center"/>
    </xf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 vertical="center"/>
    </xf>
    <xf numFmtId="166" fontId="24" fillId="0" borderId="0" xfId="0" applyNumberFormat="1" applyFont="1" applyAlignment="1">
      <alignment vertical="center"/>
    </xf>
    <xf numFmtId="166" fontId="15" fillId="0" borderId="21" xfId="0" applyNumberFormat="1" applyFont="1" applyBorder="1" applyAlignment="1">
      <alignment horizontal="center" vertical="center"/>
    </xf>
    <xf numFmtId="166" fontId="15" fillId="0" borderId="22" xfId="0" applyNumberFormat="1" applyFont="1" applyBorder="1" applyAlignment="1">
      <alignment horizontal="center" vertical="center"/>
    </xf>
    <xf numFmtId="166" fontId="0" fillId="0" borderId="97" xfId="0" applyNumberFormat="1" applyBorder="1" applyAlignment="1">
      <alignment vertical="center"/>
    </xf>
    <xf numFmtId="164" fontId="0" fillId="0" borderId="0" xfId="0" applyNumberFormat="1"/>
    <xf numFmtId="164" fontId="24" fillId="0" borderId="0" xfId="0" applyNumberFormat="1" applyFont="1" applyAlignment="1">
      <alignment vertical="center"/>
    </xf>
    <xf numFmtId="0" fontId="0" fillId="0" borderId="21" xfId="0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164" fontId="0" fillId="0" borderId="15" xfId="0" applyNumberFormat="1" applyBorder="1" applyAlignment="1">
      <alignment horizontal="center"/>
    </xf>
    <xf numFmtId="164" fontId="0" fillId="0" borderId="66" xfId="0" applyNumberFormat="1" applyBorder="1"/>
    <xf numFmtId="164" fontId="0" fillId="0" borderId="45" xfId="0" applyNumberFormat="1" applyBorder="1"/>
    <xf numFmtId="166" fontId="0" fillId="0" borderId="24" xfId="0" applyNumberFormat="1" applyBorder="1" applyAlignment="1">
      <alignment horizontal="center"/>
    </xf>
    <xf numFmtId="166" fontId="0" fillId="0" borderId="104" xfId="0" applyNumberFormat="1" applyBorder="1" applyAlignment="1">
      <alignment horizontal="center"/>
    </xf>
    <xf numFmtId="166" fontId="0" fillId="0" borderId="21" xfId="0" applyNumberFormat="1" applyBorder="1"/>
    <xf numFmtId="166" fontId="0" fillId="0" borderId="22" xfId="0" applyNumberFormat="1" applyBorder="1"/>
    <xf numFmtId="166" fontId="0" fillId="0" borderId="22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9" fontId="1" fillId="0" borderId="12" xfId="1" applyFont="1" applyBorder="1" applyAlignment="1">
      <alignment vertical="center"/>
    </xf>
    <xf numFmtId="0" fontId="3" fillId="0" borderId="0" xfId="0" applyFont="1"/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66" fontId="26" fillId="0" borderId="0" xfId="0" applyNumberFormat="1" applyFont="1" applyAlignment="1">
      <alignment vertical="center"/>
    </xf>
    <xf numFmtId="164" fontId="0" fillId="0" borderId="1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6" fontId="0" fillId="0" borderId="25" xfId="0" applyNumberFormat="1" applyBorder="1"/>
    <xf numFmtId="0" fontId="0" fillId="9" borderId="0" xfId="0" applyFill="1"/>
    <xf numFmtId="166" fontId="0" fillId="9" borderId="0" xfId="0" applyNumberFormat="1" applyFill="1"/>
    <xf numFmtId="8" fontId="0" fillId="9" borderId="0" xfId="0" applyNumberFormat="1" applyFill="1"/>
    <xf numFmtId="0" fontId="0" fillId="2" borderId="2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22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21" xfId="0" applyFill="1" applyBorder="1"/>
    <xf numFmtId="0" fontId="0" fillId="2" borderId="22" xfId="0" applyFill="1" applyBorder="1"/>
    <xf numFmtId="0" fontId="23" fillId="2" borderId="0" xfId="0" applyFont="1" applyFill="1" applyAlignment="1">
      <alignment vertical="center"/>
    </xf>
    <xf numFmtId="166" fontId="23" fillId="2" borderId="0" xfId="0" applyNumberFormat="1" applyFont="1" applyFill="1" applyAlignment="1">
      <alignment vertical="center"/>
    </xf>
    <xf numFmtId="166" fontId="0" fillId="2" borderId="0" xfId="0" applyNumberFormat="1" applyFill="1"/>
    <xf numFmtId="8" fontId="0" fillId="2" borderId="0" xfId="0" applyNumberFormat="1" applyFill="1"/>
    <xf numFmtId="0" fontId="0" fillId="2" borderId="2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24" fillId="2" borderId="15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15" fillId="2" borderId="21" xfId="0" applyFont="1" applyFill="1" applyBorder="1"/>
    <xf numFmtId="0" fontId="15" fillId="2" borderId="0" xfId="0" applyFont="1" applyFill="1"/>
    <xf numFmtId="0" fontId="24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2" borderId="22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15" fillId="2" borderId="22" xfId="0" applyFont="1" applyFill="1" applyBorder="1"/>
    <xf numFmtId="0" fontId="24" fillId="2" borderId="87" xfId="0" applyFont="1" applyFill="1" applyBorder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3" fillId="2" borderId="0" xfId="0" applyFont="1" applyFill="1"/>
    <xf numFmtId="164" fontId="15" fillId="2" borderId="0" xfId="0" applyNumberFormat="1" applyFont="1" applyFill="1" applyAlignment="1">
      <alignment horizontal="center"/>
    </xf>
    <xf numFmtId="166" fontId="24" fillId="2" borderId="0" xfId="0" applyNumberFormat="1" applyFont="1" applyFill="1" applyAlignment="1">
      <alignment horizontal="center" vertical="center"/>
    </xf>
    <xf numFmtId="166" fontId="15" fillId="2" borderId="0" xfId="0" applyNumberFormat="1" applyFont="1" applyFill="1" applyAlignment="1">
      <alignment horizontal="center" vertical="center"/>
    </xf>
    <xf numFmtId="166" fontId="24" fillId="2" borderId="31" xfId="0" applyNumberFormat="1" applyFont="1" applyFill="1" applyBorder="1" applyAlignment="1">
      <alignment horizontal="center" vertical="center"/>
    </xf>
    <xf numFmtId="166" fontId="24" fillId="2" borderId="22" xfId="0" applyNumberFormat="1" applyFont="1" applyFill="1" applyBorder="1" applyAlignment="1">
      <alignment horizontal="center" vertical="center"/>
    </xf>
    <xf numFmtId="166" fontId="24" fillId="2" borderId="94" xfId="0" applyNumberFormat="1" applyFont="1" applyFill="1" applyBorder="1" applyAlignment="1">
      <alignment vertical="center"/>
    </xf>
    <xf numFmtId="0" fontId="0" fillId="2" borderId="81" xfId="0" applyFill="1" applyBorder="1" applyAlignment="1">
      <alignment horizontal="center"/>
    </xf>
    <xf numFmtId="166" fontId="0" fillId="2" borderId="96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166" fontId="24" fillId="2" borderId="87" xfId="0" applyNumberFormat="1" applyFont="1" applyFill="1" applyBorder="1" applyAlignment="1">
      <alignment vertical="center"/>
    </xf>
    <xf numFmtId="166" fontId="0" fillId="2" borderId="59" xfId="0" applyNumberFormat="1" applyFill="1" applyBorder="1" applyAlignment="1">
      <alignment horizontal="center" vertical="center"/>
    </xf>
    <xf numFmtId="166" fontId="0" fillId="2" borderId="98" xfId="0" applyNumberFormat="1" applyFill="1" applyBorder="1" applyAlignment="1">
      <alignment horizontal="center" vertical="center"/>
    </xf>
    <xf numFmtId="166" fontId="24" fillId="2" borderId="104" xfId="0" applyNumberFormat="1" applyFont="1" applyFill="1" applyBorder="1" applyAlignment="1">
      <alignment vertical="center"/>
    </xf>
    <xf numFmtId="166" fontId="0" fillId="2" borderId="64" xfId="0" applyNumberFormat="1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166" fontId="24" fillId="2" borderId="30" xfId="0" applyNumberFormat="1" applyFont="1" applyFill="1" applyBorder="1" applyAlignment="1">
      <alignment horizontal="center" vertical="center"/>
    </xf>
    <xf numFmtId="166" fontId="0" fillId="2" borderId="21" xfId="0" applyNumberFormat="1" applyFill="1" applyBorder="1" applyAlignment="1">
      <alignment vertical="center"/>
    </xf>
    <xf numFmtId="166" fontId="0" fillId="2" borderId="0" xfId="0" applyNumberFormat="1" applyFill="1" applyAlignment="1">
      <alignment vertical="center"/>
    </xf>
    <xf numFmtId="166" fontId="0" fillId="2" borderId="66" xfId="0" applyNumberForma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166" fontId="0" fillId="2" borderId="0" xfId="0" applyNumberFormat="1" applyFill="1" applyAlignment="1">
      <alignment horizontal="center" vertical="center"/>
    </xf>
    <xf numFmtId="166" fontId="0" fillId="2" borderId="22" xfId="0" applyNumberFormat="1" applyFill="1" applyBorder="1" applyAlignment="1">
      <alignment vertical="center"/>
    </xf>
    <xf numFmtId="166" fontId="24" fillId="2" borderId="93" xfId="0" applyNumberFormat="1" applyFont="1" applyFill="1" applyBorder="1" applyAlignment="1">
      <alignment vertical="center"/>
    </xf>
    <xf numFmtId="166" fontId="0" fillId="2" borderId="100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66" fontId="0" fillId="2" borderId="24" xfId="0" applyNumberFormat="1" applyFill="1" applyBorder="1"/>
    <xf numFmtId="166" fontId="0" fillId="2" borderId="1" xfId="0" applyNumberFormat="1" applyFill="1" applyBorder="1"/>
    <xf numFmtId="166" fontId="0" fillId="2" borderId="97" xfId="0" applyNumberForma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0" fillId="2" borderId="14" xfId="0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2" borderId="2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5" xfId="0" applyNumberForma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2" xfId="0" applyBorder="1"/>
    <xf numFmtId="0" fontId="3" fillId="0" borderId="12" xfId="0" applyFont="1" applyBorder="1"/>
    <xf numFmtId="0" fontId="3" fillId="0" borderId="5" xfId="0" applyFont="1" applyBorder="1" applyAlignment="1">
      <alignment horizontal="center"/>
    </xf>
    <xf numFmtId="0" fontId="3" fillId="7" borderId="86" xfId="0" applyFont="1" applyFill="1" applyBorder="1" applyAlignment="1">
      <alignment horizontal="center"/>
    </xf>
    <xf numFmtId="0" fontId="3" fillId="0" borderId="87" xfId="0" applyFont="1" applyBorder="1" applyAlignment="1">
      <alignment horizontal="center"/>
    </xf>
    <xf numFmtId="0" fontId="0" fillId="7" borderId="95" xfId="0" applyFill="1" applyBorder="1" applyAlignment="1">
      <alignment horizontal="center"/>
    </xf>
    <xf numFmtId="0" fontId="0" fillId="7" borderId="8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0" fillId="7" borderId="7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7" borderId="12" xfId="0" applyFill="1" applyBorder="1" applyAlignment="1">
      <alignment horizontal="center"/>
    </xf>
    <xf numFmtId="0" fontId="0" fillId="27" borderId="13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167" fontId="4" fillId="4" borderId="12" xfId="0" applyNumberFormat="1" applyFont="1" applyFill="1" applyBorder="1" applyAlignment="1">
      <alignment horizontal="center" vertical="top"/>
    </xf>
    <xf numFmtId="166" fontId="4" fillId="4" borderId="12" xfId="0" applyNumberFormat="1" applyFont="1" applyFill="1" applyBorder="1" applyAlignment="1">
      <alignment horizontal="center" vertical="top"/>
    </xf>
    <xf numFmtId="0" fontId="4" fillId="0" borderId="38" xfId="0" applyFont="1" applyBorder="1" applyAlignment="1">
      <alignment horizontal="center" vertical="top"/>
    </xf>
    <xf numFmtId="3" fontId="13" fillId="0" borderId="9" xfId="0" applyNumberFormat="1" applyFont="1" applyBorder="1" applyAlignment="1">
      <alignment horizontal="center" vertical="top"/>
    </xf>
    <xf numFmtId="0" fontId="3" fillId="2" borderId="90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0" fontId="0" fillId="2" borderId="73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3" fillId="9" borderId="86" xfId="0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86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3" fillId="15" borderId="86" xfId="0" applyFont="1" applyFill="1" applyBorder="1" applyAlignment="1">
      <alignment horizontal="center"/>
    </xf>
    <xf numFmtId="0" fontId="0" fillId="15" borderId="8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vertical="top"/>
    </xf>
    <xf numFmtId="1" fontId="4" fillId="0" borderId="0" xfId="0" applyNumberFormat="1" applyFont="1"/>
    <xf numFmtId="0" fontId="12" fillId="0" borderId="0" xfId="0" applyFont="1"/>
    <xf numFmtId="166" fontId="4" fillId="0" borderId="0" xfId="0" applyNumberFormat="1" applyFont="1" applyAlignment="1">
      <alignment horizontal="center"/>
    </xf>
    <xf numFmtId="165" fontId="12" fillId="0" borderId="0" xfId="0" applyNumberFormat="1" applyFont="1"/>
    <xf numFmtId="3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96" xfId="0" applyFont="1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6" fillId="0" borderId="64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1" fontId="6" fillId="0" borderId="22" xfId="0" applyNumberFormat="1" applyFont="1" applyBorder="1" applyAlignment="1">
      <alignment vertical="top"/>
    </xf>
    <xf numFmtId="166" fontId="6" fillId="0" borderId="0" xfId="0" applyNumberFormat="1" applyFont="1" applyAlignment="1">
      <alignment horizontal="center" vertical="top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5" fontId="4" fillId="0" borderId="96" xfId="0" applyNumberFormat="1" applyFont="1" applyBorder="1" applyAlignment="1">
      <alignment horizontal="center"/>
    </xf>
    <xf numFmtId="166" fontId="4" fillId="7" borderId="11" xfId="0" applyNumberFormat="1" applyFont="1" applyFill="1" applyBorder="1" applyAlignment="1">
      <alignment horizontal="center"/>
    </xf>
    <xf numFmtId="165" fontId="4" fillId="0" borderId="64" xfId="0" applyNumberFormat="1" applyFont="1" applyBorder="1" applyAlignment="1">
      <alignment horizontal="center"/>
    </xf>
    <xf numFmtId="166" fontId="4" fillId="7" borderId="13" xfId="0" applyNumberFormat="1" applyFont="1" applyFill="1" applyBorder="1" applyAlignment="1">
      <alignment horizontal="center"/>
    </xf>
    <xf numFmtId="166" fontId="4" fillId="5" borderId="13" xfId="0" applyNumberFormat="1" applyFont="1" applyFill="1" applyBorder="1" applyAlignment="1">
      <alignment horizontal="center"/>
    </xf>
    <xf numFmtId="165" fontId="4" fillId="0" borderId="83" xfId="0" applyNumberFormat="1" applyFont="1" applyBorder="1" applyAlignment="1">
      <alignment horizontal="center"/>
    </xf>
    <xf numFmtId="166" fontId="4" fillId="7" borderId="20" xfId="0" applyNumberFormat="1" applyFont="1" applyFill="1" applyBorder="1" applyAlignment="1">
      <alignment horizontal="center"/>
    </xf>
    <xf numFmtId="165" fontId="9" fillId="0" borderId="64" xfId="0" applyNumberFormat="1" applyFont="1" applyBorder="1" applyAlignment="1">
      <alignment horizontal="center"/>
    </xf>
    <xf numFmtId="166" fontId="4" fillId="5" borderId="20" xfId="0" applyNumberFormat="1" applyFont="1" applyFill="1" applyBorder="1" applyAlignment="1">
      <alignment horizontal="center"/>
    </xf>
    <xf numFmtId="165" fontId="4" fillId="0" borderId="106" xfId="0" applyNumberFormat="1" applyFont="1" applyBorder="1" applyAlignment="1">
      <alignment horizontal="center"/>
    </xf>
    <xf numFmtId="166" fontId="4" fillId="7" borderId="107" xfId="0" applyNumberFormat="1" applyFont="1" applyFill="1" applyBorder="1" applyAlignment="1">
      <alignment horizontal="center"/>
    </xf>
    <xf numFmtId="0" fontId="4" fillId="0" borderId="96" xfId="0" applyFont="1" applyBorder="1" applyAlignment="1">
      <alignment horizontal="center"/>
    </xf>
    <xf numFmtId="0" fontId="4" fillId="0" borderId="108" xfId="0" applyFont="1" applyBorder="1" applyAlignment="1">
      <alignment horizontal="center"/>
    </xf>
    <xf numFmtId="166" fontId="4" fillId="7" borderId="109" xfId="0" applyNumberFormat="1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166" fontId="4" fillId="5" borderId="45" xfId="0" applyNumberFormat="1" applyFont="1" applyFill="1" applyBorder="1" applyAlignment="1">
      <alignment horizontal="center"/>
    </xf>
    <xf numFmtId="166" fontId="4" fillId="7" borderId="45" xfId="0" applyNumberFormat="1" applyFont="1" applyFill="1" applyBorder="1" applyAlignment="1">
      <alignment horizontal="center"/>
    </xf>
    <xf numFmtId="166" fontId="4" fillId="7" borderId="46" xfId="0" applyNumberFormat="1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 vertical="top"/>
    </xf>
    <xf numFmtId="1" fontId="4" fillId="7" borderId="13" xfId="0" applyNumberFormat="1" applyFont="1" applyFill="1" applyBorder="1" applyAlignment="1">
      <alignment horizontal="center"/>
    </xf>
    <xf numFmtId="2" fontId="4" fillId="7" borderId="12" xfId="0" applyNumberFormat="1" applyFont="1" applyFill="1" applyBorder="1" applyAlignment="1">
      <alignment horizontal="center" vertical="top"/>
    </xf>
    <xf numFmtId="2" fontId="4" fillId="7" borderId="13" xfId="0" applyNumberFormat="1" applyFont="1" applyFill="1" applyBorder="1" applyAlignment="1">
      <alignment horizontal="center"/>
    </xf>
    <xf numFmtId="1" fontId="6" fillId="7" borderId="12" xfId="0" applyNumberFormat="1" applyFont="1" applyFill="1" applyBorder="1" applyAlignment="1">
      <alignment horizontal="center" vertical="top"/>
    </xf>
    <xf numFmtId="1" fontId="6" fillId="5" borderId="12" xfId="0" applyNumberFormat="1" applyFont="1" applyFill="1" applyBorder="1" applyAlignment="1">
      <alignment horizontal="center" vertical="top"/>
    </xf>
    <xf numFmtId="1" fontId="4" fillId="5" borderId="12" xfId="0" applyNumberFormat="1" applyFont="1" applyFill="1" applyBorder="1" applyAlignment="1">
      <alignment horizontal="center" vertical="top"/>
    </xf>
    <xf numFmtId="2" fontId="6" fillId="5" borderId="12" xfId="0" applyNumberFormat="1" applyFont="1" applyFill="1" applyBorder="1" applyAlignment="1">
      <alignment horizontal="center" vertical="top"/>
    </xf>
    <xf numFmtId="2" fontId="4" fillId="5" borderId="12" xfId="0" applyNumberFormat="1" applyFont="1" applyFill="1" applyBorder="1" applyAlignment="1">
      <alignment horizontal="center" vertical="top"/>
    </xf>
    <xf numFmtId="0" fontId="4" fillId="0" borderId="83" xfId="0" applyFont="1" applyBorder="1" applyAlignment="1">
      <alignment horizontal="center"/>
    </xf>
    <xf numFmtId="1" fontId="4" fillId="0" borderId="22" xfId="0" applyNumberFormat="1" applyFont="1" applyBorder="1"/>
    <xf numFmtId="166" fontId="4" fillId="5" borderId="11" xfId="0" applyNumberFormat="1" applyFont="1" applyFill="1" applyBorder="1" applyAlignment="1">
      <alignment horizontal="center"/>
    </xf>
    <xf numFmtId="166" fontId="4" fillId="5" borderId="107" xfId="0" applyNumberFormat="1" applyFont="1" applyFill="1" applyBorder="1" applyAlignment="1">
      <alignment horizontal="center"/>
    </xf>
    <xf numFmtId="166" fontId="4" fillId="5" borderId="109" xfId="0" applyNumberFormat="1" applyFont="1" applyFill="1" applyBorder="1" applyAlignment="1">
      <alignment horizontal="center"/>
    </xf>
    <xf numFmtId="166" fontId="4" fillId="5" borderId="46" xfId="0" applyNumberFormat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 vertical="top"/>
    </xf>
    <xf numFmtId="0" fontId="5" fillId="7" borderId="10" xfId="0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/>
    </xf>
    <xf numFmtId="2" fontId="4" fillId="7" borderId="12" xfId="0" applyNumberFormat="1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" fontId="4" fillId="5" borderId="12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2" fontId="4" fillId="5" borderId="12" xfId="0" applyNumberFormat="1" applyFont="1" applyFill="1" applyBorder="1" applyAlignment="1">
      <alignment horizontal="center"/>
    </xf>
    <xf numFmtId="2" fontId="4" fillId="5" borderId="13" xfId="0" applyNumberFormat="1" applyFont="1" applyFill="1" applyBorder="1" applyAlignment="1">
      <alignment horizontal="center"/>
    </xf>
    <xf numFmtId="166" fontId="4" fillId="8" borderId="11" xfId="0" applyNumberFormat="1" applyFont="1" applyFill="1" applyBorder="1" applyAlignment="1">
      <alignment horizontal="center"/>
    </xf>
    <xf numFmtId="166" fontId="4" fillId="8" borderId="13" xfId="0" applyNumberFormat="1" applyFont="1" applyFill="1" applyBorder="1" applyAlignment="1">
      <alignment horizontal="center"/>
    </xf>
    <xf numFmtId="166" fontId="4" fillId="8" borderId="107" xfId="0" applyNumberFormat="1" applyFont="1" applyFill="1" applyBorder="1" applyAlignment="1">
      <alignment horizontal="center"/>
    </xf>
    <xf numFmtId="166" fontId="4" fillId="8" borderId="109" xfId="0" applyNumberFormat="1" applyFont="1" applyFill="1" applyBorder="1" applyAlignment="1">
      <alignment horizontal="center"/>
    </xf>
    <xf numFmtId="166" fontId="4" fillId="8" borderId="45" xfId="0" applyNumberFormat="1" applyFont="1" applyFill="1" applyBorder="1" applyAlignment="1">
      <alignment horizontal="center"/>
    </xf>
    <xf numFmtId="166" fontId="4" fillId="8" borderId="46" xfId="0" applyNumberFormat="1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1" fontId="4" fillId="5" borderId="29" xfId="0" applyNumberFormat="1" applyFont="1" applyFill="1" applyBorder="1" applyAlignment="1">
      <alignment horizontal="center"/>
    </xf>
    <xf numFmtId="2" fontId="4" fillId="5" borderId="29" xfId="0" applyNumberFormat="1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164" fontId="4" fillId="5" borderId="12" xfId="0" applyNumberFormat="1" applyFont="1" applyFill="1" applyBorder="1" applyAlignment="1">
      <alignment horizontal="center"/>
    </xf>
    <xf numFmtId="164" fontId="4" fillId="7" borderId="12" xfId="0" applyNumberFormat="1" applyFont="1" applyFill="1" applyBorder="1" applyAlignment="1">
      <alignment horizontal="center"/>
    </xf>
    <xf numFmtId="164" fontId="4" fillId="7" borderId="13" xfId="0" applyNumberFormat="1" applyFont="1" applyFill="1" applyBorder="1" applyAlignment="1">
      <alignment horizontal="center"/>
    </xf>
    <xf numFmtId="164" fontId="4" fillId="5" borderId="13" xfId="0" applyNumberFormat="1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84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24" xfId="0" applyBorder="1"/>
    <xf numFmtId="0" fontId="0" fillId="0" borderId="1" xfId="0" applyBorder="1"/>
    <xf numFmtId="0" fontId="0" fillId="0" borderId="25" xfId="0" applyBorder="1"/>
    <xf numFmtId="164" fontId="0" fillId="0" borderId="7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2" borderId="87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12" borderId="94" xfId="0" applyFont="1" applyFill="1" applyBorder="1" applyAlignment="1">
      <alignment horizontal="center"/>
    </xf>
    <xf numFmtId="165" fontId="4" fillId="0" borderId="79" xfId="0" applyNumberFormat="1" applyFont="1" applyBorder="1" applyAlignment="1">
      <alignment horizontal="center"/>
    </xf>
    <xf numFmtId="166" fontId="4" fillId="0" borderId="81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4" fillId="0" borderId="46" xfId="0" applyNumberFormat="1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165" fontId="4" fillId="0" borderId="66" xfId="0" applyNumberFormat="1" applyFont="1" applyBorder="1" applyAlignment="1">
      <alignment horizontal="center"/>
    </xf>
    <xf numFmtId="0" fontId="4" fillId="0" borderId="87" xfId="0" applyFont="1" applyBorder="1" applyAlignment="1">
      <alignment horizontal="center"/>
    </xf>
    <xf numFmtId="166" fontId="4" fillId="0" borderId="92" xfId="0" applyNumberFormat="1" applyFont="1" applyBorder="1" applyAlignment="1">
      <alignment horizontal="center"/>
    </xf>
    <xf numFmtId="166" fontId="4" fillId="0" borderId="29" xfId="0" applyNumberFormat="1" applyFont="1" applyBorder="1" applyAlignment="1">
      <alignment horizontal="center"/>
    </xf>
    <xf numFmtId="166" fontId="4" fillId="0" borderId="72" xfId="0" applyNumberFormat="1" applyFont="1" applyBorder="1" applyAlignment="1">
      <alignment horizontal="center"/>
    </xf>
    <xf numFmtId="10" fontId="4" fillId="0" borderId="11" xfId="1" applyNumberFormat="1" applyFont="1" applyBorder="1" applyAlignment="1">
      <alignment horizontal="center"/>
    </xf>
    <xf numFmtId="10" fontId="4" fillId="0" borderId="101" xfId="1" applyNumberFormat="1" applyFont="1" applyBorder="1" applyAlignment="1">
      <alignment horizontal="center"/>
    </xf>
    <xf numFmtId="0" fontId="4" fillId="0" borderId="22" xfId="0" applyFont="1" applyBorder="1"/>
    <xf numFmtId="10" fontId="4" fillId="0" borderId="89" xfId="1" applyNumberFormat="1" applyFont="1" applyBorder="1" applyAlignment="1">
      <alignment horizontal="center"/>
    </xf>
    <xf numFmtId="10" fontId="4" fillId="0" borderId="93" xfId="1" applyNumberFormat="1" applyFont="1" applyBorder="1" applyAlignment="1">
      <alignment horizontal="center"/>
    </xf>
    <xf numFmtId="0" fontId="4" fillId="0" borderId="1" xfId="0" applyFont="1" applyBorder="1"/>
    <xf numFmtId="0" fontId="4" fillId="0" borderId="25" xfId="0" applyFont="1" applyBorder="1"/>
    <xf numFmtId="0" fontId="4" fillId="0" borderId="7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5" fontId="9" fillId="0" borderId="12" xfId="0" applyNumberFormat="1" applyFont="1" applyBorder="1" applyAlignment="1">
      <alignment horizontal="center"/>
    </xf>
    <xf numFmtId="10" fontId="4" fillId="0" borderId="0" xfId="1" applyNumberFormat="1" applyFont="1"/>
    <xf numFmtId="0" fontId="6" fillId="0" borderId="115" xfId="0" applyFont="1" applyBorder="1" applyAlignment="1">
      <alignment horizontal="left"/>
    </xf>
    <xf numFmtId="0" fontId="4" fillId="0" borderId="115" xfId="0" applyFont="1" applyBorder="1" applyAlignment="1">
      <alignment horizontal="left"/>
    </xf>
    <xf numFmtId="0" fontId="0" fillId="0" borderId="115" xfId="0" applyBorder="1"/>
    <xf numFmtId="44" fontId="0" fillId="0" borderId="27" xfId="0" applyNumberFormat="1" applyBorder="1"/>
    <xf numFmtId="44" fontId="0" fillId="0" borderId="116" xfId="0" applyNumberFormat="1" applyBorder="1"/>
    <xf numFmtId="0" fontId="6" fillId="0" borderId="117" xfId="0" applyFont="1" applyBorder="1" applyAlignment="1">
      <alignment horizontal="left"/>
    </xf>
    <xf numFmtId="2" fontId="0" fillId="0" borderId="27" xfId="3" applyNumberFormat="1" applyFont="1" applyFill="1" applyBorder="1" applyAlignment="1"/>
    <xf numFmtId="0" fontId="0" fillId="0" borderId="27" xfId="0" applyBorder="1"/>
    <xf numFmtId="0" fontId="0" fillId="0" borderId="116" xfId="0" applyBorder="1"/>
    <xf numFmtId="44" fontId="0" fillId="0" borderId="119" xfId="0" applyNumberFormat="1" applyBorder="1"/>
    <xf numFmtId="0" fontId="0" fillId="0" borderId="119" xfId="0" applyBorder="1"/>
    <xf numFmtId="0" fontId="0" fillId="0" borderId="120" xfId="0" applyBorder="1"/>
    <xf numFmtId="0" fontId="0" fillId="0" borderId="115" xfId="0" applyBorder="1" applyAlignment="1">
      <alignment horizontal="left"/>
    </xf>
    <xf numFmtId="0" fontId="28" fillId="0" borderId="117" xfId="3" applyFill="1" applyBorder="1" applyAlignment="1">
      <alignment horizontal="left"/>
    </xf>
    <xf numFmtId="169" fontId="0" fillId="0" borderId="27" xfId="0" applyNumberFormat="1" applyBorder="1"/>
    <xf numFmtId="169" fontId="28" fillId="0" borderId="27" xfId="3" applyNumberFormat="1" applyBorder="1"/>
    <xf numFmtId="0" fontId="0" fillId="29" borderId="27" xfId="0" applyFill="1" applyBorder="1"/>
    <xf numFmtId="0" fontId="0" fillId="13" borderId="27" xfId="0" applyFill="1" applyBorder="1"/>
    <xf numFmtId="0" fontId="0" fillId="7" borderId="27" xfId="0" applyFill="1" applyBorder="1"/>
    <xf numFmtId="0" fontId="0" fillId="11" borderId="27" xfId="0" applyFill="1" applyBorder="1"/>
    <xf numFmtId="0" fontId="29" fillId="28" borderId="113" xfId="0" applyFont="1" applyFill="1" applyBorder="1"/>
    <xf numFmtId="0" fontId="0" fillId="28" borderId="114" xfId="0" applyFill="1" applyBorder="1"/>
    <xf numFmtId="0" fontId="0" fillId="28" borderId="118" xfId="0" applyFill="1" applyBorder="1"/>
    <xf numFmtId="0" fontId="0" fillId="11" borderId="116" xfId="0" applyFill="1" applyBorder="1"/>
    <xf numFmtId="0" fontId="28" fillId="0" borderId="115" xfId="3" applyBorder="1" applyAlignment="1">
      <alignment horizontal="left"/>
    </xf>
    <xf numFmtId="165" fontId="4" fillId="0" borderId="115" xfId="0" applyNumberFormat="1" applyFont="1" applyBorder="1" applyAlignment="1">
      <alignment horizontal="left"/>
    </xf>
    <xf numFmtId="169" fontId="0" fillId="0" borderId="116" xfId="0" applyNumberFormat="1" applyBorder="1"/>
    <xf numFmtId="165" fontId="9" fillId="0" borderId="115" xfId="0" applyNumberFormat="1" applyFont="1" applyBorder="1" applyAlignment="1">
      <alignment horizontal="left"/>
    </xf>
    <xf numFmtId="169" fontId="28" fillId="0" borderId="121" xfId="3" applyNumberFormat="1" applyBorder="1"/>
    <xf numFmtId="169" fontId="28" fillId="0" borderId="122" xfId="3" applyNumberFormat="1" applyBorder="1"/>
    <xf numFmtId="169" fontId="0" fillId="0" borderId="123" xfId="0" applyNumberFormat="1" applyBorder="1"/>
    <xf numFmtId="169" fontId="0" fillId="0" borderId="124" xfId="0" applyNumberFormat="1" applyBorder="1"/>
    <xf numFmtId="169" fontId="0" fillId="0" borderId="26" xfId="0" applyNumberFormat="1" applyBorder="1"/>
    <xf numFmtId="169" fontId="3" fillId="0" borderId="27" xfId="0" applyNumberFormat="1" applyFont="1" applyBorder="1"/>
    <xf numFmtId="169" fontId="30" fillId="0" borderId="27" xfId="0" applyNumberFormat="1" applyFont="1" applyBorder="1"/>
    <xf numFmtId="170" fontId="10" fillId="0" borderId="27" xfId="0" quotePrefix="1" applyNumberFormat="1" applyFont="1" applyBorder="1"/>
    <xf numFmtId="170" fontId="0" fillId="0" borderId="27" xfId="0" applyNumberFormat="1" applyBorder="1"/>
    <xf numFmtId="170" fontId="0" fillId="0" borderId="123" xfId="0" applyNumberFormat="1" applyBorder="1"/>
    <xf numFmtId="171" fontId="0" fillId="0" borderId="27" xfId="0" applyNumberFormat="1" applyBorder="1"/>
    <xf numFmtId="171" fontId="10" fillId="0" borderId="27" xfId="0" quotePrefix="1" applyNumberFormat="1" applyFont="1" applyBorder="1"/>
    <xf numFmtId="171" fontId="10" fillId="0" borderId="116" xfId="0" quotePrefix="1" applyNumberFormat="1" applyFont="1" applyBorder="1"/>
    <xf numFmtId="2" fontId="0" fillId="0" borderId="116" xfId="3" applyNumberFormat="1" applyFont="1" applyFill="1" applyBorder="1" applyAlignment="1"/>
    <xf numFmtId="44" fontId="0" fillId="0" borderId="120" xfId="0" applyNumberFormat="1" applyBorder="1"/>
    <xf numFmtId="169" fontId="28" fillId="0" borderId="116" xfId="3" applyNumberFormat="1" applyBorder="1"/>
    <xf numFmtId="170" fontId="10" fillId="0" borderId="116" xfId="0" quotePrefix="1" applyNumberFormat="1" applyFont="1" applyBorder="1"/>
    <xf numFmtId="0" fontId="28" fillId="0" borderId="115" xfId="3" applyFill="1" applyBorder="1" applyAlignment="1">
      <alignment horizontal="left"/>
    </xf>
    <xf numFmtId="169" fontId="3" fillId="0" borderId="116" xfId="0" applyNumberFormat="1" applyFont="1" applyBorder="1"/>
    <xf numFmtId="169" fontId="28" fillId="0" borderId="119" xfId="3" applyNumberFormat="1" applyFill="1" applyBorder="1"/>
    <xf numFmtId="0" fontId="6" fillId="0" borderId="126" xfId="0" applyFont="1" applyBorder="1" applyAlignment="1">
      <alignment horizontal="left"/>
    </xf>
    <xf numFmtId="1" fontId="0" fillId="0" borderId="26" xfId="0" applyNumberFormat="1" applyBorder="1"/>
    <xf numFmtId="1" fontId="0" fillId="0" borderId="125" xfId="0" applyNumberFormat="1" applyBorder="1"/>
    <xf numFmtId="170" fontId="10" fillId="0" borderId="26" xfId="0" quotePrefix="1" applyNumberFormat="1" applyFont="1" applyBorder="1"/>
    <xf numFmtId="170" fontId="10" fillId="0" borderId="125" xfId="0" quotePrefix="1" applyNumberFormat="1" applyFont="1" applyBorder="1"/>
    <xf numFmtId="170" fontId="0" fillId="0" borderId="124" xfId="0" applyNumberFormat="1" applyBorder="1"/>
    <xf numFmtId="170" fontId="0" fillId="0" borderId="0" xfId="0" applyNumberFormat="1"/>
    <xf numFmtId="0" fontId="10" fillId="0" borderId="27" xfId="0" quotePrefix="1" applyFont="1" applyBorder="1"/>
    <xf numFmtId="169" fontId="28" fillId="0" borderId="123" xfId="3" applyNumberFormat="1" applyBorder="1"/>
    <xf numFmtId="170" fontId="0" fillId="0" borderId="116" xfId="0" applyNumberFormat="1" applyBorder="1"/>
    <xf numFmtId="171" fontId="0" fillId="0" borderId="116" xfId="0" applyNumberFormat="1" applyBorder="1"/>
    <xf numFmtId="0" fontId="6" fillId="0" borderId="113" xfId="0" applyFont="1" applyBorder="1" applyAlignment="1">
      <alignment horizontal="left"/>
    </xf>
    <xf numFmtId="1" fontId="0" fillId="0" borderId="114" xfId="0" applyNumberFormat="1" applyBorder="1"/>
    <xf numFmtId="1" fontId="0" fillId="0" borderId="118" xfId="0" applyNumberFormat="1" applyBorder="1"/>
    <xf numFmtId="0" fontId="28" fillId="0" borderId="127" xfId="3" applyFill="1" applyBorder="1" applyAlignment="1">
      <alignment horizontal="left"/>
    </xf>
    <xf numFmtId="169" fontId="28" fillId="0" borderId="123" xfId="3" applyNumberFormat="1" applyFill="1" applyBorder="1"/>
    <xf numFmtId="0" fontId="0" fillId="0" borderId="123" xfId="0" applyBorder="1"/>
    <xf numFmtId="0" fontId="0" fillId="0" borderId="124" xfId="0" applyBorder="1"/>
    <xf numFmtId="170" fontId="31" fillId="0" borderId="27" xfId="0" quotePrefix="1" applyNumberFormat="1" applyFont="1" applyBorder="1"/>
    <xf numFmtId="170" fontId="31" fillId="0" borderId="116" xfId="0" quotePrefix="1" applyNumberFormat="1" applyFont="1" applyBorder="1"/>
    <xf numFmtId="1" fontId="10" fillId="0" borderId="27" xfId="0" quotePrefix="1" applyNumberFormat="1" applyFont="1" applyBorder="1"/>
    <xf numFmtId="170" fontId="10" fillId="0" borderId="128" xfId="0" quotePrefix="1" applyNumberFormat="1" applyFont="1" applyBorder="1"/>
    <xf numFmtId="170" fontId="0" fillId="0" borderId="26" xfId="0" applyNumberFormat="1" applyBorder="1"/>
    <xf numFmtId="170" fontId="0" fillId="0" borderId="125" xfId="0" applyNumberFormat="1" applyBorder="1"/>
    <xf numFmtId="170" fontId="10" fillId="0" borderId="123" xfId="0" quotePrefix="1" applyNumberFormat="1" applyFont="1" applyBorder="1"/>
    <xf numFmtId="170" fontId="31" fillId="0" borderId="26" xfId="0" quotePrefix="1" applyNumberFormat="1" applyFont="1" applyBorder="1"/>
    <xf numFmtId="170" fontId="32" fillId="0" borderId="27" xfId="0" quotePrefix="1" applyNumberFormat="1" applyFont="1" applyBorder="1"/>
    <xf numFmtId="0" fontId="3" fillId="11" borderId="12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0" fillId="2" borderId="12" xfId="0" applyNumberFormat="1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166" fontId="0" fillId="2" borderId="61" xfId="0" applyNumberFormat="1" applyFill="1" applyBorder="1" applyAlignment="1">
      <alignment horizontal="center" vertical="center"/>
    </xf>
    <xf numFmtId="166" fontId="0" fillId="2" borderId="20" xfId="0" applyNumberFormat="1" applyFill="1" applyBorder="1" applyAlignment="1">
      <alignment horizontal="center" vertical="center"/>
    </xf>
    <xf numFmtId="166" fontId="0" fillId="2" borderId="19" xfId="0" applyNumberFormat="1" applyFill="1" applyBorder="1" applyAlignment="1">
      <alignment horizontal="center" vertical="center"/>
    </xf>
    <xf numFmtId="166" fontId="0" fillId="2" borderId="60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24" fillId="2" borderId="30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Alignment="1">
      <alignment horizontal="center" vertical="center"/>
    </xf>
    <xf numFmtId="0" fontId="0" fillId="2" borderId="83" xfId="0" applyFill="1" applyBorder="1" applyAlignment="1">
      <alignment horizontal="center" vertical="center"/>
    </xf>
    <xf numFmtId="166" fontId="24" fillId="2" borderId="35" xfId="0" applyNumberFormat="1" applyFont="1" applyFill="1" applyBorder="1" applyAlignment="1">
      <alignment horizontal="center" vertical="center"/>
    </xf>
    <xf numFmtId="166" fontId="24" fillId="2" borderId="97" xfId="0" applyNumberFormat="1" applyFont="1" applyFill="1" applyBorder="1" applyAlignment="1">
      <alignment horizontal="center" vertical="center"/>
    </xf>
    <xf numFmtId="166" fontId="24" fillId="2" borderId="34" xfId="0" applyNumberFormat="1" applyFont="1" applyFill="1" applyBorder="1" applyAlignment="1">
      <alignment horizontal="center" vertical="center"/>
    </xf>
    <xf numFmtId="166" fontId="24" fillId="2" borderId="102" xfId="0" applyNumberFormat="1" applyFont="1" applyFill="1" applyBorder="1" applyAlignment="1">
      <alignment horizontal="center" vertical="center"/>
    </xf>
    <xf numFmtId="166" fontId="24" fillId="2" borderId="103" xfId="0" applyNumberFormat="1" applyFont="1" applyFill="1" applyBorder="1" applyAlignment="1">
      <alignment horizontal="center" vertical="center"/>
    </xf>
    <xf numFmtId="166" fontId="24" fillId="2" borderId="22" xfId="0" applyNumberFormat="1" applyFont="1" applyFill="1" applyBorder="1" applyAlignment="1">
      <alignment horizontal="center" vertical="center"/>
    </xf>
    <xf numFmtId="166" fontId="24" fillId="2" borderId="28" xfId="0" applyNumberFormat="1" applyFont="1" applyFill="1" applyBorder="1" applyAlignment="1">
      <alignment horizontal="center" vertical="center"/>
    </xf>
    <xf numFmtId="166" fontId="24" fillId="2" borderId="105" xfId="0" applyNumberFormat="1" applyFont="1" applyFill="1" applyBorder="1" applyAlignment="1">
      <alignment horizontal="center" vertical="center"/>
    </xf>
    <xf numFmtId="166" fontId="24" fillId="2" borderId="99" xfId="0" applyNumberFormat="1" applyFont="1" applyFill="1" applyBorder="1" applyAlignment="1">
      <alignment horizontal="center" vertical="center"/>
    </xf>
    <xf numFmtId="166" fontId="24" fillId="2" borderId="21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79" xfId="0" applyFill="1" applyBorder="1" applyAlignment="1">
      <alignment horizontal="center" vertical="center"/>
    </xf>
    <xf numFmtId="166" fontId="0" fillId="2" borderId="78" xfId="0" applyNumberFormat="1" applyFill="1" applyBorder="1" applyAlignment="1">
      <alignment horizontal="center" vertical="center"/>
    </xf>
    <xf numFmtId="166" fontId="0" fillId="2" borderId="11" xfId="0" applyNumberFormat="1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15" fillId="26" borderId="22" xfId="0" applyFont="1" applyFill="1" applyBorder="1" applyAlignment="1">
      <alignment horizontal="center" vertical="center"/>
    </xf>
    <xf numFmtId="0" fontId="15" fillId="26" borderId="0" xfId="0" applyFont="1" applyFill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4" fillId="2" borderId="15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15" fillId="2" borderId="36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24" fillId="2" borderId="1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15" fillId="26" borderId="79" xfId="0" applyFont="1" applyFill="1" applyBorder="1" applyAlignment="1">
      <alignment horizontal="center"/>
    </xf>
    <xf numFmtId="0" fontId="15" fillId="26" borderId="80" xfId="0" applyFont="1" applyFill="1" applyBorder="1" applyAlignment="1">
      <alignment horizontal="center"/>
    </xf>
    <xf numFmtId="0" fontId="15" fillId="26" borderId="81" xfId="0" applyFont="1" applyFill="1" applyBorder="1" applyAlignment="1">
      <alignment horizontal="center"/>
    </xf>
    <xf numFmtId="0" fontId="15" fillId="26" borderId="79" xfId="0" applyFont="1" applyFill="1" applyBorder="1" applyAlignment="1">
      <alignment horizontal="center" vertical="center"/>
    </xf>
    <xf numFmtId="0" fontId="15" fillId="26" borderId="80" xfId="0" applyFont="1" applyFill="1" applyBorder="1" applyAlignment="1">
      <alignment horizontal="center" vertical="center"/>
    </xf>
    <xf numFmtId="0" fontId="15" fillId="26" borderId="81" xfId="0" applyFont="1" applyFill="1" applyBorder="1" applyAlignment="1">
      <alignment horizontal="center" vertical="center"/>
    </xf>
    <xf numFmtId="0" fontId="15" fillId="2" borderId="104" xfId="0" applyFont="1" applyFill="1" applyBorder="1" applyAlignment="1">
      <alignment horizontal="center" vertical="center"/>
    </xf>
    <xf numFmtId="0" fontId="15" fillId="2" borderId="93" xfId="0" applyFont="1" applyFill="1" applyBorder="1" applyAlignment="1">
      <alignment horizontal="center" vertical="center"/>
    </xf>
    <xf numFmtId="0" fontId="15" fillId="2" borderId="94" xfId="0" applyFont="1" applyFill="1" applyBorder="1" applyAlignment="1">
      <alignment horizontal="center" vertical="center"/>
    </xf>
    <xf numFmtId="166" fontId="0" fillId="2" borderId="97" xfId="0" applyNumberFormat="1" applyFill="1" applyBorder="1" applyAlignment="1">
      <alignment horizontal="center" vertical="center"/>
    </xf>
    <xf numFmtId="166" fontId="0" fillId="2" borderId="70" xfId="0" applyNumberFormat="1" applyFill="1" applyBorder="1" applyAlignment="1">
      <alignment horizontal="center" vertical="center"/>
    </xf>
    <xf numFmtId="166" fontId="24" fillId="0" borderId="30" xfId="0" applyNumberFormat="1" applyFont="1" applyBorder="1" applyAlignment="1">
      <alignment horizontal="center" vertical="center"/>
    </xf>
    <xf numFmtId="166" fontId="24" fillId="0" borderId="0" xfId="0" applyNumberFormat="1" applyFont="1" applyAlignment="1">
      <alignment horizontal="center" vertical="center"/>
    </xf>
    <xf numFmtId="166" fontId="24" fillId="0" borderId="99" xfId="0" applyNumberFormat="1" applyFont="1" applyBorder="1" applyAlignment="1">
      <alignment horizontal="center" vertical="center"/>
    </xf>
    <xf numFmtId="166" fontId="24" fillId="0" borderId="21" xfId="0" applyNumberFormat="1" applyFont="1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64" fontId="0" fillId="0" borderId="79" xfId="0" applyNumberFormat="1" applyBorder="1" applyAlignment="1">
      <alignment horizontal="center"/>
    </xf>
    <xf numFmtId="164" fontId="0" fillId="0" borderId="80" xfId="0" applyNumberFormat="1" applyBorder="1" applyAlignment="1">
      <alignment horizontal="center"/>
    </xf>
    <xf numFmtId="164" fontId="0" fillId="0" borderId="81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20" xfId="0" applyNumberFormat="1" applyBorder="1" applyAlignment="1">
      <alignment horizontal="center" vertical="center"/>
    </xf>
    <xf numFmtId="166" fontId="0" fillId="0" borderId="6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101" xfId="0" applyNumberFormat="1" applyBorder="1" applyAlignment="1">
      <alignment horizontal="center" vertical="center"/>
    </xf>
    <xf numFmtId="166" fontId="0" fillId="0" borderId="35" xfId="0" applyNumberFormat="1" applyBorder="1" applyAlignment="1">
      <alignment horizontal="center" vertical="center"/>
    </xf>
    <xf numFmtId="166" fontId="0" fillId="0" borderId="97" xfId="0" applyNumberFormat="1" applyBorder="1" applyAlignment="1">
      <alignment horizontal="center" vertical="center"/>
    </xf>
    <xf numFmtId="166" fontId="0" fillId="0" borderId="70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4" fontId="24" fillId="0" borderId="30" xfId="0" applyNumberFormat="1" applyFont="1" applyBorder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4" fillId="0" borderId="34" xfId="0" applyNumberFormat="1" applyFont="1" applyBorder="1" applyAlignment="1">
      <alignment horizontal="center" vertical="center"/>
    </xf>
    <xf numFmtId="164" fontId="24" fillId="0" borderId="35" xfId="0" applyNumberFormat="1" applyFont="1" applyBorder="1" applyAlignment="1">
      <alignment horizontal="center" vertical="center"/>
    </xf>
    <xf numFmtId="164" fontId="24" fillId="0" borderId="103" xfId="0" applyNumberFormat="1" applyFont="1" applyBorder="1" applyAlignment="1">
      <alignment horizontal="center" vertical="center"/>
    </xf>
    <xf numFmtId="164" fontId="24" fillId="0" borderId="97" xfId="0" applyNumberFormat="1" applyFont="1" applyBorder="1" applyAlignment="1">
      <alignment horizontal="center" vertical="center"/>
    </xf>
    <xf numFmtId="166" fontId="24" fillId="0" borderId="34" xfId="0" applyNumberFormat="1" applyFont="1" applyBorder="1" applyAlignment="1">
      <alignment horizontal="center" vertical="center"/>
    </xf>
    <xf numFmtId="166" fontId="24" fillId="0" borderId="102" xfId="0" applyNumberFormat="1" applyFont="1" applyBorder="1" applyAlignment="1">
      <alignment horizontal="center" vertical="center"/>
    </xf>
    <xf numFmtId="166" fontId="24" fillId="0" borderId="103" xfId="0" applyNumberFormat="1" applyFont="1" applyBorder="1" applyAlignment="1">
      <alignment horizontal="center" vertical="center"/>
    </xf>
    <xf numFmtId="166" fontId="24" fillId="0" borderId="22" xfId="0" applyNumberFormat="1" applyFont="1" applyBorder="1" applyAlignment="1">
      <alignment horizontal="center" vertical="center"/>
    </xf>
    <xf numFmtId="166" fontId="24" fillId="0" borderId="35" xfId="0" applyNumberFormat="1" applyFont="1" applyBorder="1" applyAlignment="1">
      <alignment horizontal="center" vertical="center"/>
    </xf>
    <xf numFmtId="166" fontId="24" fillId="0" borderId="97" xfId="0" applyNumberFormat="1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166" fontId="0" fillId="0" borderId="6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15" fillId="17" borderId="79" xfId="0" applyFont="1" applyFill="1" applyBorder="1" applyAlignment="1">
      <alignment horizontal="center"/>
    </xf>
    <xf numFmtId="0" fontId="15" fillId="17" borderId="80" xfId="0" applyFont="1" applyFill="1" applyBorder="1" applyAlignment="1">
      <alignment horizontal="center"/>
    </xf>
    <xf numFmtId="0" fontId="15" fillId="17" borderId="81" xfId="0" applyFont="1" applyFill="1" applyBorder="1" applyAlignment="1">
      <alignment horizontal="center"/>
    </xf>
    <xf numFmtId="0" fontId="15" fillId="16" borderId="79" xfId="0" applyFont="1" applyFill="1" applyBorder="1" applyAlignment="1">
      <alignment horizontal="center" vertical="center"/>
    </xf>
    <xf numFmtId="0" fontId="15" fillId="16" borderId="80" xfId="0" applyFont="1" applyFill="1" applyBorder="1" applyAlignment="1">
      <alignment horizontal="center" vertical="center"/>
    </xf>
    <xf numFmtId="0" fontId="15" fillId="16" borderId="81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73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166" fontId="0" fillId="0" borderId="78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12" borderId="7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0" borderId="74" xfId="0" applyBorder="1" applyAlignment="1">
      <alignment horizontal="center" vertical="center"/>
    </xf>
    <xf numFmtId="0" fontId="15" fillId="18" borderId="79" xfId="0" applyFont="1" applyFill="1" applyBorder="1" applyAlignment="1">
      <alignment horizontal="center"/>
    </xf>
    <xf numFmtId="0" fontId="15" fillId="18" borderId="80" xfId="0" applyFont="1" applyFill="1" applyBorder="1" applyAlignment="1">
      <alignment horizontal="center"/>
    </xf>
    <xf numFmtId="0" fontId="15" fillId="18" borderId="81" xfId="0" applyFont="1" applyFill="1" applyBorder="1" applyAlignment="1">
      <alignment horizontal="center"/>
    </xf>
    <xf numFmtId="0" fontId="0" fillId="0" borderId="8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12" borderId="95" xfId="0" applyFill="1" applyBorder="1" applyAlignment="1">
      <alignment horizontal="center"/>
    </xf>
    <xf numFmtId="0" fontId="0" fillId="12" borderId="86" xfId="0" applyFill="1" applyBorder="1" applyAlignment="1">
      <alignment horizontal="center"/>
    </xf>
    <xf numFmtId="0" fontId="15" fillId="16" borderId="21" xfId="0" applyFont="1" applyFill="1" applyBorder="1" applyAlignment="1">
      <alignment horizontal="center"/>
    </xf>
    <xf numFmtId="0" fontId="15" fillId="16" borderId="0" xfId="0" applyFont="1" applyFill="1" applyAlignment="1">
      <alignment horizontal="center"/>
    </xf>
    <xf numFmtId="0" fontId="15" fillId="16" borderId="22" xfId="0" applyFont="1" applyFill="1" applyBorder="1" applyAlignment="1">
      <alignment horizontal="center"/>
    </xf>
    <xf numFmtId="0" fontId="15" fillId="17" borderId="21" xfId="0" applyFont="1" applyFill="1" applyBorder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22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0" xfId="0" applyFont="1" applyFill="1" applyAlignment="1">
      <alignment horizontal="center"/>
    </xf>
    <xf numFmtId="0" fontId="15" fillId="18" borderId="22" xfId="0" applyFont="1" applyFill="1" applyBorder="1" applyAlignment="1">
      <alignment horizontal="center"/>
    </xf>
    <xf numFmtId="0" fontId="15" fillId="16" borderId="21" xfId="0" applyFont="1" applyFill="1" applyBorder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15" fillId="16" borderId="79" xfId="0" applyFont="1" applyFill="1" applyBorder="1" applyAlignment="1">
      <alignment horizontal="center"/>
    </xf>
    <xf numFmtId="0" fontId="15" fillId="16" borderId="80" xfId="0" applyFont="1" applyFill="1" applyBorder="1" applyAlignment="1">
      <alignment horizontal="center"/>
    </xf>
    <xf numFmtId="0" fontId="15" fillId="16" borderId="81" xfId="0" applyFont="1" applyFill="1" applyBorder="1" applyAlignment="1">
      <alignment horizontal="center"/>
    </xf>
    <xf numFmtId="0" fontId="22" fillId="24" borderId="21" xfId="0" applyFont="1" applyFill="1" applyBorder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0" fontId="22" fillId="24" borderId="24" xfId="0" applyFont="1" applyFill="1" applyBorder="1" applyAlignment="1">
      <alignment horizontal="center" vertical="center"/>
    </xf>
    <xf numFmtId="0" fontId="22" fillId="24" borderId="1" xfId="0" applyFont="1" applyFill="1" applyBorder="1" applyAlignment="1">
      <alignment horizontal="center" vertical="center"/>
    </xf>
    <xf numFmtId="0" fontId="23" fillId="10" borderId="21" xfId="0" applyFont="1" applyFill="1" applyBorder="1" applyAlignment="1">
      <alignment horizontal="center" vertical="center"/>
    </xf>
    <xf numFmtId="0" fontId="23" fillId="10" borderId="0" xfId="0" applyFont="1" applyFill="1" applyAlignment="1">
      <alignment horizontal="center" vertical="center"/>
    </xf>
    <xf numFmtId="0" fontId="23" fillId="10" borderId="24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7" borderId="25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5" fillId="15" borderId="36" xfId="0" applyFont="1" applyFill="1" applyBorder="1" applyAlignment="1">
      <alignment horizontal="center"/>
    </xf>
    <xf numFmtId="0" fontId="15" fillId="15" borderId="37" xfId="0" applyFont="1" applyFill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15" fillId="15" borderId="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0" xfId="0" applyBorder="1" applyAlignment="1">
      <alignment horizontal="center"/>
    </xf>
    <xf numFmtId="0" fontId="15" fillId="16" borderId="12" xfId="0" applyFont="1" applyFill="1" applyBorder="1" applyAlignment="1">
      <alignment horizontal="center"/>
    </xf>
    <xf numFmtId="0" fontId="15" fillId="17" borderId="12" xfId="0" applyFont="1" applyFill="1" applyBorder="1" applyAlignment="1">
      <alignment horizontal="center"/>
    </xf>
    <xf numFmtId="0" fontId="15" fillId="18" borderId="12" xfId="0" applyFont="1" applyFill="1" applyBorder="1" applyAlignment="1">
      <alignment horizontal="center"/>
    </xf>
    <xf numFmtId="0" fontId="15" fillId="16" borderId="1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21" borderId="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5" fillId="20" borderId="0" xfId="0" applyFont="1" applyFill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66" fontId="0" fillId="0" borderId="74" xfId="0" applyNumberFormat="1" applyBorder="1" applyAlignment="1">
      <alignment horizontal="center" vertical="center"/>
    </xf>
    <xf numFmtId="166" fontId="0" fillId="0" borderId="85" xfId="0" applyNumberFormat="1" applyBorder="1" applyAlignment="1">
      <alignment horizontal="center" vertical="center"/>
    </xf>
    <xf numFmtId="166" fontId="0" fillId="0" borderId="36" xfId="0" applyNumberFormat="1" applyBorder="1" applyAlignment="1">
      <alignment horizontal="center"/>
    </xf>
    <xf numFmtId="166" fontId="0" fillId="0" borderId="3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82" xfId="0" applyNumberFormat="1" applyBorder="1" applyAlignment="1">
      <alignment horizontal="center" vertical="center"/>
    </xf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6" xfId="0" applyBorder="1" applyAlignment="1">
      <alignment horizontal="center"/>
    </xf>
    <xf numFmtId="0" fontId="16" fillId="0" borderId="67" xfId="0" applyFont="1" applyBorder="1" applyAlignment="1">
      <alignment horizontal="center"/>
    </xf>
    <xf numFmtId="0" fontId="16" fillId="0" borderId="68" xfId="0" applyFont="1" applyBorder="1" applyAlignment="1">
      <alignment horizontal="center"/>
    </xf>
    <xf numFmtId="0" fontId="14" fillId="0" borderId="52" xfId="0" applyFont="1" applyBorder="1" applyAlignment="1">
      <alignment horizontal="center" vertical="top"/>
    </xf>
    <xf numFmtId="1" fontId="6" fillId="5" borderId="29" xfId="0" applyNumberFormat="1" applyFont="1" applyFill="1" applyBorder="1" applyAlignment="1">
      <alignment horizontal="center" vertical="top"/>
    </xf>
    <xf numFmtId="1" fontId="6" fillId="5" borderId="31" xfId="0" applyNumberFormat="1" applyFont="1" applyFill="1" applyBorder="1" applyAlignment="1">
      <alignment horizontal="center" vertical="top"/>
    </xf>
    <xf numFmtId="1" fontId="6" fillId="5" borderId="32" xfId="0" applyNumberFormat="1" applyFont="1" applyFill="1" applyBorder="1" applyAlignment="1">
      <alignment horizontal="center" vertical="top"/>
    </xf>
    <xf numFmtId="1" fontId="4" fillId="7" borderId="29" xfId="0" applyNumberFormat="1" applyFont="1" applyFill="1" applyBorder="1" applyAlignment="1">
      <alignment horizontal="center"/>
    </xf>
    <xf numFmtId="1" fontId="4" fillId="7" borderId="31" xfId="0" applyNumberFormat="1" applyFont="1" applyFill="1" applyBorder="1" applyAlignment="1">
      <alignment horizontal="center"/>
    </xf>
    <xf numFmtId="1" fontId="4" fillId="7" borderId="65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29" xfId="0" applyNumberFormat="1" applyFont="1" applyBorder="1" applyAlignment="1">
      <alignment horizontal="center" vertical="top"/>
    </xf>
    <xf numFmtId="1" fontId="6" fillId="0" borderId="31" xfId="0" applyNumberFormat="1" applyFont="1" applyBorder="1" applyAlignment="1">
      <alignment horizontal="center" vertical="top"/>
    </xf>
    <xf numFmtId="1" fontId="6" fillId="0" borderId="65" xfId="0" applyNumberFormat="1" applyFont="1" applyBorder="1" applyAlignment="1">
      <alignment horizontal="center" vertical="top"/>
    </xf>
    <xf numFmtId="0" fontId="12" fillId="6" borderId="36" xfId="0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165" fontId="12" fillId="6" borderId="36" xfId="0" applyNumberFormat="1" applyFont="1" applyFill="1" applyBorder="1" applyAlignment="1">
      <alignment horizontal="center"/>
    </xf>
    <xf numFmtId="165" fontId="12" fillId="6" borderId="37" xfId="0" applyNumberFormat="1" applyFont="1" applyFill="1" applyBorder="1" applyAlignment="1">
      <alignment horizontal="center"/>
    </xf>
    <xf numFmtId="165" fontId="12" fillId="6" borderId="4" xfId="0" applyNumberFormat="1" applyFont="1" applyFill="1" applyBorder="1" applyAlignment="1">
      <alignment horizontal="center"/>
    </xf>
    <xf numFmtId="165" fontId="12" fillId="6" borderId="33" xfId="0" applyNumberFormat="1" applyFont="1" applyFill="1" applyBorder="1" applyAlignment="1">
      <alignment horizontal="center"/>
    </xf>
    <xf numFmtId="165" fontId="12" fillId="6" borderId="110" xfId="0" applyNumberFormat="1" applyFont="1" applyFill="1" applyBorder="1" applyAlignment="1">
      <alignment horizontal="center"/>
    </xf>
    <xf numFmtId="165" fontId="12" fillId="6" borderId="111" xfId="0" applyNumberFormat="1" applyFont="1" applyFill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6" borderId="110" xfId="0" applyFont="1" applyFill="1" applyBorder="1" applyAlignment="1">
      <alignment horizontal="center"/>
    </xf>
    <xf numFmtId="0" fontId="12" fillId="6" borderId="11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top"/>
    </xf>
    <xf numFmtId="1" fontId="6" fillId="0" borderId="13" xfId="0" applyNumberFormat="1" applyFont="1" applyBorder="1" applyAlignment="1">
      <alignment horizontal="center" vertical="top"/>
    </xf>
    <xf numFmtId="1" fontId="4" fillId="7" borderId="32" xfId="0" applyNumberFormat="1" applyFont="1" applyFill="1" applyBorder="1" applyAlignment="1">
      <alignment horizontal="center"/>
    </xf>
    <xf numFmtId="1" fontId="4" fillId="5" borderId="29" xfId="0" applyNumberFormat="1" applyFont="1" applyFill="1" applyBorder="1" applyAlignment="1">
      <alignment horizontal="center"/>
    </xf>
    <xf numFmtId="1" fontId="4" fillId="5" borderId="31" xfId="0" applyNumberFormat="1" applyFont="1" applyFill="1" applyBorder="1" applyAlignment="1">
      <alignment horizontal="center"/>
    </xf>
    <xf numFmtId="1" fontId="4" fillId="5" borderId="65" xfId="0" applyNumberFormat="1" applyFont="1" applyFill="1" applyBorder="1" applyAlignment="1">
      <alignment horizontal="center"/>
    </xf>
    <xf numFmtId="1" fontId="6" fillId="0" borderId="10" xfId="0" applyNumberFormat="1" applyFont="1" applyBorder="1" applyAlignment="1">
      <alignment horizontal="center" vertical="top"/>
    </xf>
    <xf numFmtId="1" fontId="6" fillId="0" borderId="11" xfId="0" applyNumberFormat="1" applyFont="1" applyBorder="1" applyAlignment="1">
      <alignment horizontal="center" vertical="top"/>
    </xf>
    <xf numFmtId="1" fontId="4" fillId="7" borderId="12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53" xfId="0" applyFont="1" applyBorder="1" applyAlignment="1"/>
  </cellXfs>
  <cellStyles count="4">
    <cellStyle name="Normal" xfId="0" builtinId="0"/>
    <cellStyle name="Normal 2" xfId="2" xr:uid="{C0A45BA6-1D0F-4194-A841-9ED5B85B9E8E}"/>
    <cellStyle name="Percent" xfId="1" builtinId="5"/>
    <cellStyle name="Total" xfId="3" builtinId="2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9527067702034"/>
          <c:y val="0.22194256043610611"/>
          <c:w val="0.39784693550579797"/>
          <c:h val="0.6644474269057543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2F5-4FC3-A52D-3FB7803A8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F5-4FC3-A52D-3FB7803A8D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2F5-4FC3-A52D-3FB7803A8D3E}"/>
              </c:ext>
            </c:extLst>
          </c:dPt>
          <c:dLbls>
            <c:dLbl>
              <c:idx val="0"/>
              <c:layout>
                <c:manualLayout>
                  <c:x val="-1.534776902887139E-2"/>
                  <c:y val="0.1986158501020705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F5-4FC3-A52D-3FB7803A8D3E}"/>
                </c:ext>
              </c:extLst>
            </c:dLbl>
            <c:dLbl>
              <c:idx val="1"/>
              <c:layout>
                <c:manualLayout>
                  <c:x val="1.6164370179847108E-3"/>
                  <c:y val="-1.616220395264305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F5-4FC3-A52D-3FB7803A8D3E}"/>
                </c:ext>
              </c:extLst>
            </c:dLbl>
            <c:dLbl>
              <c:idx val="2"/>
              <c:layout>
                <c:manualLayout>
                  <c:x val="-2.2189632545931759E-2"/>
                  <c:y val="2.365667833187518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F5-4FC3-A52D-3FB7803A8D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Summary!$B$24:$B$26</c:f>
              <c:strCache>
                <c:ptCount val="3"/>
                <c:pt idx="0">
                  <c:v>Direct Cost</c:v>
                </c:pt>
                <c:pt idx="1">
                  <c:v>Ownership Cost</c:v>
                </c:pt>
                <c:pt idx="2">
                  <c:v>Indirect Cost</c:v>
                </c:pt>
              </c:strCache>
            </c:strRef>
          </c:cat>
          <c:val>
            <c:numRef>
              <c:f>Summary!$D$24:$D$26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5-4FC3-A52D-3FB7803A8D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359991179889622"/>
          <c:y val="0.36249229269316136"/>
          <c:w val="0.26912314085739286"/>
          <c:h val="0.37905147273257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b="1"/>
              <a:t>Direct Cost</a:t>
            </a:r>
          </a:p>
        </c:rich>
      </c:tx>
      <c:layout>
        <c:manualLayout>
          <c:xMode val="edge"/>
          <c:yMode val="edge"/>
          <c:x val="0.54209353388449832"/>
          <c:y val="2.5451445855890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340626234858463E-2"/>
          <c:y val="0.19850766938850675"/>
          <c:w val="0.45148198537501022"/>
          <c:h val="0.7251133624766862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8E-40B7-9CC8-B2718D887B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8E-40B7-9CC8-B2718D887B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8E-40B7-9CC8-B2718D887B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8E-40B7-9CC8-B2718D887B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8E-40B7-9CC8-B2718D887B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8E-40B7-9CC8-B2718D887B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8E-40B7-9CC8-B2718D887B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8E-40B7-9CC8-B2718D887B9A}"/>
              </c:ext>
            </c:extLst>
          </c:dPt>
          <c:dLbls>
            <c:dLbl>
              <c:idx val="0"/>
              <c:layout>
                <c:manualLayout>
                  <c:x val="-6.7297183336597734E-3"/>
                  <c:y val="-0.1222993828334289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8E-40B7-9CC8-B2718D887B9A}"/>
                </c:ext>
              </c:extLst>
            </c:dLbl>
            <c:dLbl>
              <c:idx val="1"/>
              <c:layout>
                <c:manualLayout>
                  <c:x val="8.2849571455220844E-2"/>
                  <c:y val="-0.1482322444813260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8E-40B7-9CC8-B2718D887B9A}"/>
                </c:ext>
              </c:extLst>
            </c:dLbl>
            <c:dLbl>
              <c:idx val="2"/>
              <c:layout>
                <c:manualLayout>
                  <c:x val="-2.2856796747614911E-3"/>
                  <c:y val="3.374320576732051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8E-40B7-9CC8-B2718D887B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Year10!$Y$20:$Y$27</c:f>
              <c:strCache>
                <c:ptCount val="8"/>
                <c:pt idx="0">
                  <c:v>Fuel Cost</c:v>
                </c:pt>
                <c:pt idx="1">
                  <c:v>Direct Maintenance</c:v>
                </c:pt>
                <c:pt idx="2">
                  <c:v>Flight Crew Cost</c:v>
                </c:pt>
                <c:pt idx="3">
                  <c:v>Ground Handling</c:v>
                </c:pt>
                <c:pt idx="4">
                  <c:v>Terminal Navigation</c:v>
                </c:pt>
                <c:pt idx="5">
                  <c:v>Navigation En Route</c:v>
                </c:pt>
                <c:pt idx="6">
                  <c:v>Landing Fees</c:v>
                </c:pt>
                <c:pt idx="7">
                  <c:v>Parking Fees</c:v>
                </c:pt>
              </c:strCache>
            </c:strRef>
          </c:cat>
          <c:val>
            <c:numRef>
              <c:f>Year10!$AA$20:$AA$27</c:f>
              <c:numCache>
                <c:formatCode>0.00%</c:formatCode>
                <c:ptCount val="8"/>
                <c:pt idx="0">
                  <c:v>0.49185638232755319</c:v>
                </c:pt>
                <c:pt idx="1">
                  <c:v>0.19000879135673993</c:v>
                </c:pt>
                <c:pt idx="2">
                  <c:v>0.14029914026477774</c:v>
                </c:pt>
                <c:pt idx="3">
                  <c:v>7.0696022111748302E-2</c:v>
                </c:pt>
                <c:pt idx="4">
                  <c:v>5.5947946293541932E-2</c:v>
                </c:pt>
                <c:pt idx="5">
                  <c:v>4.306883113229186E-2</c:v>
                </c:pt>
                <c:pt idx="6">
                  <c:v>5.7433635119756724E-3</c:v>
                </c:pt>
                <c:pt idx="7">
                  <c:v>2.3795230013712678E-3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6-40F3-8647-21EAB5D319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25990530899356"/>
          <c:y val="0.19297606896072594"/>
          <c:w val="0.33053674735602634"/>
          <c:h val="0.69249242468776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Indirect Cost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47071101135178"/>
          <c:y val="0.22427163564117653"/>
          <c:w val="0.47444023829563681"/>
          <c:h val="0.70175995536664826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8.8166779542336992E-3"/>
                  <c:y val="3.30821593069288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67-479E-8013-71525E21E8B7}"/>
                </c:ext>
              </c:extLst>
            </c:dLbl>
            <c:dLbl>
              <c:idx val="2"/>
              <c:layout>
                <c:manualLayout>
                  <c:x val="-7.3964712482709929E-2"/>
                  <c:y val="5.50193770960116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67-479E-8013-71525E21E8B7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Year10!$AC$20:$AC$26</c:f>
              <c:strCache>
                <c:ptCount val="7"/>
                <c:pt idx="0">
                  <c:v>Maintenance Overhead</c:v>
                </c:pt>
                <c:pt idx="1">
                  <c:v>GPE Depreciation &amp; Amortization</c:v>
                </c:pt>
                <c:pt idx="2">
                  <c:v>GPE Maintenance &amp; Overhead</c:v>
                </c:pt>
                <c:pt idx="3">
                  <c:v>General Admission Airplane</c:v>
                </c:pt>
                <c:pt idx="4">
                  <c:v>Marketing Cost</c:v>
                </c:pt>
                <c:pt idx="5">
                  <c:v>Crew &amp; Technician Accomodation Cost</c:v>
                </c:pt>
                <c:pt idx="6">
                  <c:v>Warehouse lease</c:v>
                </c:pt>
              </c:strCache>
            </c:strRef>
          </c:cat>
          <c:val>
            <c:numRef>
              <c:f>Year10!$AE$20:$AE$26</c:f>
              <c:numCache>
                <c:formatCode>0.00%</c:formatCode>
                <c:ptCount val="7"/>
                <c:pt idx="0">
                  <c:v>0.73299225099087995</c:v>
                </c:pt>
                <c:pt idx="1">
                  <c:v>0.12013651864285024</c:v>
                </c:pt>
                <c:pt idx="2">
                  <c:v>8.9865899772210808E-2</c:v>
                </c:pt>
                <c:pt idx="3">
                  <c:v>3.3253510514102518E-2</c:v>
                </c:pt>
                <c:pt idx="4">
                  <c:v>1.4958515307623235E-2</c:v>
                </c:pt>
                <c:pt idx="5">
                  <c:v>8.0702696889576805E-3</c:v>
                </c:pt>
                <c:pt idx="6">
                  <c:v>7.2303508337563237E-4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0-43FA-A3B5-6F0D43A754F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.64392523649619338"/>
          <c:y val="0.14204226605469539"/>
          <c:w val="0.32580813222789273"/>
          <c:h val="0.83539230530728814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 rtl="0">
            <a:defRPr sz="11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200"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b="1"/>
              <a:t>Onweship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41777015618094"/>
          <c:y val="0.1828043488354967"/>
          <c:w val="0.47351771484757943"/>
          <c:h val="0.71783113053338332"/>
        </c:manualLayout>
      </c:layout>
      <c:pieChart>
        <c:varyColors val="1"/>
        <c:ser>
          <c:idx val="0"/>
          <c:order val="0"/>
          <c:tx>
            <c:strRef>
              <c:f>Year10!$AI$20:$AI$21</c:f>
              <c:strCache>
                <c:ptCount val="2"/>
                <c:pt idx="0">
                  <c:v>63.84%</c:v>
                </c:pt>
                <c:pt idx="1">
                  <c:v>27.04%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25-4953-88B7-A35AA9EF7C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25-4953-88B7-A35AA9EF7C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25-4953-88B7-A35AA9EF7C41}"/>
              </c:ext>
            </c:extLst>
          </c:dPt>
          <c:dLbls>
            <c:dLbl>
              <c:idx val="0"/>
              <c:layout>
                <c:manualLayout>
                  <c:x val="-3.1271851839952743E-2"/>
                  <c:y val="0.1099168699967984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25-4953-88B7-A35AA9EF7C41}"/>
                </c:ext>
              </c:extLst>
            </c:dLbl>
            <c:dLbl>
              <c:idx val="1"/>
              <c:layout>
                <c:manualLayout>
                  <c:x val="-1.325630711960888E-2"/>
                  <c:y val="2.120882770732560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25-4953-88B7-A35AA9EF7C41}"/>
                </c:ext>
              </c:extLst>
            </c:dLbl>
            <c:dLbl>
              <c:idx val="2"/>
              <c:layout>
                <c:manualLayout>
                  <c:x val="-1.1487935026405587E-2"/>
                  <c:y val="1.471044960642254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25-4953-88B7-A35AA9EF7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Year10!$AG$20:$AG$22</c:f>
              <c:strCache>
                <c:ptCount val="3"/>
                <c:pt idx="0">
                  <c:v>Lease</c:v>
                </c:pt>
                <c:pt idx="1">
                  <c:v>Depreciation</c:v>
                </c:pt>
                <c:pt idx="2">
                  <c:v>Insurance</c:v>
                </c:pt>
              </c:strCache>
            </c:strRef>
          </c:cat>
          <c:val>
            <c:numRef>
              <c:f>Year10!$AI$20:$AI$22</c:f>
              <c:numCache>
                <c:formatCode>0.00%</c:formatCode>
                <c:ptCount val="3"/>
                <c:pt idx="0">
                  <c:v>0.63839782216028296</c:v>
                </c:pt>
                <c:pt idx="1">
                  <c:v>0.27040248895967656</c:v>
                </c:pt>
                <c:pt idx="2">
                  <c:v>9.1199688880040417E-2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D-4200-9E58-A1E594FDAD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588920526319378"/>
          <c:y val="0.23799437304860041"/>
          <c:w val="0.22958044475138931"/>
          <c:h val="0.58922811157014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1016000</xdr:colOff>
      <xdr:row>195</xdr:row>
      <xdr:rowOff>142875</xdr:rowOff>
    </xdr:from>
    <xdr:to>
      <xdr:col>140</xdr:col>
      <xdr:colOff>682625</xdr:colOff>
      <xdr:row>204</xdr:row>
      <xdr:rowOff>111125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128739-43E1-478A-8CC1-578CD0951536}"/>
            </a:ext>
          </a:extLst>
        </xdr:cNvPr>
        <xdr:cNvSpPr/>
      </xdr:nvSpPr>
      <xdr:spPr>
        <a:xfrm>
          <a:off x="169166540" y="37960935"/>
          <a:ext cx="5655945" cy="161417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rgbClr val="FF0000"/>
              </a:solidFill>
            </a:rPr>
            <a:t>CALCULATE!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54428</xdr:colOff>
      <xdr:row>17</xdr:row>
      <xdr:rowOff>43543</xdr:rowOff>
    </xdr:from>
    <xdr:to>
      <xdr:col>13</xdr:col>
      <xdr:colOff>119742</xdr:colOff>
      <xdr:row>32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CC03E4-409C-4275-B66D-67652E949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303068</xdr:colOff>
      <xdr:row>29</xdr:row>
      <xdr:rowOff>126800</xdr:rowOff>
    </xdr:from>
    <xdr:to>
      <xdr:col>27</xdr:col>
      <xdr:colOff>279977</xdr:colOff>
      <xdr:row>47</xdr:row>
      <xdr:rowOff>87744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1C10D-4008-4A93-8B65-A1512B30C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50559</xdr:colOff>
      <xdr:row>29</xdr:row>
      <xdr:rowOff>144515</xdr:rowOff>
    </xdr:from>
    <xdr:to>
      <xdr:col>32</xdr:col>
      <xdr:colOff>877454</xdr:colOff>
      <xdr:row>47</xdr:row>
      <xdr:rowOff>161635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43D26-0177-40FA-B3B5-2B2AA82911B0}"/>
            </a:ext>
            <a:ext uri="{147F2762-F138-4A5C-976F-8EAC2B608ADB}">
              <a16:predDERef xmlns:a16="http://schemas.microsoft.com/office/drawing/2014/main" pred="{0711C10D-4008-4A93-8B65-A1512B30C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966173</xdr:colOff>
      <xdr:row>29</xdr:row>
      <xdr:rowOff>113003</xdr:rowOff>
    </xdr:from>
    <xdr:to>
      <xdr:col>40</xdr:col>
      <xdr:colOff>225713</xdr:colOff>
      <xdr:row>47</xdr:row>
      <xdr:rowOff>134503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613ECC-442C-4BD3-BECE-CDB60DF22A96}"/>
            </a:ext>
            <a:ext uri="{147F2762-F138-4A5C-976F-8EAC2B608ADB}">
              <a16:predDERef xmlns:a16="http://schemas.microsoft.com/office/drawing/2014/main" pred="{7F543D26-0177-40FA-B3B5-2B2AA8291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personal/13618035_office_itb_ac_id/Documents/JURUSAN/Perancangan%20Sistem%20Aviasi%20(Group%201)/Market%20Share/Aglis%20Air%20Market%20Share%20Macro%20Adi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personal/13618035_office_itb_ac_id/Documents/JURUSAN/Perancangan%20Sistem%20Aviasi%20(Group%201)/Cost%20Analysis/scenario%201_cheaper_adi_jam3.4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%20Calculation%20for%20Final%20Repor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personal/13618035_office_itb_ac_id/Documents/JURUSAN/Perancangan%20Sistem%20Aviasi%20(Group%201)/Crew/Crew%20Ro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glis Market Share"/>
      <sheetName val="Total Tonnage"/>
      <sheetName val="Aglis Total Tonnage"/>
      <sheetName val="Aglis Load Factor"/>
      <sheetName val="BEP"/>
    </sheetNames>
    <sheetDataSet>
      <sheetData sheetId="0"/>
      <sheetData sheetId="1"/>
      <sheetData sheetId="2"/>
      <sheetData sheetId="3">
        <row r="4">
          <cell r="C4">
            <v>16.575999999999997</v>
          </cell>
          <cell r="D4">
            <v>16.990399999999998</v>
          </cell>
          <cell r="E4">
            <v>17.404799999999998</v>
          </cell>
          <cell r="F4">
            <v>17.819199999999999</v>
          </cell>
          <cell r="G4">
            <v>19.152774889952155</v>
          </cell>
          <cell r="H4">
            <v>19.692036100152087</v>
          </cell>
          <cell r="I4">
            <v>20.024180761722491</v>
          </cell>
          <cell r="J4">
            <v>20.459883697607665</v>
          </cell>
          <cell r="K4">
            <v>21.6</v>
          </cell>
          <cell r="L4">
            <v>21.6</v>
          </cell>
          <cell r="M4">
            <v>21.6</v>
          </cell>
          <cell r="N4">
            <v>21.6</v>
          </cell>
          <cell r="O4">
            <v>21.6</v>
          </cell>
          <cell r="P4">
            <v>21.6</v>
          </cell>
          <cell r="Q4">
            <v>21.6</v>
          </cell>
          <cell r="R4">
            <v>21.6</v>
          </cell>
          <cell r="S4">
            <v>21.6</v>
          </cell>
          <cell r="T4">
            <v>21.6</v>
          </cell>
          <cell r="U4">
            <v>21.6</v>
          </cell>
          <cell r="V4">
            <v>21.6</v>
          </cell>
          <cell r="W4">
            <v>21.6</v>
          </cell>
          <cell r="X4">
            <v>21.6</v>
          </cell>
          <cell r="Y4">
            <v>21.6</v>
          </cell>
          <cell r="Z4">
            <v>21.6</v>
          </cell>
          <cell r="AA4">
            <v>21.6</v>
          </cell>
          <cell r="AB4">
            <v>21.6</v>
          </cell>
          <cell r="AC4">
            <v>21.6</v>
          </cell>
          <cell r="AD4">
            <v>21.6</v>
          </cell>
          <cell r="AE4">
            <v>21.6</v>
          </cell>
          <cell r="AF4">
            <v>21.6</v>
          </cell>
          <cell r="AG4">
            <v>21.6</v>
          </cell>
          <cell r="AH4">
            <v>21.6</v>
          </cell>
          <cell r="AI4">
            <v>21.6</v>
          </cell>
          <cell r="AJ4">
            <v>21.6</v>
          </cell>
          <cell r="AK4">
            <v>21.6</v>
          </cell>
          <cell r="AL4">
            <v>21.6</v>
          </cell>
          <cell r="AM4">
            <v>21.6</v>
          </cell>
          <cell r="AN4">
            <v>21.6</v>
          </cell>
          <cell r="AO4">
            <v>21.6</v>
          </cell>
          <cell r="AP4">
            <v>21.6</v>
          </cell>
        </row>
        <row r="5">
          <cell r="C5">
            <v>16.863999999999997</v>
          </cell>
          <cell r="D5">
            <v>17.285599999999999</v>
          </cell>
          <cell r="E5">
            <v>17.7072</v>
          </cell>
          <cell r="F5">
            <v>18.128799999999998</v>
          </cell>
          <cell r="G5">
            <v>19.485545110047848</v>
          </cell>
          <cell r="H5">
            <v>20.034175723513805</v>
          </cell>
          <cell r="I5">
            <v>20.372091238277516</v>
          </cell>
          <cell r="J5">
            <v>20.815364302392354</v>
          </cell>
          <cell r="K5">
            <v>21.6</v>
          </cell>
          <cell r="L5">
            <v>21.6</v>
          </cell>
          <cell r="M5">
            <v>21.6</v>
          </cell>
          <cell r="N5">
            <v>21.6</v>
          </cell>
          <cell r="O5">
            <v>21.6</v>
          </cell>
          <cell r="P5">
            <v>21.6</v>
          </cell>
          <cell r="Q5">
            <v>21.6</v>
          </cell>
          <cell r="R5">
            <v>21.6</v>
          </cell>
          <cell r="S5">
            <v>21.6</v>
          </cell>
          <cell r="T5">
            <v>21.6</v>
          </cell>
          <cell r="U5">
            <v>21.6</v>
          </cell>
          <cell r="V5">
            <v>21.6</v>
          </cell>
          <cell r="W5">
            <v>21.6</v>
          </cell>
          <cell r="X5">
            <v>21.6</v>
          </cell>
          <cell r="Y5">
            <v>21.6</v>
          </cell>
          <cell r="Z5">
            <v>21.6</v>
          </cell>
          <cell r="AA5">
            <v>21.6</v>
          </cell>
          <cell r="AB5">
            <v>21.6</v>
          </cell>
          <cell r="AC5">
            <v>21.6</v>
          </cell>
          <cell r="AD5">
            <v>21.6</v>
          </cell>
          <cell r="AE5">
            <v>21.6</v>
          </cell>
          <cell r="AF5">
            <v>21.6</v>
          </cell>
          <cell r="AG5">
            <v>21.6</v>
          </cell>
          <cell r="AH5">
            <v>21.6</v>
          </cell>
          <cell r="AI5">
            <v>21.6</v>
          </cell>
          <cell r="AJ5">
            <v>21.6</v>
          </cell>
          <cell r="AK5">
            <v>21.6</v>
          </cell>
          <cell r="AL5">
            <v>21.6</v>
          </cell>
          <cell r="AM5">
            <v>21.6</v>
          </cell>
          <cell r="AN5">
            <v>21.6</v>
          </cell>
          <cell r="AO5">
            <v>21.6</v>
          </cell>
          <cell r="AP5">
            <v>21.6</v>
          </cell>
        </row>
        <row r="6">
          <cell r="C6">
            <v>11.935999999999996</v>
          </cell>
          <cell r="D6">
            <v>12.234399999999997</v>
          </cell>
          <cell r="E6">
            <v>12.532799999999998</v>
          </cell>
          <cell r="F6">
            <v>12.831199999999997</v>
          </cell>
          <cell r="G6">
            <v>13.79147689952153</v>
          </cell>
          <cell r="H6">
            <v>14.179786612657777</v>
          </cell>
          <cell r="I6">
            <v>14.41895641722488</v>
          </cell>
          <cell r="J6">
            <v>14.73269617607656</v>
          </cell>
          <cell r="K6">
            <v>15.806244478020618</v>
          </cell>
          <cell r="L6">
            <v>16.136112562083316</v>
          </cell>
          <cell r="M6">
            <v>16.465980646146001</v>
          </cell>
          <cell r="N6">
            <v>16.795848730208693</v>
          </cell>
          <cell r="O6">
            <v>17.991779614677547</v>
          </cell>
          <cell r="P6">
            <v>18.338605127903733</v>
          </cell>
          <cell r="Q6">
            <v>18.685430641129912</v>
          </cell>
          <cell r="R6">
            <v>19.032256154356091</v>
          </cell>
          <cell r="S6">
            <v>20.360318357221896</v>
          </cell>
          <cell r="T6">
            <v>20.724973025061001</v>
          </cell>
          <cell r="U6">
            <v>21.089627692900116</v>
          </cell>
          <cell r="V6">
            <v>21.454282360739221</v>
          </cell>
          <cell r="W6">
            <v>21.6</v>
          </cell>
          <cell r="X6">
            <v>21.6</v>
          </cell>
          <cell r="Y6">
            <v>21.6</v>
          </cell>
          <cell r="Z6">
            <v>21.6</v>
          </cell>
          <cell r="AA6">
            <v>21.6</v>
          </cell>
          <cell r="AB6">
            <v>21.6</v>
          </cell>
          <cell r="AC6">
            <v>21.6</v>
          </cell>
          <cell r="AD6">
            <v>21.6</v>
          </cell>
          <cell r="AE6">
            <v>21.6</v>
          </cell>
          <cell r="AF6">
            <v>21.6</v>
          </cell>
          <cell r="AG6">
            <v>21.6</v>
          </cell>
          <cell r="AH6">
            <v>21.6</v>
          </cell>
          <cell r="AI6">
            <v>21.6</v>
          </cell>
          <cell r="AJ6">
            <v>21.6</v>
          </cell>
          <cell r="AK6">
            <v>21.6</v>
          </cell>
          <cell r="AL6">
            <v>21.6</v>
          </cell>
          <cell r="AM6">
            <v>21.6</v>
          </cell>
          <cell r="AN6">
            <v>21.6</v>
          </cell>
          <cell r="AO6">
            <v>21.6</v>
          </cell>
          <cell r="AP6">
            <v>21.6</v>
          </cell>
        </row>
        <row r="7">
          <cell r="C7">
            <v>12.191999999999998</v>
          </cell>
          <cell r="D7">
            <v>12.496799999999999</v>
          </cell>
          <cell r="E7">
            <v>12.801599999999999</v>
          </cell>
          <cell r="F7">
            <v>13.106399999999999</v>
          </cell>
          <cell r="G7">
            <v>14.087272650717713</v>
          </cell>
          <cell r="H7">
            <v>14.483910722312633</v>
          </cell>
          <cell r="I7">
            <v>14.728210174162673</v>
          </cell>
          <cell r="J7">
            <v>15.048678935885171</v>
          </cell>
          <cell r="K7">
            <v>16.145252402482207</v>
          </cell>
          <cell r="L7">
            <v>16.482195405237903</v>
          </cell>
          <cell r="M7">
            <v>16.819138407993638</v>
          </cell>
          <cell r="N7">
            <v>17.156081410749376</v>
          </cell>
          <cell r="O7">
            <v>18.377662287378424</v>
          </cell>
          <cell r="P7">
            <v>18.731926417510241</v>
          </cell>
          <cell r="Q7">
            <v>19.086190547642097</v>
          </cell>
          <cell r="R7">
            <v>19.440454677773914</v>
          </cell>
          <cell r="S7">
            <v>20.797000788475962</v>
          </cell>
          <cell r="T7">
            <v>21.169476467957754</v>
          </cell>
          <cell r="U7">
            <v>21.541952147439545</v>
          </cell>
          <cell r="V7">
            <v>21.6</v>
          </cell>
          <cell r="W7">
            <v>21.6</v>
          </cell>
          <cell r="X7">
            <v>21.6</v>
          </cell>
          <cell r="Y7">
            <v>21.6</v>
          </cell>
          <cell r="Z7">
            <v>21.6</v>
          </cell>
          <cell r="AA7">
            <v>21.6</v>
          </cell>
          <cell r="AB7">
            <v>21.6</v>
          </cell>
          <cell r="AC7">
            <v>21.6</v>
          </cell>
          <cell r="AD7">
            <v>21.6</v>
          </cell>
          <cell r="AE7">
            <v>21.6</v>
          </cell>
          <cell r="AF7">
            <v>21.6</v>
          </cell>
          <cell r="AG7">
            <v>21.6</v>
          </cell>
          <cell r="AH7">
            <v>21.6</v>
          </cell>
          <cell r="AI7">
            <v>21.6</v>
          </cell>
          <cell r="AJ7">
            <v>21.6</v>
          </cell>
          <cell r="AK7">
            <v>21.6</v>
          </cell>
          <cell r="AL7">
            <v>21.6</v>
          </cell>
          <cell r="AM7">
            <v>21.6</v>
          </cell>
          <cell r="AN7">
            <v>21.6</v>
          </cell>
          <cell r="AO7">
            <v>21.6</v>
          </cell>
          <cell r="AP7">
            <v>21.6</v>
          </cell>
        </row>
        <row r="8">
          <cell r="C8">
            <v>7.1</v>
          </cell>
          <cell r="D8">
            <v>6.4751999999999983</v>
          </cell>
          <cell r="E8">
            <v>6.7023999999999981</v>
          </cell>
          <cell r="F8">
            <v>6.9295999999999989</v>
          </cell>
          <cell r="G8">
            <v>7.5289731674641223</v>
          </cell>
          <cell r="H8">
            <v>7.824629892747474</v>
          </cell>
          <cell r="I8">
            <v>8.0067323712918608</v>
          </cell>
          <cell r="J8">
            <v>8.2456119732057438</v>
          </cell>
          <cell r="K8">
            <v>8.9251149119856876</v>
          </cell>
          <cell r="L8">
            <v>9.1762745255883562</v>
          </cell>
          <cell r="M8">
            <v>9.4274341391910603</v>
          </cell>
          <cell r="N8">
            <v>9.6785937527937591</v>
          </cell>
          <cell r="O8">
            <v>10.444879953223547</v>
          </cell>
          <cell r="P8">
            <v>10.708950853374295</v>
          </cell>
          <cell r="Q8">
            <v>10.973021753525076</v>
          </cell>
          <cell r="R8">
            <v>11.237092653675825</v>
          </cell>
          <cell r="S8">
            <v>12.097287873219901</v>
          </cell>
          <cell r="T8">
            <v>12.37493378653441</v>
          </cell>
          <cell r="U8">
            <v>12.652579699848921</v>
          </cell>
          <cell r="V8">
            <v>12.930225613163399</v>
          </cell>
          <cell r="W8">
            <v>13.537313936773669</v>
          </cell>
          <cell r="X8">
            <v>13.544439791933158</v>
          </cell>
          <cell r="Y8">
            <v>13.551565647092646</v>
          </cell>
          <cell r="Z8">
            <v>13.558691502252135</v>
          </cell>
          <cell r="AA8">
            <v>14.195271282795522</v>
          </cell>
          <cell r="AB8">
            <v>14.202727777634411</v>
          </cell>
          <cell r="AC8">
            <v>14.210184272473299</v>
          </cell>
          <cell r="AD8">
            <v>14.217640767312188</v>
          </cell>
          <cell r="AE8">
            <v>14.885141775114887</v>
          </cell>
          <cell r="AF8">
            <v>14.892944251314301</v>
          </cell>
          <cell r="AG8">
            <v>14.900746727513713</v>
          </cell>
          <cell r="AH8">
            <v>14.908549203713127</v>
          </cell>
          <cell r="AI8">
            <v>15.608470397860483</v>
          </cell>
          <cell r="AJ8">
            <v>15.616634908955549</v>
          </cell>
          <cell r="AK8">
            <v>15.624799420050614</v>
          </cell>
          <cell r="AL8">
            <v>15.63296393114568</v>
          </cell>
          <cell r="AM8">
            <v>16.366876801960718</v>
          </cell>
          <cell r="AN8">
            <v>16.366876801960718</v>
          </cell>
          <cell r="AO8">
            <v>16.366876801960718</v>
          </cell>
          <cell r="AP8">
            <v>16.366876801960718</v>
          </cell>
        </row>
        <row r="9">
          <cell r="C9">
            <v>9.8999999999999986</v>
          </cell>
          <cell r="D9">
            <v>10.043999999999999</v>
          </cell>
          <cell r="E9">
            <v>10.187999999999999</v>
          </cell>
          <cell r="F9">
            <v>10.331999999999999</v>
          </cell>
          <cell r="G9">
            <v>11.01453657416268</v>
          </cell>
          <cell r="H9">
            <v>11.165939138755983</v>
          </cell>
          <cell r="I9">
            <v>11.317341703349282</v>
          </cell>
          <cell r="J9">
            <v>11.468744267942586</v>
          </cell>
          <cell r="K9">
            <v>12.217500218032376</v>
          </cell>
          <cell r="L9">
            <v>12.376685888625632</v>
          </cell>
          <cell r="M9">
            <v>12.535871559218887</v>
          </cell>
          <cell r="N9">
            <v>12.695057229812143</v>
          </cell>
          <cell r="O9">
            <v>13.515037090462602</v>
          </cell>
          <cell r="P9">
            <v>13.682405970839847</v>
          </cell>
          <cell r="Q9">
            <v>13.849774851217095</v>
          </cell>
          <cell r="R9">
            <v>14.017143731594341</v>
          </cell>
          <cell r="S9">
            <v>14.913691576100883</v>
          </cell>
          <cell r="T9">
            <v>15.089664338060775</v>
          </cell>
          <cell r="U9">
            <v>15.265637100020667</v>
          </cell>
          <cell r="V9">
            <v>15.44160986198056</v>
          </cell>
          <cell r="W9">
            <v>16.158100559576457</v>
          </cell>
          <cell r="X9">
            <v>16.158100559576457</v>
          </cell>
          <cell r="Y9">
            <v>16.158100559576457</v>
          </cell>
          <cell r="Z9">
            <v>16.158100559576457</v>
          </cell>
          <cell r="AA9">
            <v>16.907836425540808</v>
          </cell>
          <cell r="AB9">
            <v>16.907836425540808</v>
          </cell>
          <cell r="AC9">
            <v>16.907836425540808</v>
          </cell>
          <cell r="AD9">
            <v>16.907836425540808</v>
          </cell>
          <cell r="AE9">
            <v>17.692360035685901</v>
          </cell>
          <cell r="AF9">
            <v>17.692360035685901</v>
          </cell>
          <cell r="AG9">
            <v>17.692360035685901</v>
          </cell>
          <cell r="AH9">
            <v>17.692360035685898</v>
          </cell>
          <cell r="AI9">
            <v>18.513285541341723</v>
          </cell>
          <cell r="AJ9">
            <v>18.513285541341723</v>
          </cell>
          <cell r="AK9">
            <v>18.513285541341723</v>
          </cell>
          <cell r="AL9">
            <v>18.513285541341723</v>
          </cell>
          <cell r="AM9">
            <v>19.372301990459977</v>
          </cell>
          <cell r="AN9">
            <v>19.372301990459977</v>
          </cell>
          <cell r="AO9">
            <v>19.372301990459977</v>
          </cell>
          <cell r="AP9">
            <v>19.372301990459977</v>
          </cell>
        </row>
        <row r="10">
          <cell r="C10">
            <v>9.85</v>
          </cell>
          <cell r="D10">
            <v>10.0076</v>
          </cell>
          <cell r="E10">
            <v>10.1652</v>
          </cell>
          <cell r="F10">
            <v>10.322800000000001</v>
          </cell>
          <cell r="G10">
            <v>11.019162763636366</v>
          </cell>
          <cell r="H10">
            <v>11.184864459330145</v>
          </cell>
          <cell r="I10">
            <v>11.350566155023927</v>
          </cell>
          <cell r="J10">
            <v>11.516267850717705</v>
          </cell>
          <cell r="K10">
            <v>12.282501033524621</v>
          </cell>
          <cell r="L10">
            <v>12.456720906340571</v>
          </cell>
          <cell r="M10">
            <v>12.630940779156523</v>
          </cell>
          <cell r="N10">
            <v>12.805160651972477</v>
          </cell>
          <cell r="O10">
            <v>13.646607626981382</v>
          </cell>
          <cell r="P10">
            <v>13.829783568283144</v>
          </cell>
          <cell r="Q10">
            <v>14.01295950958491</v>
          </cell>
          <cell r="R10">
            <v>14.196135450886672</v>
          </cell>
          <cell r="S10">
            <v>15.118504318493088</v>
          </cell>
          <cell r="T10">
            <v>15.311096730193636</v>
          </cell>
          <cell r="U10">
            <v>15.503689141894185</v>
          </cell>
          <cell r="V10">
            <v>15.696281553594737</v>
          </cell>
          <cell r="W10">
            <v>15.748744684896552</v>
          </cell>
          <cell r="X10">
            <v>15.780242174266345</v>
          </cell>
          <cell r="Y10">
            <v>15.811802658614878</v>
          </cell>
          <cell r="Z10">
            <v>15.843426263932106</v>
          </cell>
          <cell r="AA10">
            <v>15.928110514400833</v>
          </cell>
          <cell r="AB10">
            <v>15.991822956458437</v>
          </cell>
          <cell r="AC10">
            <v>16.055790248284271</v>
          </cell>
          <cell r="AD10">
            <v>16.120013409277405</v>
          </cell>
          <cell r="AE10">
            <v>16.23845925708774</v>
          </cell>
          <cell r="AF10">
            <v>16.335890012630266</v>
          </cell>
          <cell r="AG10">
            <v>16.433905352706049</v>
          </cell>
          <cell r="AH10">
            <v>16.53250878482228</v>
          </cell>
          <cell r="AI10">
            <v>16.677162066662273</v>
          </cell>
          <cell r="AJ10">
            <v>16.800573065955572</v>
          </cell>
          <cell r="AK10">
            <v>16.924897306643643</v>
          </cell>
          <cell r="AL10">
            <v>17.050141546712805</v>
          </cell>
          <cell r="AM10">
            <v>17.21127501072495</v>
          </cell>
          <cell r="AN10">
            <v>17.21127501072495</v>
          </cell>
          <cell r="AO10">
            <v>17.21127501072495</v>
          </cell>
          <cell r="AP10">
            <v>17.21127501072495</v>
          </cell>
        </row>
        <row r="11">
          <cell r="C11">
            <v>7.05</v>
          </cell>
          <cell r="D11">
            <v>7.1627999999999998</v>
          </cell>
          <cell r="E11">
            <v>7.2755999999999998</v>
          </cell>
          <cell r="F11">
            <v>7.3883999999999999</v>
          </cell>
          <cell r="G11">
            <v>7.8868119272727286</v>
          </cell>
          <cell r="H11">
            <v>8.0054106028708141</v>
          </cell>
          <cell r="I11">
            <v>8.1240092784689004</v>
          </cell>
          <cell r="J11">
            <v>8.2426079540669868</v>
          </cell>
          <cell r="K11">
            <v>8.7910286585125448</v>
          </cell>
          <cell r="L11">
            <v>8.9157241004772629</v>
          </cell>
          <cell r="M11">
            <v>9.0404195424419793</v>
          </cell>
          <cell r="N11">
            <v>9.1651149844066957</v>
          </cell>
          <cell r="O11">
            <v>9.7673689106821051</v>
          </cell>
          <cell r="P11">
            <v>9.8984745336442828</v>
          </cell>
          <cell r="Q11">
            <v>10.029580156606457</v>
          </cell>
          <cell r="R11">
            <v>10.160685779568633</v>
          </cell>
          <cell r="S11">
            <v>10.78152727458361</v>
          </cell>
          <cell r="T11">
            <v>10.78152727458361</v>
          </cell>
          <cell r="U11">
            <v>10.78152727458361</v>
          </cell>
          <cell r="V11">
            <v>10.78152727458361</v>
          </cell>
          <cell r="W11">
            <v>10.81756336880817</v>
          </cell>
          <cell r="X11">
            <v>10.839198495545785</v>
          </cell>
          <cell r="Y11">
            <v>10.860876892536876</v>
          </cell>
          <cell r="Z11">
            <v>10.882598646321949</v>
          </cell>
          <cell r="AA11">
            <v>10.94076691713429</v>
          </cell>
          <cell r="AB11">
            <v>10.984529984802828</v>
          </cell>
          <cell r="AC11">
            <v>11.028468104742039</v>
          </cell>
          <cell r="AD11">
            <v>11.072581977161006</v>
          </cell>
          <cell r="AE11">
            <v>11.153940554628408</v>
          </cell>
          <cell r="AF11">
            <v>11.220864197956177</v>
          </cell>
          <cell r="AG11">
            <v>11.288189383143914</v>
          </cell>
          <cell r="AH11">
            <v>11.355918519442776</v>
          </cell>
          <cell r="AI11">
            <v>11.455278568393908</v>
          </cell>
          <cell r="AJ11">
            <v>11.540047629800021</v>
          </cell>
          <cell r="AK11">
            <v>11.62544398226054</v>
          </cell>
          <cell r="AL11">
            <v>11.711472267729267</v>
          </cell>
          <cell r="AM11">
            <v>11.822152292878103</v>
          </cell>
          <cell r="AN11">
            <v>11.822152292878103</v>
          </cell>
          <cell r="AO11">
            <v>11.822152292878103</v>
          </cell>
          <cell r="AP11">
            <v>11.822152292878103</v>
          </cell>
        </row>
        <row r="12">
          <cell r="C12">
            <v>6.21</v>
          </cell>
          <cell r="D12">
            <v>6.3204000000000002</v>
          </cell>
          <cell r="E12">
            <v>6.4308000000000005</v>
          </cell>
          <cell r="F12">
            <v>6.5412000000000008</v>
          </cell>
          <cell r="G12">
            <v>6.9935367961722505</v>
          </cell>
          <cell r="H12">
            <v>7.1096120956937821</v>
          </cell>
          <cell r="I12">
            <v>7.2256873952153144</v>
          </cell>
          <cell r="J12">
            <v>7.3417626947368424</v>
          </cell>
          <cell r="K12">
            <v>7.8412208239727859</v>
          </cell>
          <cell r="L12">
            <v>7.9632631714276156</v>
          </cell>
          <cell r="M12">
            <v>8.0853055188824445</v>
          </cell>
          <cell r="N12">
            <v>8.2073478663372743</v>
          </cell>
          <cell r="O12">
            <v>8.7575766657393874</v>
          </cell>
          <cell r="P12">
            <v>8.8858928073619445</v>
          </cell>
          <cell r="Q12">
            <v>9.0142089489844999</v>
          </cell>
          <cell r="R12">
            <v>9.1425250906070552</v>
          </cell>
          <cell r="S12">
            <v>9.7474245728950422</v>
          </cell>
          <cell r="T12">
            <v>9.88233702373096</v>
          </cell>
          <cell r="U12">
            <v>10.017249474566876</v>
          </cell>
          <cell r="V12">
            <v>10.152161925402794</v>
          </cell>
          <cell r="W12">
            <v>10.186094433702364</v>
          </cell>
          <cell r="X12">
            <v>10.206466622569767</v>
          </cell>
          <cell r="Y12">
            <v>10.226879555814907</v>
          </cell>
          <cell r="Z12">
            <v>10.247333314926536</v>
          </cell>
          <cell r="AA12">
            <v>10.302106046949362</v>
          </cell>
          <cell r="AB12">
            <v>10.343314471137159</v>
          </cell>
          <cell r="AC12">
            <v>10.384687729021708</v>
          </cell>
          <cell r="AD12">
            <v>10.426226479937794</v>
          </cell>
          <cell r="AE12">
            <v>10.502835798027322</v>
          </cell>
          <cell r="AF12">
            <v>10.565852812815486</v>
          </cell>
          <cell r="AG12">
            <v>10.629247929692378</v>
          </cell>
          <cell r="AH12">
            <v>10.693023417270531</v>
          </cell>
          <cell r="AI12">
            <v>10.786583381473918</v>
          </cell>
          <cell r="AJ12">
            <v>10.866404098496821</v>
          </cell>
          <cell r="AK12">
            <v>10.946815488825695</v>
          </cell>
          <cell r="AL12">
            <v>11.027821923443003</v>
          </cell>
          <cell r="AM12">
            <v>11.132041066853928</v>
          </cell>
          <cell r="AN12">
            <v>11.132041066853928</v>
          </cell>
          <cell r="AO12">
            <v>11.132041066853928</v>
          </cell>
          <cell r="AP12">
            <v>11.132041066853928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8.7602505021115302</v>
          </cell>
          <cell r="L13">
            <v>8.8876723275967784</v>
          </cell>
          <cell r="M13">
            <v>9.015094153082039</v>
          </cell>
          <cell r="N13">
            <v>9.1425159785672978</v>
          </cell>
          <cell r="O13">
            <v>9.7464747024580163</v>
          </cell>
          <cell r="P13">
            <v>9.8804468633165463</v>
          </cell>
          <cell r="Q13">
            <v>10.014419024175075</v>
          </cell>
          <cell r="R13">
            <v>10.148391185033605</v>
          </cell>
          <cell r="S13">
            <v>10.810945698946032</v>
          </cell>
          <cell r="T13">
            <v>10.951804926293862</v>
          </cell>
          <cell r="U13">
            <v>11.092664153641696</v>
          </cell>
          <cell r="V13">
            <v>11.233523380989528</v>
          </cell>
          <cell r="W13">
            <v>11.271070223539885</v>
          </cell>
          <cell r="X13">
            <v>11.293612363986965</v>
          </cell>
          <cell r="Y13">
            <v>11.316199588714939</v>
          </cell>
          <cell r="Z13">
            <v>11.338831987892368</v>
          </cell>
          <cell r="AA13">
            <v>11.399438858659416</v>
          </cell>
          <cell r="AB13">
            <v>11.445036614094056</v>
          </cell>
          <cell r="AC13">
            <v>11.49081676055043</v>
          </cell>
          <cell r="AD13">
            <v>11.536780027592632</v>
          </cell>
          <cell r="AE13">
            <v>11.621549416840361</v>
          </cell>
          <cell r="AF13">
            <v>11.691278713341402</v>
          </cell>
          <cell r="AG13">
            <v>11.761426385621451</v>
          </cell>
          <cell r="AH13">
            <v>11.831994943935181</v>
          </cell>
          <cell r="AI13">
            <v>11.935520483926167</v>
          </cell>
          <cell r="AJ13">
            <v>12.02384333550722</v>
          </cell>
          <cell r="AK13">
            <v>12.112819776189971</v>
          </cell>
          <cell r="AL13">
            <v>12.202454642533777</v>
          </cell>
          <cell r="AM13">
            <v>12.317774728329873</v>
          </cell>
          <cell r="AN13">
            <v>12.317774728329873</v>
          </cell>
          <cell r="AO13">
            <v>12.317774728329873</v>
          </cell>
          <cell r="AP13">
            <v>12.317774728329873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13.541086124516623</v>
          </cell>
          <cell r="L14">
            <v>13.695841394511101</v>
          </cell>
          <cell r="M14">
            <v>13.850596664505574</v>
          </cell>
          <cell r="N14">
            <v>14.005351934500057</v>
          </cell>
          <cell r="O14">
            <v>14.888031567198309</v>
          </cell>
          <cell r="P14">
            <v>15.05074229470867</v>
          </cell>
          <cell r="Q14">
            <v>15.213453022219037</v>
          </cell>
          <cell r="R14">
            <v>15.376163749729397</v>
          </cell>
          <cell r="S14">
            <v>16.337676713524285</v>
          </cell>
          <cell r="T14">
            <v>16.508751862357002</v>
          </cell>
          <cell r="U14">
            <v>16.679827011189712</v>
          </cell>
          <cell r="V14">
            <v>16.850902160022429</v>
          </cell>
          <cell r="W14">
            <v>16.907224486399969</v>
          </cell>
          <cell r="X14">
            <v>16.94103893537277</v>
          </cell>
          <cell r="Y14">
            <v>16.974921013243513</v>
          </cell>
          <cell r="Z14">
            <v>17.008870855270001</v>
          </cell>
          <cell r="AA14">
            <v>17.099784490723774</v>
          </cell>
          <cell r="AB14">
            <v>17.16818362868667</v>
          </cell>
          <cell r="AC14">
            <v>17.236856363201419</v>
          </cell>
          <cell r="AD14">
            <v>17.305803788654224</v>
          </cell>
          <cell r="AE14">
            <v>17.432962529143033</v>
          </cell>
          <cell r="AF14">
            <v>17.537560304317889</v>
          </cell>
          <cell r="AG14">
            <v>17.642785666143801</v>
          </cell>
          <cell r="AH14">
            <v>17.748642380140662</v>
          </cell>
          <cell r="AI14">
            <v>17.903936377071648</v>
          </cell>
          <cell r="AJ14">
            <v>18.036425506261974</v>
          </cell>
          <cell r="AK14">
            <v>18.169895055008311</v>
          </cell>
          <cell r="AL14">
            <v>18.304352278415369</v>
          </cell>
          <cell r="AM14">
            <v>18.477338741961084</v>
          </cell>
          <cell r="AN14">
            <v>18.477338741961084</v>
          </cell>
          <cell r="AO14">
            <v>18.477338741961084</v>
          </cell>
          <cell r="AP14">
            <v>18.477338741961084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13.940116318435319</v>
          </cell>
          <cell r="L15">
            <v>14.099431933503148</v>
          </cell>
          <cell r="M15">
            <v>14.25874754857098</v>
          </cell>
          <cell r="N15">
            <v>14.418063163638813</v>
          </cell>
          <cell r="O15">
            <v>15.326753695445522</v>
          </cell>
          <cell r="P15">
            <v>15.494259200313778</v>
          </cell>
          <cell r="Q15">
            <v>15.661764705182035</v>
          </cell>
          <cell r="R15">
            <v>15.829270210050295</v>
          </cell>
          <cell r="S15">
            <v>16.819117142100776</v>
          </cell>
          <cell r="T15">
            <v>16.995233551965708</v>
          </cell>
          <cell r="U15">
            <v>17.171349961830636</v>
          </cell>
          <cell r="V15">
            <v>17.347466371695567</v>
          </cell>
          <cell r="W15">
            <v>17.405448410492752</v>
          </cell>
          <cell r="X15">
            <v>17.440259307313735</v>
          </cell>
          <cell r="Y15">
            <v>17.475139825928363</v>
          </cell>
          <cell r="Z15">
            <v>17.510090105580218</v>
          </cell>
          <cell r="AA15">
            <v>17.603682793899576</v>
          </cell>
          <cell r="AB15">
            <v>17.674097525075172</v>
          </cell>
          <cell r="AC15">
            <v>17.744793915175471</v>
          </cell>
          <cell r="AD15">
            <v>17.815773090836174</v>
          </cell>
          <cell r="AE15">
            <v>17.946678958875108</v>
          </cell>
          <cell r="AF15">
            <v>18.054359032628359</v>
          </cell>
          <cell r="AG15">
            <v>18.162685186824127</v>
          </cell>
          <cell r="AH15">
            <v>18.271661297945073</v>
          </cell>
          <cell r="AI15">
            <v>18.431531515213184</v>
          </cell>
          <cell r="AJ15">
            <v>18.567924848425758</v>
          </cell>
          <cell r="AK15">
            <v>18.705327492304107</v>
          </cell>
          <cell r="AL15">
            <v>18.843746915747158</v>
          </cell>
          <cell r="AM15">
            <v>19.021830963154251</v>
          </cell>
          <cell r="AN15">
            <v>19.021830963154251</v>
          </cell>
          <cell r="AO15">
            <v>19.021830963154251</v>
          </cell>
          <cell r="AP15">
            <v>19.021830963154251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9.8897538588002636</v>
          </cell>
          <cell r="L16">
            <v>10.065571705178929</v>
          </cell>
          <cell r="M16">
            <v>10.241389551557599</v>
          </cell>
          <cell r="N16">
            <v>10.41720739793627</v>
          </cell>
          <cell r="O16">
            <v>11.137577699936571</v>
          </cell>
          <cell r="P16">
            <v>11.322433761346307</v>
          </cell>
          <cell r="Q16">
            <v>11.507289822756041</v>
          </cell>
          <cell r="R16">
            <v>11.692145884165777</v>
          </cell>
          <cell r="S16">
            <v>12.487559404442802</v>
          </cell>
          <cell r="T16">
            <v>12.681918305679265</v>
          </cell>
          <cell r="U16">
            <v>12.876277206915729</v>
          </cell>
          <cell r="V16">
            <v>13.070636108152193</v>
          </cell>
          <cell r="W16">
            <v>13.114323302217796</v>
          </cell>
          <cell r="X16">
            <v>13.140551948822232</v>
          </cell>
          <cell r="Y16">
            <v>13.166833052719875</v>
          </cell>
          <cell r="Z16">
            <v>13.193166718825315</v>
          </cell>
          <cell r="AA16">
            <v>13.263685141815426</v>
          </cell>
          <cell r="AB16">
            <v>13.316739882382688</v>
          </cell>
          <cell r="AC16">
            <v>13.37000684191222</v>
          </cell>
          <cell r="AD16">
            <v>13.423486869279868</v>
          </cell>
          <cell r="AE16">
            <v>13.522119310980427</v>
          </cell>
          <cell r="AF16">
            <v>13.60325202684631</v>
          </cell>
          <cell r="AG16">
            <v>13.684871539007387</v>
          </cell>
          <cell r="AH16">
            <v>13.766980768241432</v>
          </cell>
          <cell r="AI16">
            <v>13.887436712047275</v>
          </cell>
          <cell r="AJ16">
            <v>13.990203743716423</v>
          </cell>
          <cell r="AK16">
            <v>14.093731251419923</v>
          </cell>
          <cell r="AL16">
            <v>14.198024862680427</v>
          </cell>
          <cell r="AM16">
            <v>14.332204213742489</v>
          </cell>
          <cell r="AN16">
            <v>14.332204213742489</v>
          </cell>
          <cell r="AO16">
            <v>14.332204213742489</v>
          </cell>
          <cell r="AP16">
            <v>14.332204213742489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9.535489069707813</v>
          </cell>
          <cell r="P17">
            <v>9.6473172165936436</v>
          </cell>
          <cell r="Q17">
            <v>9.7646098271297355</v>
          </cell>
          <cell r="R17">
            <v>9.8819024376658291</v>
          </cell>
          <cell r="S17">
            <v>10.525280556187266</v>
          </cell>
          <cell r="T17">
            <v>10.63654289034319</v>
          </cell>
          <cell r="U17">
            <v>10.759865126752967</v>
          </cell>
          <cell r="V17">
            <v>10.883187363162744</v>
          </cell>
          <cell r="W17">
            <v>10.93835767016204</v>
          </cell>
          <cell r="X17">
            <v>10.960234385502364</v>
          </cell>
          <cell r="Y17">
            <v>10.982154854273368</v>
          </cell>
          <cell r="Z17">
            <v>11.004119163981917</v>
          </cell>
          <cell r="AA17">
            <v>11.069280397844807</v>
          </cell>
          <cell r="AB17">
            <v>11.107188718565448</v>
          </cell>
          <cell r="AC17">
            <v>11.15161747343971</v>
          </cell>
          <cell r="AD17">
            <v>11.196223943333468</v>
          </cell>
          <cell r="AE17">
            <v>11.291428768686826</v>
          </cell>
          <cell r="AF17">
            <v>11.346161957272944</v>
          </cell>
          <cell r="AG17">
            <v>11.414238929016586</v>
          </cell>
          <cell r="AH17">
            <v>11.482724362590679</v>
          </cell>
          <cell r="AI17">
            <v>11.603130561430271</v>
          </cell>
          <cell r="AJ17">
            <v>11.67560043882186</v>
          </cell>
          <cell r="AK17">
            <v>11.761999882069141</v>
          </cell>
          <cell r="AL17">
            <v>11.849038681196452</v>
          </cell>
          <cell r="AM17">
            <v>11.981605733547898</v>
          </cell>
          <cell r="AN17">
            <v>11.967877168953406</v>
          </cell>
          <cell r="AO17">
            <v>11.967877168953406</v>
          </cell>
          <cell r="AP17">
            <v>11.967877168953406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8.8019899104995201</v>
          </cell>
          <cell r="P18">
            <v>8.9142384007430646</v>
          </cell>
          <cell r="Q18">
            <v>9.0315310112791565</v>
          </cell>
          <cell r="R18">
            <v>9.1488236218152501</v>
          </cell>
          <cell r="S18">
            <v>9.7536324215694332</v>
          </cell>
          <cell r="T18">
            <v>9.8657789127820887</v>
          </cell>
          <cell r="U18">
            <v>9.9891011491918675</v>
          </cell>
          <cell r="V18">
            <v>10.112423385601641</v>
          </cell>
          <cell r="W18">
            <v>10.163686447062743</v>
          </cell>
          <cell r="X18">
            <v>10.184013819956867</v>
          </cell>
          <cell r="Y18">
            <v>10.204381847596785</v>
          </cell>
          <cell r="Z18">
            <v>10.224790611291967</v>
          </cell>
          <cell r="AA18">
            <v>10.285337026892625</v>
          </cell>
          <cell r="AB18">
            <v>10.320560622349765</v>
          </cell>
          <cell r="AC18">
            <v>10.36184286483916</v>
          </cell>
          <cell r="AD18">
            <v>10.403290236298519</v>
          </cell>
          <cell r="AE18">
            <v>10.491752510281245</v>
          </cell>
          <cell r="AF18">
            <v>10.542609410723864</v>
          </cell>
          <cell r="AG18">
            <v>10.605865067188212</v>
          </cell>
          <cell r="AH18">
            <v>10.66950025759134</v>
          </cell>
          <cell r="AI18">
            <v>10.781379105238315</v>
          </cell>
          <cell r="AJ18">
            <v>10.848716555052608</v>
          </cell>
          <cell r="AK18">
            <v>10.928997057559991</v>
          </cell>
          <cell r="AL18">
            <v>11.009871635785933</v>
          </cell>
          <cell r="AM18">
            <v>11.133050086696056</v>
          </cell>
          <cell r="AN18">
            <v>11.142787462872707</v>
          </cell>
          <cell r="AO18">
            <v>11.210457105378509</v>
          </cell>
          <cell r="AP18">
            <v>11.267921564771987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6.833767166623935</v>
          </cell>
          <cell r="P19">
            <v>7.2851743655195511</v>
          </cell>
          <cell r="Q19">
            <v>7.7404977633645213</v>
          </cell>
          <cell r="R19">
            <v>8.195821161209496</v>
          </cell>
          <cell r="S19">
            <v>9.1063053753066967</v>
          </cell>
          <cell r="T19">
            <v>9.5746014101478991</v>
          </cell>
          <cell r="U19">
            <v>10.053331480655293</v>
          </cell>
          <cell r="V19">
            <v>10.532061551162691</v>
          </cell>
          <cell r="W19">
            <v>10.585451890750143</v>
          </cell>
          <cell r="X19">
            <v>10.606622794531644</v>
          </cell>
          <cell r="Y19">
            <v>10.627836040120707</v>
          </cell>
          <cell r="Z19">
            <v>10.649091712200949</v>
          </cell>
          <cell r="AA19">
            <v>10.712150639966595</v>
          </cell>
          <cell r="AB19">
            <v>10.748835919178306</v>
          </cell>
          <cell r="AC19">
            <v>10.79183126285502</v>
          </cell>
          <cell r="AD19">
            <v>10.834998587906449</v>
          </cell>
          <cell r="AE19">
            <v>10.927131806524292</v>
          </cell>
          <cell r="AF19">
            <v>10.980099130511705</v>
          </cell>
          <cell r="AG19">
            <v>11.045979725294774</v>
          </cell>
          <cell r="AH19">
            <v>11.112255603646544</v>
          </cell>
          <cell r="AI19">
            <v>11.228777120276172</v>
          </cell>
          <cell r="AJ19">
            <v>11.298908891771424</v>
          </cell>
          <cell r="AK19">
            <v>11.382520817570535</v>
          </cell>
          <cell r="AL19">
            <v>11.466751471620551</v>
          </cell>
          <cell r="AM19">
            <v>11.595041494426512</v>
          </cell>
          <cell r="AN19">
            <v>11.675568078889023</v>
          </cell>
          <cell r="AO19">
            <v>11.73511347609136</v>
          </cell>
          <cell r="AP19">
            <v>11.794962554819426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3.6794879251523334</v>
          </cell>
          <cell r="P20">
            <v>3.9602546696283616</v>
          </cell>
          <cell r="Q20">
            <v>4.2431300031732446</v>
          </cell>
          <cell r="R20">
            <v>4.5260053367181285</v>
          </cell>
          <cell r="S20">
            <v>5.0618892792621066</v>
          </cell>
          <cell r="T20">
            <v>5.3535063698601046</v>
          </cell>
          <cell r="U20">
            <v>5.6509233904078906</v>
          </cell>
          <cell r="V20">
            <v>5.9483404109556739</v>
          </cell>
          <cell r="W20">
            <v>5.9784944233472572</v>
          </cell>
          <cell r="X20">
            <v>5.9904514121939512</v>
          </cell>
          <cell r="Y20">
            <v>6.002432315018333</v>
          </cell>
          <cell r="Z20">
            <v>6.0144371796483744</v>
          </cell>
          <cell r="AA20">
            <v>6.0500518564595387</v>
          </cell>
          <cell r="AB20">
            <v>6.0707711171438987</v>
          </cell>
          <cell r="AC20">
            <v>6.0950542016124691</v>
          </cell>
          <cell r="AD20">
            <v>6.1194344184189218</v>
          </cell>
          <cell r="AE20">
            <v>6.1714697910602316</v>
          </cell>
          <cell r="AF20">
            <v>6.2013848909866773</v>
          </cell>
          <cell r="AG20">
            <v>6.2385932003325975</v>
          </cell>
          <cell r="AH20">
            <v>6.2760247595345922</v>
          </cell>
          <cell r="AI20">
            <v>6.3418342539765717</v>
          </cell>
          <cell r="AJ20">
            <v>6.3814435601366855</v>
          </cell>
          <cell r="AK20">
            <v>6.4286662424816976</v>
          </cell>
          <cell r="AL20">
            <v>6.4762383726760619</v>
          </cell>
          <cell r="AM20">
            <v>6.5486945317359035</v>
          </cell>
          <cell r="AN20">
            <v>6.5941746624954627</v>
          </cell>
          <cell r="AO20">
            <v>6.6278049532741896</v>
          </cell>
          <cell r="AP20">
            <v>6.66160675853589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Formula"/>
      <sheetName val="Aircrafts candidate data"/>
      <sheetName val="Spec Aircraft Rapi"/>
      <sheetName val="Block time &amp; Fuel"/>
      <sheetName val="Parking &amp; Landing Fee"/>
      <sheetName val="Station Cost"/>
      <sheetName val="No. of aircraft"/>
      <sheetName val="Maintenance Cost"/>
      <sheetName val="cost rute lama"/>
      <sheetName val="BEP Load Factor"/>
      <sheetName val="BEP Price Per Year"/>
      <sheetName val="Cost Structure"/>
      <sheetName val="Detail Cost every year"/>
      <sheetName val="Profitability"/>
      <sheetName val="Profit per year"/>
      <sheetName val="Cash Flow Updated"/>
      <sheetName val="Summary RP"/>
      <sheetName val="Maintenance Period"/>
      <sheetName val="Maintenance Schedule"/>
      <sheetName val="Sheet2"/>
      <sheetName val="cost rute baru"/>
      <sheetName val="Aglis Market Share"/>
      <sheetName val="Cash Flow A321"/>
      <sheetName val="demand ok"/>
    </sheetNames>
    <sheetDataSet>
      <sheetData sheetId="0"/>
      <sheetData sheetId="1"/>
      <sheetData sheetId="2"/>
      <sheetData sheetId="3">
        <row r="3">
          <cell r="B3" t="str">
            <v>PLM-SUB</v>
          </cell>
          <cell r="C3">
            <v>1024</v>
          </cell>
          <cell r="G3">
            <v>1.889416553595658</v>
          </cell>
          <cell r="L3">
            <v>3219.1105795346539</v>
          </cell>
        </row>
        <row r="4">
          <cell r="B4" t="str">
            <v>SUB-CGK</v>
          </cell>
          <cell r="C4">
            <v>692</v>
          </cell>
          <cell r="G4">
            <v>1.4389416553595658</v>
          </cell>
          <cell r="L4">
            <v>2249.4054337214652</v>
          </cell>
        </row>
        <row r="5">
          <cell r="B5" t="str">
            <v>CGK-PKY</v>
          </cell>
          <cell r="C5">
            <v>917</v>
          </cell>
          <cell r="G5">
            <v>1.7442333785617368</v>
          </cell>
          <cell r="L5">
            <v>2906.5851259141382</v>
          </cell>
        </row>
        <row r="6">
          <cell r="B6" t="str">
            <v>PKY-CGK</v>
          </cell>
          <cell r="C6">
            <v>917</v>
          </cell>
          <cell r="G6">
            <v>1.7442333785617368</v>
          </cell>
          <cell r="L6">
            <v>2906.5851259141382</v>
          </cell>
        </row>
        <row r="7">
          <cell r="B7" t="str">
            <v>CGK-PLM</v>
          </cell>
          <cell r="C7">
            <v>418</v>
          </cell>
          <cell r="G7">
            <v>1.0671641791044775</v>
          </cell>
          <cell r="L7">
            <v>1449.1066085623877</v>
          </cell>
        </row>
        <row r="8">
          <cell r="B8" t="str">
            <v>MDC-SRG</v>
          </cell>
          <cell r="C8">
            <v>1871</v>
          </cell>
          <cell r="G8">
            <v>3.0386702849389415</v>
          </cell>
          <cell r="L8">
            <v>5693.0270208110715</v>
          </cell>
        </row>
        <row r="9">
          <cell r="B9" t="str">
            <v>SRG-KDI</v>
          </cell>
          <cell r="C9">
            <v>1372</v>
          </cell>
          <cell r="G9">
            <v>2.3616010854816825</v>
          </cell>
          <cell r="L9">
            <v>4235.5485034593212</v>
          </cell>
        </row>
        <row r="10">
          <cell r="B10" t="str">
            <v>KDI-PNK</v>
          </cell>
          <cell r="C10">
            <v>1511</v>
          </cell>
          <cell r="G10">
            <v>2.550203527815468</v>
          </cell>
          <cell r="L10">
            <v>4641.5395133027941</v>
          </cell>
        </row>
        <row r="11">
          <cell r="B11" t="str">
            <v>PNK-MDC</v>
          </cell>
          <cell r="C11">
            <v>1738.0871999999999</v>
          </cell>
          <cell r="G11">
            <v>2.8583272727272728</v>
          </cell>
          <cell r="L11">
            <v>5304.8154964001114</v>
          </cell>
        </row>
        <row r="12">
          <cell r="B12" t="str">
            <v>TTE-KNO</v>
          </cell>
          <cell r="C12">
            <v>3185</v>
          </cell>
          <cell r="G12">
            <v>4.8215739484396201</v>
          </cell>
          <cell r="L12">
            <v>9530.9564232162811</v>
          </cell>
        </row>
        <row r="13">
          <cell r="B13" t="str">
            <v>KNO-PKU</v>
          </cell>
          <cell r="C13">
            <v>453</v>
          </cell>
          <cell r="G13">
            <v>1.1146540027137042</v>
          </cell>
          <cell r="L13">
            <v>1551.3345606812481</v>
          </cell>
        </row>
        <row r="14">
          <cell r="B14" t="str">
            <v>PKU-CGK</v>
          </cell>
          <cell r="C14">
            <v>930</v>
          </cell>
          <cell r="G14">
            <v>1.7618724559023067</v>
          </cell>
          <cell r="L14">
            <v>2944.5555081297152</v>
          </cell>
        </row>
        <row r="15">
          <cell r="B15" t="str">
            <v>CGK-TTE</v>
          </cell>
          <cell r="C15">
            <v>2428</v>
          </cell>
          <cell r="G15">
            <v>3.794436906377205</v>
          </cell>
          <cell r="L15">
            <v>7319.9118588169331</v>
          </cell>
        </row>
        <row r="16">
          <cell r="B16" t="str">
            <v>LOP-TIM</v>
          </cell>
          <cell r="C16">
            <v>2326</v>
          </cell>
          <cell r="G16">
            <v>3.6560379918588874</v>
          </cell>
          <cell r="L16">
            <v>7021.9903983562554</v>
          </cell>
        </row>
        <row r="17">
          <cell r="B17" t="str">
            <v>TIM-AMQ</v>
          </cell>
          <cell r="C17">
            <v>981</v>
          </cell>
          <cell r="G17">
            <v>1.8310719131614654</v>
          </cell>
          <cell r="L17">
            <v>3093.5162383600541</v>
          </cell>
        </row>
        <row r="18">
          <cell r="B18" t="str">
            <v>AMQ-CGK</v>
          </cell>
          <cell r="C18">
            <v>2392</v>
          </cell>
          <cell r="G18">
            <v>3.7455902306648574</v>
          </cell>
          <cell r="L18">
            <v>7214.7631080661058</v>
          </cell>
        </row>
        <row r="19">
          <cell r="B19" t="str">
            <v>CGK-LOP</v>
          </cell>
          <cell r="C19">
            <v>1101</v>
          </cell>
          <cell r="G19">
            <v>1.9938941655359566</v>
          </cell>
          <cell r="L19">
            <v>3444.0120741961464</v>
          </cell>
        </row>
      </sheetData>
      <sheetData sheetId="4">
        <row r="25">
          <cell r="AB25">
            <v>0.20040999999999998</v>
          </cell>
          <cell r="AC25">
            <v>0.21790999999999999</v>
          </cell>
          <cell r="AD25">
            <v>0.13824999999999998</v>
          </cell>
          <cell r="AE25">
            <v>0.13824999999999998</v>
          </cell>
          <cell r="AF25">
            <v>0.21349999999999997</v>
          </cell>
          <cell r="AG25">
            <v>0.15651999999999999</v>
          </cell>
          <cell r="AH25">
            <v>0.16932999999999998</v>
          </cell>
          <cell r="AI25">
            <v>0.20348999999999998</v>
          </cell>
          <cell r="AJ25">
            <v>0.19200999999999996</v>
          </cell>
          <cell r="AK25">
            <v>0.21875</v>
          </cell>
          <cell r="AL25">
            <v>0.22924999999999998</v>
          </cell>
          <cell r="AM25">
            <v>0.20299999999999999</v>
          </cell>
          <cell r="AN25">
            <v>0.1925</v>
          </cell>
          <cell r="AO25">
            <v>0.12914999999999999</v>
          </cell>
          <cell r="AP25">
            <v>0.13047999999999998</v>
          </cell>
          <cell r="AQ25">
            <v>0.18073999999999998</v>
          </cell>
          <cell r="AR25">
            <v>0.17940999999999999</v>
          </cell>
        </row>
        <row r="26">
          <cell r="AB26">
            <v>35.302651999999995</v>
          </cell>
          <cell r="AC26">
            <v>45.629989999999999</v>
          </cell>
          <cell r="AD26">
            <v>18.983999999999998</v>
          </cell>
          <cell r="AE26">
            <v>45.629989999999999</v>
          </cell>
          <cell r="AF26">
            <v>35.434055999999998</v>
          </cell>
          <cell r="AG26">
            <v>24.566807999999998</v>
          </cell>
          <cell r="AH26">
            <v>33.913851999999999</v>
          </cell>
          <cell r="AI26">
            <v>35.434055999999998</v>
          </cell>
          <cell r="AJ26">
            <v>32.664939999999994</v>
          </cell>
          <cell r="AK26">
            <v>49.479443999999994</v>
          </cell>
          <cell r="AL26">
            <v>27.489755999999996</v>
          </cell>
          <cell r="AM26">
            <v>45.629989999999999</v>
          </cell>
          <cell r="AN26">
            <v>24.351208</v>
          </cell>
          <cell r="AO26">
            <v>24.351208</v>
          </cell>
          <cell r="AP26">
            <v>24.351208</v>
          </cell>
          <cell r="AQ26">
            <v>45.629989999999999</v>
          </cell>
          <cell r="AR26">
            <v>22.254973999999994</v>
          </cell>
        </row>
      </sheetData>
      <sheetData sheetId="5">
        <row r="2">
          <cell r="X2" t="str">
            <v>Avg Station Cost</v>
          </cell>
          <cell r="Y2"/>
          <cell r="Z2"/>
          <cell r="AA2"/>
          <cell r="AB2"/>
          <cell r="AC2"/>
          <cell r="AD2"/>
          <cell r="AE2"/>
          <cell r="AF2"/>
          <cell r="AG2"/>
        </row>
        <row r="3">
          <cell r="X3">
            <v>2023</v>
          </cell>
          <cell r="Y3">
            <v>2024</v>
          </cell>
          <cell r="Z3">
            <v>2025</v>
          </cell>
          <cell r="AA3">
            <v>2026</v>
          </cell>
          <cell r="AB3">
            <v>2027</v>
          </cell>
          <cell r="AC3">
            <v>2028</v>
          </cell>
          <cell r="AD3">
            <v>2029</v>
          </cell>
          <cell r="AE3">
            <v>2030</v>
          </cell>
          <cell r="AF3">
            <v>2031</v>
          </cell>
          <cell r="AG3">
            <v>2032</v>
          </cell>
        </row>
        <row r="4">
          <cell r="X4">
            <v>513.7612479999998</v>
          </cell>
          <cell r="Y4">
            <v>554.12020607999989</v>
          </cell>
          <cell r="Z4">
            <v>581.71883535359984</v>
          </cell>
          <cell r="AA4">
            <v>622.70167488076777</v>
          </cell>
          <cell r="AB4">
            <v>690.23328582426598</v>
          </cell>
          <cell r="AC4">
            <v>767.76426459314519</v>
          </cell>
          <cell r="AD4">
            <v>813.2910829395131</v>
          </cell>
          <cell r="AE4">
            <v>813.2910829395131</v>
          </cell>
          <cell r="AF4">
            <v>810.0131520185746</v>
          </cell>
          <cell r="AG4">
            <v>805.64257745732323</v>
          </cell>
        </row>
        <row r="5">
          <cell r="X5">
            <v>168.58799999999997</v>
          </cell>
          <cell r="Y5">
            <v>187.66496064890271</v>
          </cell>
          <cell r="Z5">
            <v>220.97740043717059</v>
          </cell>
          <cell r="AA5">
            <v>257.6018722206303</v>
          </cell>
          <cell r="AB5">
            <v>296.18919650770107</v>
          </cell>
          <cell r="AC5">
            <v>302.39999999999998</v>
          </cell>
          <cell r="AD5">
            <v>302.39999999999998</v>
          </cell>
          <cell r="AE5">
            <v>302.39999999999998</v>
          </cell>
          <cell r="AF5">
            <v>302.39999999999998</v>
          </cell>
          <cell r="AG5">
            <v>302.39999999999998</v>
          </cell>
        </row>
        <row r="6">
          <cell r="X6">
            <v>88.905347999999975</v>
          </cell>
          <cell r="Y6">
            <v>107.03368119127659</v>
          </cell>
          <cell r="Z6">
            <v>115.23305040616218</v>
          </cell>
          <cell r="AA6">
            <v>118.87839948066814</v>
          </cell>
          <cell r="AB6">
            <v>121.27210653378708</v>
          </cell>
          <cell r="AC6">
            <v>123.85892009245705</v>
          </cell>
          <cell r="AD6">
            <v>126.38197869881552</v>
          </cell>
          <cell r="AE6">
            <v>128.78514704834484</v>
          </cell>
          <cell r="AF6">
            <v>130.95093251509536</v>
          </cell>
          <cell r="AG6">
            <v>132.92847327826357</v>
          </cell>
        </row>
        <row r="7">
          <cell r="X7">
            <v>701.66879999999992</v>
          </cell>
          <cell r="Y7">
            <v>823.93568093983288</v>
          </cell>
          <cell r="Z7">
            <v>899.6671514120934</v>
          </cell>
          <cell r="AA7">
            <v>911.12805980249334</v>
          </cell>
          <cell r="AB7">
            <v>914.03876669529336</v>
          </cell>
          <cell r="AC7">
            <v>921.31553392729336</v>
          </cell>
          <cell r="AD7">
            <v>909.30631720870758</v>
          </cell>
          <cell r="AE7">
            <v>911.3983877879075</v>
          </cell>
          <cell r="AF7">
            <v>923.40760450649339</v>
          </cell>
          <cell r="AG7">
            <v>920.1330592520934</v>
          </cell>
        </row>
        <row r="8">
          <cell r="X8">
            <v>212.34968999999995</v>
          </cell>
          <cell r="Y8">
            <v>245.0642691609072</v>
          </cell>
          <cell r="Z8">
            <v>271.98043106674464</v>
          </cell>
          <cell r="AA8">
            <v>272.15999999999997</v>
          </cell>
          <cell r="AB8">
            <v>272.15999999999997</v>
          </cell>
          <cell r="AC8">
            <v>272.15999999999997</v>
          </cell>
          <cell r="AD8">
            <v>272.15999999999997</v>
          </cell>
          <cell r="AE8">
            <v>272.15999999999997</v>
          </cell>
          <cell r="AF8">
            <v>272.15999999999997</v>
          </cell>
          <cell r="AG8">
            <v>272.15999999999997</v>
          </cell>
        </row>
        <row r="9">
          <cell r="X9">
            <v>128.06640000000002</v>
          </cell>
          <cell r="Y9">
            <v>144.586190054902</v>
          </cell>
          <cell r="Z9">
            <v>162.53569300798898</v>
          </cell>
          <cell r="AA9">
            <v>182.01955277462838</v>
          </cell>
          <cell r="AB9">
            <v>203.14940820738997</v>
          </cell>
          <cell r="AC9">
            <v>208.85755555078902</v>
          </cell>
          <cell r="AD9">
            <v>212.45781633005328</v>
          </cell>
          <cell r="AE9">
            <v>217.80158630241564</v>
          </cell>
          <cell r="AF9">
            <v>223.68875771245453</v>
          </cell>
          <cell r="AG9">
            <v>227.05827354373884</v>
          </cell>
        </row>
        <row r="10">
          <cell r="X10">
            <v>200.04390000000001</v>
          </cell>
          <cell r="Y10">
            <v>223.38351850402478</v>
          </cell>
          <cell r="Z10">
            <v>248.69300493759999</v>
          </cell>
          <cell r="AA10">
            <v>276.11501806896797</v>
          </cell>
          <cell r="AB10">
            <v>305.8016958387222</v>
          </cell>
          <cell r="AC10">
            <v>321.65712877029131</v>
          </cell>
          <cell r="AD10">
            <v>335.80414054447897</v>
          </cell>
          <cell r="AE10">
            <v>353.64532447466564</v>
          </cell>
          <cell r="AF10">
            <v>364.52966990784506</v>
          </cell>
          <cell r="AG10">
            <v>371.22252037408037</v>
          </cell>
        </row>
        <row r="11">
          <cell r="X11">
            <v>474.52159999999992</v>
          </cell>
          <cell r="Y11">
            <v>539.20397204210519</v>
          </cell>
          <cell r="Z11">
            <v>610.2102194715203</v>
          </cell>
          <cell r="AA11">
            <v>688.03676837677301</v>
          </cell>
          <cell r="AB11">
            <v>773.21455078861675</v>
          </cell>
          <cell r="AC11">
            <v>796.51862995695717</v>
          </cell>
          <cell r="AD11">
            <v>816.63225073945955</v>
          </cell>
          <cell r="AE11">
            <v>847.93593950111278</v>
          </cell>
          <cell r="AF11">
            <v>886.48521754232058</v>
          </cell>
          <cell r="AG11">
            <v>910.86035159880714</v>
          </cell>
        </row>
        <row r="12">
          <cell r="X12">
            <v>511.50848000000002</v>
          </cell>
          <cell r="Y12">
            <v>560.2119190047847</v>
          </cell>
          <cell r="Z12">
            <v>611.4296514782244</v>
          </cell>
          <cell r="AA12">
            <v>665.27033736596832</v>
          </cell>
          <cell r="AB12">
            <v>705.73777391009219</v>
          </cell>
          <cell r="AC12">
            <v>705.73777391009219</v>
          </cell>
          <cell r="AD12">
            <v>705.73777391009219</v>
          </cell>
          <cell r="AE12">
            <v>705.11337391009226</v>
          </cell>
          <cell r="AF12">
            <v>702.74065391009219</v>
          </cell>
          <cell r="AG12">
            <v>700.49281391009208</v>
          </cell>
        </row>
        <row r="13">
          <cell r="X13">
            <v>0</v>
          </cell>
          <cell r="Y13">
            <v>0</v>
          </cell>
          <cell r="Z13">
            <v>978.03801395200003</v>
          </cell>
          <cell r="AA13">
            <v>1016.1567708160002</v>
          </cell>
          <cell r="AB13">
            <v>1050.7727229952002</v>
          </cell>
          <cell r="AC13">
            <v>1085.3886751744001</v>
          </cell>
          <cell r="AD13">
            <v>1120.0046273536</v>
          </cell>
          <cell r="AE13">
            <v>1148.0432148974335</v>
          </cell>
          <cell r="AF13">
            <v>1151.1349262916594</v>
          </cell>
          <cell r="AG13">
            <v>1154.1801902460363</v>
          </cell>
        </row>
        <row r="14">
          <cell r="X14">
            <v>0</v>
          </cell>
          <cell r="Y14">
            <v>0</v>
          </cell>
          <cell r="Z14">
            <v>993.42044960072724</v>
          </cell>
          <cell r="AA14">
            <v>1059.788419224692</v>
          </cell>
          <cell r="AB14">
            <v>1125.0541286191908</v>
          </cell>
          <cell r="AC14">
            <v>1171.913540662762</v>
          </cell>
          <cell r="AD14">
            <v>1209.3062442218124</v>
          </cell>
          <cell r="AE14">
            <v>1209.5999999999999</v>
          </cell>
          <cell r="AF14">
            <v>1209.5999999999999</v>
          </cell>
          <cell r="AG14">
            <v>1209.5999999999999</v>
          </cell>
        </row>
        <row r="15">
          <cell r="X15">
            <v>0</v>
          </cell>
          <cell r="Y15">
            <v>0</v>
          </cell>
          <cell r="Z15">
            <v>146.98969521548588</v>
          </cell>
          <cell r="AA15">
            <v>165.7857681651418</v>
          </cell>
          <cell r="AB15">
            <v>186.1870564747627</v>
          </cell>
          <cell r="AC15">
            <v>191.83615686240987</v>
          </cell>
          <cell r="AD15">
            <v>195.03715573630151</v>
          </cell>
          <cell r="AE15">
            <v>200.11166935899806</v>
          </cell>
          <cell r="AF15">
            <v>206.7995759382714</v>
          </cell>
          <cell r="AG15">
            <v>211.60945983561263</v>
          </cell>
        </row>
        <row r="16">
          <cell r="X16">
            <v>0</v>
          </cell>
          <cell r="Y16">
            <v>0</v>
          </cell>
          <cell r="Z16">
            <v>177.3267659877169</v>
          </cell>
          <cell r="AA16">
            <v>195.96789495664595</v>
          </cell>
          <cell r="AB16">
            <v>217.93955852231113</v>
          </cell>
          <cell r="AC16">
            <v>225.5567102137461</v>
          </cell>
          <cell r="AD16">
            <v>229.30357426206905</v>
          </cell>
          <cell r="AE16">
            <v>235.24344284830531</v>
          </cell>
          <cell r="AF16">
            <v>243.07272430328615</v>
          </cell>
          <cell r="AG16">
            <v>248.70550174650083</v>
          </cell>
        </row>
        <row r="17">
          <cell r="X17">
            <v>0</v>
          </cell>
          <cell r="Y17">
            <v>0</v>
          </cell>
          <cell r="Z17">
            <v>0</v>
          </cell>
          <cell r="AA17">
            <v>406.91090129537912</v>
          </cell>
          <cell r="AB17">
            <v>440.58159893693653</v>
          </cell>
          <cell r="AC17">
            <v>463.95701910050559</v>
          </cell>
          <cell r="AD17">
            <v>471.60697971240324</v>
          </cell>
          <cell r="AE17">
            <v>483.69297522303242</v>
          </cell>
          <cell r="AF17">
            <v>498.06456866164342</v>
          </cell>
          <cell r="AG17">
            <v>500.3473116031243</v>
          </cell>
        </row>
        <row r="18">
          <cell r="X18">
            <v>0</v>
          </cell>
          <cell r="Y18">
            <v>0</v>
          </cell>
          <cell r="Z18">
            <v>0</v>
          </cell>
          <cell r="AA18">
            <v>168.61667503367983</v>
          </cell>
          <cell r="AB18">
            <v>201.92107140194361</v>
          </cell>
          <cell r="AC18">
            <v>226.00057441917454</v>
          </cell>
          <cell r="AD18">
            <v>243.88162200626044</v>
          </cell>
          <cell r="AE18">
            <v>250.1219575845096</v>
          </cell>
          <cell r="AF18">
            <v>257.21141825936888</v>
          </cell>
          <cell r="AG18">
            <v>258.05284155963625</v>
          </cell>
        </row>
        <row r="19">
          <cell r="X19">
            <v>0</v>
          </cell>
          <cell r="Y19">
            <v>0</v>
          </cell>
          <cell r="Z19">
            <v>0</v>
          </cell>
          <cell r="AA19">
            <v>272.02981889251777</v>
          </cell>
          <cell r="AB19">
            <v>328.62589015526834</v>
          </cell>
          <cell r="AC19">
            <v>366.82905289331501</v>
          </cell>
          <cell r="AD19">
            <v>395.1003245062625</v>
          </cell>
          <cell r="AE19">
            <v>406.53274356489436</v>
          </cell>
          <cell r="AF19">
            <v>427.38143922575972</v>
          </cell>
          <cell r="AG19">
            <v>429.50989892555748</v>
          </cell>
        </row>
        <row r="20">
          <cell r="X20">
            <v>0</v>
          </cell>
          <cell r="Y20">
            <v>0</v>
          </cell>
          <cell r="Z20">
            <v>0</v>
          </cell>
          <cell r="AA20">
            <v>192.13055248715187</v>
          </cell>
          <cell r="AB20">
            <v>204.85462202368066</v>
          </cell>
          <cell r="AC20">
            <v>215.60877126400243</v>
          </cell>
          <cell r="AD20">
            <v>223.71527394424436</v>
          </cell>
          <cell r="AE20">
            <v>230.55714794223238</v>
          </cell>
          <cell r="AF20">
            <v>238.12594808381763</v>
          </cell>
          <cell r="AG20">
            <v>239.26881330933634</v>
          </cell>
        </row>
      </sheetData>
      <sheetData sheetId="6">
        <row r="34"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</row>
        <row r="35"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</row>
        <row r="36"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1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1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</row>
        <row r="37"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  <cell r="AU37">
            <v>1</v>
          </cell>
          <cell r="AV37">
            <v>1</v>
          </cell>
          <cell r="AW37">
            <v>1</v>
          </cell>
          <cell r="AX37">
            <v>1</v>
          </cell>
          <cell r="AY37">
            <v>1</v>
          </cell>
        </row>
        <row r="38"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  <cell r="AP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U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</row>
        <row r="39"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1</v>
          </cell>
          <cell r="AO39">
            <v>1</v>
          </cell>
          <cell r="AP39">
            <v>1</v>
          </cell>
          <cell r="AQ39">
            <v>1</v>
          </cell>
          <cell r="AR39">
            <v>1</v>
          </cell>
          <cell r="AS39">
            <v>1</v>
          </cell>
          <cell r="AT39">
            <v>1</v>
          </cell>
          <cell r="AU39">
            <v>1</v>
          </cell>
          <cell r="AV39">
            <v>1</v>
          </cell>
          <cell r="AW39">
            <v>1</v>
          </cell>
          <cell r="AX39">
            <v>1</v>
          </cell>
          <cell r="AY39">
            <v>1</v>
          </cell>
        </row>
        <row r="40">
          <cell r="AJ40">
            <v>1</v>
          </cell>
          <cell r="AK40">
            <v>1</v>
          </cell>
          <cell r="AL40">
            <v>1</v>
          </cell>
          <cell r="AM40">
            <v>1</v>
          </cell>
          <cell r="AN40">
            <v>1</v>
          </cell>
          <cell r="AO40">
            <v>1</v>
          </cell>
          <cell r="AP40">
            <v>1</v>
          </cell>
          <cell r="AQ40">
            <v>1</v>
          </cell>
          <cell r="AR40">
            <v>1</v>
          </cell>
          <cell r="AS40">
            <v>1</v>
          </cell>
          <cell r="AT40">
            <v>1</v>
          </cell>
          <cell r="AU40">
            <v>1</v>
          </cell>
          <cell r="AV40">
            <v>1</v>
          </cell>
          <cell r="AW40">
            <v>1</v>
          </cell>
          <cell r="AX40">
            <v>1</v>
          </cell>
          <cell r="AY40">
            <v>1</v>
          </cell>
        </row>
        <row r="41"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</row>
        <row r="42">
          <cell r="AJ42">
            <v>1</v>
          </cell>
          <cell r="AK42">
            <v>1</v>
          </cell>
          <cell r="AL42">
            <v>1</v>
          </cell>
          <cell r="AM42">
            <v>1</v>
          </cell>
          <cell r="AN42">
            <v>1</v>
          </cell>
          <cell r="AO42">
            <v>1</v>
          </cell>
          <cell r="AP42">
            <v>1</v>
          </cell>
          <cell r="AQ42">
            <v>1</v>
          </cell>
          <cell r="AR42">
            <v>1</v>
          </cell>
          <cell r="AS42">
            <v>1</v>
          </cell>
          <cell r="AT42">
            <v>1</v>
          </cell>
          <cell r="AU42">
            <v>1</v>
          </cell>
          <cell r="AV42">
            <v>1</v>
          </cell>
          <cell r="AW42">
            <v>1</v>
          </cell>
          <cell r="AX42">
            <v>1</v>
          </cell>
          <cell r="AY42">
            <v>1</v>
          </cell>
        </row>
        <row r="43"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</row>
        <row r="44"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1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1</v>
          </cell>
          <cell r="AU44">
            <v>1</v>
          </cell>
          <cell r="AV44">
            <v>1</v>
          </cell>
          <cell r="AW44">
            <v>1</v>
          </cell>
          <cell r="AX44">
            <v>1</v>
          </cell>
          <cell r="AY44">
            <v>1</v>
          </cell>
        </row>
        <row r="45"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1</v>
          </cell>
          <cell r="AO45">
            <v>1</v>
          </cell>
          <cell r="AP45">
            <v>1</v>
          </cell>
          <cell r="AQ45">
            <v>1</v>
          </cell>
          <cell r="AR45">
            <v>1</v>
          </cell>
          <cell r="AS45">
            <v>1</v>
          </cell>
          <cell r="AT45">
            <v>1</v>
          </cell>
          <cell r="AU45">
            <v>1</v>
          </cell>
          <cell r="AV45">
            <v>1</v>
          </cell>
          <cell r="AW45">
            <v>1</v>
          </cell>
          <cell r="AX45">
            <v>1</v>
          </cell>
          <cell r="AY45">
            <v>1</v>
          </cell>
        </row>
        <row r="46"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</row>
        <row r="47"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1</v>
          </cell>
          <cell r="AS47">
            <v>1</v>
          </cell>
          <cell r="AT47">
            <v>1</v>
          </cell>
          <cell r="AU47">
            <v>1</v>
          </cell>
          <cell r="AV47">
            <v>1</v>
          </cell>
          <cell r="AW47">
            <v>1</v>
          </cell>
          <cell r="AX47">
            <v>1</v>
          </cell>
          <cell r="AY47">
            <v>1</v>
          </cell>
        </row>
        <row r="48"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1</v>
          </cell>
          <cell r="AS48">
            <v>1</v>
          </cell>
          <cell r="AT48">
            <v>1</v>
          </cell>
          <cell r="AU48">
            <v>1</v>
          </cell>
          <cell r="AV48">
            <v>1</v>
          </cell>
          <cell r="AW48">
            <v>1</v>
          </cell>
          <cell r="AX48">
            <v>1</v>
          </cell>
          <cell r="AY48">
            <v>1</v>
          </cell>
        </row>
        <row r="49"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</v>
          </cell>
          <cell r="AS49">
            <v>1</v>
          </cell>
          <cell r="AT49">
            <v>1</v>
          </cell>
          <cell r="AU49">
            <v>1</v>
          </cell>
          <cell r="AV49">
            <v>1</v>
          </cell>
          <cell r="AW49">
            <v>1</v>
          </cell>
          <cell r="AX49">
            <v>1</v>
          </cell>
          <cell r="AY49">
            <v>1</v>
          </cell>
        </row>
        <row r="50"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</row>
        <row r="122"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</row>
        <row r="123"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</row>
        <row r="124"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</row>
        <row r="125"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</row>
        <row r="126"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</row>
        <row r="127"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</row>
        <row r="128"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</row>
        <row r="129"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</row>
        <row r="130"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</row>
        <row r="131"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</row>
        <row r="132"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</row>
        <row r="133"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</row>
        <row r="134"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</row>
        <row r="135"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</row>
        <row r="136"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1</v>
          </cell>
          <cell r="AS136">
            <v>1</v>
          </cell>
          <cell r="AT136">
            <v>1</v>
          </cell>
          <cell r="AU136">
            <v>1</v>
          </cell>
          <cell r="AV136">
            <v>1</v>
          </cell>
          <cell r="AW136">
            <v>1</v>
          </cell>
          <cell r="AX136">
            <v>1</v>
          </cell>
          <cell r="AY136">
            <v>1</v>
          </cell>
        </row>
        <row r="137"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</row>
        <row r="138"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</row>
        <row r="139">
          <cell r="AF139"/>
          <cell r="AG139"/>
          <cell r="AH139"/>
          <cell r="AI139"/>
          <cell r="AJ139"/>
          <cell r="AK139"/>
          <cell r="AL139"/>
          <cell r="AM139"/>
          <cell r="AN139"/>
          <cell r="AO139"/>
          <cell r="AP139"/>
          <cell r="AQ139"/>
          <cell r="AR139"/>
          <cell r="AS139"/>
          <cell r="AT139"/>
          <cell r="AU139"/>
          <cell r="AV139"/>
          <cell r="AW139"/>
          <cell r="AX139"/>
          <cell r="AY139"/>
        </row>
        <row r="140">
          <cell r="AF140"/>
          <cell r="AG140"/>
          <cell r="AH140"/>
          <cell r="AI140"/>
          <cell r="AJ140"/>
          <cell r="AK140"/>
          <cell r="AL140"/>
          <cell r="AM140"/>
          <cell r="AN140"/>
          <cell r="AO140"/>
          <cell r="AP140"/>
          <cell r="AQ140"/>
          <cell r="AR140"/>
          <cell r="AS140"/>
          <cell r="AT140"/>
          <cell r="AU140"/>
          <cell r="AV140"/>
          <cell r="AW140"/>
          <cell r="AX140"/>
          <cell r="AY140"/>
        </row>
        <row r="141">
          <cell r="AF141"/>
          <cell r="AG141"/>
          <cell r="AH141"/>
          <cell r="AI141"/>
          <cell r="AJ141"/>
          <cell r="AK141"/>
          <cell r="AL141"/>
          <cell r="AM141"/>
          <cell r="AN141"/>
          <cell r="AO141"/>
          <cell r="AP141"/>
          <cell r="AQ141"/>
          <cell r="AR141"/>
          <cell r="AS141"/>
          <cell r="AT141"/>
          <cell r="AU141"/>
          <cell r="AV141"/>
          <cell r="AW141"/>
          <cell r="AX141"/>
          <cell r="AY141"/>
        </row>
      </sheetData>
      <sheetData sheetId="7">
        <row r="47">
          <cell r="G47">
            <v>529.27997105370071</v>
          </cell>
        </row>
        <row r="48">
          <cell r="G48">
            <v>632.92714226040709</v>
          </cell>
        </row>
      </sheetData>
      <sheetData sheetId="8">
        <row r="11">
          <cell r="B11">
            <v>77800</v>
          </cell>
          <cell r="C11">
            <v>66350</v>
          </cell>
          <cell r="D11">
            <v>88000</v>
          </cell>
          <cell r="E11">
            <v>187000</v>
          </cell>
          <cell r="F11">
            <v>147870</v>
          </cell>
        </row>
        <row r="12">
          <cell r="B12">
            <v>28000</v>
          </cell>
        </row>
      </sheetData>
      <sheetData sheetId="9"/>
      <sheetData sheetId="10"/>
      <sheetData sheetId="11">
        <row r="8">
          <cell r="AD8" t="str">
            <v>PLM-SUB</v>
          </cell>
          <cell r="AE8" t="str">
            <v>SUB-CGK</v>
          </cell>
          <cell r="AF8" t="str">
            <v>CGK-PKY</v>
          </cell>
          <cell r="AG8" t="str">
            <v>PKY-CGK</v>
          </cell>
          <cell r="AH8" t="str">
            <v>CGK-PLM</v>
          </cell>
          <cell r="AI8" t="str">
            <v>MDC-SRG</v>
          </cell>
          <cell r="AJ8" t="str">
            <v>SRG-KDI</v>
          </cell>
          <cell r="AK8" t="str">
            <v>KDI-PNK</v>
          </cell>
          <cell r="AL8" t="str">
            <v>PNK-MDC</v>
          </cell>
          <cell r="AM8" t="str">
            <v>TTE-KNO</v>
          </cell>
          <cell r="AN8" t="str">
            <v>KNO-PKU</v>
          </cell>
          <cell r="AO8" t="str">
            <v>PKU-CGK</v>
          </cell>
          <cell r="AP8" t="str">
            <v>CGK-TTE</v>
          </cell>
          <cell r="AQ8" t="str">
            <v>LOP-TIM</v>
          </cell>
          <cell r="AR8" t="str">
            <v>TIM-AMQ</v>
          </cell>
          <cell r="AS8" t="str">
            <v>AMQ-CGK</v>
          </cell>
          <cell r="AT8" t="str">
            <v>CGK-LOP</v>
          </cell>
          <cell r="AU8"/>
          <cell r="AV8"/>
          <cell r="AW8"/>
        </row>
        <row r="13">
          <cell r="BA13">
            <v>357</v>
          </cell>
          <cell r="BF13">
            <v>352</v>
          </cell>
        </row>
      </sheetData>
      <sheetData sheetId="12"/>
      <sheetData sheetId="13">
        <row r="2">
          <cell r="AS2" t="str">
            <v>Rotation</v>
          </cell>
          <cell r="AT2" t="str">
            <v>O-D</v>
          </cell>
          <cell r="AU2" t="str">
            <v>AVERAGE DEMAND PER YEAR</v>
          </cell>
          <cell r="AV2"/>
          <cell r="AW2"/>
          <cell r="AX2"/>
          <cell r="AY2"/>
          <cell r="AZ2"/>
          <cell r="BA2"/>
          <cell r="BB2"/>
          <cell r="BC2"/>
          <cell r="BD2"/>
        </row>
        <row r="3">
          <cell r="AS3"/>
          <cell r="AT3"/>
          <cell r="AU3">
            <v>2023</v>
          </cell>
          <cell r="AV3">
            <v>2024</v>
          </cell>
          <cell r="AW3">
            <v>2025</v>
          </cell>
          <cell r="AX3">
            <v>2026</v>
          </cell>
          <cell r="AY3">
            <v>2027</v>
          </cell>
          <cell r="AZ3">
            <v>2028</v>
          </cell>
          <cell r="BA3">
            <v>2029</v>
          </cell>
          <cell r="BB3">
            <v>2030</v>
          </cell>
          <cell r="BC3">
            <v>2031</v>
          </cell>
          <cell r="BD3">
            <v>2032</v>
          </cell>
        </row>
        <row r="4">
          <cell r="AS4">
            <v>1</v>
          </cell>
          <cell r="AT4" t="str">
            <v>PLM-SUB</v>
          </cell>
          <cell r="AU4">
            <v>9.1743079999999964</v>
          </cell>
          <cell r="AV4">
            <v>9.8950036799999985</v>
          </cell>
          <cell r="AW4">
            <v>10.387836345599998</v>
          </cell>
          <cell r="AX4">
            <v>11.119672765727998</v>
          </cell>
          <cell r="AY4">
            <v>12.325594389719038</v>
          </cell>
          <cell r="AZ4">
            <v>13.710076153449023</v>
          </cell>
          <cell r="BA4">
            <v>14.523055052491307</v>
          </cell>
          <cell r="BB4">
            <v>14.523055052491307</v>
          </cell>
          <cell r="BC4">
            <v>14.464520571760263</v>
          </cell>
          <cell r="BD4">
            <v>14.386474597452203</v>
          </cell>
        </row>
        <row r="5">
          <cell r="AS5"/>
          <cell r="AT5" t="str">
            <v>SUB-CGK</v>
          </cell>
          <cell r="AU5">
            <v>12.041999999999998</v>
          </cell>
          <cell r="AV5">
            <v>13.404640046350194</v>
          </cell>
          <cell r="AW5">
            <v>15.784100031226473</v>
          </cell>
          <cell r="AX5">
            <v>18.400133730045024</v>
          </cell>
          <cell r="AY5">
            <v>21.156371179121507</v>
          </cell>
          <cell r="AZ5">
            <v>21.6</v>
          </cell>
          <cell r="BA5">
            <v>21.6</v>
          </cell>
          <cell r="BB5">
            <v>21.6</v>
          </cell>
          <cell r="BC5">
            <v>21.6</v>
          </cell>
          <cell r="BD5">
            <v>21.6</v>
          </cell>
        </row>
        <row r="6">
          <cell r="AS6"/>
          <cell r="AT6" t="str">
            <v>CGK-PKY</v>
          </cell>
          <cell r="AU6">
            <v>7.055979999999999</v>
          </cell>
          <cell r="AV6">
            <v>8.4947366024822699</v>
          </cell>
          <cell r="AW6">
            <v>9.1454801909652534</v>
          </cell>
          <cell r="AX6">
            <v>9.4347936095768379</v>
          </cell>
          <cell r="AY6">
            <v>9.6247703598243728</v>
          </cell>
          <cell r="AZ6">
            <v>9.8300730232108791</v>
          </cell>
          <cell r="BA6">
            <v>10.030315769747265</v>
          </cell>
          <cell r="BB6">
            <v>10.221043416535306</v>
          </cell>
          <cell r="BC6">
            <v>10.392931151991696</v>
          </cell>
          <cell r="BD6">
            <v>10.549878831608222</v>
          </cell>
        </row>
        <row r="7">
          <cell r="AS7"/>
          <cell r="AT7" t="str">
            <v>PKY-CGK</v>
          </cell>
          <cell r="AU7">
            <v>12.5298</v>
          </cell>
          <cell r="AV7">
            <v>14.713137159639874</v>
          </cell>
          <cell r="AW7">
            <v>16.065484846644527</v>
          </cell>
          <cell r="AX7">
            <v>16.270143925044525</v>
          </cell>
          <cell r="AY7">
            <v>16.322120833844526</v>
          </cell>
          <cell r="AZ7">
            <v>16.452063105844527</v>
          </cell>
          <cell r="BA7">
            <v>16.237612807298351</v>
          </cell>
          <cell r="BB7">
            <v>16.27497121049835</v>
          </cell>
          <cell r="BC7">
            <v>16.489421509044526</v>
          </cell>
          <cell r="BD7">
            <v>16.430947486644527</v>
          </cell>
        </row>
        <row r="8">
          <cell r="AS8"/>
          <cell r="AT8" t="str">
            <v>CGK-PLM</v>
          </cell>
          <cell r="AU8">
            <v>16.853149999999999</v>
          </cell>
          <cell r="AV8">
            <v>19.449545171500574</v>
          </cell>
          <cell r="AW8">
            <v>21.58574849736069</v>
          </cell>
          <cell r="AX8">
            <v>21.6</v>
          </cell>
          <cell r="AY8">
            <v>21.6</v>
          </cell>
          <cell r="AZ8">
            <v>21.6</v>
          </cell>
          <cell r="BA8">
            <v>21.6</v>
          </cell>
          <cell r="BB8">
            <v>21.6</v>
          </cell>
          <cell r="BC8">
            <v>21.6</v>
          </cell>
          <cell r="BD8">
            <v>21.6</v>
          </cell>
        </row>
        <row r="9">
          <cell r="AS9">
            <v>2</v>
          </cell>
          <cell r="AT9" t="str">
            <v>MDC-SRG</v>
          </cell>
          <cell r="AU9">
            <v>3.3264000000000005</v>
          </cell>
          <cell r="AV9">
            <v>3.7554854559714808</v>
          </cell>
          <cell r="AW9">
            <v>4.2217063118958178</v>
          </cell>
          <cell r="AX9">
            <v>4.7277805915487896</v>
          </cell>
          <cell r="AY9">
            <v>5.2766080053867528</v>
          </cell>
          <cell r="AZ9">
            <v>5.424871572747767</v>
          </cell>
          <cell r="BA9">
            <v>5.5183848397416435</v>
          </cell>
          <cell r="BB9">
            <v>5.6571840598030034</v>
          </cell>
          <cell r="BC9">
            <v>5.8100976029208971</v>
          </cell>
          <cell r="BD9">
            <v>5.8976174946425672</v>
          </cell>
        </row>
        <row r="10">
          <cell r="AS10"/>
          <cell r="AT10" t="str">
            <v>SRG-KDI</v>
          </cell>
          <cell r="AU10">
            <v>5.1959454545454546</v>
          </cell>
          <cell r="AV10">
            <v>5.8021693117928512</v>
          </cell>
          <cell r="AW10">
            <v>6.4595585698077924</v>
          </cell>
          <cell r="AX10">
            <v>7.1718186511420257</v>
          </cell>
          <cell r="AY10">
            <v>7.9429011906161602</v>
          </cell>
          <cell r="AZ10">
            <v>8.3547306174101639</v>
          </cell>
          <cell r="BA10">
            <v>8.7221854686877656</v>
          </cell>
          <cell r="BB10">
            <v>9.1855928434978082</v>
          </cell>
          <cell r="BC10">
            <v>9.4683031144894834</v>
          </cell>
          <cell r="BD10">
            <v>9.6421433863397503</v>
          </cell>
        </row>
        <row r="11">
          <cell r="AS11"/>
          <cell r="AT11" t="str">
            <v>KDI-PNK</v>
          </cell>
          <cell r="AU11">
            <v>8.4735999999999994</v>
          </cell>
          <cell r="AV11">
            <v>9.6286423578947371</v>
          </cell>
          <cell r="AW11">
            <v>10.896611061991436</v>
          </cell>
          <cell r="AX11">
            <v>12.286370863870948</v>
          </cell>
          <cell r="AY11">
            <v>13.807402692653874</v>
          </cell>
          <cell r="AZ11">
            <v>14.223546963517094</v>
          </cell>
          <cell r="BA11">
            <v>14.582718763204637</v>
          </cell>
          <cell r="BB11">
            <v>15.141713205377016</v>
          </cell>
          <cell r="BC11">
            <v>15.830093170398584</v>
          </cell>
          <cell r="BD11">
            <v>16.265363421407272</v>
          </cell>
        </row>
        <row r="12">
          <cell r="AS12"/>
          <cell r="AT12" t="str">
            <v>PNK-MDC</v>
          </cell>
          <cell r="AU12">
            <v>9.1340800000000009</v>
          </cell>
          <cell r="AV12">
            <v>10.003784267942585</v>
          </cell>
          <cell r="AW12">
            <v>10.918386633539722</v>
          </cell>
          <cell r="AX12">
            <v>11.87982745296372</v>
          </cell>
          <cell r="AY12">
            <v>12.602460248394504</v>
          </cell>
          <cell r="AZ12">
            <v>12.602460248394504</v>
          </cell>
          <cell r="BA12">
            <v>12.602460248394504</v>
          </cell>
          <cell r="BB12">
            <v>12.591310248394505</v>
          </cell>
          <cell r="BC12">
            <v>12.548940248394505</v>
          </cell>
          <cell r="BD12">
            <v>12.508800248394504</v>
          </cell>
        </row>
        <row r="13">
          <cell r="AS13">
            <v>3</v>
          </cell>
          <cell r="AT13" t="str">
            <v>TTE-KNO</v>
          </cell>
          <cell r="AU13"/>
          <cell r="AV13"/>
          <cell r="AW13">
            <v>17.464964534857145</v>
          </cell>
          <cell r="AX13">
            <v>18.145656621714291</v>
          </cell>
          <cell r="AY13">
            <v>18.763798624914291</v>
          </cell>
          <cell r="AZ13">
            <v>19.38194062811429</v>
          </cell>
          <cell r="BA13">
            <v>20.000082631314289</v>
          </cell>
          <cell r="BB13">
            <v>20.500771694597031</v>
          </cell>
          <cell r="BC13">
            <v>20.55598082663678</v>
          </cell>
          <cell r="BD13">
            <v>20.610360540107791</v>
          </cell>
        </row>
        <row r="14">
          <cell r="AS14"/>
          <cell r="AT14" t="str">
            <v>KNO-PKU</v>
          </cell>
          <cell r="AU14"/>
          <cell r="AV14"/>
          <cell r="AW14">
            <v>17.739650885727276</v>
          </cell>
          <cell r="AX14">
            <v>18.924793200440931</v>
          </cell>
          <cell r="AY14">
            <v>20.090252296771268</v>
          </cell>
          <cell r="AZ14">
            <v>20.927027511835036</v>
          </cell>
          <cell r="BA14">
            <v>21.594754361103796</v>
          </cell>
          <cell r="BB14">
            <v>21.6</v>
          </cell>
          <cell r="BC14">
            <v>21.6</v>
          </cell>
          <cell r="BD14">
            <v>21.6</v>
          </cell>
        </row>
        <row r="15">
          <cell r="AS15"/>
          <cell r="AT15" t="str">
            <v>PKU-BDO</v>
          </cell>
          <cell r="AU15"/>
          <cell r="AV15"/>
          <cell r="AW15">
            <v>2.3861963509007449</v>
          </cell>
          <cell r="AX15">
            <v>2.6913274052782761</v>
          </cell>
          <cell r="AY15">
            <v>3.0225171505643296</v>
          </cell>
          <cell r="AZ15">
            <v>3.1142233256884722</v>
          </cell>
          <cell r="BA15">
            <v>3.1661875931217782</v>
          </cell>
          <cell r="BB15">
            <v>3.2485660610226956</v>
          </cell>
          <cell r="BC15">
            <v>3.3571359730238863</v>
          </cell>
          <cell r="BD15">
            <v>3.4352185038248808</v>
          </cell>
        </row>
        <row r="16">
          <cell r="AS16"/>
          <cell r="AT16" t="str">
            <v>BDO-TTE</v>
          </cell>
          <cell r="AU16"/>
          <cell r="AV16"/>
          <cell r="AW16">
            <v>4.6058900256549844</v>
          </cell>
          <cell r="AX16">
            <v>5.090075193679116</v>
          </cell>
          <cell r="AY16">
            <v>5.6607677538262635</v>
          </cell>
          <cell r="AZ16">
            <v>5.8586158497076912</v>
          </cell>
          <cell r="BA16">
            <v>5.9559369938199751</v>
          </cell>
          <cell r="BB16">
            <v>6.1102192947611771</v>
          </cell>
          <cell r="BC16">
            <v>6.3135772546308093</v>
          </cell>
          <cell r="BD16">
            <v>6.4598831622467747</v>
          </cell>
        </row>
        <row r="17">
          <cell r="AS17">
            <v>4</v>
          </cell>
          <cell r="AT17" t="str">
            <v>LOP-TIM</v>
          </cell>
          <cell r="AU17"/>
          <cell r="AV17"/>
          <cell r="AW17"/>
          <cell r="AX17">
            <v>6.6056964496003108</v>
          </cell>
          <cell r="AY17">
            <v>7.1522986840411784</v>
          </cell>
          <cell r="AZ17">
            <v>7.531769790592624</v>
          </cell>
          <cell r="BA17">
            <v>7.6559574628636895</v>
          </cell>
          <cell r="BB17">
            <v>7.8521586886855914</v>
          </cell>
          <cell r="BC17">
            <v>8.0854637769747306</v>
          </cell>
          <cell r="BD17">
            <v>8.1225212922585115</v>
          </cell>
        </row>
        <row r="18">
          <cell r="AS18"/>
          <cell r="AT18" t="str">
            <v>TIM-AMQ</v>
          </cell>
          <cell r="AU18"/>
          <cell r="AV18"/>
          <cell r="AW18"/>
          <cell r="AX18">
            <v>3.0110120541728547</v>
          </cell>
          <cell r="AY18">
            <v>3.6057334178918503</v>
          </cell>
          <cell r="AZ18">
            <v>4.0357245431995459</v>
          </cell>
          <cell r="BA18">
            <v>4.3550289643975084</v>
          </cell>
          <cell r="BB18">
            <v>4.4664635282948151</v>
          </cell>
          <cell r="BC18">
            <v>4.5930610403458729</v>
          </cell>
          <cell r="BD18">
            <v>4.6080864564220763</v>
          </cell>
        </row>
        <row r="19">
          <cell r="AS19"/>
          <cell r="AT19" t="str">
            <v>AMQ-CGK</v>
          </cell>
          <cell r="AU19"/>
          <cell r="AV19"/>
          <cell r="AW19"/>
          <cell r="AX19">
            <v>4.4160684885148989</v>
          </cell>
          <cell r="AY19">
            <v>5.3348358791439665</v>
          </cell>
          <cell r="AZ19">
            <v>5.9550170924239456</v>
          </cell>
          <cell r="BA19">
            <v>6.4139663069198463</v>
          </cell>
          <cell r="BB19">
            <v>6.5995575254041299</v>
          </cell>
          <cell r="BC19">
            <v>6.9380103770415547</v>
          </cell>
          <cell r="BD19">
            <v>6.9725632942460631</v>
          </cell>
        </row>
        <row r="20">
          <cell r="AS20"/>
          <cell r="AT20" t="str">
            <v>CGK-LOP</v>
          </cell>
          <cell r="AU20"/>
          <cell r="AV20"/>
          <cell r="AW20"/>
          <cell r="AX20">
            <v>15.248456546599357</v>
          </cell>
          <cell r="AY20">
            <v>16.258303335212752</v>
          </cell>
          <cell r="AZ20">
            <v>17.111807243174798</v>
          </cell>
          <cell r="BA20">
            <v>17.755180471765428</v>
          </cell>
          <cell r="BB20">
            <v>18.29818634462162</v>
          </cell>
          <cell r="BC20">
            <v>18.898884768556957</v>
          </cell>
          <cell r="BD20">
            <v>18.989588357883839</v>
          </cell>
        </row>
        <row r="68">
          <cell r="AQ68">
            <v>9721.4772138908265</v>
          </cell>
        </row>
        <row r="151"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Formula"/>
      <sheetName val="Aircrafts candidate data"/>
      <sheetName val="Spec Aircraft Rapi"/>
      <sheetName val="Block time &amp; Fuel"/>
      <sheetName val="Parking &amp; Landing Fee"/>
      <sheetName val="Maintenance Cost"/>
      <sheetName val="Cost Structure"/>
      <sheetName val="Profitability"/>
      <sheetName val="Profit per year"/>
      <sheetName val="Cash Flow Updated"/>
      <sheetName val="Summary RP"/>
      <sheetName val="Maintenance Schedule"/>
      <sheetName val="Maintenance Period"/>
      <sheetName val="Sheet1"/>
      <sheetName val="Station Cost"/>
      <sheetName val="No. of aircraft"/>
      <sheetName val="Detail Cost every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8">
          <cell r="O48">
            <v>362</v>
          </cell>
          <cell r="P48">
            <v>362</v>
          </cell>
          <cell r="Q48">
            <v>355</v>
          </cell>
          <cell r="R48">
            <v>362</v>
          </cell>
          <cell r="S48">
            <v>362</v>
          </cell>
          <cell r="T48">
            <v>355</v>
          </cell>
          <cell r="U48">
            <v>362</v>
          </cell>
          <cell r="V48">
            <v>334</v>
          </cell>
          <cell r="W48">
            <v>362</v>
          </cell>
          <cell r="X48">
            <v>362</v>
          </cell>
        </row>
        <row r="49">
          <cell r="O49">
            <v>361</v>
          </cell>
          <cell r="P49">
            <v>354</v>
          </cell>
          <cell r="Q49">
            <v>361</v>
          </cell>
          <cell r="R49">
            <v>354</v>
          </cell>
          <cell r="S49">
            <v>361</v>
          </cell>
          <cell r="T49">
            <v>333</v>
          </cell>
          <cell r="U49">
            <v>361</v>
          </cell>
          <cell r="V49">
            <v>354</v>
          </cell>
          <cell r="W49">
            <v>361</v>
          </cell>
          <cell r="X49">
            <v>354</v>
          </cell>
        </row>
        <row r="50">
          <cell r="O50" t="str">
            <v>-</v>
          </cell>
          <cell r="P50" t="str">
            <v>-</v>
          </cell>
          <cell r="Q50">
            <v>362</v>
          </cell>
          <cell r="R50">
            <v>355</v>
          </cell>
          <cell r="S50">
            <v>362</v>
          </cell>
          <cell r="T50">
            <v>355</v>
          </cell>
          <cell r="U50">
            <v>341</v>
          </cell>
          <cell r="V50">
            <v>355</v>
          </cell>
          <cell r="W50">
            <v>362</v>
          </cell>
          <cell r="X50">
            <v>355</v>
          </cell>
        </row>
        <row r="51">
          <cell r="O51" t="str">
            <v>-</v>
          </cell>
          <cell r="P51" t="str">
            <v>-</v>
          </cell>
          <cell r="Q51" t="str">
            <v>-</v>
          </cell>
          <cell r="R51">
            <v>362</v>
          </cell>
          <cell r="S51">
            <v>355</v>
          </cell>
          <cell r="T51">
            <v>362</v>
          </cell>
          <cell r="U51">
            <v>355</v>
          </cell>
          <cell r="V51">
            <v>341</v>
          </cell>
          <cell r="W51">
            <v>355</v>
          </cell>
          <cell r="X51">
            <v>362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Jadwal"/>
      <sheetName val="Scheduling"/>
      <sheetName val="Jadwal Rotation"/>
      <sheetName val="gajelas"/>
      <sheetName val="Crew Accomodation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E981-A16A-4F21-82F0-31BC18C09645}">
  <dimension ref="A1:HO235"/>
  <sheetViews>
    <sheetView topLeftCell="AI31" zoomScale="55" zoomScaleNormal="55" workbookViewId="0">
      <selection activeCell="F133" sqref="F133"/>
    </sheetView>
  </sheetViews>
  <sheetFormatPr defaultColWidth="16.42578125" defaultRowHeight="14.45"/>
  <cols>
    <col min="43" max="43" width="18.7109375" bestFit="1" customWidth="1"/>
    <col min="44" max="44" width="26.5703125" customWidth="1"/>
    <col min="45" max="45" width="18.28515625" bestFit="1" customWidth="1"/>
    <col min="46" max="46" width="18.7109375" bestFit="1" customWidth="1"/>
    <col min="47" max="47" width="18.28515625" bestFit="1" customWidth="1"/>
    <col min="48" max="58" width="18.28515625" customWidth="1"/>
    <col min="59" max="59" width="23.28515625" bestFit="1" customWidth="1"/>
    <col min="60" max="60" width="42.28515625" bestFit="1" customWidth="1"/>
    <col min="61" max="61" width="36.7109375" customWidth="1"/>
    <col min="62" max="62" width="17.42578125" customWidth="1"/>
    <col min="63" max="64" width="16.5703125" bestFit="1" customWidth="1"/>
    <col min="65" max="65" width="20.42578125" bestFit="1" customWidth="1"/>
    <col min="66" max="66" width="42.28515625" customWidth="1"/>
    <col min="109" max="109" width="20" bestFit="1" customWidth="1"/>
    <col min="110" max="110" width="21.5703125" customWidth="1"/>
    <col min="111" max="111" width="19.42578125" bestFit="1" customWidth="1"/>
    <col min="112" max="112" width="20" bestFit="1" customWidth="1"/>
    <col min="119" max="119" width="22.28515625" bestFit="1" customWidth="1"/>
    <col min="120" max="121" width="21.85546875" bestFit="1" customWidth="1"/>
    <col min="122" max="122" width="22.140625" bestFit="1" customWidth="1"/>
    <col min="123" max="129" width="19.42578125" customWidth="1"/>
    <col min="131" max="135" width="26.42578125" bestFit="1" customWidth="1"/>
    <col min="136" max="136" width="24.42578125" bestFit="1" customWidth="1"/>
    <col min="138" max="138" width="13.5703125" bestFit="1" customWidth="1"/>
  </cols>
  <sheetData>
    <row r="1" spans="1:223" ht="15" customHeight="1" thickBot="1">
      <c r="A1" s="96"/>
      <c r="B1" s="97"/>
      <c r="C1" s="836" t="s">
        <v>0</v>
      </c>
      <c r="D1" s="837"/>
      <c r="E1" s="837"/>
      <c r="F1" s="837"/>
      <c r="G1" s="837"/>
      <c r="H1" s="837"/>
      <c r="I1" s="837"/>
      <c r="J1" s="837"/>
      <c r="K1" s="837"/>
      <c r="L1" s="837"/>
      <c r="M1" s="837"/>
      <c r="N1" s="837"/>
      <c r="O1" s="837"/>
      <c r="P1" s="837"/>
      <c r="Q1" s="837"/>
      <c r="R1" s="837"/>
      <c r="S1" s="837"/>
      <c r="T1" s="837"/>
      <c r="U1" s="837"/>
      <c r="V1" s="83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9"/>
      <c r="AR1" s="100"/>
      <c r="AS1" s="99"/>
      <c r="AY1" t="s">
        <v>1</v>
      </c>
      <c r="AZ1" s="101">
        <v>14361.5</v>
      </c>
      <c r="BG1" s="102"/>
      <c r="BH1" t="s">
        <v>2</v>
      </c>
      <c r="BI1" s="103">
        <v>0.32279999999999998</v>
      </c>
      <c r="BO1" s="768" t="s">
        <v>3</v>
      </c>
      <c r="BP1" s="768"/>
      <c r="BQ1" s="768"/>
      <c r="BR1" s="768"/>
      <c r="BS1" s="768"/>
      <c r="BT1" s="768"/>
      <c r="BU1" s="768"/>
      <c r="BV1" s="768"/>
      <c r="BW1" s="768"/>
      <c r="BX1" s="768"/>
      <c r="BY1" s="768"/>
      <c r="BZ1" s="768"/>
      <c r="CA1" s="768"/>
      <c r="CB1" s="768"/>
      <c r="CC1" s="768"/>
      <c r="CD1" s="768"/>
      <c r="CE1" s="768"/>
      <c r="CF1" s="768"/>
      <c r="CG1" s="768"/>
      <c r="CH1" s="768"/>
      <c r="CI1" s="768"/>
      <c r="CJ1" s="768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H1" s="716" t="s">
        <v>4</v>
      </c>
      <c r="DI1" s="717"/>
      <c r="DJ1" s="722"/>
      <c r="DK1" s="722"/>
      <c r="DL1" s="722"/>
      <c r="DM1" s="722"/>
      <c r="DN1" s="722"/>
      <c r="DO1" s="722"/>
      <c r="DP1" s="722"/>
      <c r="DQ1" s="722"/>
      <c r="DR1" s="722"/>
      <c r="DS1" s="105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GT1" s="768" t="s">
        <v>5</v>
      </c>
      <c r="GU1" s="768"/>
      <c r="GV1" s="768"/>
      <c r="GW1" s="768"/>
      <c r="GX1" s="768"/>
      <c r="GY1" s="768"/>
      <c r="GZ1" s="768"/>
      <c r="HA1" s="768"/>
      <c r="HB1" s="768"/>
      <c r="HC1" s="768"/>
      <c r="HD1" s="768"/>
      <c r="HE1" s="768"/>
      <c r="HF1" s="768"/>
      <c r="HG1" s="768"/>
      <c r="HH1" s="768"/>
      <c r="HI1" s="768"/>
      <c r="HJ1" s="768"/>
      <c r="HK1" s="768"/>
      <c r="HL1" s="768"/>
      <c r="HM1" s="768"/>
      <c r="HN1" s="768"/>
      <c r="HO1" s="768"/>
    </row>
    <row r="2" spans="1:223" ht="15" thickBot="1">
      <c r="A2" s="107"/>
      <c r="B2" s="99"/>
      <c r="C2" s="782">
        <v>2023</v>
      </c>
      <c r="D2" s="783"/>
      <c r="E2" s="783"/>
      <c r="F2" s="784"/>
      <c r="G2" s="744">
        <v>2024</v>
      </c>
      <c r="H2" s="745"/>
      <c r="I2" s="745"/>
      <c r="J2" s="746"/>
      <c r="K2" s="763">
        <v>2025</v>
      </c>
      <c r="L2" s="764"/>
      <c r="M2" s="764"/>
      <c r="N2" s="765"/>
      <c r="O2" s="744">
        <v>2026</v>
      </c>
      <c r="P2" s="745"/>
      <c r="Q2" s="745"/>
      <c r="R2" s="746"/>
      <c r="S2" s="747">
        <v>2027</v>
      </c>
      <c r="T2" s="748"/>
      <c r="U2" s="748"/>
      <c r="V2" s="749"/>
      <c r="W2" s="782">
        <v>2028</v>
      </c>
      <c r="X2" s="783"/>
      <c r="Y2" s="783"/>
      <c r="Z2" s="784"/>
      <c r="AA2" s="744">
        <v>2029</v>
      </c>
      <c r="AB2" s="745"/>
      <c r="AC2" s="745"/>
      <c r="AD2" s="746"/>
      <c r="AE2" s="763">
        <v>2030</v>
      </c>
      <c r="AF2" s="764"/>
      <c r="AG2" s="764"/>
      <c r="AH2" s="765"/>
      <c r="AI2" s="744">
        <v>2031</v>
      </c>
      <c r="AJ2" s="745"/>
      <c r="AK2" s="745"/>
      <c r="AL2" s="746"/>
      <c r="AM2" s="747">
        <v>2032</v>
      </c>
      <c r="AN2" s="748"/>
      <c r="AO2" s="748"/>
      <c r="AP2" s="749"/>
      <c r="AQ2" s="703"/>
      <c r="AR2" s="100"/>
      <c r="AS2" s="828" t="s">
        <v>6</v>
      </c>
      <c r="AT2" s="830" t="s">
        <v>7</v>
      </c>
      <c r="AU2" s="832" t="s">
        <v>8</v>
      </c>
      <c r="AV2" s="833"/>
      <c r="AW2" s="833"/>
      <c r="AX2" s="833"/>
      <c r="AY2" s="833"/>
      <c r="AZ2" s="833"/>
      <c r="BA2" s="833"/>
      <c r="BB2" s="833"/>
      <c r="BC2" s="833"/>
      <c r="BD2" s="834"/>
      <c r="BE2" s="108"/>
      <c r="BG2" s="716" t="s">
        <v>9</v>
      </c>
      <c r="BH2" s="717"/>
      <c r="BI2" s="717"/>
      <c r="BJ2" s="718"/>
      <c r="BL2" s="109"/>
      <c r="BO2" s="110"/>
      <c r="BP2" s="110"/>
      <c r="BQ2" s="768">
        <v>2022</v>
      </c>
      <c r="BR2" s="768"/>
      <c r="BS2" s="768"/>
      <c r="BT2" s="768"/>
      <c r="BU2" s="768">
        <v>2023</v>
      </c>
      <c r="BV2" s="768"/>
      <c r="BW2" s="768"/>
      <c r="BX2" s="768"/>
      <c r="BY2" s="768">
        <v>2024</v>
      </c>
      <c r="BZ2" s="768"/>
      <c r="CA2" s="768"/>
      <c r="CB2" s="768"/>
      <c r="CC2" s="768">
        <v>2025</v>
      </c>
      <c r="CD2" s="768"/>
      <c r="CE2" s="768"/>
      <c r="CF2" s="768"/>
      <c r="CG2" s="768">
        <v>2026</v>
      </c>
      <c r="CH2" s="768"/>
      <c r="CI2" s="768"/>
      <c r="CJ2" s="768"/>
      <c r="CK2" s="782">
        <v>2028</v>
      </c>
      <c r="CL2" s="783"/>
      <c r="CM2" s="783"/>
      <c r="CN2" s="784"/>
      <c r="CO2" s="744">
        <v>2029</v>
      </c>
      <c r="CP2" s="745"/>
      <c r="CQ2" s="745"/>
      <c r="CR2" s="746"/>
      <c r="CS2" s="763">
        <v>2030</v>
      </c>
      <c r="CT2" s="764"/>
      <c r="CU2" s="764"/>
      <c r="CV2" s="765"/>
      <c r="CW2" s="744">
        <v>2031</v>
      </c>
      <c r="CX2" s="745"/>
      <c r="CY2" s="745"/>
      <c r="CZ2" s="746"/>
      <c r="DA2" s="747">
        <v>2032</v>
      </c>
      <c r="DB2" s="748"/>
      <c r="DC2" s="748"/>
      <c r="DD2" s="749"/>
      <c r="DF2" s="827" t="s">
        <v>10</v>
      </c>
      <c r="DH2" s="828" t="s">
        <v>6</v>
      </c>
      <c r="DI2" s="835" t="s">
        <v>7</v>
      </c>
      <c r="DJ2" s="832" t="s">
        <v>11</v>
      </c>
      <c r="DK2" s="833"/>
      <c r="DL2" s="833"/>
      <c r="DM2" s="833"/>
      <c r="DN2" s="833"/>
      <c r="DO2" s="833"/>
      <c r="DP2" s="833"/>
      <c r="DQ2" s="833"/>
      <c r="DR2" s="833"/>
      <c r="DS2" s="834"/>
      <c r="DT2" s="111"/>
      <c r="GT2" s="110"/>
      <c r="GU2" s="110"/>
      <c r="GV2" s="768">
        <v>2022</v>
      </c>
      <c r="GW2" s="768"/>
      <c r="GX2" s="768"/>
      <c r="GY2" s="768"/>
      <c r="GZ2" s="768">
        <v>2023</v>
      </c>
      <c r="HA2" s="768"/>
      <c r="HB2" s="768"/>
      <c r="HC2" s="768"/>
      <c r="HD2" s="768">
        <v>2024</v>
      </c>
      <c r="HE2" s="768"/>
      <c r="HF2" s="768"/>
      <c r="HG2" s="768"/>
      <c r="HH2" s="768">
        <v>2025</v>
      </c>
      <c r="HI2" s="768"/>
      <c r="HJ2" s="768"/>
      <c r="HK2" s="768"/>
      <c r="HL2" s="768">
        <v>2026</v>
      </c>
      <c r="HM2" s="768"/>
      <c r="HN2" s="768"/>
      <c r="HO2" s="768"/>
    </row>
    <row r="3" spans="1:223" ht="15" thickBot="1">
      <c r="A3" s="107"/>
      <c r="B3" s="99"/>
      <c r="C3" s="112">
        <v>1</v>
      </c>
      <c r="D3" s="113">
        <v>2</v>
      </c>
      <c r="E3" s="113">
        <v>3</v>
      </c>
      <c r="F3" s="114">
        <v>4</v>
      </c>
      <c r="G3" s="112">
        <v>1</v>
      </c>
      <c r="H3" s="113">
        <v>2</v>
      </c>
      <c r="I3" s="113">
        <v>3</v>
      </c>
      <c r="J3" s="114">
        <v>4</v>
      </c>
      <c r="K3" s="112">
        <v>1</v>
      </c>
      <c r="L3" s="113">
        <v>2</v>
      </c>
      <c r="M3" s="113">
        <v>3</v>
      </c>
      <c r="N3" s="114">
        <v>4</v>
      </c>
      <c r="O3" s="112">
        <v>1</v>
      </c>
      <c r="P3" s="113">
        <v>2</v>
      </c>
      <c r="Q3" s="113">
        <v>3</v>
      </c>
      <c r="R3" s="114">
        <v>4</v>
      </c>
      <c r="S3" s="112">
        <v>1</v>
      </c>
      <c r="T3" s="113">
        <v>2</v>
      </c>
      <c r="U3" s="113">
        <v>3</v>
      </c>
      <c r="V3" s="114">
        <v>4</v>
      </c>
      <c r="W3" s="112">
        <v>1</v>
      </c>
      <c r="X3" s="113">
        <v>2</v>
      </c>
      <c r="Y3" s="113">
        <v>3</v>
      </c>
      <c r="Z3" s="114">
        <v>4</v>
      </c>
      <c r="AA3" s="112">
        <v>1</v>
      </c>
      <c r="AB3" s="113">
        <v>2</v>
      </c>
      <c r="AC3" s="113">
        <v>3</v>
      </c>
      <c r="AD3" s="114">
        <v>4</v>
      </c>
      <c r="AE3" s="112">
        <v>1</v>
      </c>
      <c r="AF3" s="113">
        <v>2</v>
      </c>
      <c r="AG3" s="113">
        <v>3</v>
      </c>
      <c r="AH3" s="114">
        <v>4</v>
      </c>
      <c r="AI3" s="112">
        <v>1</v>
      </c>
      <c r="AJ3" s="113">
        <v>2</v>
      </c>
      <c r="AK3" s="113">
        <v>3</v>
      </c>
      <c r="AL3" s="114">
        <v>4</v>
      </c>
      <c r="AM3" s="112">
        <v>1</v>
      </c>
      <c r="AN3" s="113">
        <v>2</v>
      </c>
      <c r="AO3" s="113">
        <v>3</v>
      </c>
      <c r="AP3" s="114">
        <v>4</v>
      </c>
      <c r="AQ3" s="703"/>
      <c r="AS3" s="829"/>
      <c r="AT3" s="831"/>
      <c r="AU3" s="7">
        <v>2023</v>
      </c>
      <c r="AV3" s="115">
        <v>2024</v>
      </c>
      <c r="AW3" s="116">
        <v>2025</v>
      </c>
      <c r="AX3" s="115">
        <v>2026</v>
      </c>
      <c r="AY3" s="116">
        <v>2027</v>
      </c>
      <c r="AZ3" s="115">
        <v>2028</v>
      </c>
      <c r="BA3" s="116">
        <v>2029</v>
      </c>
      <c r="BB3" s="115">
        <v>2030</v>
      </c>
      <c r="BC3" s="116">
        <v>2031</v>
      </c>
      <c r="BD3" s="117">
        <v>2032</v>
      </c>
      <c r="BE3" s="104"/>
      <c r="BG3" s="118" t="s">
        <v>6</v>
      </c>
      <c r="BH3" s="118" t="s">
        <v>7</v>
      </c>
      <c r="BI3" s="119" t="s">
        <v>12</v>
      </c>
      <c r="BJ3" s="118" t="s">
        <v>13</v>
      </c>
      <c r="BM3" s="104" t="s">
        <v>14</v>
      </c>
      <c r="BO3" s="110"/>
      <c r="BP3" s="110"/>
      <c r="BQ3" s="110">
        <v>1</v>
      </c>
      <c r="BR3" s="110">
        <v>2</v>
      </c>
      <c r="BS3" s="110">
        <v>3</v>
      </c>
      <c r="BT3" s="110">
        <v>4</v>
      </c>
      <c r="BU3" s="110">
        <v>1</v>
      </c>
      <c r="BV3" s="110">
        <v>2</v>
      </c>
      <c r="BW3" s="110">
        <v>3</v>
      </c>
      <c r="BX3" s="110">
        <v>4</v>
      </c>
      <c r="BY3" s="110">
        <v>1</v>
      </c>
      <c r="BZ3" s="110">
        <v>2</v>
      </c>
      <c r="CA3" s="110">
        <v>3</v>
      </c>
      <c r="CB3" s="110">
        <v>4</v>
      </c>
      <c r="CC3" s="110">
        <v>1</v>
      </c>
      <c r="CD3" s="110">
        <v>2</v>
      </c>
      <c r="CE3" s="110">
        <v>3</v>
      </c>
      <c r="CF3" s="110">
        <v>4</v>
      </c>
      <c r="CG3" s="110">
        <v>1</v>
      </c>
      <c r="CH3" s="110">
        <v>2</v>
      </c>
      <c r="CI3" s="110">
        <v>3</v>
      </c>
      <c r="CJ3" s="110">
        <v>4</v>
      </c>
      <c r="CK3" s="112">
        <v>1</v>
      </c>
      <c r="CL3" s="113">
        <v>2</v>
      </c>
      <c r="CM3" s="113">
        <v>3</v>
      </c>
      <c r="CN3" s="114">
        <v>4</v>
      </c>
      <c r="CO3" s="112">
        <v>1</v>
      </c>
      <c r="CP3" s="113">
        <v>2</v>
      </c>
      <c r="CQ3" s="113">
        <v>3</v>
      </c>
      <c r="CR3" s="114">
        <v>4</v>
      </c>
      <c r="CS3" s="112">
        <v>1</v>
      </c>
      <c r="CT3" s="113">
        <v>2</v>
      </c>
      <c r="CU3" s="113">
        <v>3</v>
      </c>
      <c r="CV3" s="114">
        <v>4</v>
      </c>
      <c r="CW3" s="112">
        <v>1</v>
      </c>
      <c r="CX3" s="113">
        <v>2</v>
      </c>
      <c r="CY3" s="113">
        <v>3</v>
      </c>
      <c r="CZ3" s="114">
        <v>4</v>
      </c>
      <c r="DA3" s="112">
        <v>1</v>
      </c>
      <c r="DB3" s="113">
        <v>2</v>
      </c>
      <c r="DC3" s="113">
        <v>3</v>
      </c>
      <c r="DD3" s="114">
        <v>4</v>
      </c>
      <c r="DF3" s="827"/>
      <c r="DH3" s="829"/>
      <c r="DI3" s="831"/>
      <c r="DJ3" s="7">
        <v>2023</v>
      </c>
      <c r="DK3" s="120">
        <v>2024</v>
      </c>
      <c r="DL3" s="121">
        <v>2025</v>
      </c>
      <c r="DM3" s="120">
        <v>2026</v>
      </c>
      <c r="DN3" s="121">
        <v>2027</v>
      </c>
      <c r="DO3" s="120">
        <v>2028</v>
      </c>
      <c r="DP3" s="121">
        <v>2029</v>
      </c>
      <c r="DQ3" s="120">
        <v>2030</v>
      </c>
      <c r="DR3" s="121">
        <v>2031</v>
      </c>
      <c r="DS3" s="122">
        <v>2032</v>
      </c>
      <c r="DT3" s="123"/>
      <c r="GT3" s="110"/>
      <c r="GU3" s="110"/>
      <c r="GV3" s="110">
        <v>1</v>
      </c>
      <c r="GW3" s="110">
        <v>2</v>
      </c>
      <c r="GX3" s="110">
        <v>3</v>
      </c>
      <c r="GY3" s="110">
        <v>4</v>
      </c>
      <c r="GZ3" s="110">
        <v>1</v>
      </c>
      <c r="HA3" s="110">
        <v>2</v>
      </c>
      <c r="HB3" s="110">
        <v>3</v>
      </c>
      <c r="HC3" s="110">
        <v>4</v>
      </c>
      <c r="HD3" s="110">
        <v>1</v>
      </c>
      <c r="HE3" s="110">
        <v>2</v>
      </c>
      <c r="HF3" s="110">
        <v>3</v>
      </c>
      <c r="HG3" s="110">
        <v>4</v>
      </c>
      <c r="HH3" s="110">
        <v>1</v>
      </c>
      <c r="HI3" s="110">
        <v>2</v>
      </c>
      <c r="HJ3" s="110">
        <v>3</v>
      </c>
      <c r="HK3" s="110">
        <v>4</v>
      </c>
      <c r="HL3" s="110">
        <v>1</v>
      </c>
      <c r="HM3" s="110">
        <v>2</v>
      </c>
      <c r="HN3" s="110">
        <v>3</v>
      </c>
      <c r="HO3" s="110">
        <v>4</v>
      </c>
    </row>
    <row r="4" spans="1:223">
      <c r="A4" s="697">
        <v>1</v>
      </c>
      <c r="B4" s="124" t="s">
        <v>15</v>
      </c>
      <c r="C4" s="125" cm="1">
        <f t="array" ref="C4:AP20">'[1]Aglis Total Tonnage'!$C$4:$AP$20</f>
        <v>16.575999999999997</v>
      </c>
      <c r="D4" s="125">
        <v>16.990399999999998</v>
      </c>
      <c r="E4" s="125">
        <v>17.404799999999998</v>
      </c>
      <c r="F4" s="125">
        <v>17.819199999999999</v>
      </c>
      <c r="G4" s="125">
        <v>19.152774889952155</v>
      </c>
      <c r="H4" s="125">
        <v>19.692036100152087</v>
      </c>
      <c r="I4" s="125">
        <v>20.024180761722491</v>
      </c>
      <c r="J4" s="125">
        <v>20.459883697607665</v>
      </c>
      <c r="K4" s="125">
        <v>21.6</v>
      </c>
      <c r="L4" s="125">
        <v>21.6</v>
      </c>
      <c r="M4" s="125">
        <v>21.6</v>
      </c>
      <c r="N4" s="125">
        <v>21.6</v>
      </c>
      <c r="O4" s="125">
        <v>21.6</v>
      </c>
      <c r="P4" s="125">
        <v>21.6</v>
      </c>
      <c r="Q4" s="125">
        <v>21.6</v>
      </c>
      <c r="R4" s="125">
        <v>21.6</v>
      </c>
      <c r="S4" s="125">
        <v>21.6</v>
      </c>
      <c r="T4" s="125">
        <v>21.6</v>
      </c>
      <c r="U4" s="125">
        <v>21.6</v>
      </c>
      <c r="V4" s="125">
        <v>21.6</v>
      </c>
      <c r="W4" s="125">
        <v>21.6</v>
      </c>
      <c r="X4" s="125">
        <v>21.6</v>
      </c>
      <c r="Y4" s="125">
        <v>21.6</v>
      </c>
      <c r="Z4" s="125">
        <v>21.6</v>
      </c>
      <c r="AA4" s="125">
        <v>21.6</v>
      </c>
      <c r="AB4" s="125">
        <v>21.6</v>
      </c>
      <c r="AC4" s="125">
        <v>21.6</v>
      </c>
      <c r="AD4" s="125">
        <v>21.6</v>
      </c>
      <c r="AE4" s="125">
        <v>21.6</v>
      </c>
      <c r="AF4" s="125">
        <v>21.6</v>
      </c>
      <c r="AG4" s="125">
        <v>21.6</v>
      </c>
      <c r="AH4" s="125">
        <v>21.6</v>
      </c>
      <c r="AI4" s="125">
        <v>21.6</v>
      </c>
      <c r="AJ4" s="125">
        <v>21.6</v>
      </c>
      <c r="AK4" s="125">
        <v>21.6</v>
      </c>
      <c r="AL4" s="125">
        <v>21.6</v>
      </c>
      <c r="AM4" s="125">
        <v>21.6</v>
      </c>
      <c r="AN4" s="125">
        <v>21.6</v>
      </c>
      <c r="AO4" s="125">
        <v>21.6</v>
      </c>
      <c r="AP4" s="125">
        <v>21.6</v>
      </c>
      <c r="AQ4" s="127"/>
      <c r="AS4" s="697">
        <v>1</v>
      </c>
      <c r="AT4" s="128" t="s">
        <v>15</v>
      </c>
      <c r="AU4" s="129">
        <f>AVERAGE(C4:F4)</f>
        <v>17.197599999999998</v>
      </c>
      <c r="AV4" s="129">
        <f>AVERAGE(G4:J4)</f>
        <v>19.832218862358602</v>
      </c>
      <c r="AW4" s="129">
        <f>AVERAGE(K4:N4)</f>
        <v>21.6</v>
      </c>
      <c r="AX4" s="129">
        <f>AVERAGE(O4:R4)</f>
        <v>21.6</v>
      </c>
      <c r="AY4" s="129">
        <f>AVERAGE(S4:V4)</f>
        <v>21.6</v>
      </c>
      <c r="AZ4" s="129">
        <f>AVERAGE(W4:Z4)</f>
        <v>21.6</v>
      </c>
      <c r="BA4" s="129">
        <f>AVERAGE(AA4:AD4)</f>
        <v>21.6</v>
      </c>
      <c r="BB4" s="129">
        <f>AVERAGE(AE4:AH4)</f>
        <v>21.6</v>
      </c>
      <c r="BC4" s="129">
        <f>AVERAGE(AI4:AL4)</f>
        <v>21.6</v>
      </c>
      <c r="BD4" s="130">
        <f>AVERAGE(AM4:AP4)</f>
        <v>21.6</v>
      </c>
      <c r="BE4" s="131"/>
      <c r="BF4" s="132">
        <f>1.02*BJ4</f>
        <v>0.73328346585897131</v>
      </c>
      <c r="BG4" s="697">
        <v>1</v>
      </c>
      <c r="BH4" s="133" t="s">
        <v>15</v>
      </c>
      <c r="BI4" s="134">
        <v>0.69</v>
      </c>
      <c r="BJ4" s="135">
        <v>0.71890535868526595</v>
      </c>
      <c r="BK4" s="823">
        <v>1</v>
      </c>
      <c r="BL4" s="124" t="s">
        <v>15</v>
      </c>
      <c r="BM4" s="136">
        <f>14316.75*BI4</f>
        <v>9878.557499999999</v>
      </c>
      <c r="BO4" s="697">
        <v>1</v>
      </c>
      <c r="BP4" s="124" t="s">
        <v>15</v>
      </c>
      <c r="BQ4" s="137">
        <f>'[2]No. of aircraft'!AF34</f>
        <v>1</v>
      </c>
      <c r="BR4" s="137">
        <f>'[2]No. of aircraft'!AG34</f>
        <v>1</v>
      </c>
      <c r="BS4" s="137">
        <f>'[2]No. of aircraft'!AH34</f>
        <v>1</v>
      </c>
      <c r="BT4" s="137">
        <f>'[2]No. of aircraft'!AI34</f>
        <v>1</v>
      </c>
      <c r="BU4" s="137">
        <f>'[2]No. of aircraft'!AJ34</f>
        <v>1</v>
      </c>
      <c r="BV4" s="137">
        <f>'[2]No. of aircraft'!AK34</f>
        <v>1</v>
      </c>
      <c r="BW4" s="137">
        <f>'[2]No. of aircraft'!AL34</f>
        <v>1</v>
      </c>
      <c r="BX4" s="137">
        <f>'[2]No. of aircraft'!AM34</f>
        <v>1</v>
      </c>
      <c r="BY4" s="137">
        <f>'[2]No. of aircraft'!AN34</f>
        <v>1</v>
      </c>
      <c r="BZ4" s="137">
        <f>'[2]No. of aircraft'!AO34</f>
        <v>1</v>
      </c>
      <c r="CA4" s="137">
        <f>'[2]No. of aircraft'!AP34</f>
        <v>1</v>
      </c>
      <c r="CB4" s="137">
        <f>'[2]No. of aircraft'!AQ34</f>
        <v>1</v>
      </c>
      <c r="CC4" s="137">
        <f>'[2]No. of aircraft'!AR34</f>
        <v>1</v>
      </c>
      <c r="CD4" s="137">
        <f>'[2]No. of aircraft'!AS34</f>
        <v>1</v>
      </c>
      <c r="CE4" s="137">
        <f>'[2]No. of aircraft'!AT34</f>
        <v>1</v>
      </c>
      <c r="CF4" s="137">
        <f>'[2]No. of aircraft'!AU34</f>
        <v>1</v>
      </c>
      <c r="CG4" s="137">
        <f>'[2]No. of aircraft'!AV34</f>
        <v>1</v>
      </c>
      <c r="CH4" s="137">
        <f>'[2]No. of aircraft'!AW34</f>
        <v>1</v>
      </c>
      <c r="CI4" s="137">
        <f>'[2]No. of aircraft'!AX34</f>
        <v>1</v>
      </c>
      <c r="CJ4" s="137">
        <f>'[2]No. of aircraft'!AY34</f>
        <v>1</v>
      </c>
      <c r="CK4" s="137">
        <v>1</v>
      </c>
      <c r="CL4" s="137">
        <v>1</v>
      </c>
      <c r="CM4" s="137">
        <v>1</v>
      </c>
      <c r="CN4" s="137">
        <v>1</v>
      </c>
      <c r="CO4" s="137">
        <v>1</v>
      </c>
      <c r="CP4" s="137">
        <v>1</v>
      </c>
      <c r="CQ4" s="137">
        <v>1</v>
      </c>
      <c r="CR4" s="137">
        <v>1</v>
      </c>
      <c r="CS4" s="137">
        <v>1</v>
      </c>
      <c r="CT4" s="137">
        <v>1</v>
      </c>
      <c r="CU4" s="137">
        <v>1</v>
      </c>
      <c r="CV4" s="137">
        <v>1</v>
      </c>
      <c r="CW4" s="137">
        <v>1</v>
      </c>
      <c r="CX4" s="137">
        <v>1</v>
      </c>
      <c r="CY4" s="137">
        <v>1</v>
      </c>
      <c r="CZ4" s="137">
        <v>1</v>
      </c>
      <c r="DA4" s="137">
        <v>1</v>
      </c>
      <c r="DB4" s="137">
        <v>1</v>
      </c>
      <c r="DC4" s="137">
        <v>1</v>
      </c>
      <c r="DD4" s="137">
        <v>1</v>
      </c>
      <c r="DF4" s="827"/>
      <c r="DH4" s="697">
        <v>1</v>
      </c>
      <c r="DI4" s="138" t="str" cm="1">
        <f t="array" ref="DI4:DI20">TRANSPOSE('[2]Cost Structure'!AD8:AT8)</f>
        <v>PLM-SUB</v>
      </c>
      <c r="DJ4" s="144">
        <v>10933.014596421561</v>
      </c>
      <c r="DK4" s="145">
        <v>11138.184545534092</v>
      </c>
      <c r="DL4" s="145">
        <v>11320.425796421561</v>
      </c>
      <c r="DM4" s="145">
        <v>11320.425796421561</v>
      </c>
      <c r="DN4" s="145">
        <v>11320.425796421561</v>
      </c>
      <c r="DO4" s="145">
        <v>11320.425796421561</v>
      </c>
      <c r="DP4" s="145">
        <v>11520.499627234254</v>
      </c>
      <c r="DQ4" s="145">
        <v>11320.425796421561</v>
      </c>
      <c r="DR4" s="145">
        <v>11320.425796421561</v>
      </c>
      <c r="DS4" s="146">
        <v>11320.425796421561</v>
      </c>
      <c r="GT4" s="824">
        <v>1</v>
      </c>
      <c r="GU4" s="147" t="s">
        <v>15</v>
      </c>
      <c r="GV4" s="148">
        <f>'[2]No. of aircraft'!AF122</f>
        <v>1</v>
      </c>
      <c r="GW4" s="148">
        <f>'[2]No. of aircraft'!AG122</f>
        <v>1</v>
      </c>
      <c r="GX4" s="148">
        <f>'[2]No. of aircraft'!AH122</f>
        <v>1</v>
      </c>
      <c r="GY4" s="148">
        <f>'[2]No. of aircraft'!AI122</f>
        <v>1</v>
      </c>
      <c r="GZ4" s="148">
        <f>'[2]No. of aircraft'!AJ122</f>
        <v>1</v>
      </c>
      <c r="HA4" s="148">
        <f>'[2]No. of aircraft'!AK122</f>
        <v>1</v>
      </c>
      <c r="HB4" s="148">
        <f>'[2]No. of aircraft'!AL122</f>
        <v>1</v>
      </c>
      <c r="HC4" s="148">
        <f>'[2]No. of aircraft'!AM122</f>
        <v>1</v>
      </c>
      <c r="HD4" s="148">
        <f>'[2]No. of aircraft'!AN122</f>
        <v>1</v>
      </c>
      <c r="HE4" s="148">
        <f>'[2]No. of aircraft'!AO122</f>
        <v>1</v>
      </c>
      <c r="HF4" s="148">
        <f>'[2]No. of aircraft'!AP122</f>
        <v>1</v>
      </c>
      <c r="HG4" s="148">
        <f>'[2]No. of aircraft'!AQ122</f>
        <v>1</v>
      </c>
      <c r="HH4" s="148">
        <f>'[2]No. of aircraft'!AR122</f>
        <v>1</v>
      </c>
      <c r="HI4" s="148">
        <f>'[2]No. of aircraft'!AS122</f>
        <v>1</v>
      </c>
      <c r="HJ4" s="148">
        <f>'[2]No. of aircraft'!AT122</f>
        <v>1</v>
      </c>
      <c r="HK4" s="148">
        <f>'[2]No. of aircraft'!AU122</f>
        <v>1</v>
      </c>
      <c r="HL4" s="148">
        <f>'[2]No. of aircraft'!AV122</f>
        <v>1</v>
      </c>
      <c r="HM4" s="148">
        <f>'[2]No. of aircraft'!AW122</f>
        <v>1</v>
      </c>
      <c r="HN4" s="148">
        <f>'[2]No. of aircraft'!AX122</f>
        <v>1</v>
      </c>
      <c r="HO4" s="148">
        <f>'[2]No. of aircraft'!AY122</f>
        <v>1</v>
      </c>
    </row>
    <row r="5" spans="1:223">
      <c r="A5" s="697"/>
      <c r="B5" s="124" t="s">
        <v>16</v>
      </c>
      <c r="C5" s="125">
        <v>16.863999999999997</v>
      </c>
      <c r="D5" s="125">
        <v>17.285599999999999</v>
      </c>
      <c r="E5" s="125">
        <v>17.7072</v>
      </c>
      <c r="F5" s="125">
        <v>18.128799999999998</v>
      </c>
      <c r="G5" s="125">
        <v>19.485545110047848</v>
      </c>
      <c r="H5" s="125">
        <v>20.034175723513805</v>
      </c>
      <c r="I5" s="125">
        <v>20.372091238277516</v>
      </c>
      <c r="J5" s="125">
        <v>20.815364302392354</v>
      </c>
      <c r="K5" s="125">
        <v>21.6</v>
      </c>
      <c r="L5" s="125">
        <v>21.6</v>
      </c>
      <c r="M5" s="125">
        <v>21.6</v>
      </c>
      <c r="N5" s="125">
        <v>21.6</v>
      </c>
      <c r="O5" s="125">
        <v>21.6</v>
      </c>
      <c r="P5" s="125">
        <v>21.6</v>
      </c>
      <c r="Q5" s="125">
        <v>21.6</v>
      </c>
      <c r="R5" s="125">
        <v>21.6</v>
      </c>
      <c r="S5" s="125">
        <v>21.6</v>
      </c>
      <c r="T5" s="125">
        <v>21.6</v>
      </c>
      <c r="U5" s="125">
        <v>21.6</v>
      </c>
      <c r="V5" s="125">
        <v>21.6</v>
      </c>
      <c r="W5" s="125">
        <v>21.6</v>
      </c>
      <c r="X5" s="125">
        <v>21.6</v>
      </c>
      <c r="Y5" s="125">
        <v>21.6</v>
      </c>
      <c r="Z5" s="125">
        <v>21.6</v>
      </c>
      <c r="AA5" s="125">
        <v>21.6</v>
      </c>
      <c r="AB5" s="125">
        <v>21.6</v>
      </c>
      <c r="AC5" s="125">
        <v>21.6</v>
      </c>
      <c r="AD5" s="125">
        <v>21.6</v>
      </c>
      <c r="AE5" s="125">
        <v>21.6</v>
      </c>
      <c r="AF5" s="125">
        <v>21.6</v>
      </c>
      <c r="AG5" s="125">
        <v>21.6</v>
      </c>
      <c r="AH5" s="125">
        <v>21.6</v>
      </c>
      <c r="AI5" s="125">
        <v>21.6</v>
      </c>
      <c r="AJ5" s="125">
        <v>21.6</v>
      </c>
      <c r="AK5" s="125">
        <v>21.6</v>
      </c>
      <c r="AL5" s="125">
        <v>21.6</v>
      </c>
      <c r="AM5" s="125">
        <v>21.6</v>
      </c>
      <c r="AN5" s="125">
        <v>21.6</v>
      </c>
      <c r="AO5" s="125">
        <v>21.6</v>
      </c>
      <c r="AP5" s="125">
        <v>21.6</v>
      </c>
      <c r="AQ5" s="127"/>
      <c r="AS5" s="697"/>
      <c r="AT5" s="128" t="s">
        <v>16</v>
      </c>
      <c r="AU5" s="129">
        <f t="shared" ref="AU5:AU12" si="0">AVERAGE(C5:F5)</f>
        <v>17.496399999999998</v>
      </c>
      <c r="AV5" s="129">
        <f t="shared" ref="AV5:AV12" si="1">AVERAGE(G5:J5)</f>
        <v>20.176794093557881</v>
      </c>
      <c r="AW5" s="129">
        <f t="shared" ref="AW5:AW16" si="2">AVERAGE(K5:N5)</f>
        <v>21.6</v>
      </c>
      <c r="AX5" s="129">
        <f t="shared" ref="AX5:AX20" si="3">AVERAGE(O5:R5)</f>
        <v>21.6</v>
      </c>
      <c r="AY5" s="129">
        <f t="shared" ref="AY5:AY20" si="4">AVERAGE(S5:V5)</f>
        <v>21.6</v>
      </c>
      <c r="AZ5" s="129">
        <f t="shared" ref="AZ5:AZ20" si="5">AVERAGE(W5:Z5)</f>
        <v>21.6</v>
      </c>
      <c r="BA5" s="129">
        <f t="shared" ref="BA5:BA20" si="6">AVERAGE(AA5:AD5)</f>
        <v>21.6</v>
      </c>
      <c r="BB5" s="129">
        <f t="shared" ref="BB5:BB20" si="7">AVERAGE(AE5:AH5)</f>
        <v>21.6</v>
      </c>
      <c r="BC5" s="129">
        <f t="shared" ref="BC5:BC20" si="8">AVERAGE(AI5:AL5)</f>
        <v>21.6</v>
      </c>
      <c r="BD5" s="130">
        <f t="shared" ref="BD5:BD20" si="9">AVERAGE(AM5:AP5)</f>
        <v>21.6</v>
      </c>
      <c r="BE5" s="131"/>
      <c r="BF5" s="132">
        <f t="shared" ref="BF5:BF20" si="10">1.02*BJ5</f>
        <v>0.3244447463476397</v>
      </c>
      <c r="BG5" s="697"/>
      <c r="BH5" s="133" t="s">
        <v>16</v>
      </c>
      <c r="BI5" s="134">
        <f t="shared" ref="BI5:BI20" si="11">0.955*BJ5</f>
        <v>0.30376934584509402</v>
      </c>
      <c r="BJ5" s="135">
        <v>0.31808308465454871</v>
      </c>
      <c r="BK5" s="823"/>
      <c r="BL5" s="124" t="s">
        <v>16</v>
      </c>
      <c r="BM5" s="136">
        <f t="shared" ref="BM5:BM20" si="12">14316.75*BI5</f>
        <v>4348.98978212775</v>
      </c>
      <c r="BO5" s="697"/>
      <c r="BP5" s="124" t="s">
        <v>16</v>
      </c>
      <c r="BQ5" s="137">
        <f>'[2]No. of aircraft'!AF35</f>
        <v>1</v>
      </c>
      <c r="BR5" s="137">
        <f>'[2]No. of aircraft'!AG35</f>
        <v>1</v>
      </c>
      <c r="BS5" s="137">
        <f>'[2]No. of aircraft'!AH35</f>
        <v>1</v>
      </c>
      <c r="BT5" s="137">
        <f>'[2]No. of aircraft'!AI35</f>
        <v>1</v>
      </c>
      <c r="BU5" s="137">
        <f>'[2]No. of aircraft'!AJ35</f>
        <v>1</v>
      </c>
      <c r="BV5" s="137">
        <f>'[2]No. of aircraft'!AK35</f>
        <v>1</v>
      </c>
      <c r="BW5" s="137">
        <f>'[2]No. of aircraft'!AL35</f>
        <v>1</v>
      </c>
      <c r="BX5" s="137">
        <f>'[2]No. of aircraft'!AM35</f>
        <v>1</v>
      </c>
      <c r="BY5" s="137">
        <f>'[2]No. of aircraft'!AN35</f>
        <v>1</v>
      </c>
      <c r="BZ5" s="137">
        <f>'[2]No. of aircraft'!AO35</f>
        <v>1</v>
      </c>
      <c r="CA5" s="137">
        <f>'[2]No. of aircraft'!AP35</f>
        <v>1</v>
      </c>
      <c r="CB5" s="137">
        <f>'[2]No. of aircraft'!AQ35</f>
        <v>1</v>
      </c>
      <c r="CC5" s="137">
        <f>'[2]No. of aircraft'!AR35</f>
        <v>1</v>
      </c>
      <c r="CD5" s="137">
        <f>'[2]No. of aircraft'!AS35</f>
        <v>1</v>
      </c>
      <c r="CE5" s="137">
        <f>'[2]No. of aircraft'!AT35</f>
        <v>1</v>
      </c>
      <c r="CF5" s="137">
        <f>'[2]No. of aircraft'!AU35</f>
        <v>1</v>
      </c>
      <c r="CG5" s="137">
        <f>'[2]No. of aircraft'!AV35</f>
        <v>1</v>
      </c>
      <c r="CH5" s="137">
        <f>'[2]No. of aircraft'!AW35</f>
        <v>1</v>
      </c>
      <c r="CI5" s="137">
        <f>'[2]No. of aircraft'!AX35</f>
        <v>1</v>
      </c>
      <c r="CJ5" s="137">
        <f>'[2]No. of aircraft'!AY35</f>
        <v>1</v>
      </c>
      <c r="CK5" s="137">
        <v>1</v>
      </c>
      <c r="CL5" s="137">
        <v>1</v>
      </c>
      <c r="CM5" s="137">
        <v>1</v>
      </c>
      <c r="CN5" s="137">
        <v>1</v>
      </c>
      <c r="CO5" s="137">
        <v>1</v>
      </c>
      <c r="CP5" s="137">
        <v>1</v>
      </c>
      <c r="CQ5" s="137">
        <v>1</v>
      </c>
      <c r="CR5" s="137">
        <v>1</v>
      </c>
      <c r="CS5" s="137">
        <v>1</v>
      </c>
      <c r="CT5" s="137">
        <v>1</v>
      </c>
      <c r="CU5" s="137">
        <v>1</v>
      </c>
      <c r="CV5" s="137">
        <v>1</v>
      </c>
      <c r="CW5" s="137">
        <v>1</v>
      </c>
      <c r="CX5" s="137">
        <v>1</v>
      </c>
      <c r="CY5" s="137">
        <v>1</v>
      </c>
      <c r="CZ5" s="137">
        <v>1</v>
      </c>
      <c r="DA5" s="137">
        <v>1</v>
      </c>
      <c r="DB5" s="137">
        <v>1</v>
      </c>
      <c r="DC5" s="137">
        <v>1</v>
      </c>
      <c r="DD5" s="137">
        <v>1</v>
      </c>
      <c r="DF5" s="827"/>
      <c r="DH5" s="697"/>
      <c r="DI5" s="139" t="str">
        <v>SUB-CGK</v>
      </c>
      <c r="DJ5" s="149">
        <v>7727.0417254316708</v>
      </c>
      <c r="DK5" s="145">
        <v>8387.5918530493182</v>
      </c>
      <c r="DL5" s="145">
        <v>8475.6921254316694</v>
      </c>
      <c r="DM5" s="145">
        <v>8475.6921254316694</v>
      </c>
      <c r="DN5" s="145">
        <v>8475.6921254316694</v>
      </c>
      <c r="DO5" s="145">
        <v>8475.6921254316694</v>
      </c>
      <c r="DP5" s="145">
        <v>8645.4381305767729</v>
      </c>
      <c r="DQ5" s="145">
        <v>8475.6921254316694</v>
      </c>
      <c r="DR5" s="145">
        <v>8475.6921254316694</v>
      </c>
      <c r="DS5" s="146">
        <v>8475.6921254316694</v>
      </c>
      <c r="GT5" s="824"/>
      <c r="GU5" s="150" t="s">
        <v>16</v>
      </c>
      <c r="GV5" s="148">
        <f>'[2]No. of aircraft'!AF123</f>
        <v>1</v>
      </c>
      <c r="GW5" s="148">
        <f>'[2]No. of aircraft'!AG123</f>
        <v>1</v>
      </c>
      <c r="GX5" s="148">
        <f>'[2]No. of aircraft'!AH123</f>
        <v>1</v>
      </c>
      <c r="GY5" s="148">
        <f>'[2]No. of aircraft'!AI123</f>
        <v>1</v>
      </c>
      <c r="GZ5" s="148">
        <f>'[2]No. of aircraft'!AJ123</f>
        <v>1</v>
      </c>
      <c r="HA5" s="148">
        <f>'[2]No. of aircraft'!AK123</f>
        <v>1</v>
      </c>
      <c r="HB5" s="148">
        <f>'[2]No. of aircraft'!AL123</f>
        <v>1</v>
      </c>
      <c r="HC5" s="148">
        <f>'[2]No. of aircraft'!AM123</f>
        <v>1</v>
      </c>
      <c r="HD5" s="148">
        <f>'[2]No. of aircraft'!AN123</f>
        <v>1</v>
      </c>
      <c r="HE5" s="148">
        <f>'[2]No. of aircraft'!AO123</f>
        <v>1</v>
      </c>
      <c r="HF5" s="148">
        <f>'[2]No. of aircraft'!AP123</f>
        <v>1</v>
      </c>
      <c r="HG5" s="148">
        <f>'[2]No. of aircraft'!AQ123</f>
        <v>1</v>
      </c>
      <c r="HH5" s="148">
        <f>'[2]No. of aircraft'!AR123</f>
        <v>1</v>
      </c>
      <c r="HI5" s="148">
        <f>'[2]No. of aircraft'!AS123</f>
        <v>1</v>
      </c>
      <c r="HJ5" s="148">
        <f>'[2]No. of aircraft'!AT123</f>
        <v>1</v>
      </c>
      <c r="HK5" s="148">
        <f>'[2]No. of aircraft'!AU123</f>
        <v>1</v>
      </c>
      <c r="HL5" s="148">
        <f>'[2]No. of aircraft'!AV123</f>
        <v>1</v>
      </c>
      <c r="HM5" s="148">
        <f>'[2]No. of aircraft'!AW123</f>
        <v>1</v>
      </c>
      <c r="HN5" s="148">
        <f>'[2]No. of aircraft'!AX123</f>
        <v>1</v>
      </c>
      <c r="HO5" s="148">
        <f>'[2]No. of aircraft'!AY123</f>
        <v>1</v>
      </c>
    </row>
    <row r="6" spans="1:223">
      <c r="A6" s="697"/>
      <c r="B6" s="124" t="s">
        <v>17</v>
      </c>
      <c r="C6" s="125">
        <v>11.935999999999996</v>
      </c>
      <c r="D6" s="125">
        <v>12.234399999999997</v>
      </c>
      <c r="E6" s="125">
        <v>12.532799999999998</v>
      </c>
      <c r="F6" s="125">
        <v>12.831199999999997</v>
      </c>
      <c r="G6" s="125">
        <v>13.79147689952153</v>
      </c>
      <c r="H6" s="125">
        <v>14.179786612657777</v>
      </c>
      <c r="I6" s="125">
        <v>14.41895641722488</v>
      </c>
      <c r="J6" s="125">
        <v>14.73269617607656</v>
      </c>
      <c r="K6" s="125">
        <v>15.806244478020618</v>
      </c>
      <c r="L6" s="125">
        <v>16.136112562083316</v>
      </c>
      <c r="M6" s="125">
        <v>16.465980646146001</v>
      </c>
      <c r="N6" s="125">
        <v>16.795848730208693</v>
      </c>
      <c r="O6" s="125">
        <v>17.991779614677547</v>
      </c>
      <c r="P6" s="125">
        <v>18.338605127903733</v>
      </c>
      <c r="Q6" s="125">
        <v>18.685430641129912</v>
      </c>
      <c r="R6" s="125">
        <v>19.032256154356091</v>
      </c>
      <c r="S6" s="125">
        <v>20.360318357221896</v>
      </c>
      <c r="T6" s="125">
        <v>20.724973025061001</v>
      </c>
      <c r="U6" s="125">
        <v>21.089627692900116</v>
      </c>
      <c r="V6" s="125">
        <v>21.454282360739221</v>
      </c>
      <c r="W6" s="125">
        <v>21.6</v>
      </c>
      <c r="X6" s="125">
        <v>21.6</v>
      </c>
      <c r="Y6" s="125">
        <v>21.6</v>
      </c>
      <c r="Z6" s="125">
        <v>21.6</v>
      </c>
      <c r="AA6" s="125">
        <v>21.6</v>
      </c>
      <c r="AB6" s="125">
        <v>21.6</v>
      </c>
      <c r="AC6" s="125">
        <v>21.6</v>
      </c>
      <c r="AD6" s="125">
        <v>21.6</v>
      </c>
      <c r="AE6" s="125">
        <v>21.6</v>
      </c>
      <c r="AF6" s="125">
        <v>21.6</v>
      </c>
      <c r="AG6" s="125">
        <v>21.6</v>
      </c>
      <c r="AH6" s="125">
        <v>21.6</v>
      </c>
      <c r="AI6" s="125">
        <v>21.6</v>
      </c>
      <c r="AJ6" s="125">
        <v>21.6</v>
      </c>
      <c r="AK6" s="125">
        <v>21.6</v>
      </c>
      <c r="AL6" s="125">
        <v>21.6</v>
      </c>
      <c r="AM6" s="125">
        <v>21.6</v>
      </c>
      <c r="AN6" s="125">
        <v>21.6</v>
      </c>
      <c r="AO6" s="125">
        <v>21.6</v>
      </c>
      <c r="AP6" s="125">
        <v>21.6</v>
      </c>
      <c r="AQ6" s="127"/>
      <c r="AS6" s="697"/>
      <c r="AT6" s="128" t="s">
        <v>17</v>
      </c>
      <c r="AU6" s="129">
        <f t="shared" si="0"/>
        <v>12.383599999999998</v>
      </c>
      <c r="AV6" s="129">
        <f t="shared" si="1"/>
        <v>14.280729026370185</v>
      </c>
      <c r="AW6" s="129">
        <f t="shared" si="2"/>
        <v>16.301046604114656</v>
      </c>
      <c r="AX6" s="129">
        <f t="shared" si="3"/>
        <v>18.512017884516823</v>
      </c>
      <c r="AY6" s="129">
        <f t="shared" si="4"/>
        <v>20.907300358980557</v>
      </c>
      <c r="AZ6" s="129">
        <f t="shared" si="5"/>
        <v>21.6</v>
      </c>
      <c r="BA6" s="129">
        <f t="shared" si="6"/>
        <v>21.6</v>
      </c>
      <c r="BB6" s="129">
        <f t="shared" si="7"/>
        <v>21.6</v>
      </c>
      <c r="BC6" s="129">
        <f t="shared" si="8"/>
        <v>21.6</v>
      </c>
      <c r="BD6" s="130">
        <f t="shared" si="9"/>
        <v>21.6</v>
      </c>
      <c r="BE6" s="131"/>
      <c r="BF6" s="132">
        <f t="shared" si="10"/>
        <v>1.029213496685659</v>
      </c>
      <c r="BG6" s="697"/>
      <c r="BH6" s="133" t="s">
        <v>17</v>
      </c>
      <c r="BI6" s="134">
        <v>0.95</v>
      </c>
      <c r="BJ6" s="135">
        <v>1.0090328398879009</v>
      </c>
      <c r="BK6" s="823"/>
      <c r="BL6" s="124" t="s">
        <v>17</v>
      </c>
      <c r="BM6" s="136">
        <f t="shared" si="12"/>
        <v>13600.912499999999</v>
      </c>
      <c r="BO6" s="697"/>
      <c r="BP6" s="124" t="s">
        <v>17</v>
      </c>
      <c r="BQ6" s="137">
        <f>'[2]No. of aircraft'!AF36</f>
        <v>1</v>
      </c>
      <c r="BR6" s="137">
        <f>'[2]No. of aircraft'!AG36</f>
        <v>1</v>
      </c>
      <c r="BS6" s="137">
        <f>'[2]No. of aircraft'!AH36</f>
        <v>1</v>
      </c>
      <c r="BT6" s="137">
        <f>'[2]No. of aircraft'!AI36</f>
        <v>1</v>
      </c>
      <c r="BU6" s="137">
        <f>'[2]No. of aircraft'!AJ36</f>
        <v>1</v>
      </c>
      <c r="BV6" s="137">
        <f>'[2]No. of aircraft'!AK36</f>
        <v>1</v>
      </c>
      <c r="BW6" s="137">
        <f>'[2]No. of aircraft'!AL36</f>
        <v>1</v>
      </c>
      <c r="BX6" s="137">
        <f>'[2]No. of aircraft'!AM36</f>
        <v>1</v>
      </c>
      <c r="BY6" s="137">
        <f>'[2]No. of aircraft'!AN36</f>
        <v>1</v>
      </c>
      <c r="BZ6" s="137">
        <f>'[2]No. of aircraft'!AO36</f>
        <v>1</v>
      </c>
      <c r="CA6" s="137">
        <f>'[2]No. of aircraft'!AP36</f>
        <v>1</v>
      </c>
      <c r="CB6" s="137">
        <f>'[2]No. of aircraft'!AQ36</f>
        <v>1</v>
      </c>
      <c r="CC6" s="137">
        <f>'[2]No. of aircraft'!AR36</f>
        <v>1</v>
      </c>
      <c r="CD6" s="137">
        <f>'[2]No. of aircraft'!AS36</f>
        <v>1</v>
      </c>
      <c r="CE6" s="137">
        <f>'[2]No. of aircraft'!AT36</f>
        <v>1</v>
      </c>
      <c r="CF6" s="137">
        <f>'[2]No. of aircraft'!AU36</f>
        <v>1</v>
      </c>
      <c r="CG6" s="137">
        <f>'[2]No. of aircraft'!AV36</f>
        <v>1</v>
      </c>
      <c r="CH6" s="137">
        <f>'[2]No. of aircraft'!AW36</f>
        <v>1</v>
      </c>
      <c r="CI6" s="137">
        <f>'[2]No. of aircraft'!AX36</f>
        <v>1</v>
      </c>
      <c r="CJ6" s="137">
        <f>'[2]No. of aircraft'!AY36</f>
        <v>1</v>
      </c>
      <c r="CK6" s="137">
        <v>1</v>
      </c>
      <c r="CL6" s="137">
        <v>1</v>
      </c>
      <c r="CM6" s="137">
        <v>1</v>
      </c>
      <c r="CN6" s="137">
        <v>1</v>
      </c>
      <c r="CO6" s="137">
        <v>1</v>
      </c>
      <c r="CP6" s="137">
        <v>1</v>
      </c>
      <c r="CQ6" s="137">
        <v>1</v>
      </c>
      <c r="CR6" s="137">
        <v>1</v>
      </c>
      <c r="CS6" s="137">
        <v>1</v>
      </c>
      <c r="CT6" s="137">
        <v>1</v>
      </c>
      <c r="CU6" s="137">
        <v>1</v>
      </c>
      <c r="CV6" s="137">
        <v>1</v>
      </c>
      <c r="CW6" s="137">
        <v>1</v>
      </c>
      <c r="CX6" s="137">
        <v>1</v>
      </c>
      <c r="CY6" s="137">
        <v>1</v>
      </c>
      <c r="CZ6" s="137">
        <v>1</v>
      </c>
      <c r="DA6" s="137">
        <v>1</v>
      </c>
      <c r="DB6" s="137">
        <v>1</v>
      </c>
      <c r="DC6" s="137">
        <v>1</v>
      </c>
      <c r="DD6" s="137">
        <v>1</v>
      </c>
      <c r="DF6" s="827"/>
      <c r="DH6" s="697"/>
      <c r="DI6" s="139" t="str">
        <v>CGK-PKY</v>
      </c>
      <c r="DJ6" s="149">
        <v>8913.1422989010243</v>
      </c>
      <c r="DK6" s="145">
        <v>9368.6561959120445</v>
      </c>
      <c r="DL6" s="145">
        <v>9484.1356174445373</v>
      </c>
      <c r="DM6" s="145">
        <v>9582.7449365504744</v>
      </c>
      <c r="DN6" s="145">
        <v>9689.5745349115568</v>
      </c>
      <c r="DO6" s="145">
        <v>9720.4689389010236</v>
      </c>
      <c r="DP6" s="145">
        <v>9910.7683706392036</v>
      </c>
      <c r="DQ6" s="145">
        <v>9720.4689389010236</v>
      </c>
      <c r="DR6" s="145">
        <v>9720.4689389010236</v>
      </c>
      <c r="DS6" s="146">
        <v>9720.4689389010236</v>
      </c>
      <c r="GT6" s="824"/>
      <c r="GU6" s="150" t="s">
        <v>17</v>
      </c>
      <c r="GV6" s="148">
        <f>'[2]No. of aircraft'!AF124</f>
        <v>1</v>
      </c>
      <c r="GW6" s="148">
        <f>'[2]No. of aircraft'!AG124</f>
        <v>1</v>
      </c>
      <c r="GX6" s="148">
        <f>'[2]No. of aircraft'!AH124</f>
        <v>1</v>
      </c>
      <c r="GY6" s="148">
        <f>'[2]No. of aircraft'!AI124</f>
        <v>1</v>
      </c>
      <c r="GZ6" s="148">
        <f>'[2]No. of aircraft'!AJ124</f>
        <v>1</v>
      </c>
      <c r="HA6" s="148">
        <f>'[2]No. of aircraft'!AK124</f>
        <v>1</v>
      </c>
      <c r="HB6" s="148">
        <f>'[2]No. of aircraft'!AL124</f>
        <v>1</v>
      </c>
      <c r="HC6" s="148">
        <f>'[2]No. of aircraft'!AM124</f>
        <v>1</v>
      </c>
      <c r="HD6" s="148">
        <f>'[2]No. of aircraft'!AN124</f>
        <v>1</v>
      </c>
      <c r="HE6" s="148">
        <f>'[2]No. of aircraft'!AO124</f>
        <v>1</v>
      </c>
      <c r="HF6" s="148">
        <f>'[2]No. of aircraft'!AP124</f>
        <v>1</v>
      </c>
      <c r="HG6" s="148">
        <f>'[2]No. of aircraft'!AQ124</f>
        <v>1</v>
      </c>
      <c r="HH6" s="148">
        <f>'[2]No. of aircraft'!AR124</f>
        <v>1</v>
      </c>
      <c r="HI6" s="148">
        <f>'[2]No. of aircraft'!AS124</f>
        <v>1</v>
      </c>
      <c r="HJ6" s="148">
        <f>'[2]No. of aircraft'!AT124</f>
        <v>1</v>
      </c>
      <c r="HK6" s="148">
        <f>'[2]No. of aircraft'!AU124</f>
        <v>1</v>
      </c>
      <c r="HL6" s="148">
        <f>'[2]No. of aircraft'!AV124</f>
        <v>1</v>
      </c>
      <c r="HM6" s="148">
        <f>'[2]No. of aircraft'!AW124</f>
        <v>1</v>
      </c>
      <c r="HN6" s="148">
        <f>'[2]No. of aircraft'!AX124</f>
        <v>1</v>
      </c>
      <c r="HO6" s="148">
        <f>'[2]No. of aircraft'!AY124</f>
        <v>1</v>
      </c>
    </row>
    <row r="7" spans="1:223">
      <c r="A7" s="697"/>
      <c r="B7" s="124" t="s">
        <v>18</v>
      </c>
      <c r="C7" s="125">
        <v>12.191999999999998</v>
      </c>
      <c r="D7" s="125">
        <v>12.496799999999999</v>
      </c>
      <c r="E7" s="125">
        <v>12.801599999999999</v>
      </c>
      <c r="F7" s="125">
        <v>13.106399999999999</v>
      </c>
      <c r="G7" s="125">
        <v>14.087272650717713</v>
      </c>
      <c r="H7" s="125">
        <v>14.483910722312633</v>
      </c>
      <c r="I7" s="125">
        <v>14.728210174162673</v>
      </c>
      <c r="J7" s="125">
        <v>15.048678935885171</v>
      </c>
      <c r="K7" s="125">
        <v>16.145252402482207</v>
      </c>
      <c r="L7" s="125">
        <v>16.482195405237903</v>
      </c>
      <c r="M7" s="125">
        <v>16.819138407993638</v>
      </c>
      <c r="N7" s="125">
        <v>17.156081410749376</v>
      </c>
      <c r="O7" s="125">
        <v>18.377662287378424</v>
      </c>
      <c r="P7" s="125">
        <v>18.731926417510241</v>
      </c>
      <c r="Q7" s="125">
        <v>19.086190547642097</v>
      </c>
      <c r="R7" s="125">
        <v>19.440454677773914</v>
      </c>
      <c r="S7" s="125">
        <v>20.797000788475962</v>
      </c>
      <c r="T7" s="125">
        <v>21.169476467957754</v>
      </c>
      <c r="U7" s="125">
        <v>21.541952147439545</v>
      </c>
      <c r="V7" s="125">
        <v>21.6</v>
      </c>
      <c r="W7" s="125">
        <v>21.6</v>
      </c>
      <c r="X7" s="125">
        <v>21.6</v>
      </c>
      <c r="Y7" s="125">
        <v>21.6</v>
      </c>
      <c r="Z7" s="125">
        <v>21.6</v>
      </c>
      <c r="AA7" s="125">
        <v>21.6</v>
      </c>
      <c r="AB7" s="125">
        <v>21.6</v>
      </c>
      <c r="AC7" s="125">
        <v>21.6</v>
      </c>
      <c r="AD7" s="125">
        <v>21.6</v>
      </c>
      <c r="AE7" s="125">
        <v>21.6</v>
      </c>
      <c r="AF7" s="125">
        <v>21.6</v>
      </c>
      <c r="AG7" s="125">
        <v>21.6</v>
      </c>
      <c r="AH7" s="125">
        <v>21.6</v>
      </c>
      <c r="AI7" s="125">
        <v>21.6</v>
      </c>
      <c r="AJ7" s="125">
        <v>21.6</v>
      </c>
      <c r="AK7" s="125">
        <v>21.6</v>
      </c>
      <c r="AL7" s="125">
        <v>21.6</v>
      </c>
      <c r="AM7" s="125">
        <v>21.6</v>
      </c>
      <c r="AN7" s="125">
        <v>21.6</v>
      </c>
      <c r="AO7" s="125">
        <v>21.6</v>
      </c>
      <c r="AP7" s="125">
        <v>21.6</v>
      </c>
      <c r="AQ7" s="127"/>
      <c r="AS7" s="697"/>
      <c r="AT7" s="128" t="s">
        <v>18</v>
      </c>
      <c r="AU7" s="129">
        <f t="shared" si="0"/>
        <v>12.649199999999999</v>
      </c>
      <c r="AV7" s="129">
        <f t="shared" si="1"/>
        <v>14.587018120769548</v>
      </c>
      <c r="AW7" s="129">
        <f t="shared" si="2"/>
        <v>16.650666906615783</v>
      </c>
      <c r="AX7" s="129">
        <f t="shared" si="3"/>
        <v>18.909058482576171</v>
      </c>
      <c r="AY7" s="129">
        <f t="shared" si="4"/>
        <v>21.277107350968315</v>
      </c>
      <c r="AZ7" s="129">
        <f t="shared" si="5"/>
        <v>21.6</v>
      </c>
      <c r="BA7" s="129">
        <f t="shared" si="6"/>
        <v>21.6</v>
      </c>
      <c r="BB7" s="129">
        <f t="shared" si="7"/>
        <v>21.6</v>
      </c>
      <c r="BC7" s="129">
        <f t="shared" si="8"/>
        <v>21.6</v>
      </c>
      <c r="BD7" s="130">
        <f t="shared" si="9"/>
        <v>21.6</v>
      </c>
      <c r="BE7" s="131"/>
      <c r="BF7" s="132">
        <f t="shared" si="10"/>
        <v>0.33642571925560272</v>
      </c>
      <c r="BG7" s="697"/>
      <c r="BH7" s="133" t="s">
        <v>18</v>
      </c>
      <c r="BI7" s="134">
        <f t="shared" si="11"/>
        <v>0.31498682538147116</v>
      </c>
      <c r="BJ7" s="135">
        <v>0.32982913652510071</v>
      </c>
      <c r="BK7" s="823"/>
      <c r="BL7" s="124" t="s">
        <v>18</v>
      </c>
      <c r="BM7" s="136">
        <f t="shared" si="12"/>
        <v>4509.5876322801769</v>
      </c>
      <c r="BO7" s="697"/>
      <c r="BP7" s="124" t="s">
        <v>18</v>
      </c>
      <c r="BQ7" s="137">
        <f>'[2]No. of aircraft'!AF37</f>
        <v>1</v>
      </c>
      <c r="BR7" s="137">
        <f>'[2]No. of aircraft'!AG37</f>
        <v>1</v>
      </c>
      <c r="BS7" s="137">
        <f>'[2]No. of aircraft'!AH37</f>
        <v>1</v>
      </c>
      <c r="BT7" s="137">
        <f>'[2]No. of aircraft'!AI37</f>
        <v>1</v>
      </c>
      <c r="BU7" s="137">
        <f>'[2]No. of aircraft'!AJ37</f>
        <v>1</v>
      </c>
      <c r="BV7" s="137">
        <f>'[2]No. of aircraft'!AK37</f>
        <v>1</v>
      </c>
      <c r="BW7" s="137">
        <f>'[2]No. of aircraft'!AL37</f>
        <v>1</v>
      </c>
      <c r="BX7" s="137">
        <f>'[2]No. of aircraft'!AM37</f>
        <v>1</v>
      </c>
      <c r="BY7" s="137">
        <f>'[2]No. of aircraft'!AN37</f>
        <v>1</v>
      </c>
      <c r="BZ7" s="137">
        <f>'[2]No. of aircraft'!AO37</f>
        <v>1</v>
      </c>
      <c r="CA7" s="137">
        <f>'[2]No. of aircraft'!AP37</f>
        <v>1</v>
      </c>
      <c r="CB7" s="137">
        <f>'[2]No. of aircraft'!AQ37</f>
        <v>1</v>
      </c>
      <c r="CC7" s="137">
        <f>'[2]No. of aircraft'!AR37</f>
        <v>1</v>
      </c>
      <c r="CD7" s="137">
        <f>'[2]No. of aircraft'!AS37</f>
        <v>1</v>
      </c>
      <c r="CE7" s="137">
        <f>'[2]No. of aircraft'!AT37</f>
        <v>1</v>
      </c>
      <c r="CF7" s="137">
        <f>'[2]No. of aircraft'!AU37</f>
        <v>1</v>
      </c>
      <c r="CG7" s="137">
        <f>'[2]No. of aircraft'!AV37</f>
        <v>1</v>
      </c>
      <c r="CH7" s="137">
        <f>'[2]No. of aircraft'!AW37</f>
        <v>1</v>
      </c>
      <c r="CI7" s="137">
        <f>'[2]No. of aircraft'!AX37</f>
        <v>1</v>
      </c>
      <c r="CJ7" s="137">
        <f>'[2]No. of aircraft'!AY37</f>
        <v>1</v>
      </c>
      <c r="CK7" s="137">
        <v>1</v>
      </c>
      <c r="CL7" s="137">
        <v>1</v>
      </c>
      <c r="CM7" s="137">
        <v>1</v>
      </c>
      <c r="CN7" s="137">
        <v>1</v>
      </c>
      <c r="CO7" s="137">
        <v>1</v>
      </c>
      <c r="CP7" s="137">
        <v>1</v>
      </c>
      <c r="CQ7" s="137">
        <v>1</v>
      </c>
      <c r="CR7" s="137">
        <v>1</v>
      </c>
      <c r="CS7" s="137">
        <v>1</v>
      </c>
      <c r="CT7" s="137">
        <v>1</v>
      </c>
      <c r="CU7" s="137">
        <v>1</v>
      </c>
      <c r="CV7" s="137">
        <v>1</v>
      </c>
      <c r="CW7" s="137">
        <v>1</v>
      </c>
      <c r="CX7" s="137">
        <v>1</v>
      </c>
      <c r="CY7" s="137">
        <v>1</v>
      </c>
      <c r="CZ7" s="137">
        <v>1</v>
      </c>
      <c r="DA7" s="137">
        <v>1</v>
      </c>
      <c r="DB7" s="137">
        <v>1</v>
      </c>
      <c r="DC7" s="137">
        <v>1</v>
      </c>
      <c r="DD7" s="137">
        <v>1</v>
      </c>
      <c r="DF7" s="827"/>
      <c r="DH7" s="697"/>
      <c r="DI7" s="139" t="str">
        <v>PKY-CGK</v>
      </c>
      <c r="DJ7" s="149">
        <v>9492.1101289010239</v>
      </c>
      <c r="DK7" s="145">
        <v>10042.039265963653</v>
      </c>
      <c r="DL7" s="145">
        <v>10249.013616683213</v>
      </c>
      <c r="DM7" s="145">
        <v>10447.752075367727</v>
      </c>
      <c r="DN7" s="145">
        <v>10656.140375786235</v>
      </c>
      <c r="DO7" s="145">
        <v>10684.554928901023</v>
      </c>
      <c r="DP7" s="145">
        <v>10874.854360639203</v>
      </c>
      <c r="DQ7" s="145">
        <v>10684.554928901023</v>
      </c>
      <c r="DR7" s="145">
        <v>10684.554928901023</v>
      </c>
      <c r="DS7" s="146">
        <v>10684.554928901023</v>
      </c>
      <c r="GT7" s="824"/>
      <c r="GU7" s="147" t="s">
        <v>18</v>
      </c>
      <c r="GV7" s="148">
        <f>'[2]No. of aircraft'!AF125</f>
        <v>1</v>
      </c>
      <c r="GW7" s="148">
        <f>'[2]No. of aircraft'!AG125</f>
        <v>1</v>
      </c>
      <c r="GX7" s="148">
        <f>'[2]No. of aircraft'!AH125</f>
        <v>1</v>
      </c>
      <c r="GY7" s="148">
        <f>'[2]No. of aircraft'!AI125</f>
        <v>1</v>
      </c>
      <c r="GZ7" s="148">
        <f>'[2]No. of aircraft'!AJ125</f>
        <v>1</v>
      </c>
      <c r="HA7" s="148">
        <f>'[2]No. of aircraft'!AK125</f>
        <v>1</v>
      </c>
      <c r="HB7" s="148">
        <f>'[2]No. of aircraft'!AL125</f>
        <v>1</v>
      </c>
      <c r="HC7" s="148">
        <f>'[2]No. of aircraft'!AM125</f>
        <v>1</v>
      </c>
      <c r="HD7" s="148">
        <f>'[2]No. of aircraft'!AN125</f>
        <v>1</v>
      </c>
      <c r="HE7" s="148">
        <f>'[2]No. of aircraft'!AO125</f>
        <v>1</v>
      </c>
      <c r="HF7" s="148">
        <f>'[2]No. of aircraft'!AP125</f>
        <v>1</v>
      </c>
      <c r="HG7" s="148">
        <f>'[2]No. of aircraft'!AQ125</f>
        <v>1</v>
      </c>
      <c r="HH7" s="148">
        <f>'[2]No. of aircraft'!AR125</f>
        <v>1</v>
      </c>
      <c r="HI7" s="148">
        <f>'[2]No. of aircraft'!AS125</f>
        <v>1</v>
      </c>
      <c r="HJ7" s="148">
        <f>'[2]No. of aircraft'!AT125</f>
        <v>1</v>
      </c>
      <c r="HK7" s="148">
        <f>'[2]No. of aircraft'!AU125</f>
        <v>1</v>
      </c>
      <c r="HL7" s="148">
        <f>'[2]No. of aircraft'!AV125</f>
        <v>1</v>
      </c>
      <c r="HM7" s="148">
        <f>'[2]No. of aircraft'!AW125</f>
        <v>1</v>
      </c>
      <c r="HN7" s="148">
        <f>'[2]No. of aircraft'!AX125</f>
        <v>1</v>
      </c>
      <c r="HO7" s="148">
        <f>'[2]No. of aircraft'!AY125</f>
        <v>1</v>
      </c>
    </row>
    <row r="8" spans="1:223" ht="15" thickBot="1">
      <c r="A8" s="697"/>
      <c r="B8" s="124" t="s">
        <v>19</v>
      </c>
      <c r="C8" s="125">
        <v>7.1</v>
      </c>
      <c r="D8" s="125">
        <v>6.4751999999999983</v>
      </c>
      <c r="E8" s="125">
        <v>6.7023999999999981</v>
      </c>
      <c r="F8" s="125">
        <v>6.9295999999999989</v>
      </c>
      <c r="G8" s="125">
        <v>7.5289731674641223</v>
      </c>
      <c r="H8" s="125">
        <v>7.824629892747474</v>
      </c>
      <c r="I8" s="125">
        <v>8.0067323712918608</v>
      </c>
      <c r="J8" s="125">
        <v>8.2456119732057438</v>
      </c>
      <c r="K8" s="125">
        <v>8.9251149119856876</v>
      </c>
      <c r="L8" s="125">
        <v>9.1762745255883562</v>
      </c>
      <c r="M8" s="125">
        <v>9.4274341391910603</v>
      </c>
      <c r="N8" s="125">
        <v>9.6785937527937591</v>
      </c>
      <c r="O8" s="125">
        <v>10.444879953223547</v>
      </c>
      <c r="P8" s="125">
        <v>10.708950853374295</v>
      </c>
      <c r="Q8" s="125">
        <v>10.973021753525076</v>
      </c>
      <c r="R8" s="125">
        <v>11.237092653675825</v>
      </c>
      <c r="S8" s="125">
        <v>12.097287873219901</v>
      </c>
      <c r="T8" s="125">
        <v>12.37493378653441</v>
      </c>
      <c r="U8" s="125">
        <v>12.652579699848921</v>
      </c>
      <c r="V8" s="125">
        <v>12.930225613163399</v>
      </c>
      <c r="W8" s="125">
        <v>13.537313936773669</v>
      </c>
      <c r="X8" s="125">
        <v>13.544439791933158</v>
      </c>
      <c r="Y8" s="125">
        <v>13.551565647092646</v>
      </c>
      <c r="Z8" s="125">
        <v>13.558691502252135</v>
      </c>
      <c r="AA8" s="125">
        <v>14.195271282795522</v>
      </c>
      <c r="AB8" s="125">
        <v>14.202727777634411</v>
      </c>
      <c r="AC8" s="125">
        <v>14.210184272473299</v>
      </c>
      <c r="AD8" s="125">
        <v>14.217640767312188</v>
      </c>
      <c r="AE8" s="125">
        <v>14.885141775114887</v>
      </c>
      <c r="AF8" s="125">
        <v>14.892944251314301</v>
      </c>
      <c r="AG8" s="125">
        <v>14.900746727513713</v>
      </c>
      <c r="AH8" s="125">
        <v>14.908549203713127</v>
      </c>
      <c r="AI8" s="125">
        <v>15.608470397860483</v>
      </c>
      <c r="AJ8" s="125">
        <v>15.616634908955549</v>
      </c>
      <c r="AK8" s="125">
        <v>15.624799420050614</v>
      </c>
      <c r="AL8" s="125">
        <v>15.63296393114568</v>
      </c>
      <c r="AM8" s="125">
        <v>16.366876801960718</v>
      </c>
      <c r="AN8" s="125">
        <v>16.366876801960718</v>
      </c>
      <c r="AO8" s="125">
        <v>16.366876801960718</v>
      </c>
      <c r="AP8" s="125">
        <v>16.366876801960718</v>
      </c>
      <c r="AQ8" s="127"/>
      <c r="AS8" s="697"/>
      <c r="AT8" s="128" t="s">
        <v>19</v>
      </c>
      <c r="AU8" s="129">
        <f t="shared" si="0"/>
        <v>6.8017999999999983</v>
      </c>
      <c r="AV8" s="129">
        <f t="shared" si="1"/>
        <v>7.9014868511773004</v>
      </c>
      <c r="AW8" s="129">
        <f t="shared" si="2"/>
        <v>9.3018543323897163</v>
      </c>
      <c r="AX8" s="129">
        <f t="shared" si="3"/>
        <v>10.840986303449686</v>
      </c>
      <c r="AY8" s="129">
        <f t="shared" si="4"/>
        <v>12.513756743191658</v>
      </c>
      <c r="AZ8" s="129">
        <f t="shared" si="5"/>
        <v>13.548002719512901</v>
      </c>
      <c r="BA8" s="129">
        <f t="shared" si="6"/>
        <v>14.206456025053855</v>
      </c>
      <c r="BB8" s="129">
        <f t="shared" si="7"/>
        <v>14.896845489414007</v>
      </c>
      <c r="BC8" s="129">
        <f t="shared" si="8"/>
        <v>15.620717164503082</v>
      </c>
      <c r="BD8" s="130">
        <f t="shared" si="9"/>
        <v>16.366876801960718</v>
      </c>
      <c r="BE8" s="131"/>
      <c r="BF8" s="132">
        <f t="shared" si="10"/>
        <v>0.53080502371439564</v>
      </c>
      <c r="BG8" s="697"/>
      <c r="BH8" s="133" t="s">
        <v>19</v>
      </c>
      <c r="BI8" s="134">
        <v>0.5</v>
      </c>
      <c r="BJ8" s="135">
        <v>0.52039708207293689</v>
      </c>
      <c r="BK8" s="823"/>
      <c r="BL8" s="124" t="s">
        <v>19</v>
      </c>
      <c r="BM8" s="136">
        <f t="shared" si="12"/>
        <v>7158.375</v>
      </c>
      <c r="BO8" s="697"/>
      <c r="BP8" s="124" t="s">
        <v>19</v>
      </c>
      <c r="BQ8" s="137">
        <f>'[2]No. of aircraft'!AF38</f>
        <v>1</v>
      </c>
      <c r="BR8" s="137">
        <f>'[2]No. of aircraft'!AG38</f>
        <v>1</v>
      </c>
      <c r="BS8" s="137">
        <f>'[2]No. of aircraft'!AH38</f>
        <v>1</v>
      </c>
      <c r="BT8" s="137">
        <f>'[2]No. of aircraft'!AI38</f>
        <v>1</v>
      </c>
      <c r="BU8" s="137">
        <f>'[2]No. of aircraft'!AJ38</f>
        <v>1</v>
      </c>
      <c r="BV8" s="137">
        <f>'[2]No. of aircraft'!AK38</f>
        <v>1</v>
      </c>
      <c r="BW8" s="137">
        <f>'[2]No. of aircraft'!AL38</f>
        <v>1</v>
      </c>
      <c r="BX8" s="137">
        <f>'[2]No. of aircraft'!AM38</f>
        <v>1</v>
      </c>
      <c r="BY8" s="137">
        <f>'[2]No. of aircraft'!AN38</f>
        <v>1</v>
      </c>
      <c r="BZ8" s="137">
        <f>'[2]No. of aircraft'!AO38</f>
        <v>1</v>
      </c>
      <c r="CA8" s="137">
        <f>'[2]No. of aircraft'!AP38</f>
        <v>1</v>
      </c>
      <c r="CB8" s="137">
        <f>'[2]No. of aircraft'!AQ38</f>
        <v>1</v>
      </c>
      <c r="CC8" s="137">
        <f>'[2]No. of aircraft'!AR38</f>
        <v>1</v>
      </c>
      <c r="CD8" s="137">
        <f>'[2]No. of aircraft'!AS38</f>
        <v>1</v>
      </c>
      <c r="CE8" s="137">
        <f>'[2]No. of aircraft'!AT38</f>
        <v>1</v>
      </c>
      <c r="CF8" s="137">
        <f>'[2]No. of aircraft'!AU38</f>
        <v>1</v>
      </c>
      <c r="CG8" s="137">
        <f>'[2]No. of aircraft'!AV38</f>
        <v>1</v>
      </c>
      <c r="CH8" s="137">
        <f>'[2]No. of aircraft'!AW38</f>
        <v>1</v>
      </c>
      <c r="CI8" s="137">
        <f>'[2]No. of aircraft'!AX38</f>
        <v>1</v>
      </c>
      <c r="CJ8" s="137">
        <f>'[2]No. of aircraft'!AY38</f>
        <v>1</v>
      </c>
      <c r="CK8" s="137">
        <v>1</v>
      </c>
      <c r="CL8" s="137">
        <v>1</v>
      </c>
      <c r="CM8" s="137">
        <v>1</v>
      </c>
      <c r="CN8" s="137">
        <v>1</v>
      </c>
      <c r="CO8" s="137">
        <v>1</v>
      </c>
      <c r="CP8" s="137">
        <v>1</v>
      </c>
      <c r="CQ8" s="137">
        <v>1</v>
      </c>
      <c r="CR8" s="137">
        <v>1</v>
      </c>
      <c r="CS8" s="137">
        <v>1</v>
      </c>
      <c r="CT8" s="137">
        <v>1</v>
      </c>
      <c r="CU8" s="137">
        <v>1</v>
      </c>
      <c r="CV8" s="137">
        <v>1</v>
      </c>
      <c r="CW8" s="137">
        <v>1</v>
      </c>
      <c r="CX8" s="137">
        <v>1</v>
      </c>
      <c r="CY8" s="137">
        <v>1</v>
      </c>
      <c r="CZ8" s="137">
        <v>1</v>
      </c>
      <c r="DA8" s="137">
        <v>1</v>
      </c>
      <c r="DB8" s="137">
        <v>1</v>
      </c>
      <c r="DC8" s="137">
        <v>1</v>
      </c>
      <c r="DD8" s="137">
        <v>1</v>
      </c>
      <c r="DF8" s="827"/>
      <c r="DH8" s="697"/>
      <c r="DI8" s="140" t="str">
        <v>CGK-PLM</v>
      </c>
      <c r="DJ8" s="151">
        <v>5954.2007240772891</v>
      </c>
      <c r="DK8" s="145">
        <v>6201.608771650197</v>
      </c>
      <c r="DL8" s="145">
        <v>6283.360747301871</v>
      </c>
      <c r="DM8" s="145">
        <v>6352.0060332111452</v>
      </c>
      <c r="DN8" s="145">
        <v>6426.6115948236375</v>
      </c>
      <c r="DO8" s="145">
        <v>6472.7389653675655</v>
      </c>
      <c r="DP8" s="145">
        <v>6646.822877716686</v>
      </c>
      <c r="DQ8" s="145">
        <v>6532.8973529051545</v>
      </c>
      <c r="DR8" s="145">
        <v>6565.1820296141268</v>
      </c>
      <c r="DS8" s="146">
        <v>6598.4607494447373</v>
      </c>
      <c r="GT8" s="824"/>
      <c r="GU8" s="147" t="s">
        <v>19</v>
      </c>
      <c r="GV8" s="148">
        <f>'[2]No. of aircraft'!AF126</f>
        <v>1</v>
      </c>
      <c r="GW8" s="148">
        <f>'[2]No. of aircraft'!AG126</f>
        <v>1</v>
      </c>
      <c r="GX8" s="148">
        <f>'[2]No. of aircraft'!AH126</f>
        <v>1</v>
      </c>
      <c r="GY8" s="148">
        <f>'[2]No. of aircraft'!AI126</f>
        <v>1</v>
      </c>
      <c r="GZ8" s="148">
        <f>'[2]No. of aircraft'!AJ126</f>
        <v>1</v>
      </c>
      <c r="HA8" s="148">
        <f>'[2]No. of aircraft'!AK126</f>
        <v>1</v>
      </c>
      <c r="HB8" s="148">
        <f>'[2]No. of aircraft'!AL126</f>
        <v>1</v>
      </c>
      <c r="HC8" s="148">
        <f>'[2]No. of aircraft'!AM126</f>
        <v>1</v>
      </c>
      <c r="HD8" s="148">
        <f>'[2]No. of aircraft'!AN126</f>
        <v>1</v>
      </c>
      <c r="HE8" s="148">
        <f>'[2]No. of aircraft'!AO126</f>
        <v>1</v>
      </c>
      <c r="HF8" s="148">
        <f>'[2]No. of aircraft'!AP126</f>
        <v>1</v>
      </c>
      <c r="HG8" s="148">
        <f>'[2]No. of aircraft'!AQ126</f>
        <v>1</v>
      </c>
      <c r="HH8" s="148">
        <f>'[2]No. of aircraft'!AR126</f>
        <v>1</v>
      </c>
      <c r="HI8" s="148">
        <f>'[2]No. of aircraft'!AS126</f>
        <v>1</v>
      </c>
      <c r="HJ8" s="148">
        <f>'[2]No. of aircraft'!AT126</f>
        <v>1</v>
      </c>
      <c r="HK8" s="148">
        <f>'[2]No. of aircraft'!AU126</f>
        <v>1</v>
      </c>
      <c r="HL8" s="148">
        <f>'[2]No. of aircraft'!AV126</f>
        <v>1</v>
      </c>
      <c r="HM8" s="148">
        <f>'[2]No. of aircraft'!AW126</f>
        <v>1</v>
      </c>
      <c r="HN8" s="148">
        <f>'[2]No. of aircraft'!AX126</f>
        <v>1</v>
      </c>
      <c r="HO8" s="148">
        <f>'[2]No. of aircraft'!AY126</f>
        <v>1</v>
      </c>
    </row>
    <row r="9" spans="1:223" ht="15" customHeight="1">
      <c r="A9" s="697">
        <v>2</v>
      </c>
      <c r="B9" s="152" t="s">
        <v>20</v>
      </c>
      <c r="C9" s="125">
        <v>9.8999999999999986</v>
      </c>
      <c r="D9" s="125">
        <v>10.043999999999999</v>
      </c>
      <c r="E9" s="125">
        <v>10.187999999999999</v>
      </c>
      <c r="F9" s="125">
        <v>10.331999999999999</v>
      </c>
      <c r="G9" s="125">
        <v>11.01453657416268</v>
      </c>
      <c r="H9" s="125">
        <v>11.165939138755983</v>
      </c>
      <c r="I9" s="125">
        <v>11.317341703349282</v>
      </c>
      <c r="J9" s="125">
        <v>11.468744267942586</v>
      </c>
      <c r="K9" s="125">
        <v>12.217500218032376</v>
      </c>
      <c r="L9" s="125">
        <v>12.376685888625632</v>
      </c>
      <c r="M9" s="125">
        <v>12.535871559218887</v>
      </c>
      <c r="N9" s="125">
        <v>12.695057229812143</v>
      </c>
      <c r="O9" s="125">
        <v>13.515037090462602</v>
      </c>
      <c r="P9" s="125">
        <v>13.682405970839847</v>
      </c>
      <c r="Q9" s="125">
        <v>13.849774851217095</v>
      </c>
      <c r="R9" s="125">
        <v>14.017143731594341</v>
      </c>
      <c r="S9" s="125">
        <v>14.913691576100883</v>
      </c>
      <c r="T9" s="125">
        <v>15.089664338060775</v>
      </c>
      <c r="U9" s="125">
        <v>15.265637100020667</v>
      </c>
      <c r="V9" s="125">
        <v>15.44160986198056</v>
      </c>
      <c r="W9" s="125">
        <v>16.158100559576457</v>
      </c>
      <c r="X9" s="125">
        <v>16.158100559576457</v>
      </c>
      <c r="Y9" s="125">
        <v>16.158100559576457</v>
      </c>
      <c r="Z9" s="125">
        <v>16.158100559576457</v>
      </c>
      <c r="AA9" s="125">
        <v>16.907836425540808</v>
      </c>
      <c r="AB9" s="125">
        <v>16.907836425540808</v>
      </c>
      <c r="AC9" s="125">
        <v>16.907836425540808</v>
      </c>
      <c r="AD9" s="125">
        <v>16.907836425540808</v>
      </c>
      <c r="AE9" s="125">
        <v>17.692360035685901</v>
      </c>
      <c r="AF9" s="125">
        <v>17.692360035685901</v>
      </c>
      <c r="AG9" s="125">
        <v>17.692360035685901</v>
      </c>
      <c r="AH9" s="125">
        <v>17.692360035685898</v>
      </c>
      <c r="AI9" s="125">
        <v>18.513285541341723</v>
      </c>
      <c r="AJ9" s="125">
        <v>18.513285541341723</v>
      </c>
      <c r="AK9" s="125">
        <v>18.513285541341723</v>
      </c>
      <c r="AL9" s="125">
        <v>18.513285541341723</v>
      </c>
      <c r="AM9" s="125">
        <v>19.372301990459977</v>
      </c>
      <c r="AN9" s="125">
        <v>19.372301990459977</v>
      </c>
      <c r="AO9" s="125">
        <v>19.372301990459977</v>
      </c>
      <c r="AP9" s="125">
        <v>19.372301990459977</v>
      </c>
      <c r="AQ9" s="127"/>
      <c r="AS9" s="697">
        <v>2</v>
      </c>
      <c r="AT9" s="153" t="s">
        <v>20</v>
      </c>
      <c r="AU9" s="129">
        <f t="shared" si="0"/>
        <v>10.115999999999998</v>
      </c>
      <c r="AV9" s="129">
        <f t="shared" si="1"/>
        <v>11.241640421052633</v>
      </c>
      <c r="AW9" s="129">
        <f t="shared" si="2"/>
        <v>12.456278723922258</v>
      </c>
      <c r="AX9" s="129">
        <f t="shared" si="3"/>
        <v>13.766090411028472</v>
      </c>
      <c r="AY9" s="129">
        <f t="shared" si="4"/>
        <v>15.177650719040722</v>
      </c>
      <c r="AZ9" s="129">
        <f t="shared" si="5"/>
        <v>16.158100559576457</v>
      </c>
      <c r="BA9" s="129">
        <f t="shared" si="6"/>
        <v>16.907836425540808</v>
      </c>
      <c r="BB9" s="129">
        <f t="shared" si="7"/>
        <v>17.692360035685901</v>
      </c>
      <c r="BC9" s="129">
        <f t="shared" si="8"/>
        <v>18.513285541341723</v>
      </c>
      <c r="BD9" s="130">
        <f t="shared" si="9"/>
        <v>19.372301990459977</v>
      </c>
      <c r="BE9" s="131"/>
      <c r="BF9" s="132">
        <f t="shared" si="10"/>
        <v>1.0073602021015342</v>
      </c>
      <c r="BG9" s="697">
        <v>2</v>
      </c>
      <c r="BH9" s="154" t="s">
        <v>20</v>
      </c>
      <c r="BI9" s="134">
        <v>0.96</v>
      </c>
      <c r="BJ9" s="135">
        <v>0.98760804127601398</v>
      </c>
      <c r="BK9" s="823">
        <v>2</v>
      </c>
      <c r="BL9" s="152" t="s">
        <v>20</v>
      </c>
      <c r="BM9" s="136">
        <f t="shared" si="12"/>
        <v>13744.08</v>
      </c>
      <c r="BO9" s="697">
        <v>2</v>
      </c>
      <c r="BP9" s="152" t="s">
        <v>20</v>
      </c>
      <c r="BQ9" s="137">
        <v>1</v>
      </c>
      <c r="BR9" s="137">
        <v>1</v>
      </c>
      <c r="BS9" s="137">
        <v>1</v>
      </c>
      <c r="BT9" s="137">
        <v>1</v>
      </c>
      <c r="BU9" s="137">
        <f>'[2]No. of aircraft'!AJ39</f>
        <v>1</v>
      </c>
      <c r="BV9" s="137">
        <f>'[2]No. of aircraft'!AK39</f>
        <v>1</v>
      </c>
      <c r="BW9" s="137">
        <f>'[2]No. of aircraft'!AL39</f>
        <v>1</v>
      </c>
      <c r="BX9" s="137">
        <f>'[2]No. of aircraft'!AM39</f>
        <v>1</v>
      </c>
      <c r="BY9" s="137">
        <f>'[2]No. of aircraft'!AN39</f>
        <v>1</v>
      </c>
      <c r="BZ9" s="137">
        <f>'[2]No. of aircraft'!AO39</f>
        <v>1</v>
      </c>
      <c r="CA9" s="137">
        <f>'[2]No. of aircraft'!AP39</f>
        <v>1</v>
      </c>
      <c r="CB9" s="137">
        <f>'[2]No. of aircraft'!AQ39</f>
        <v>1</v>
      </c>
      <c r="CC9" s="137">
        <f>'[2]No. of aircraft'!AR39</f>
        <v>1</v>
      </c>
      <c r="CD9" s="137">
        <f>'[2]No. of aircraft'!AS39</f>
        <v>1</v>
      </c>
      <c r="CE9" s="137">
        <f>'[2]No. of aircraft'!AT39</f>
        <v>1</v>
      </c>
      <c r="CF9" s="137">
        <f>'[2]No. of aircraft'!AU39</f>
        <v>1</v>
      </c>
      <c r="CG9" s="137">
        <f>'[2]No. of aircraft'!AV39</f>
        <v>1</v>
      </c>
      <c r="CH9" s="137">
        <f>'[2]No. of aircraft'!AW39</f>
        <v>1</v>
      </c>
      <c r="CI9" s="137">
        <f>'[2]No. of aircraft'!AX39</f>
        <v>1</v>
      </c>
      <c r="CJ9" s="137">
        <f>'[2]No. of aircraft'!AY39</f>
        <v>1</v>
      </c>
      <c r="CK9" s="137">
        <v>1</v>
      </c>
      <c r="CL9" s="137">
        <v>1</v>
      </c>
      <c r="CM9" s="137">
        <v>1</v>
      </c>
      <c r="CN9" s="137">
        <v>1</v>
      </c>
      <c r="CO9" s="137">
        <v>1</v>
      </c>
      <c r="CP9" s="137">
        <v>1</v>
      </c>
      <c r="CQ9" s="137">
        <v>1</v>
      </c>
      <c r="CR9" s="137">
        <v>1</v>
      </c>
      <c r="CS9" s="137">
        <v>1</v>
      </c>
      <c r="CT9" s="137">
        <v>1</v>
      </c>
      <c r="CU9" s="137">
        <v>1</v>
      </c>
      <c r="CV9" s="137">
        <v>1</v>
      </c>
      <c r="CW9" s="137">
        <v>1</v>
      </c>
      <c r="CX9" s="137">
        <v>1</v>
      </c>
      <c r="CY9" s="137">
        <v>1</v>
      </c>
      <c r="CZ9" s="137">
        <v>1</v>
      </c>
      <c r="DA9" s="137">
        <v>1</v>
      </c>
      <c r="DB9" s="137">
        <v>1</v>
      </c>
      <c r="DC9" s="137">
        <v>1</v>
      </c>
      <c r="DD9" s="137">
        <v>1</v>
      </c>
      <c r="DF9" s="827"/>
      <c r="DH9" s="697">
        <v>2</v>
      </c>
      <c r="DI9" s="138" t="str">
        <v>MDC-SRG</v>
      </c>
      <c r="DJ9" s="155">
        <v>13874.547181234309</v>
      </c>
      <c r="DK9" s="145">
        <v>14277.61683091852</v>
      </c>
      <c r="DL9" s="145">
        <v>14393.777744109222</v>
      </c>
      <c r="DM9" s="145">
        <v>14455.590555211815</v>
      </c>
      <c r="DN9" s="145">
        <v>14780.324842057822</v>
      </c>
      <c r="DO9" s="145">
        <v>14624.227270684449</v>
      </c>
      <c r="DP9" s="145">
        <v>14707.612562073329</v>
      </c>
      <c r="DQ9" s="145">
        <v>14732.392563750163</v>
      </c>
      <c r="DR9" s="145">
        <v>14790.267811898901</v>
      </c>
      <c r="DS9" s="146">
        <v>14881.357384400129</v>
      </c>
      <c r="GT9" s="825">
        <v>2</v>
      </c>
      <c r="GU9" s="156" t="s">
        <v>20</v>
      </c>
      <c r="GV9" s="148">
        <f>'[2]No. of aircraft'!AF127</f>
        <v>0</v>
      </c>
      <c r="GW9" s="148">
        <f>'[2]No. of aircraft'!AG127</f>
        <v>0</v>
      </c>
      <c r="GX9" s="148">
        <f>'[2]No. of aircraft'!AH127</f>
        <v>0</v>
      </c>
      <c r="GY9" s="148">
        <f>'[2]No. of aircraft'!AI127</f>
        <v>0</v>
      </c>
      <c r="GZ9" s="148">
        <f>'[2]No. of aircraft'!AJ127</f>
        <v>1</v>
      </c>
      <c r="HA9" s="148">
        <f>'[2]No. of aircraft'!AK127</f>
        <v>1</v>
      </c>
      <c r="HB9" s="148">
        <f>'[2]No. of aircraft'!AL127</f>
        <v>1</v>
      </c>
      <c r="HC9" s="148">
        <f>'[2]No. of aircraft'!AM127</f>
        <v>1</v>
      </c>
      <c r="HD9" s="148">
        <f>'[2]No. of aircraft'!AN127</f>
        <v>1</v>
      </c>
      <c r="HE9" s="148">
        <f>'[2]No. of aircraft'!AO127</f>
        <v>1</v>
      </c>
      <c r="HF9" s="148">
        <f>'[2]No. of aircraft'!AP127</f>
        <v>1</v>
      </c>
      <c r="HG9" s="148">
        <f>'[2]No. of aircraft'!AQ127</f>
        <v>1</v>
      </c>
      <c r="HH9" s="148">
        <f>'[2]No. of aircraft'!AR127</f>
        <v>1</v>
      </c>
      <c r="HI9" s="148">
        <f>'[2]No. of aircraft'!AS127</f>
        <v>1</v>
      </c>
      <c r="HJ9" s="148">
        <f>'[2]No. of aircraft'!AT127</f>
        <v>1</v>
      </c>
      <c r="HK9" s="148">
        <f>'[2]No. of aircraft'!AU127</f>
        <v>1</v>
      </c>
      <c r="HL9" s="148">
        <f>'[2]No. of aircraft'!AV127</f>
        <v>1</v>
      </c>
      <c r="HM9" s="148">
        <f>'[2]No. of aircraft'!AW127</f>
        <v>1</v>
      </c>
      <c r="HN9" s="148">
        <f>'[2]No. of aircraft'!AX127</f>
        <v>1</v>
      </c>
      <c r="HO9" s="148">
        <f>'[2]No. of aircraft'!AY127</f>
        <v>1</v>
      </c>
    </row>
    <row r="10" spans="1:223" ht="15" customHeight="1">
      <c r="A10" s="697"/>
      <c r="B10" s="152" t="s">
        <v>21</v>
      </c>
      <c r="C10" s="125">
        <v>9.85</v>
      </c>
      <c r="D10" s="125">
        <v>10.0076</v>
      </c>
      <c r="E10" s="125">
        <v>10.1652</v>
      </c>
      <c r="F10" s="125">
        <v>10.322800000000001</v>
      </c>
      <c r="G10" s="125">
        <v>11.019162763636366</v>
      </c>
      <c r="H10" s="125">
        <v>11.184864459330145</v>
      </c>
      <c r="I10" s="125">
        <v>11.350566155023927</v>
      </c>
      <c r="J10" s="125">
        <v>11.516267850717705</v>
      </c>
      <c r="K10" s="125">
        <v>12.282501033524621</v>
      </c>
      <c r="L10" s="125">
        <v>12.456720906340571</v>
      </c>
      <c r="M10" s="125">
        <v>12.630940779156523</v>
      </c>
      <c r="N10" s="125">
        <v>12.805160651972477</v>
      </c>
      <c r="O10" s="125">
        <v>13.646607626981382</v>
      </c>
      <c r="P10" s="125">
        <v>13.829783568283144</v>
      </c>
      <c r="Q10" s="125">
        <v>14.01295950958491</v>
      </c>
      <c r="R10" s="125">
        <v>14.196135450886672</v>
      </c>
      <c r="S10" s="125">
        <v>15.118504318493088</v>
      </c>
      <c r="T10" s="125">
        <v>15.311096730193636</v>
      </c>
      <c r="U10" s="125">
        <v>15.503689141894185</v>
      </c>
      <c r="V10" s="125">
        <v>15.696281553594737</v>
      </c>
      <c r="W10" s="125">
        <v>15.748744684896552</v>
      </c>
      <c r="X10" s="125">
        <v>15.780242174266345</v>
      </c>
      <c r="Y10" s="125">
        <v>15.811802658614878</v>
      </c>
      <c r="Z10" s="125">
        <v>15.843426263932106</v>
      </c>
      <c r="AA10" s="125">
        <v>15.928110514400833</v>
      </c>
      <c r="AB10" s="125">
        <v>15.991822956458437</v>
      </c>
      <c r="AC10" s="125">
        <v>16.055790248284271</v>
      </c>
      <c r="AD10" s="125">
        <v>16.120013409277405</v>
      </c>
      <c r="AE10" s="125">
        <v>16.23845925708774</v>
      </c>
      <c r="AF10" s="125">
        <v>16.335890012630266</v>
      </c>
      <c r="AG10" s="125">
        <v>16.433905352706049</v>
      </c>
      <c r="AH10" s="125">
        <v>16.53250878482228</v>
      </c>
      <c r="AI10" s="125">
        <v>16.677162066662273</v>
      </c>
      <c r="AJ10" s="125">
        <v>16.800573065955572</v>
      </c>
      <c r="AK10" s="125">
        <v>16.924897306643643</v>
      </c>
      <c r="AL10" s="125">
        <v>17.050141546712805</v>
      </c>
      <c r="AM10" s="125">
        <v>17.21127501072495</v>
      </c>
      <c r="AN10" s="125">
        <v>17.21127501072495</v>
      </c>
      <c r="AO10" s="125">
        <v>17.21127501072495</v>
      </c>
      <c r="AP10" s="125">
        <v>17.21127501072495</v>
      </c>
      <c r="AQ10" s="127"/>
      <c r="AS10" s="697"/>
      <c r="AT10" s="153" t="s">
        <v>21</v>
      </c>
      <c r="AU10" s="129">
        <f t="shared" si="0"/>
        <v>10.086399999999999</v>
      </c>
      <c r="AV10" s="129">
        <f t="shared" si="1"/>
        <v>11.267715307177035</v>
      </c>
      <c r="AW10" s="129">
        <f t="shared" si="2"/>
        <v>12.543830842748548</v>
      </c>
      <c r="AX10" s="129">
        <f t="shared" si="3"/>
        <v>13.921371538934027</v>
      </c>
      <c r="AY10" s="129">
        <f t="shared" si="4"/>
        <v>15.407392936043911</v>
      </c>
      <c r="AZ10" s="129">
        <f t="shared" si="5"/>
        <v>15.79605394542747</v>
      </c>
      <c r="BA10" s="129">
        <f t="shared" si="6"/>
        <v>16.023934282105238</v>
      </c>
      <c r="BB10" s="129">
        <f t="shared" si="7"/>
        <v>16.385190851811583</v>
      </c>
      <c r="BC10" s="129">
        <f t="shared" si="8"/>
        <v>16.863193496493572</v>
      </c>
      <c r="BD10" s="130">
        <f t="shared" si="9"/>
        <v>17.21127501072495</v>
      </c>
      <c r="BE10" s="131"/>
      <c r="BF10" s="132">
        <f t="shared" si="10"/>
        <v>1.2230177144448695</v>
      </c>
      <c r="BG10" s="697"/>
      <c r="BH10" s="154" t="s">
        <v>21</v>
      </c>
      <c r="BI10" s="134">
        <v>1.1100000000000001</v>
      </c>
      <c r="BJ10" s="135">
        <v>1.1990369749459504</v>
      </c>
      <c r="BK10" s="823"/>
      <c r="BL10" s="152" t="s">
        <v>21</v>
      </c>
      <c r="BM10" s="136">
        <f t="shared" si="12"/>
        <v>15891.592500000001</v>
      </c>
      <c r="BO10" s="697"/>
      <c r="BP10" s="152" t="s">
        <v>21</v>
      </c>
      <c r="BQ10" s="137">
        <v>1</v>
      </c>
      <c r="BR10" s="137">
        <v>1</v>
      </c>
      <c r="BS10" s="137">
        <v>1</v>
      </c>
      <c r="BT10" s="137">
        <v>1</v>
      </c>
      <c r="BU10" s="137">
        <f>'[2]No. of aircraft'!AJ40</f>
        <v>1</v>
      </c>
      <c r="BV10" s="137">
        <f>'[2]No. of aircraft'!AK40</f>
        <v>1</v>
      </c>
      <c r="BW10" s="137">
        <f>'[2]No. of aircraft'!AL40</f>
        <v>1</v>
      </c>
      <c r="BX10" s="137">
        <f>'[2]No. of aircraft'!AM40</f>
        <v>1</v>
      </c>
      <c r="BY10" s="137">
        <f>'[2]No. of aircraft'!AN40</f>
        <v>1</v>
      </c>
      <c r="BZ10" s="137">
        <f>'[2]No. of aircraft'!AO40</f>
        <v>1</v>
      </c>
      <c r="CA10" s="137">
        <f>'[2]No. of aircraft'!AP40</f>
        <v>1</v>
      </c>
      <c r="CB10" s="137">
        <f>'[2]No. of aircraft'!AQ40</f>
        <v>1</v>
      </c>
      <c r="CC10" s="137">
        <f>'[2]No. of aircraft'!AR40</f>
        <v>1</v>
      </c>
      <c r="CD10" s="137">
        <f>'[2]No. of aircraft'!AS40</f>
        <v>1</v>
      </c>
      <c r="CE10" s="137">
        <f>'[2]No. of aircraft'!AT40</f>
        <v>1</v>
      </c>
      <c r="CF10" s="137">
        <f>'[2]No. of aircraft'!AU40</f>
        <v>1</v>
      </c>
      <c r="CG10" s="137">
        <f>'[2]No. of aircraft'!AV40</f>
        <v>1</v>
      </c>
      <c r="CH10" s="137">
        <f>'[2]No. of aircraft'!AW40</f>
        <v>1</v>
      </c>
      <c r="CI10" s="137">
        <f>'[2]No. of aircraft'!AX40</f>
        <v>1</v>
      </c>
      <c r="CJ10" s="137">
        <f>'[2]No. of aircraft'!AY40</f>
        <v>1</v>
      </c>
      <c r="CK10" s="137">
        <v>1</v>
      </c>
      <c r="CL10" s="137">
        <v>1</v>
      </c>
      <c r="CM10" s="137">
        <v>1</v>
      </c>
      <c r="CN10" s="137">
        <v>1</v>
      </c>
      <c r="CO10" s="137">
        <v>1</v>
      </c>
      <c r="CP10" s="137">
        <v>1</v>
      </c>
      <c r="CQ10" s="137">
        <v>1</v>
      </c>
      <c r="CR10" s="137">
        <v>1</v>
      </c>
      <c r="CS10" s="137">
        <v>1</v>
      </c>
      <c r="CT10" s="137">
        <v>1</v>
      </c>
      <c r="CU10" s="137">
        <v>1</v>
      </c>
      <c r="CV10" s="137">
        <v>1</v>
      </c>
      <c r="CW10" s="137">
        <v>1</v>
      </c>
      <c r="CX10" s="137">
        <v>1</v>
      </c>
      <c r="CY10" s="137">
        <v>1</v>
      </c>
      <c r="CZ10" s="137">
        <v>1</v>
      </c>
      <c r="DA10" s="137">
        <v>1</v>
      </c>
      <c r="DB10" s="137">
        <v>1</v>
      </c>
      <c r="DC10" s="137">
        <v>1</v>
      </c>
      <c r="DD10" s="137">
        <v>1</v>
      </c>
      <c r="DF10" s="827"/>
      <c r="DH10" s="697"/>
      <c r="DI10" s="139" t="str">
        <v>SRG-KDI</v>
      </c>
      <c r="DJ10" s="149">
        <v>11167.895780597333</v>
      </c>
      <c r="DK10" s="145">
        <v>11573.943309753315</v>
      </c>
      <c r="DL10" s="145">
        <v>11689.880587243888</v>
      </c>
      <c r="DM10" s="145">
        <v>11761.026074092182</v>
      </c>
      <c r="DN10" s="145">
        <v>12057.386001215909</v>
      </c>
      <c r="DO10" s="145">
        <v>11893.191183749968</v>
      </c>
      <c r="DP10" s="145">
        <v>11935.227879718535</v>
      </c>
      <c r="DQ10" s="145">
        <v>11934.72533565005</v>
      </c>
      <c r="DR10" s="145">
        <v>11968.424522100129</v>
      </c>
      <c r="DS10" s="146">
        <v>12018.935401086226</v>
      </c>
      <c r="GT10" s="825"/>
      <c r="GU10" s="156" t="s">
        <v>22</v>
      </c>
      <c r="GV10" s="148">
        <f>'[2]No. of aircraft'!AF128</f>
        <v>0</v>
      </c>
      <c r="GW10" s="148">
        <f>'[2]No. of aircraft'!AG128</f>
        <v>0</v>
      </c>
      <c r="GX10" s="148">
        <f>'[2]No. of aircraft'!AH128</f>
        <v>0</v>
      </c>
      <c r="GY10" s="148">
        <f>'[2]No. of aircraft'!AI128</f>
        <v>0</v>
      </c>
      <c r="GZ10" s="148">
        <f>'[2]No. of aircraft'!AJ128</f>
        <v>1</v>
      </c>
      <c r="HA10" s="148">
        <f>'[2]No. of aircraft'!AK128</f>
        <v>1</v>
      </c>
      <c r="HB10" s="148">
        <f>'[2]No. of aircraft'!AL128</f>
        <v>1</v>
      </c>
      <c r="HC10" s="148">
        <f>'[2]No. of aircraft'!AM128</f>
        <v>1</v>
      </c>
      <c r="HD10" s="148">
        <f>'[2]No. of aircraft'!AN128</f>
        <v>1</v>
      </c>
      <c r="HE10" s="148">
        <f>'[2]No. of aircraft'!AO128</f>
        <v>1</v>
      </c>
      <c r="HF10" s="148">
        <f>'[2]No. of aircraft'!AP128</f>
        <v>1</v>
      </c>
      <c r="HG10" s="148">
        <f>'[2]No. of aircraft'!AQ128</f>
        <v>1</v>
      </c>
      <c r="HH10" s="148">
        <f>'[2]No. of aircraft'!AR128</f>
        <v>1</v>
      </c>
      <c r="HI10" s="148">
        <f>'[2]No. of aircraft'!AS128</f>
        <v>1</v>
      </c>
      <c r="HJ10" s="148">
        <f>'[2]No. of aircraft'!AT128</f>
        <v>1</v>
      </c>
      <c r="HK10" s="148">
        <f>'[2]No. of aircraft'!AU128</f>
        <v>1</v>
      </c>
      <c r="HL10" s="148">
        <f>'[2]No. of aircraft'!AV128</f>
        <v>1</v>
      </c>
      <c r="HM10" s="148">
        <f>'[2]No. of aircraft'!AW128</f>
        <v>1</v>
      </c>
      <c r="HN10" s="148">
        <f>'[2]No. of aircraft'!AX128</f>
        <v>1</v>
      </c>
      <c r="HO10" s="148">
        <f>'[2]No. of aircraft'!AY128</f>
        <v>1</v>
      </c>
    </row>
    <row r="11" spans="1:223">
      <c r="A11" s="697"/>
      <c r="B11" s="152" t="s">
        <v>23</v>
      </c>
      <c r="C11" s="125">
        <v>7.05</v>
      </c>
      <c r="D11" s="125">
        <v>7.1627999999999998</v>
      </c>
      <c r="E11" s="125">
        <v>7.2755999999999998</v>
      </c>
      <c r="F11" s="125">
        <v>7.3883999999999999</v>
      </c>
      <c r="G11" s="125">
        <v>7.8868119272727286</v>
      </c>
      <c r="H11" s="125">
        <v>8.0054106028708141</v>
      </c>
      <c r="I11" s="125">
        <v>8.1240092784689004</v>
      </c>
      <c r="J11" s="125">
        <v>8.2426079540669868</v>
      </c>
      <c r="K11" s="125">
        <v>8.7910286585125448</v>
      </c>
      <c r="L11" s="125">
        <v>8.9157241004772629</v>
      </c>
      <c r="M11" s="125">
        <v>9.0404195424419793</v>
      </c>
      <c r="N11" s="125">
        <v>9.1651149844066957</v>
      </c>
      <c r="O11" s="125">
        <v>9.7673689106821051</v>
      </c>
      <c r="P11" s="125">
        <v>9.8984745336442828</v>
      </c>
      <c r="Q11" s="125">
        <v>10.029580156606457</v>
      </c>
      <c r="R11" s="125">
        <v>10.160685779568633</v>
      </c>
      <c r="S11" s="125">
        <v>10.78152727458361</v>
      </c>
      <c r="T11" s="125">
        <v>10.78152727458361</v>
      </c>
      <c r="U11" s="125">
        <v>10.78152727458361</v>
      </c>
      <c r="V11" s="125">
        <v>10.78152727458361</v>
      </c>
      <c r="W11" s="125">
        <v>10.81756336880817</v>
      </c>
      <c r="X11" s="125">
        <v>10.839198495545785</v>
      </c>
      <c r="Y11" s="125">
        <v>10.860876892536876</v>
      </c>
      <c r="Z11" s="125">
        <v>10.882598646321949</v>
      </c>
      <c r="AA11" s="125">
        <v>10.94076691713429</v>
      </c>
      <c r="AB11" s="125">
        <v>10.984529984802828</v>
      </c>
      <c r="AC11" s="125">
        <v>11.028468104742039</v>
      </c>
      <c r="AD11" s="125">
        <v>11.072581977161006</v>
      </c>
      <c r="AE11" s="125">
        <v>11.153940554628408</v>
      </c>
      <c r="AF11" s="125">
        <v>11.220864197956177</v>
      </c>
      <c r="AG11" s="125">
        <v>11.288189383143914</v>
      </c>
      <c r="AH11" s="125">
        <v>11.355918519442776</v>
      </c>
      <c r="AI11" s="125">
        <v>11.455278568393908</v>
      </c>
      <c r="AJ11" s="125">
        <v>11.540047629800021</v>
      </c>
      <c r="AK11" s="125">
        <v>11.62544398226054</v>
      </c>
      <c r="AL11" s="125">
        <v>11.711472267729267</v>
      </c>
      <c r="AM11" s="125">
        <v>11.822152292878103</v>
      </c>
      <c r="AN11" s="125">
        <v>11.822152292878103</v>
      </c>
      <c r="AO11" s="125">
        <v>11.822152292878103</v>
      </c>
      <c r="AP11" s="125">
        <v>11.822152292878103</v>
      </c>
      <c r="AQ11" s="127"/>
      <c r="AS11" s="697"/>
      <c r="AT11" s="153" t="s">
        <v>23</v>
      </c>
      <c r="AU11" s="129">
        <f t="shared" si="0"/>
        <v>7.2191999999999998</v>
      </c>
      <c r="AV11" s="129">
        <f t="shared" si="1"/>
        <v>8.0647099406698572</v>
      </c>
      <c r="AW11" s="129">
        <f t="shared" si="2"/>
        <v>8.978071821459622</v>
      </c>
      <c r="AX11" s="129">
        <f t="shared" si="3"/>
        <v>9.9640273451253698</v>
      </c>
      <c r="AY11" s="129">
        <f t="shared" si="4"/>
        <v>10.78152727458361</v>
      </c>
      <c r="AZ11" s="129">
        <f t="shared" si="5"/>
        <v>10.850059350803196</v>
      </c>
      <c r="BA11" s="129">
        <f t="shared" si="6"/>
        <v>11.006586745960041</v>
      </c>
      <c r="BB11" s="129">
        <f t="shared" si="7"/>
        <v>11.254728163792818</v>
      </c>
      <c r="BC11" s="129">
        <f t="shared" si="8"/>
        <v>11.583060612045934</v>
      </c>
      <c r="BD11" s="130">
        <f t="shared" si="9"/>
        <v>11.822152292878103</v>
      </c>
      <c r="BE11" s="131"/>
      <c r="BF11" s="132">
        <f t="shared" si="10"/>
        <v>1.3428274435245002</v>
      </c>
      <c r="BG11" s="697"/>
      <c r="BH11" s="154" t="s">
        <v>23</v>
      </c>
      <c r="BI11" s="134">
        <v>1.27</v>
      </c>
      <c r="BJ11" s="135">
        <v>1.3164974936514708</v>
      </c>
      <c r="BK11" s="823"/>
      <c r="BL11" s="152" t="s">
        <v>23</v>
      </c>
      <c r="BM11" s="136">
        <f t="shared" si="12"/>
        <v>18182.272499999999</v>
      </c>
      <c r="BO11" s="697"/>
      <c r="BP11" s="152" t="s">
        <v>23</v>
      </c>
      <c r="BQ11" s="137">
        <v>1</v>
      </c>
      <c r="BR11" s="137">
        <v>1</v>
      </c>
      <c r="BS11" s="137">
        <v>1</v>
      </c>
      <c r="BT11" s="137">
        <v>1</v>
      </c>
      <c r="BU11" s="137">
        <f>'[2]No. of aircraft'!AJ41</f>
        <v>1</v>
      </c>
      <c r="BV11" s="137">
        <f>'[2]No. of aircraft'!AK41</f>
        <v>1</v>
      </c>
      <c r="BW11" s="137">
        <f>'[2]No. of aircraft'!AL41</f>
        <v>1</v>
      </c>
      <c r="BX11" s="137">
        <f>'[2]No. of aircraft'!AM41</f>
        <v>1</v>
      </c>
      <c r="BY11" s="137">
        <f>'[2]No. of aircraft'!AN41</f>
        <v>1</v>
      </c>
      <c r="BZ11" s="137">
        <f>'[2]No. of aircraft'!AO41</f>
        <v>1</v>
      </c>
      <c r="CA11" s="137">
        <f>'[2]No. of aircraft'!AP41</f>
        <v>1</v>
      </c>
      <c r="CB11" s="137">
        <f>'[2]No. of aircraft'!AQ41</f>
        <v>1</v>
      </c>
      <c r="CC11" s="137">
        <f>'[2]No. of aircraft'!AR41</f>
        <v>1</v>
      </c>
      <c r="CD11" s="137">
        <f>'[2]No. of aircraft'!AS41</f>
        <v>1</v>
      </c>
      <c r="CE11" s="137">
        <f>'[2]No. of aircraft'!AT41</f>
        <v>1</v>
      </c>
      <c r="CF11" s="137">
        <f>'[2]No. of aircraft'!AU41</f>
        <v>1</v>
      </c>
      <c r="CG11" s="137">
        <f>'[2]No. of aircraft'!AV41</f>
        <v>1</v>
      </c>
      <c r="CH11" s="137">
        <f>'[2]No. of aircraft'!AW41</f>
        <v>1</v>
      </c>
      <c r="CI11" s="137">
        <f>'[2]No. of aircraft'!AX41</f>
        <v>1</v>
      </c>
      <c r="CJ11" s="137">
        <f>'[2]No. of aircraft'!AY41</f>
        <v>1</v>
      </c>
      <c r="CK11" s="137">
        <v>1</v>
      </c>
      <c r="CL11" s="137">
        <v>1</v>
      </c>
      <c r="CM11" s="137">
        <v>1</v>
      </c>
      <c r="CN11" s="137">
        <v>1</v>
      </c>
      <c r="CO11" s="137">
        <v>1</v>
      </c>
      <c r="CP11" s="137">
        <v>1</v>
      </c>
      <c r="CQ11" s="137">
        <v>1</v>
      </c>
      <c r="CR11" s="137">
        <v>1</v>
      </c>
      <c r="CS11" s="137">
        <v>1</v>
      </c>
      <c r="CT11" s="137">
        <v>1</v>
      </c>
      <c r="CU11" s="137">
        <v>1</v>
      </c>
      <c r="CV11" s="137">
        <v>1</v>
      </c>
      <c r="CW11" s="137">
        <v>1</v>
      </c>
      <c r="CX11" s="137">
        <v>1</v>
      </c>
      <c r="CY11" s="137">
        <v>1</v>
      </c>
      <c r="CZ11" s="137">
        <v>1</v>
      </c>
      <c r="DA11" s="137">
        <v>1</v>
      </c>
      <c r="DB11" s="137">
        <v>1</v>
      </c>
      <c r="DC11" s="137">
        <v>1</v>
      </c>
      <c r="DD11" s="137">
        <v>1</v>
      </c>
      <c r="DF11" s="827"/>
      <c r="DH11" s="697"/>
      <c r="DI11" s="139" t="str">
        <v>KDI-PNK</v>
      </c>
      <c r="DJ11" s="149">
        <v>11934.194837722906</v>
      </c>
      <c r="DK11" s="145">
        <v>12239.614112501855</v>
      </c>
      <c r="DL11" s="145">
        <v>12347.225492350197</v>
      </c>
      <c r="DM11" s="145">
        <v>12406.754044093937</v>
      </c>
      <c r="DN11" s="145">
        <v>12679.617261272237</v>
      </c>
      <c r="DO11" s="145">
        <v>12484.724860593589</v>
      </c>
      <c r="DP11" s="145">
        <v>12525.734805706237</v>
      </c>
      <c r="DQ11" s="145">
        <v>12520.335716136673</v>
      </c>
      <c r="DR11" s="145">
        <v>12549.228971582947</v>
      </c>
      <c r="DS11" s="146">
        <v>12597.504573835024</v>
      </c>
      <c r="GT11" s="825"/>
      <c r="GU11" s="156" t="s">
        <v>24</v>
      </c>
      <c r="GV11" s="148">
        <f>'[2]No. of aircraft'!AF129</f>
        <v>0</v>
      </c>
      <c r="GW11" s="148">
        <f>'[2]No. of aircraft'!AG129</f>
        <v>0</v>
      </c>
      <c r="GX11" s="148">
        <f>'[2]No. of aircraft'!AH129</f>
        <v>0</v>
      </c>
      <c r="GY11" s="148">
        <f>'[2]No. of aircraft'!AI129</f>
        <v>0</v>
      </c>
      <c r="GZ11" s="148">
        <f>'[2]No. of aircraft'!AJ129</f>
        <v>1</v>
      </c>
      <c r="HA11" s="148">
        <f>'[2]No. of aircraft'!AK129</f>
        <v>1</v>
      </c>
      <c r="HB11" s="148">
        <f>'[2]No. of aircraft'!AL129</f>
        <v>1</v>
      </c>
      <c r="HC11" s="148">
        <f>'[2]No. of aircraft'!AM129</f>
        <v>1</v>
      </c>
      <c r="HD11" s="148">
        <f>'[2]No. of aircraft'!AN129</f>
        <v>1</v>
      </c>
      <c r="HE11" s="148">
        <f>'[2]No. of aircraft'!AO129</f>
        <v>1</v>
      </c>
      <c r="HF11" s="148">
        <f>'[2]No. of aircraft'!AP129</f>
        <v>1</v>
      </c>
      <c r="HG11" s="148">
        <f>'[2]No. of aircraft'!AQ129</f>
        <v>1</v>
      </c>
      <c r="HH11" s="148">
        <f>'[2]No. of aircraft'!AR129</f>
        <v>1</v>
      </c>
      <c r="HI11" s="148">
        <f>'[2]No. of aircraft'!AS129</f>
        <v>1</v>
      </c>
      <c r="HJ11" s="148">
        <f>'[2]No. of aircraft'!AT129</f>
        <v>1</v>
      </c>
      <c r="HK11" s="148">
        <f>'[2]No. of aircraft'!AU129</f>
        <v>1</v>
      </c>
      <c r="HL11" s="148">
        <f>'[2]No. of aircraft'!AV129</f>
        <v>1</v>
      </c>
      <c r="HM11" s="148">
        <f>'[2]No. of aircraft'!AW129</f>
        <v>1</v>
      </c>
      <c r="HN11" s="148">
        <f>'[2]No. of aircraft'!AX129</f>
        <v>1</v>
      </c>
      <c r="HO11" s="148">
        <f>'[2]No. of aircraft'!AY129</f>
        <v>1</v>
      </c>
    </row>
    <row r="12" spans="1:223" ht="15" thickBot="1">
      <c r="A12" s="697"/>
      <c r="B12" s="157" t="s">
        <v>25</v>
      </c>
      <c r="C12" s="125">
        <v>6.21</v>
      </c>
      <c r="D12" s="125">
        <v>6.3204000000000002</v>
      </c>
      <c r="E12" s="125">
        <v>6.4308000000000005</v>
      </c>
      <c r="F12" s="125">
        <v>6.5412000000000008</v>
      </c>
      <c r="G12" s="125">
        <v>6.9935367961722505</v>
      </c>
      <c r="H12" s="125">
        <v>7.1096120956937821</v>
      </c>
      <c r="I12" s="125">
        <v>7.2256873952153144</v>
      </c>
      <c r="J12" s="125">
        <v>7.3417626947368424</v>
      </c>
      <c r="K12" s="125">
        <v>7.8412208239727859</v>
      </c>
      <c r="L12" s="125">
        <v>7.9632631714276156</v>
      </c>
      <c r="M12" s="125">
        <v>8.0853055188824445</v>
      </c>
      <c r="N12" s="125">
        <v>8.2073478663372743</v>
      </c>
      <c r="O12" s="125">
        <v>8.7575766657393874</v>
      </c>
      <c r="P12" s="125">
        <v>8.8858928073619445</v>
      </c>
      <c r="Q12" s="125">
        <v>9.0142089489844999</v>
      </c>
      <c r="R12" s="125">
        <v>9.1425250906070552</v>
      </c>
      <c r="S12" s="125">
        <v>9.7474245728950422</v>
      </c>
      <c r="T12" s="125">
        <v>9.88233702373096</v>
      </c>
      <c r="U12" s="125">
        <v>10.017249474566876</v>
      </c>
      <c r="V12" s="125">
        <v>10.152161925402794</v>
      </c>
      <c r="W12" s="125">
        <v>10.186094433702364</v>
      </c>
      <c r="X12" s="125">
        <v>10.206466622569767</v>
      </c>
      <c r="Y12" s="125">
        <v>10.226879555814907</v>
      </c>
      <c r="Z12" s="125">
        <v>10.247333314926536</v>
      </c>
      <c r="AA12" s="125">
        <v>10.302106046949362</v>
      </c>
      <c r="AB12" s="125">
        <v>10.343314471137159</v>
      </c>
      <c r="AC12" s="125">
        <v>10.384687729021708</v>
      </c>
      <c r="AD12" s="125">
        <v>10.426226479937794</v>
      </c>
      <c r="AE12" s="125">
        <v>10.502835798027322</v>
      </c>
      <c r="AF12" s="125">
        <v>10.565852812815486</v>
      </c>
      <c r="AG12" s="125">
        <v>10.629247929692378</v>
      </c>
      <c r="AH12" s="125">
        <v>10.693023417270531</v>
      </c>
      <c r="AI12" s="125">
        <v>10.786583381473918</v>
      </c>
      <c r="AJ12" s="125">
        <v>10.866404098496821</v>
      </c>
      <c r="AK12" s="125">
        <v>10.946815488825695</v>
      </c>
      <c r="AL12" s="125">
        <v>11.027821923443003</v>
      </c>
      <c r="AM12" s="125">
        <v>11.132041066853928</v>
      </c>
      <c r="AN12" s="125">
        <v>11.132041066853928</v>
      </c>
      <c r="AO12" s="125">
        <v>11.132041066853928</v>
      </c>
      <c r="AP12" s="125">
        <v>11.132041066853928</v>
      </c>
      <c r="AQ12" s="127"/>
      <c r="AS12" s="697"/>
      <c r="AT12" s="158" t="s">
        <v>25</v>
      </c>
      <c r="AU12" s="129">
        <f t="shared" si="0"/>
        <v>6.3756000000000004</v>
      </c>
      <c r="AV12" s="129">
        <f t="shared" si="1"/>
        <v>7.1676497454545478</v>
      </c>
      <c r="AW12" s="129">
        <f t="shared" si="2"/>
        <v>8.0242843451550296</v>
      </c>
      <c r="AX12" s="129">
        <f t="shared" si="3"/>
        <v>8.9500508781732222</v>
      </c>
      <c r="AY12" s="129">
        <f t="shared" si="4"/>
        <v>9.9497932491489181</v>
      </c>
      <c r="AZ12" s="129">
        <f t="shared" si="5"/>
        <v>10.216693481753392</v>
      </c>
      <c r="BA12" s="129">
        <f t="shared" si="6"/>
        <v>10.364083681761507</v>
      </c>
      <c r="BB12" s="129">
        <f t="shared" si="7"/>
        <v>10.597739989451428</v>
      </c>
      <c r="BC12" s="129">
        <f t="shared" si="8"/>
        <v>10.90690622305986</v>
      </c>
      <c r="BD12" s="130">
        <f t="shared" si="9"/>
        <v>11.132041066853928</v>
      </c>
      <c r="BE12" s="131"/>
      <c r="BF12" s="132">
        <f t="shared" si="10"/>
        <v>1.6423517662235765</v>
      </c>
      <c r="BG12" s="697"/>
      <c r="BH12" s="159" t="s">
        <v>25</v>
      </c>
      <c r="BI12" s="134">
        <v>1.52</v>
      </c>
      <c r="BJ12" s="135">
        <v>1.6101487904152709</v>
      </c>
      <c r="BK12" s="823"/>
      <c r="BL12" s="157" t="s">
        <v>25</v>
      </c>
      <c r="BM12" s="136">
        <f t="shared" si="12"/>
        <v>21761.46</v>
      </c>
      <c r="BO12" s="697"/>
      <c r="BP12" s="157" t="s">
        <v>25</v>
      </c>
      <c r="BQ12" s="137">
        <v>1</v>
      </c>
      <c r="BR12" s="137">
        <v>1</v>
      </c>
      <c r="BS12" s="137">
        <v>1</v>
      </c>
      <c r="BT12" s="137">
        <v>1</v>
      </c>
      <c r="BU12" s="137">
        <f>'[2]No. of aircraft'!AJ42</f>
        <v>1</v>
      </c>
      <c r="BV12" s="137">
        <f>'[2]No. of aircraft'!AK42</f>
        <v>1</v>
      </c>
      <c r="BW12" s="137">
        <f>'[2]No. of aircraft'!AL42</f>
        <v>1</v>
      </c>
      <c r="BX12" s="137">
        <f>'[2]No. of aircraft'!AM42</f>
        <v>1</v>
      </c>
      <c r="BY12" s="137">
        <f>'[2]No. of aircraft'!AN42</f>
        <v>1</v>
      </c>
      <c r="BZ12" s="137">
        <f>'[2]No. of aircraft'!AO42</f>
        <v>1</v>
      </c>
      <c r="CA12" s="137">
        <f>'[2]No. of aircraft'!AP42</f>
        <v>1</v>
      </c>
      <c r="CB12" s="137">
        <f>'[2]No. of aircraft'!AQ42</f>
        <v>1</v>
      </c>
      <c r="CC12" s="137">
        <f>'[2]No. of aircraft'!AR42</f>
        <v>1</v>
      </c>
      <c r="CD12" s="137">
        <f>'[2]No. of aircraft'!AS42</f>
        <v>1</v>
      </c>
      <c r="CE12" s="137">
        <f>'[2]No. of aircraft'!AT42</f>
        <v>1</v>
      </c>
      <c r="CF12" s="137">
        <f>'[2]No. of aircraft'!AU42</f>
        <v>1</v>
      </c>
      <c r="CG12" s="137">
        <f>'[2]No. of aircraft'!AV42</f>
        <v>1</v>
      </c>
      <c r="CH12" s="137">
        <f>'[2]No. of aircraft'!AW42</f>
        <v>1</v>
      </c>
      <c r="CI12" s="137">
        <f>'[2]No. of aircraft'!AX42</f>
        <v>1</v>
      </c>
      <c r="CJ12" s="137">
        <f>'[2]No. of aircraft'!AY42</f>
        <v>1</v>
      </c>
      <c r="CK12" s="137">
        <v>1</v>
      </c>
      <c r="CL12" s="137">
        <v>1</v>
      </c>
      <c r="CM12" s="137">
        <v>1</v>
      </c>
      <c r="CN12" s="137">
        <v>1</v>
      </c>
      <c r="CO12" s="137">
        <v>1</v>
      </c>
      <c r="CP12" s="137">
        <v>1</v>
      </c>
      <c r="CQ12" s="137">
        <v>1</v>
      </c>
      <c r="CR12" s="137">
        <v>1</v>
      </c>
      <c r="CS12" s="137">
        <v>1</v>
      </c>
      <c r="CT12" s="137">
        <v>1</v>
      </c>
      <c r="CU12" s="137">
        <v>1</v>
      </c>
      <c r="CV12" s="137">
        <v>1</v>
      </c>
      <c r="CW12" s="137">
        <v>1</v>
      </c>
      <c r="CX12" s="137">
        <v>1</v>
      </c>
      <c r="CY12" s="137">
        <v>1</v>
      </c>
      <c r="CZ12" s="137">
        <v>1</v>
      </c>
      <c r="DA12" s="137">
        <v>1</v>
      </c>
      <c r="DB12" s="137">
        <v>1</v>
      </c>
      <c r="DC12" s="137">
        <v>1</v>
      </c>
      <c r="DD12" s="137">
        <v>1</v>
      </c>
      <c r="DF12" s="827"/>
      <c r="DH12" s="697"/>
      <c r="DI12" s="140" t="str">
        <v>PNK-MDC</v>
      </c>
      <c r="DJ12" s="151">
        <v>13132.089074945765</v>
      </c>
      <c r="DK12" s="145">
        <v>13405.808652545766</v>
      </c>
      <c r="DL12" s="145">
        <v>13510.501087025175</v>
      </c>
      <c r="DM12" s="145">
        <v>13562.659952225009</v>
      </c>
      <c r="DN12" s="145">
        <v>13866.853942652335</v>
      </c>
      <c r="DO12" s="145">
        <v>13674.124501340064</v>
      </c>
      <c r="DP12" s="145">
        <v>13716.403428646547</v>
      </c>
      <c r="DQ12" s="145">
        <v>13707.656594017491</v>
      </c>
      <c r="DR12" s="145">
        <v>13734.863222575033</v>
      </c>
      <c r="DS12" s="146">
        <v>13783.983678534678</v>
      </c>
      <c r="GT12" s="825"/>
      <c r="GU12" s="156" t="s">
        <v>26</v>
      </c>
      <c r="GV12" s="148">
        <f>'[2]No. of aircraft'!AF130</f>
        <v>0</v>
      </c>
      <c r="GW12" s="148">
        <f>'[2]No. of aircraft'!AG130</f>
        <v>0</v>
      </c>
      <c r="GX12" s="148">
        <f>'[2]No. of aircraft'!AH130</f>
        <v>0</v>
      </c>
      <c r="GY12" s="148">
        <f>'[2]No. of aircraft'!AI130</f>
        <v>0</v>
      </c>
      <c r="GZ12" s="148">
        <f>'[2]No. of aircraft'!AJ130</f>
        <v>0</v>
      </c>
      <c r="HA12" s="148">
        <f>'[2]No. of aircraft'!AK130</f>
        <v>0</v>
      </c>
      <c r="HB12" s="148">
        <f>'[2]No. of aircraft'!AL130</f>
        <v>0</v>
      </c>
      <c r="HC12" s="148">
        <f>'[2]No. of aircraft'!AM130</f>
        <v>0</v>
      </c>
      <c r="HD12" s="148">
        <f>'[2]No. of aircraft'!AN130</f>
        <v>1</v>
      </c>
      <c r="HE12" s="148">
        <f>'[2]No. of aircraft'!AO130</f>
        <v>1</v>
      </c>
      <c r="HF12" s="148">
        <f>'[2]No. of aircraft'!AP130</f>
        <v>1</v>
      </c>
      <c r="HG12" s="148">
        <f>'[2]No. of aircraft'!AQ130</f>
        <v>1</v>
      </c>
      <c r="HH12" s="148">
        <f>'[2]No. of aircraft'!AR130</f>
        <v>1</v>
      </c>
      <c r="HI12" s="148">
        <f>'[2]No. of aircraft'!AS130</f>
        <v>1</v>
      </c>
      <c r="HJ12" s="148">
        <f>'[2]No. of aircraft'!AT130</f>
        <v>1</v>
      </c>
      <c r="HK12" s="148">
        <f>'[2]No. of aircraft'!AU130</f>
        <v>1</v>
      </c>
      <c r="HL12" s="148">
        <f>'[2]No. of aircraft'!AV130</f>
        <v>1</v>
      </c>
      <c r="HM12" s="148">
        <f>'[2]No. of aircraft'!AW130</f>
        <v>1</v>
      </c>
      <c r="HN12" s="148">
        <f>'[2]No. of aircraft'!AX130</f>
        <v>1</v>
      </c>
      <c r="HO12" s="148">
        <f>'[2]No. of aircraft'!AY130</f>
        <v>1</v>
      </c>
    </row>
    <row r="13" spans="1:223" ht="15" customHeight="1">
      <c r="A13" s="697">
        <v>3</v>
      </c>
      <c r="B13" s="160" t="s">
        <v>27</v>
      </c>
      <c r="C13" s="126">
        <v>0</v>
      </c>
      <c r="D13" s="126">
        <v>0</v>
      </c>
      <c r="E13" s="126">
        <v>0</v>
      </c>
      <c r="F13" s="126">
        <v>0</v>
      </c>
      <c r="G13" s="126">
        <v>0</v>
      </c>
      <c r="H13" s="126">
        <v>0</v>
      </c>
      <c r="I13" s="126">
        <v>0</v>
      </c>
      <c r="J13" s="126">
        <v>0</v>
      </c>
      <c r="K13" s="125">
        <v>8.7602505021115302</v>
      </c>
      <c r="L13" s="125">
        <v>8.8876723275967784</v>
      </c>
      <c r="M13" s="125">
        <v>9.015094153082039</v>
      </c>
      <c r="N13" s="125">
        <v>9.1425159785672978</v>
      </c>
      <c r="O13" s="125">
        <v>9.7464747024580163</v>
      </c>
      <c r="P13" s="125">
        <v>9.8804468633165463</v>
      </c>
      <c r="Q13" s="125">
        <v>10.014419024175075</v>
      </c>
      <c r="R13" s="125">
        <v>10.148391185033605</v>
      </c>
      <c r="S13" s="125">
        <v>10.810945698946032</v>
      </c>
      <c r="T13" s="125">
        <v>10.951804926293862</v>
      </c>
      <c r="U13" s="125">
        <v>11.092664153641696</v>
      </c>
      <c r="V13" s="125">
        <v>11.233523380989528</v>
      </c>
      <c r="W13" s="125">
        <v>11.271070223539885</v>
      </c>
      <c r="X13" s="125">
        <v>11.293612363986965</v>
      </c>
      <c r="Y13" s="125">
        <v>11.316199588714939</v>
      </c>
      <c r="Z13" s="125">
        <v>11.338831987892368</v>
      </c>
      <c r="AA13" s="125">
        <v>11.399438858659416</v>
      </c>
      <c r="AB13" s="125">
        <v>11.445036614094056</v>
      </c>
      <c r="AC13" s="125">
        <v>11.49081676055043</v>
      </c>
      <c r="AD13" s="125">
        <v>11.536780027592632</v>
      </c>
      <c r="AE13" s="125">
        <v>11.621549416840361</v>
      </c>
      <c r="AF13" s="125">
        <v>11.691278713341402</v>
      </c>
      <c r="AG13" s="125">
        <v>11.761426385621451</v>
      </c>
      <c r="AH13" s="125">
        <v>11.831994943935181</v>
      </c>
      <c r="AI13" s="125">
        <v>11.935520483926167</v>
      </c>
      <c r="AJ13" s="125">
        <v>12.02384333550722</v>
      </c>
      <c r="AK13" s="125">
        <v>12.112819776189971</v>
      </c>
      <c r="AL13" s="125">
        <v>12.202454642533777</v>
      </c>
      <c r="AM13" s="125">
        <v>12.317774728329873</v>
      </c>
      <c r="AN13" s="125">
        <v>12.317774728329873</v>
      </c>
      <c r="AO13" s="125">
        <v>12.317774728329873</v>
      </c>
      <c r="AP13" s="125">
        <v>12.317774728329873</v>
      </c>
      <c r="AQ13" s="127"/>
      <c r="AS13" s="697">
        <v>3</v>
      </c>
      <c r="AT13" s="161" t="s">
        <v>27</v>
      </c>
      <c r="AU13" s="162"/>
      <c r="AV13" s="163"/>
      <c r="AW13" s="129">
        <f t="shared" si="2"/>
        <v>8.9513832403394105</v>
      </c>
      <c r="AX13" s="129">
        <f t="shared" si="3"/>
        <v>9.9474329437458096</v>
      </c>
      <c r="AY13" s="129">
        <f t="shared" si="4"/>
        <v>11.02223453996778</v>
      </c>
      <c r="AZ13" s="129">
        <f t="shared" si="5"/>
        <v>11.30492854103354</v>
      </c>
      <c r="BA13" s="129">
        <f t="shared" si="6"/>
        <v>11.468018065224134</v>
      </c>
      <c r="BB13" s="129">
        <f t="shared" si="7"/>
        <v>11.726562364934599</v>
      </c>
      <c r="BC13" s="129">
        <f t="shared" si="8"/>
        <v>12.068659559539284</v>
      </c>
      <c r="BD13" s="130">
        <f t="shared" si="9"/>
        <v>12.317774728329873</v>
      </c>
      <c r="BE13" s="131"/>
      <c r="BF13" s="132">
        <f t="shared" si="10"/>
        <v>1.582446901683761</v>
      </c>
      <c r="BG13" s="697">
        <v>3</v>
      </c>
      <c r="BH13" s="164" t="s">
        <v>27</v>
      </c>
      <c r="BI13" s="134">
        <v>1.52</v>
      </c>
      <c r="BJ13" s="135">
        <v>1.5514185310625108</v>
      </c>
      <c r="BK13" s="823">
        <v>3</v>
      </c>
      <c r="BL13" s="160" t="s">
        <v>27</v>
      </c>
      <c r="BM13" s="136">
        <f t="shared" si="12"/>
        <v>21761.46</v>
      </c>
      <c r="BO13" s="697">
        <v>3</v>
      </c>
      <c r="BP13" s="160" t="s">
        <v>27</v>
      </c>
      <c r="BQ13" s="137">
        <f>'[2]No. of aircraft'!AF43</f>
        <v>0</v>
      </c>
      <c r="BR13" s="137">
        <f>'[2]No. of aircraft'!AG43</f>
        <v>0</v>
      </c>
      <c r="BS13" s="137">
        <f>'[2]No. of aircraft'!AH43</f>
        <v>0</v>
      </c>
      <c r="BT13" s="137">
        <f>'[2]No. of aircraft'!AI43</f>
        <v>0</v>
      </c>
      <c r="BU13" s="137">
        <f>'[2]No. of aircraft'!AJ43</f>
        <v>0</v>
      </c>
      <c r="BV13" s="137">
        <f>'[2]No. of aircraft'!AK43</f>
        <v>0</v>
      </c>
      <c r="BW13" s="137">
        <f>'[2]No. of aircraft'!AL43</f>
        <v>0</v>
      </c>
      <c r="BX13" s="137">
        <f>'[2]No. of aircraft'!AM43</f>
        <v>0</v>
      </c>
      <c r="BY13" s="137">
        <f>'[2]No. of aircraft'!AN43</f>
        <v>1</v>
      </c>
      <c r="BZ13" s="137">
        <f>'[2]No. of aircraft'!AO43</f>
        <v>1</v>
      </c>
      <c r="CA13" s="137">
        <f>'[2]No. of aircraft'!AP43</f>
        <v>1</v>
      </c>
      <c r="CB13" s="137">
        <f>'[2]No. of aircraft'!AQ43</f>
        <v>1</v>
      </c>
      <c r="CC13" s="137">
        <f>'[2]No. of aircraft'!AR43</f>
        <v>1</v>
      </c>
      <c r="CD13" s="137">
        <f>'[2]No. of aircraft'!AS43</f>
        <v>1</v>
      </c>
      <c r="CE13" s="137">
        <f>'[2]No. of aircraft'!AT43</f>
        <v>1</v>
      </c>
      <c r="CF13" s="137">
        <f>'[2]No. of aircraft'!AU43</f>
        <v>1</v>
      </c>
      <c r="CG13" s="137">
        <f>'[2]No. of aircraft'!AV43</f>
        <v>1</v>
      </c>
      <c r="CH13" s="137">
        <f>'[2]No. of aircraft'!AW43</f>
        <v>1</v>
      </c>
      <c r="CI13" s="137">
        <f>'[2]No. of aircraft'!AX43</f>
        <v>1</v>
      </c>
      <c r="CJ13" s="137">
        <f>'[2]No. of aircraft'!AY43</f>
        <v>1</v>
      </c>
      <c r="CK13" s="137">
        <v>1</v>
      </c>
      <c r="CL13" s="137">
        <v>1</v>
      </c>
      <c r="CM13" s="137">
        <v>1</v>
      </c>
      <c r="CN13" s="137">
        <v>1</v>
      </c>
      <c r="CO13" s="137">
        <v>1</v>
      </c>
      <c r="CP13" s="137">
        <v>1</v>
      </c>
      <c r="CQ13" s="137">
        <v>1</v>
      </c>
      <c r="CR13" s="137">
        <v>1</v>
      </c>
      <c r="CS13" s="137">
        <v>1</v>
      </c>
      <c r="CT13" s="137">
        <v>1</v>
      </c>
      <c r="CU13" s="137">
        <v>1</v>
      </c>
      <c r="CV13" s="137">
        <v>1</v>
      </c>
      <c r="CW13" s="137">
        <v>1</v>
      </c>
      <c r="CX13" s="137">
        <v>1</v>
      </c>
      <c r="CY13" s="137">
        <v>1</v>
      </c>
      <c r="CZ13" s="137">
        <v>1</v>
      </c>
      <c r="DA13" s="137">
        <v>1</v>
      </c>
      <c r="DB13" s="137">
        <v>1</v>
      </c>
      <c r="DC13" s="137">
        <v>1</v>
      </c>
      <c r="DD13" s="137">
        <v>1</v>
      </c>
      <c r="DF13" s="827"/>
      <c r="DH13" s="697">
        <v>3</v>
      </c>
      <c r="DI13" s="138" t="str">
        <v>TTE-KNO</v>
      </c>
      <c r="DJ13" s="165"/>
      <c r="DK13" s="166"/>
      <c r="DL13" s="145">
        <v>21682.915850213831</v>
      </c>
      <c r="DM13" s="145">
        <v>21770.568224113595</v>
      </c>
      <c r="DN13" s="145">
        <v>21865.150764581129</v>
      </c>
      <c r="DO13" s="145">
        <v>21890.027836674919</v>
      </c>
      <c r="DP13" s="145">
        <v>22280.991769775537</v>
      </c>
      <c r="DQ13" s="145">
        <v>21927.131613178208</v>
      </c>
      <c r="DR13" s="145">
        <v>21957.236166303424</v>
      </c>
      <c r="DS13" s="146">
        <v>21979.158301156996</v>
      </c>
      <c r="GT13" s="824">
        <v>3</v>
      </c>
      <c r="GU13" s="147" t="s">
        <v>27</v>
      </c>
      <c r="GV13" s="148">
        <f>'[2]No. of aircraft'!AF131</f>
        <v>0</v>
      </c>
      <c r="GW13" s="148">
        <f>'[2]No. of aircraft'!AG131</f>
        <v>0</v>
      </c>
      <c r="GX13" s="148">
        <f>'[2]No. of aircraft'!AH131</f>
        <v>0</v>
      </c>
      <c r="GY13" s="148">
        <f>'[2]No. of aircraft'!AI131</f>
        <v>0</v>
      </c>
      <c r="GZ13" s="148">
        <f>'[2]No. of aircraft'!AJ131</f>
        <v>0</v>
      </c>
      <c r="HA13" s="148">
        <f>'[2]No. of aircraft'!AK131</f>
        <v>0</v>
      </c>
      <c r="HB13" s="148">
        <f>'[2]No. of aircraft'!AL131</f>
        <v>0</v>
      </c>
      <c r="HC13" s="148">
        <f>'[2]No. of aircraft'!AM131</f>
        <v>0</v>
      </c>
      <c r="HD13" s="148">
        <f>'[2]No. of aircraft'!AN131</f>
        <v>1</v>
      </c>
      <c r="HE13" s="148">
        <f>'[2]No. of aircraft'!AO131</f>
        <v>1</v>
      </c>
      <c r="HF13" s="148">
        <f>'[2]No. of aircraft'!AP131</f>
        <v>1</v>
      </c>
      <c r="HG13" s="148">
        <f>'[2]No. of aircraft'!AQ131</f>
        <v>1</v>
      </c>
      <c r="HH13" s="148">
        <f>'[2]No. of aircraft'!AR131</f>
        <v>1</v>
      </c>
      <c r="HI13" s="148">
        <f>'[2]No. of aircraft'!AS131</f>
        <v>1</v>
      </c>
      <c r="HJ13" s="148">
        <f>'[2]No. of aircraft'!AT131</f>
        <v>1</v>
      </c>
      <c r="HK13" s="148">
        <f>'[2]No. of aircraft'!AU131</f>
        <v>1</v>
      </c>
      <c r="HL13" s="148">
        <f>'[2]No. of aircraft'!AV131</f>
        <v>1</v>
      </c>
      <c r="HM13" s="148">
        <f>'[2]No. of aircraft'!AW131</f>
        <v>1</v>
      </c>
      <c r="HN13" s="148">
        <f>'[2]No. of aircraft'!AX131</f>
        <v>1</v>
      </c>
      <c r="HO13" s="148">
        <f>'[2]No. of aircraft'!AY131</f>
        <v>1</v>
      </c>
    </row>
    <row r="14" spans="1:223">
      <c r="A14" s="697"/>
      <c r="B14" s="160" t="s">
        <v>28</v>
      </c>
      <c r="C14" s="126">
        <v>0</v>
      </c>
      <c r="D14" s="126">
        <v>0</v>
      </c>
      <c r="E14" s="126">
        <v>0</v>
      </c>
      <c r="F14" s="126">
        <v>0</v>
      </c>
      <c r="G14" s="126">
        <v>0</v>
      </c>
      <c r="H14" s="126">
        <v>0</v>
      </c>
      <c r="I14" s="126">
        <v>0</v>
      </c>
      <c r="J14" s="126">
        <v>0</v>
      </c>
      <c r="K14" s="125">
        <v>13.541086124516623</v>
      </c>
      <c r="L14" s="125">
        <v>13.695841394511101</v>
      </c>
      <c r="M14" s="125">
        <v>13.850596664505574</v>
      </c>
      <c r="N14" s="125">
        <v>14.005351934500057</v>
      </c>
      <c r="O14" s="125">
        <v>14.888031567198309</v>
      </c>
      <c r="P14" s="125">
        <v>15.05074229470867</v>
      </c>
      <c r="Q14" s="125">
        <v>15.213453022219037</v>
      </c>
      <c r="R14" s="125">
        <v>15.376163749729397</v>
      </c>
      <c r="S14" s="125">
        <v>16.337676713524285</v>
      </c>
      <c r="T14" s="125">
        <v>16.508751862357002</v>
      </c>
      <c r="U14" s="125">
        <v>16.679827011189712</v>
      </c>
      <c r="V14" s="125">
        <v>16.850902160022429</v>
      </c>
      <c r="W14" s="125">
        <v>16.907224486399969</v>
      </c>
      <c r="X14" s="125">
        <v>16.94103893537277</v>
      </c>
      <c r="Y14" s="125">
        <v>16.974921013243513</v>
      </c>
      <c r="Z14" s="125">
        <v>17.008870855270001</v>
      </c>
      <c r="AA14" s="125">
        <v>17.099784490723774</v>
      </c>
      <c r="AB14" s="125">
        <v>17.16818362868667</v>
      </c>
      <c r="AC14" s="125">
        <v>17.236856363201419</v>
      </c>
      <c r="AD14" s="125">
        <v>17.305803788654224</v>
      </c>
      <c r="AE14" s="125">
        <v>17.432962529143033</v>
      </c>
      <c r="AF14" s="125">
        <v>17.537560304317889</v>
      </c>
      <c r="AG14" s="125">
        <v>17.642785666143801</v>
      </c>
      <c r="AH14" s="125">
        <v>17.748642380140662</v>
      </c>
      <c r="AI14" s="125">
        <v>17.903936377071648</v>
      </c>
      <c r="AJ14" s="125">
        <v>18.036425506261974</v>
      </c>
      <c r="AK14" s="125">
        <v>18.169895055008311</v>
      </c>
      <c r="AL14" s="125">
        <v>18.304352278415369</v>
      </c>
      <c r="AM14" s="125">
        <v>18.477338741961084</v>
      </c>
      <c r="AN14" s="125">
        <v>18.477338741961084</v>
      </c>
      <c r="AO14" s="125">
        <v>18.477338741961084</v>
      </c>
      <c r="AP14" s="125">
        <v>18.477338741961084</v>
      </c>
      <c r="AQ14" s="127"/>
      <c r="AS14" s="697"/>
      <c r="AT14" s="161" t="s">
        <v>28</v>
      </c>
      <c r="AU14" s="167"/>
      <c r="AV14" s="163"/>
      <c r="AW14" s="129">
        <f t="shared" si="2"/>
        <v>13.773219029508338</v>
      </c>
      <c r="AX14" s="129">
        <f t="shared" si="3"/>
        <v>15.132097658463852</v>
      </c>
      <c r="AY14" s="129">
        <f t="shared" si="4"/>
        <v>16.594289436773359</v>
      </c>
      <c r="AZ14" s="129">
        <f t="shared" si="5"/>
        <v>16.958013822571566</v>
      </c>
      <c r="BA14" s="129">
        <f t="shared" si="6"/>
        <v>17.202657067816521</v>
      </c>
      <c r="BB14" s="129">
        <f t="shared" si="7"/>
        <v>17.590487719936345</v>
      </c>
      <c r="BC14" s="129">
        <f t="shared" si="8"/>
        <v>18.103652304189325</v>
      </c>
      <c r="BD14" s="130">
        <f t="shared" si="9"/>
        <v>18.477338741961084</v>
      </c>
      <c r="BE14" s="131"/>
      <c r="BF14" s="132">
        <f t="shared" si="10"/>
        <v>0.45292869981263556</v>
      </c>
      <c r="BG14" s="697"/>
      <c r="BH14" s="164" t="s">
        <v>28</v>
      </c>
      <c r="BI14" s="134">
        <v>0.43</v>
      </c>
      <c r="BJ14" s="135">
        <v>0.44404774491434856</v>
      </c>
      <c r="BK14" s="823"/>
      <c r="BL14" s="160" t="s">
        <v>28</v>
      </c>
      <c r="BM14" s="136">
        <f t="shared" si="12"/>
        <v>6156.2025000000003</v>
      </c>
      <c r="BO14" s="697"/>
      <c r="BP14" s="160" t="s">
        <v>28</v>
      </c>
      <c r="BQ14" s="137">
        <f>'[2]No. of aircraft'!AF44</f>
        <v>0</v>
      </c>
      <c r="BR14" s="137">
        <f>'[2]No. of aircraft'!AG44</f>
        <v>0</v>
      </c>
      <c r="BS14" s="137">
        <f>'[2]No. of aircraft'!AH44</f>
        <v>0</v>
      </c>
      <c r="BT14" s="137">
        <f>'[2]No. of aircraft'!AI44</f>
        <v>0</v>
      </c>
      <c r="BU14" s="137">
        <f>'[2]No. of aircraft'!AJ44</f>
        <v>0</v>
      </c>
      <c r="BV14" s="137">
        <f>'[2]No. of aircraft'!AK44</f>
        <v>0</v>
      </c>
      <c r="BW14" s="137">
        <f>'[2]No. of aircraft'!AL44</f>
        <v>0</v>
      </c>
      <c r="BX14" s="137">
        <f>'[2]No. of aircraft'!AM44</f>
        <v>0</v>
      </c>
      <c r="BY14" s="137">
        <f>'[2]No. of aircraft'!AN44</f>
        <v>1</v>
      </c>
      <c r="BZ14" s="137">
        <f>'[2]No. of aircraft'!AO44</f>
        <v>1</v>
      </c>
      <c r="CA14" s="137">
        <f>'[2]No. of aircraft'!AP44</f>
        <v>1</v>
      </c>
      <c r="CB14" s="137">
        <f>'[2]No. of aircraft'!AQ44</f>
        <v>1</v>
      </c>
      <c r="CC14" s="137">
        <f>'[2]No. of aircraft'!AR44</f>
        <v>1</v>
      </c>
      <c r="CD14" s="137">
        <f>'[2]No. of aircraft'!AS44</f>
        <v>1</v>
      </c>
      <c r="CE14" s="137">
        <f>'[2]No. of aircraft'!AT44</f>
        <v>1</v>
      </c>
      <c r="CF14" s="137">
        <f>'[2]No. of aircraft'!AU44</f>
        <v>1</v>
      </c>
      <c r="CG14" s="137">
        <f>'[2]No. of aircraft'!AV44</f>
        <v>1</v>
      </c>
      <c r="CH14" s="137">
        <f>'[2]No. of aircraft'!AW44</f>
        <v>1</v>
      </c>
      <c r="CI14" s="137">
        <f>'[2]No. of aircraft'!AX44</f>
        <v>1</v>
      </c>
      <c r="CJ14" s="137">
        <f>'[2]No. of aircraft'!AY44</f>
        <v>1</v>
      </c>
      <c r="CK14" s="137">
        <v>1</v>
      </c>
      <c r="CL14" s="137">
        <v>1</v>
      </c>
      <c r="CM14" s="137">
        <v>1</v>
      </c>
      <c r="CN14" s="137">
        <v>1</v>
      </c>
      <c r="CO14" s="137">
        <v>1</v>
      </c>
      <c r="CP14" s="137">
        <v>1</v>
      </c>
      <c r="CQ14" s="137">
        <v>1</v>
      </c>
      <c r="CR14" s="137">
        <v>1</v>
      </c>
      <c r="CS14" s="137">
        <v>1</v>
      </c>
      <c r="CT14" s="137">
        <v>1</v>
      </c>
      <c r="CU14" s="137">
        <v>1</v>
      </c>
      <c r="CV14" s="137">
        <v>1</v>
      </c>
      <c r="CW14" s="137">
        <v>1</v>
      </c>
      <c r="CX14" s="137">
        <v>1</v>
      </c>
      <c r="CY14" s="137">
        <v>1</v>
      </c>
      <c r="CZ14" s="137">
        <v>1</v>
      </c>
      <c r="DA14" s="137">
        <v>1</v>
      </c>
      <c r="DB14" s="137">
        <v>1</v>
      </c>
      <c r="DC14" s="137">
        <v>1</v>
      </c>
      <c r="DD14" s="137">
        <v>1</v>
      </c>
      <c r="DF14" s="827"/>
      <c r="DH14" s="697"/>
      <c r="DI14" s="139" t="str">
        <v>KNO-PKU</v>
      </c>
      <c r="DJ14" s="168"/>
      <c r="DK14" s="166"/>
      <c r="DL14" s="145">
        <v>7061.8860398807283</v>
      </c>
      <c r="DM14" s="145">
        <v>7181.4673592288127</v>
      </c>
      <c r="DN14" s="145">
        <v>7310.1402357200495</v>
      </c>
      <c r="DO14" s="145">
        <v>7342.1479816702922</v>
      </c>
      <c r="DP14" s="145">
        <v>7517.7620801804205</v>
      </c>
      <c r="DQ14" s="145">
        <v>7397.8056846383934</v>
      </c>
      <c r="DR14" s="145">
        <v>7442.9641680526547</v>
      </c>
      <c r="DS14" s="146">
        <v>7475.8485745765702</v>
      </c>
      <c r="GT14" s="824"/>
      <c r="GU14" s="150" t="s">
        <v>28</v>
      </c>
      <c r="GV14" s="148">
        <f>'[2]No. of aircraft'!AF132</f>
        <v>0</v>
      </c>
      <c r="GW14" s="148">
        <f>'[2]No. of aircraft'!AG132</f>
        <v>0</v>
      </c>
      <c r="GX14" s="148">
        <f>'[2]No. of aircraft'!AH132</f>
        <v>0</v>
      </c>
      <c r="GY14" s="148">
        <f>'[2]No. of aircraft'!AI132</f>
        <v>0</v>
      </c>
      <c r="GZ14" s="148">
        <f>'[2]No. of aircraft'!AJ132</f>
        <v>0</v>
      </c>
      <c r="HA14" s="148">
        <f>'[2]No. of aircraft'!AK132</f>
        <v>0</v>
      </c>
      <c r="HB14" s="148">
        <f>'[2]No. of aircraft'!AL132</f>
        <v>0</v>
      </c>
      <c r="HC14" s="148">
        <f>'[2]No. of aircraft'!AM132</f>
        <v>0</v>
      </c>
      <c r="HD14" s="148">
        <f>'[2]No. of aircraft'!AN132</f>
        <v>1</v>
      </c>
      <c r="HE14" s="148">
        <f>'[2]No. of aircraft'!AO132</f>
        <v>1</v>
      </c>
      <c r="HF14" s="148">
        <f>'[2]No. of aircraft'!AP132</f>
        <v>1</v>
      </c>
      <c r="HG14" s="148">
        <f>'[2]No. of aircraft'!AQ132</f>
        <v>1</v>
      </c>
      <c r="HH14" s="148">
        <f>'[2]No. of aircraft'!AR132</f>
        <v>1</v>
      </c>
      <c r="HI14" s="148">
        <f>'[2]No. of aircraft'!AS132</f>
        <v>1</v>
      </c>
      <c r="HJ14" s="148">
        <f>'[2]No. of aircraft'!AT132</f>
        <v>1</v>
      </c>
      <c r="HK14" s="148">
        <f>'[2]No. of aircraft'!AU132</f>
        <v>1</v>
      </c>
      <c r="HL14" s="148">
        <f>'[2]No. of aircraft'!AV132</f>
        <v>1</v>
      </c>
      <c r="HM14" s="148">
        <f>'[2]No. of aircraft'!AW132</f>
        <v>1</v>
      </c>
      <c r="HN14" s="148">
        <f>'[2]No. of aircraft'!AX132</f>
        <v>1</v>
      </c>
      <c r="HO14" s="148">
        <f>'[2]No. of aircraft'!AY132</f>
        <v>1</v>
      </c>
    </row>
    <row r="15" spans="1:223" ht="15" customHeight="1">
      <c r="A15" s="697"/>
      <c r="B15" s="160" t="s">
        <v>29</v>
      </c>
      <c r="C15" s="126">
        <v>0</v>
      </c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5">
        <v>13.940116318435319</v>
      </c>
      <c r="L15" s="125">
        <v>14.099431933503148</v>
      </c>
      <c r="M15" s="125">
        <v>14.25874754857098</v>
      </c>
      <c r="N15" s="125">
        <v>14.418063163638813</v>
      </c>
      <c r="O15" s="125">
        <v>15.326753695445522</v>
      </c>
      <c r="P15" s="125">
        <v>15.494259200313778</v>
      </c>
      <c r="Q15" s="125">
        <v>15.661764705182035</v>
      </c>
      <c r="R15" s="125">
        <v>15.829270210050295</v>
      </c>
      <c r="S15" s="125">
        <v>16.819117142100776</v>
      </c>
      <c r="T15" s="125">
        <v>16.995233551965708</v>
      </c>
      <c r="U15" s="125">
        <v>17.171349961830636</v>
      </c>
      <c r="V15" s="125">
        <v>17.347466371695567</v>
      </c>
      <c r="W15" s="125">
        <v>17.405448410492752</v>
      </c>
      <c r="X15" s="125">
        <v>17.440259307313735</v>
      </c>
      <c r="Y15" s="125">
        <v>17.475139825928363</v>
      </c>
      <c r="Z15" s="125">
        <v>17.510090105580218</v>
      </c>
      <c r="AA15" s="125">
        <v>17.603682793899576</v>
      </c>
      <c r="AB15" s="125">
        <v>17.674097525075172</v>
      </c>
      <c r="AC15" s="125">
        <v>17.744793915175471</v>
      </c>
      <c r="AD15" s="125">
        <v>17.815773090836174</v>
      </c>
      <c r="AE15" s="125">
        <v>17.946678958875108</v>
      </c>
      <c r="AF15" s="125">
        <v>18.054359032628359</v>
      </c>
      <c r="AG15" s="125">
        <v>18.162685186824127</v>
      </c>
      <c r="AH15" s="125">
        <v>18.271661297945073</v>
      </c>
      <c r="AI15" s="125">
        <v>18.431531515213184</v>
      </c>
      <c r="AJ15" s="125">
        <v>18.567924848425758</v>
      </c>
      <c r="AK15" s="125">
        <v>18.705327492304107</v>
      </c>
      <c r="AL15" s="125">
        <v>18.843746915747158</v>
      </c>
      <c r="AM15" s="125">
        <v>19.021830963154251</v>
      </c>
      <c r="AN15" s="125">
        <v>19.021830963154251</v>
      </c>
      <c r="AO15" s="125">
        <v>19.021830963154251</v>
      </c>
      <c r="AP15" s="125">
        <v>19.021830963154251</v>
      </c>
      <c r="AQ15" s="127"/>
      <c r="AS15" s="697"/>
      <c r="AT15" s="161" t="s">
        <v>29</v>
      </c>
      <c r="AU15" s="167"/>
      <c r="AV15" s="163"/>
      <c r="AW15" s="129">
        <f t="shared" si="2"/>
        <v>14.179089741037066</v>
      </c>
      <c r="AX15" s="129">
        <f t="shared" si="3"/>
        <v>15.578011952747907</v>
      </c>
      <c r="AY15" s="129">
        <f t="shared" si="4"/>
        <v>17.08329175689817</v>
      </c>
      <c r="AZ15" s="129">
        <f t="shared" si="5"/>
        <v>17.457734412328769</v>
      </c>
      <c r="BA15" s="129">
        <f t="shared" si="6"/>
        <v>17.709586831246597</v>
      </c>
      <c r="BB15" s="129">
        <f t="shared" si="7"/>
        <v>18.108846119068168</v>
      </c>
      <c r="BC15" s="129">
        <f t="shared" si="8"/>
        <v>18.637132692922552</v>
      </c>
      <c r="BD15" s="130">
        <f t="shared" si="9"/>
        <v>19.021830963154251</v>
      </c>
      <c r="BE15" s="131"/>
      <c r="BF15" s="132">
        <f t="shared" si="10"/>
        <v>0.48407922937333958</v>
      </c>
      <c r="BG15" s="697"/>
      <c r="BH15" s="164" t="s">
        <v>29</v>
      </c>
      <c r="BI15" s="134">
        <v>0.44</v>
      </c>
      <c r="BJ15" s="135">
        <v>0.47458747977778387</v>
      </c>
      <c r="BK15" s="823"/>
      <c r="BL15" s="160" t="s">
        <v>29</v>
      </c>
      <c r="BM15" s="136">
        <f t="shared" si="12"/>
        <v>6299.37</v>
      </c>
      <c r="BO15" s="697"/>
      <c r="BP15" s="160" t="s">
        <v>29</v>
      </c>
      <c r="BQ15" s="137">
        <f>'[2]No. of aircraft'!AF45</f>
        <v>0</v>
      </c>
      <c r="BR15" s="137">
        <f>'[2]No. of aircraft'!AG45</f>
        <v>0</v>
      </c>
      <c r="BS15" s="137">
        <f>'[2]No. of aircraft'!AH45</f>
        <v>0</v>
      </c>
      <c r="BT15" s="137">
        <f>'[2]No. of aircraft'!AI45</f>
        <v>0</v>
      </c>
      <c r="BU15" s="137">
        <f>'[2]No. of aircraft'!AJ45</f>
        <v>0</v>
      </c>
      <c r="BV15" s="137">
        <f>'[2]No. of aircraft'!AK45</f>
        <v>0</v>
      </c>
      <c r="BW15" s="137">
        <f>'[2]No. of aircraft'!AL45</f>
        <v>0</v>
      </c>
      <c r="BX15" s="137">
        <f>'[2]No. of aircraft'!AM45</f>
        <v>0</v>
      </c>
      <c r="BY15" s="137">
        <f>'[2]No. of aircraft'!AN45</f>
        <v>1</v>
      </c>
      <c r="BZ15" s="137">
        <f>'[2]No. of aircraft'!AO45</f>
        <v>1</v>
      </c>
      <c r="CA15" s="137">
        <f>'[2]No. of aircraft'!AP45</f>
        <v>1</v>
      </c>
      <c r="CB15" s="137">
        <f>'[2]No. of aircraft'!AQ45</f>
        <v>1</v>
      </c>
      <c r="CC15" s="137">
        <f>'[2]No. of aircraft'!AR45</f>
        <v>1</v>
      </c>
      <c r="CD15" s="137">
        <f>'[2]No. of aircraft'!AS45</f>
        <v>1</v>
      </c>
      <c r="CE15" s="137">
        <f>'[2]No. of aircraft'!AT45</f>
        <v>1</v>
      </c>
      <c r="CF15" s="137">
        <f>'[2]No. of aircraft'!AU45</f>
        <v>1</v>
      </c>
      <c r="CG15" s="137">
        <f>'[2]No. of aircraft'!AV45</f>
        <v>1</v>
      </c>
      <c r="CH15" s="137">
        <f>'[2]No. of aircraft'!AW45</f>
        <v>1</v>
      </c>
      <c r="CI15" s="137">
        <f>'[2]No. of aircraft'!AX45</f>
        <v>1</v>
      </c>
      <c r="CJ15" s="137">
        <f>'[2]No. of aircraft'!AY45</f>
        <v>1</v>
      </c>
      <c r="CK15" s="137">
        <v>1</v>
      </c>
      <c r="CL15" s="137">
        <v>1</v>
      </c>
      <c r="CM15" s="137">
        <v>1</v>
      </c>
      <c r="CN15" s="137">
        <v>1</v>
      </c>
      <c r="CO15" s="137">
        <v>1</v>
      </c>
      <c r="CP15" s="137">
        <v>1</v>
      </c>
      <c r="CQ15" s="137">
        <v>1</v>
      </c>
      <c r="CR15" s="137">
        <v>1</v>
      </c>
      <c r="CS15" s="137">
        <v>1</v>
      </c>
      <c r="CT15" s="137">
        <v>1</v>
      </c>
      <c r="CU15" s="137">
        <v>1</v>
      </c>
      <c r="CV15" s="137">
        <v>1</v>
      </c>
      <c r="CW15" s="137">
        <v>1</v>
      </c>
      <c r="CX15" s="137">
        <v>1</v>
      </c>
      <c r="CY15" s="137">
        <v>1</v>
      </c>
      <c r="CZ15" s="137">
        <v>1</v>
      </c>
      <c r="DA15" s="137">
        <v>1</v>
      </c>
      <c r="DB15" s="137">
        <v>1</v>
      </c>
      <c r="DC15" s="137">
        <v>1</v>
      </c>
      <c r="DD15" s="137">
        <v>1</v>
      </c>
      <c r="DF15" s="827"/>
      <c r="DH15" s="697"/>
      <c r="DI15" s="139" t="str">
        <v>PKU-CGK</v>
      </c>
      <c r="DJ15" s="168"/>
      <c r="DK15" s="166"/>
      <c r="DL15" s="145">
        <v>10517.458802694226</v>
      </c>
      <c r="DM15" s="145">
        <v>10648.397921710361</v>
      </c>
      <c r="DN15" s="145">
        <v>10789.292111378825</v>
      </c>
      <c r="DO15" s="145">
        <v>10824.339943927129</v>
      </c>
      <c r="DP15" s="145">
        <v>11051.518237749424</v>
      </c>
      <c r="DQ15" s="145">
        <v>10885.283999677938</v>
      </c>
      <c r="DR15" s="145">
        <v>10934.731622990708</v>
      </c>
      <c r="DS15" s="146">
        <v>10970.739381084395</v>
      </c>
      <c r="GT15" s="824"/>
      <c r="GU15" s="150" t="s">
        <v>29</v>
      </c>
      <c r="GV15" s="148">
        <f>'[2]No. of aircraft'!AF133</f>
        <v>0</v>
      </c>
      <c r="GW15" s="148">
        <f>'[2]No. of aircraft'!AG133</f>
        <v>0</v>
      </c>
      <c r="GX15" s="148">
        <f>'[2]No. of aircraft'!AH133</f>
        <v>0</v>
      </c>
      <c r="GY15" s="148">
        <f>'[2]No. of aircraft'!AI133</f>
        <v>0</v>
      </c>
      <c r="GZ15" s="148">
        <f>'[2]No. of aircraft'!AJ133</f>
        <v>0</v>
      </c>
      <c r="HA15" s="148">
        <f>'[2]No. of aircraft'!AK133</f>
        <v>0</v>
      </c>
      <c r="HB15" s="148">
        <f>'[2]No. of aircraft'!AL133</f>
        <v>0</v>
      </c>
      <c r="HC15" s="148">
        <f>'[2]No. of aircraft'!AM133</f>
        <v>0</v>
      </c>
      <c r="HD15" s="148">
        <f>'[2]No. of aircraft'!AN133</f>
        <v>1</v>
      </c>
      <c r="HE15" s="148">
        <f>'[2]No. of aircraft'!AO133</f>
        <v>1</v>
      </c>
      <c r="HF15" s="148">
        <f>'[2]No. of aircraft'!AP133</f>
        <v>1</v>
      </c>
      <c r="HG15" s="148">
        <f>'[2]No. of aircraft'!AQ133</f>
        <v>1</v>
      </c>
      <c r="HH15" s="148">
        <f>'[2]No. of aircraft'!AR133</f>
        <v>1</v>
      </c>
      <c r="HI15" s="148">
        <f>'[2]No. of aircraft'!AS133</f>
        <v>1</v>
      </c>
      <c r="HJ15" s="148">
        <f>'[2]No. of aircraft'!AT133</f>
        <v>1</v>
      </c>
      <c r="HK15" s="148">
        <f>'[2]No. of aircraft'!AU133</f>
        <v>1</v>
      </c>
      <c r="HL15" s="148">
        <f>'[2]No. of aircraft'!AV133</f>
        <v>1</v>
      </c>
      <c r="HM15" s="148">
        <f>'[2]No. of aircraft'!AW133</f>
        <v>1</v>
      </c>
      <c r="HN15" s="148">
        <f>'[2]No. of aircraft'!AX133</f>
        <v>1</v>
      </c>
      <c r="HO15" s="148">
        <f>'[2]No. of aircraft'!AY133</f>
        <v>1</v>
      </c>
    </row>
    <row r="16" spans="1:223" ht="15" customHeight="1" thickBot="1">
      <c r="A16" s="697"/>
      <c r="B16" s="160" t="s">
        <v>30</v>
      </c>
      <c r="C16" s="126">
        <v>0</v>
      </c>
      <c r="D16" s="126">
        <v>0</v>
      </c>
      <c r="E16" s="126">
        <v>0</v>
      </c>
      <c r="F16" s="126">
        <v>0</v>
      </c>
      <c r="G16" s="126">
        <v>0</v>
      </c>
      <c r="H16" s="126">
        <v>0</v>
      </c>
      <c r="I16" s="126">
        <v>0</v>
      </c>
      <c r="J16" s="126">
        <v>0</v>
      </c>
      <c r="K16" s="125">
        <v>9.8897538588002636</v>
      </c>
      <c r="L16" s="125">
        <v>10.065571705178929</v>
      </c>
      <c r="M16" s="125">
        <v>10.241389551557599</v>
      </c>
      <c r="N16" s="125">
        <v>10.41720739793627</v>
      </c>
      <c r="O16" s="125">
        <v>11.137577699936571</v>
      </c>
      <c r="P16" s="125">
        <v>11.322433761346307</v>
      </c>
      <c r="Q16" s="125">
        <v>11.507289822756041</v>
      </c>
      <c r="R16" s="125">
        <v>11.692145884165777</v>
      </c>
      <c r="S16" s="125">
        <v>12.487559404442802</v>
      </c>
      <c r="T16" s="125">
        <v>12.681918305679265</v>
      </c>
      <c r="U16" s="125">
        <v>12.876277206915729</v>
      </c>
      <c r="V16" s="125">
        <v>13.070636108152193</v>
      </c>
      <c r="W16" s="125">
        <v>13.114323302217796</v>
      </c>
      <c r="X16" s="125">
        <v>13.140551948822232</v>
      </c>
      <c r="Y16" s="125">
        <v>13.166833052719875</v>
      </c>
      <c r="Z16" s="125">
        <v>13.193166718825315</v>
      </c>
      <c r="AA16" s="125">
        <v>13.263685141815426</v>
      </c>
      <c r="AB16" s="125">
        <v>13.316739882382688</v>
      </c>
      <c r="AC16" s="125">
        <v>13.37000684191222</v>
      </c>
      <c r="AD16" s="125">
        <v>13.423486869279868</v>
      </c>
      <c r="AE16" s="125">
        <v>13.522119310980427</v>
      </c>
      <c r="AF16" s="125">
        <v>13.60325202684631</v>
      </c>
      <c r="AG16" s="125">
        <v>13.684871539007387</v>
      </c>
      <c r="AH16" s="125">
        <v>13.766980768241432</v>
      </c>
      <c r="AI16" s="125">
        <v>13.887436712047275</v>
      </c>
      <c r="AJ16" s="125">
        <v>13.990203743716423</v>
      </c>
      <c r="AK16" s="125">
        <v>14.093731251419923</v>
      </c>
      <c r="AL16" s="125">
        <v>14.198024862680427</v>
      </c>
      <c r="AM16" s="125">
        <v>14.332204213742489</v>
      </c>
      <c r="AN16" s="125">
        <v>14.332204213742489</v>
      </c>
      <c r="AO16" s="125">
        <v>14.332204213742489</v>
      </c>
      <c r="AP16" s="125">
        <v>14.332204213742489</v>
      </c>
      <c r="AQ16" s="127"/>
      <c r="AS16" s="697"/>
      <c r="AT16" s="161" t="s">
        <v>30</v>
      </c>
      <c r="AU16" s="169"/>
      <c r="AV16" s="163"/>
      <c r="AW16" s="129">
        <f t="shared" si="2"/>
        <v>10.153480628368266</v>
      </c>
      <c r="AX16" s="129">
        <f t="shared" si="3"/>
        <v>11.414861792051173</v>
      </c>
      <c r="AY16" s="129">
        <f t="shared" si="4"/>
        <v>12.779097756297498</v>
      </c>
      <c r="AZ16" s="129">
        <f t="shared" si="5"/>
        <v>13.153718755646304</v>
      </c>
      <c r="BA16" s="129">
        <f t="shared" si="6"/>
        <v>13.343479683847551</v>
      </c>
      <c r="BB16" s="129">
        <f t="shared" si="7"/>
        <v>13.644305911268889</v>
      </c>
      <c r="BC16" s="129">
        <f t="shared" si="8"/>
        <v>14.042349142466012</v>
      </c>
      <c r="BD16" s="130">
        <f t="shared" si="9"/>
        <v>14.332204213742489</v>
      </c>
      <c r="BE16" s="131"/>
      <c r="BF16" s="132">
        <f t="shared" si="10"/>
        <v>1.8100853869350595</v>
      </c>
      <c r="BG16" s="697"/>
      <c r="BH16" s="164" t="s">
        <v>30</v>
      </c>
      <c r="BI16" s="134">
        <v>1.67</v>
      </c>
      <c r="BJ16" s="135">
        <v>1.7745935166029996</v>
      </c>
      <c r="BK16" s="823"/>
      <c r="BL16" s="160" t="s">
        <v>30</v>
      </c>
      <c r="BM16" s="136">
        <f t="shared" si="12"/>
        <v>23908.9725</v>
      </c>
      <c r="BO16" s="697"/>
      <c r="BP16" s="160" t="s">
        <v>30</v>
      </c>
      <c r="BQ16" s="137">
        <f>'[2]No. of aircraft'!AF46</f>
        <v>0</v>
      </c>
      <c r="BR16" s="137">
        <f>'[2]No. of aircraft'!AG46</f>
        <v>0</v>
      </c>
      <c r="BS16" s="137">
        <f>'[2]No. of aircraft'!AH46</f>
        <v>0</v>
      </c>
      <c r="BT16" s="137">
        <f>'[2]No. of aircraft'!AI46</f>
        <v>0</v>
      </c>
      <c r="BU16" s="137">
        <f>'[2]No. of aircraft'!AJ46</f>
        <v>0</v>
      </c>
      <c r="BV16" s="137">
        <f>'[2]No. of aircraft'!AK46</f>
        <v>0</v>
      </c>
      <c r="BW16" s="137">
        <f>'[2]No. of aircraft'!AL46</f>
        <v>0</v>
      </c>
      <c r="BX16" s="137">
        <f>'[2]No. of aircraft'!AM46</f>
        <v>0</v>
      </c>
      <c r="BY16" s="137">
        <f>'[2]No. of aircraft'!AN46</f>
        <v>1</v>
      </c>
      <c r="BZ16" s="137">
        <f>'[2]No. of aircraft'!AO46</f>
        <v>1</v>
      </c>
      <c r="CA16" s="137">
        <f>'[2]No. of aircraft'!AP46</f>
        <v>1</v>
      </c>
      <c r="CB16" s="137">
        <f>'[2]No. of aircraft'!AQ46</f>
        <v>1</v>
      </c>
      <c r="CC16" s="137">
        <f>'[2]No. of aircraft'!AR46</f>
        <v>1</v>
      </c>
      <c r="CD16" s="137">
        <f>'[2]No. of aircraft'!AS46</f>
        <v>1</v>
      </c>
      <c r="CE16" s="137">
        <f>'[2]No. of aircraft'!AT46</f>
        <v>1</v>
      </c>
      <c r="CF16" s="137">
        <f>'[2]No. of aircraft'!AU46</f>
        <v>1</v>
      </c>
      <c r="CG16" s="137">
        <f>'[2]No. of aircraft'!AV46</f>
        <v>1</v>
      </c>
      <c r="CH16" s="137">
        <f>'[2]No. of aircraft'!AW46</f>
        <v>1</v>
      </c>
      <c r="CI16" s="137">
        <f>'[2]No. of aircraft'!AX46</f>
        <v>1</v>
      </c>
      <c r="CJ16" s="137">
        <f>'[2]No. of aircraft'!AY46</f>
        <v>1</v>
      </c>
      <c r="CK16" s="137">
        <v>1</v>
      </c>
      <c r="CL16" s="137">
        <v>1</v>
      </c>
      <c r="CM16" s="137">
        <v>1</v>
      </c>
      <c r="CN16" s="137">
        <v>1</v>
      </c>
      <c r="CO16" s="137">
        <v>1</v>
      </c>
      <c r="CP16" s="137">
        <v>1</v>
      </c>
      <c r="CQ16" s="137">
        <v>1</v>
      </c>
      <c r="CR16" s="137">
        <v>1</v>
      </c>
      <c r="CS16" s="137">
        <v>1</v>
      </c>
      <c r="CT16" s="137">
        <v>1</v>
      </c>
      <c r="CU16" s="137">
        <v>1</v>
      </c>
      <c r="CV16" s="137">
        <v>1</v>
      </c>
      <c r="CW16" s="137">
        <v>1</v>
      </c>
      <c r="CX16" s="137">
        <v>1</v>
      </c>
      <c r="CY16" s="137">
        <v>1</v>
      </c>
      <c r="CZ16" s="137">
        <v>1</v>
      </c>
      <c r="DA16" s="137">
        <v>1</v>
      </c>
      <c r="DB16" s="137">
        <v>1</v>
      </c>
      <c r="DC16" s="137">
        <v>1</v>
      </c>
      <c r="DD16" s="137">
        <v>1</v>
      </c>
      <c r="DF16" s="827"/>
      <c r="DH16" s="697"/>
      <c r="DI16" s="140" t="str">
        <v>CGK-TTE</v>
      </c>
      <c r="DJ16" s="170"/>
      <c r="DK16" s="166"/>
      <c r="DL16" s="145">
        <v>11449.89374530261</v>
      </c>
      <c r="DM16" s="145">
        <v>11538.821117342255</v>
      </c>
      <c r="DN16" s="145">
        <v>11634.999752821621</v>
      </c>
      <c r="DO16" s="145">
        <v>11661.410533275712</v>
      </c>
      <c r="DP16" s="145">
        <v>11901.280671038632</v>
      </c>
      <c r="DQ16" s="145">
        <v>11695.996927747105</v>
      </c>
      <c r="DR16" s="145">
        <v>11724.058975546503</v>
      </c>
      <c r="DS16" s="146">
        <v>11744.493758071494</v>
      </c>
      <c r="GT16" s="824"/>
      <c r="GU16" s="150" t="s">
        <v>31</v>
      </c>
      <c r="GV16" s="148">
        <f>'[2]No. of aircraft'!AF134</f>
        <v>0</v>
      </c>
      <c r="GW16" s="148">
        <f>'[2]No. of aircraft'!AG134</f>
        <v>0</v>
      </c>
      <c r="GX16" s="148">
        <f>'[2]No. of aircraft'!AH134</f>
        <v>0</v>
      </c>
      <c r="GY16" s="148">
        <f>'[2]No. of aircraft'!AI134</f>
        <v>0</v>
      </c>
      <c r="GZ16" s="148">
        <f>'[2]No. of aircraft'!AJ134</f>
        <v>0</v>
      </c>
      <c r="HA16" s="148">
        <f>'[2]No. of aircraft'!AK134</f>
        <v>0</v>
      </c>
      <c r="HB16" s="148">
        <f>'[2]No. of aircraft'!AL134</f>
        <v>0</v>
      </c>
      <c r="HC16" s="148">
        <f>'[2]No. of aircraft'!AM134</f>
        <v>0</v>
      </c>
      <c r="HD16" s="148">
        <f>'[2]No. of aircraft'!AN134</f>
        <v>0</v>
      </c>
      <c r="HE16" s="148">
        <f>'[2]No. of aircraft'!AO134</f>
        <v>0</v>
      </c>
      <c r="HF16" s="148">
        <f>'[2]No. of aircraft'!AP134</f>
        <v>0</v>
      </c>
      <c r="HG16" s="148">
        <f>'[2]No. of aircraft'!AQ134</f>
        <v>0</v>
      </c>
      <c r="HH16" s="148">
        <f>'[2]No. of aircraft'!AR134</f>
        <v>1</v>
      </c>
      <c r="HI16" s="148">
        <f>'[2]No. of aircraft'!AS134</f>
        <v>1</v>
      </c>
      <c r="HJ16" s="148">
        <f>'[2]No. of aircraft'!AT134</f>
        <v>1</v>
      </c>
      <c r="HK16" s="148">
        <f>'[2]No. of aircraft'!AU134</f>
        <v>1</v>
      </c>
      <c r="HL16" s="148">
        <f>'[2]No. of aircraft'!AV134</f>
        <v>1</v>
      </c>
      <c r="HM16" s="148">
        <f>'[2]No. of aircraft'!AW134</f>
        <v>1</v>
      </c>
      <c r="HN16" s="148">
        <f>'[2]No. of aircraft'!AX134</f>
        <v>1</v>
      </c>
      <c r="HO16" s="148">
        <f>'[2]No. of aircraft'!AY134</f>
        <v>1</v>
      </c>
    </row>
    <row r="17" spans="1:223">
      <c r="A17" s="697">
        <v>4</v>
      </c>
      <c r="B17" s="171" t="s">
        <v>32</v>
      </c>
      <c r="C17" s="126">
        <v>0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5">
        <v>9.535489069707813</v>
      </c>
      <c r="P17" s="125">
        <v>9.6473172165936436</v>
      </c>
      <c r="Q17" s="125">
        <v>9.7646098271297355</v>
      </c>
      <c r="R17" s="125">
        <v>9.8819024376658291</v>
      </c>
      <c r="S17" s="125">
        <v>10.525280556187266</v>
      </c>
      <c r="T17" s="125">
        <v>10.63654289034319</v>
      </c>
      <c r="U17" s="125">
        <v>10.759865126752967</v>
      </c>
      <c r="V17" s="125">
        <v>10.883187363162744</v>
      </c>
      <c r="W17" s="125">
        <v>10.93835767016204</v>
      </c>
      <c r="X17" s="125">
        <v>10.960234385502364</v>
      </c>
      <c r="Y17" s="125">
        <v>10.982154854273368</v>
      </c>
      <c r="Z17" s="125">
        <v>11.004119163981917</v>
      </c>
      <c r="AA17" s="125">
        <v>11.069280397844807</v>
      </c>
      <c r="AB17" s="125">
        <v>11.107188718565448</v>
      </c>
      <c r="AC17" s="125">
        <v>11.15161747343971</v>
      </c>
      <c r="AD17" s="125">
        <v>11.196223943333468</v>
      </c>
      <c r="AE17" s="125">
        <v>11.291428768686826</v>
      </c>
      <c r="AF17" s="125">
        <v>11.346161957272944</v>
      </c>
      <c r="AG17" s="125">
        <v>11.414238929016586</v>
      </c>
      <c r="AH17" s="125">
        <v>11.482724362590679</v>
      </c>
      <c r="AI17" s="125">
        <v>11.603130561430271</v>
      </c>
      <c r="AJ17" s="125">
        <v>11.67560043882186</v>
      </c>
      <c r="AK17" s="125">
        <v>11.761999882069141</v>
      </c>
      <c r="AL17" s="125">
        <v>11.849038681196452</v>
      </c>
      <c r="AM17" s="125">
        <v>11.981605733547898</v>
      </c>
      <c r="AN17" s="125">
        <v>11.967877168953406</v>
      </c>
      <c r="AO17" s="125">
        <v>11.967877168953406</v>
      </c>
      <c r="AP17" s="125">
        <v>11.967877168953406</v>
      </c>
      <c r="AQ17" s="127"/>
      <c r="AS17" s="697">
        <v>4</v>
      </c>
      <c r="AT17" s="172" t="s">
        <v>32</v>
      </c>
      <c r="AU17" s="162"/>
      <c r="AV17" s="163"/>
      <c r="AW17" s="163"/>
      <c r="AX17" s="129">
        <f t="shared" si="3"/>
        <v>9.7073296377742544</v>
      </c>
      <c r="AY17" s="129">
        <f>AVERAGE(S17:V17)</f>
        <v>10.701218984111541</v>
      </c>
      <c r="AZ17" s="129">
        <f t="shared" si="5"/>
        <v>10.971216518479922</v>
      </c>
      <c r="BA17" s="129">
        <f t="shared" si="6"/>
        <v>11.131077633295856</v>
      </c>
      <c r="BB17" s="129">
        <f t="shared" si="7"/>
        <v>11.383638504391758</v>
      </c>
      <c r="BC17" s="129">
        <f t="shared" si="8"/>
        <v>11.722442390879431</v>
      </c>
      <c r="BD17" s="130">
        <f t="shared" si="9"/>
        <v>11.971309310102029</v>
      </c>
      <c r="BE17" s="173"/>
      <c r="BF17" s="132">
        <f t="shared" si="10"/>
        <v>2.3372481948854333</v>
      </c>
      <c r="BG17" s="697">
        <v>4</v>
      </c>
      <c r="BH17" s="174" t="s">
        <v>32</v>
      </c>
      <c r="BI17" s="134">
        <v>2.15</v>
      </c>
      <c r="BJ17" s="135">
        <v>2.2914197989072878</v>
      </c>
      <c r="BK17" s="823">
        <v>4</v>
      </c>
      <c r="BL17" s="171" t="s">
        <v>32</v>
      </c>
      <c r="BM17" s="136">
        <f t="shared" si="12"/>
        <v>30781.012499999997</v>
      </c>
      <c r="BO17" s="697">
        <v>4</v>
      </c>
      <c r="BP17" s="171" t="s">
        <v>32</v>
      </c>
      <c r="BQ17" s="137">
        <f>'[2]No. of aircraft'!AF47</f>
        <v>0</v>
      </c>
      <c r="BR17" s="137">
        <f>'[2]No. of aircraft'!AG47</f>
        <v>0</v>
      </c>
      <c r="BS17" s="137">
        <f>'[2]No. of aircraft'!AH47</f>
        <v>0</v>
      </c>
      <c r="BT17" s="137">
        <f>'[2]No. of aircraft'!AI47</f>
        <v>0</v>
      </c>
      <c r="BU17" s="137">
        <f>'[2]No. of aircraft'!AJ47</f>
        <v>0</v>
      </c>
      <c r="BV17" s="137">
        <f>'[2]No. of aircraft'!AK47</f>
        <v>0</v>
      </c>
      <c r="BW17" s="137">
        <f>'[2]No. of aircraft'!AL47</f>
        <v>0</v>
      </c>
      <c r="BX17" s="137">
        <f>'[2]No. of aircraft'!AM47</f>
        <v>0</v>
      </c>
      <c r="BY17" s="137">
        <f>'[2]No. of aircraft'!AN47</f>
        <v>0</v>
      </c>
      <c r="BZ17" s="137">
        <f>'[2]No. of aircraft'!AO47</f>
        <v>0</v>
      </c>
      <c r="CA17" s="137">
        <f>'[2]No. of aircraft'!AP47</f>
        <v>0</v>
      </c>
      <c r="CB17" s="137">
        <f>'[2]No. of aircraft'!AQ47</f>
        <v>0</v>
      </c>
      <c r="CC17" s="137">
        <f>'[2]No. of aircraft'!AR47</f>
        <v>1</v>
      </c>
      <c r="CD17" s="137">
        <f>'[2]No. of aircraft'!AS47</f>
        <v>1</v>
      </c>
      <c r="CE17" s="137">
        <f>'[2]No. of aircraft'!AT47</f>
        <v>1</v>
      </c>
      <c r="CF17" s="137">
        <f>'[2]No. of aircraft'!AU47</f>
        <v>1</v>
      </c>
      <c r="CG17" s="137">
        <f>'[2]No. of aircraft'!AV47</f>
        <v>1</v>
      </c>
      <c r="CH17" s="137">
        <f>'[2]No. of aircraft'!AW47</f>
        <v>1</v>
      </c>
      <c r="CI17" s="137">
        <f>'[2]No. of aircraft'!AX47</f>
        <v>1</v>
      </c>
      <c r="CJ17" s="137">
        <f>'[2]No. of aircraft'!AY47</f>
        <v>1</v>
      </c>
      <c r="CK17" s="137">
        <v>1</v>
      </c>
      <c r="CL17" s="137">
        <v>1</v>
      </c>
      <c r="CM17" s="137">
        <v>1</v>
      </c>
      <c r="CN17" s="137">
        <v>1</v>
      </c>
      <c r="CO17" s="137">
        <v>1</v>
      </c>
      <c r="CP17" s="137">
        <v>1</v>
      </c>
      <c r="CQ17" s="137">
        <v>1</v>
      </c>
      <c r="CR17" s="137">
        <v>1</v>
      </c>
      <c r="CS17" s="137">
        <v>1</v>
      </c>
      <c r="CT17" s="137">
        <v>1</v>
      </c>
      <c r="CU17" s="137">
        <v>1</v>
      </c>
      <c r="CV17" s="137">
        <v>1</v>
      </c>
      <c r="CW17" s="137">
        <v>1</v>
      </c>
      <c r="CX17" s="137">
        <v>1</v>
      </c>
      <c r="CY17" s="137">
        <v>1</v>
      </c>
      <c r="CZ17" s="137">
        <v>1</v>
      </c>
      <c r="DA17" s="137">
        <v>1</v>
      </c>
      <c r="DB17" s="137">
        <v>1</v>
      </c>
      <c r="DC17" s="137">
        <v>1</v>
      </c>
      <c r="DD17" s="137">
        <v>1</v>
      </c>
      <c r="DF17" s="827"/>
      <c r="DH17" s="696">
        <v>4</v>
      </c>
      <c r="DI17" s="141" t="str">
        <v>LOP-TIM</v>
      </c>
      <c r="DJ17" s="175"/>
      <c r="DK17" s="166"/>
      <c r="DL17" s="166"/>
      <c r="DM17" s="145">
        <v>16687.233326814167</v>
      </c>
      <c r="DN17" s="145">
        <v>16780.261369631335</v>
      </c>
      <c r="DO17" s="145">
        <v>16838.548055980064</v>
      </c>
      <c r="DP17" s="145">
        <v>16820.496139194984</v>
      </c>
      <c r="DQ17" s="145">
        <v>17087.657807573734</v>
      </c>
      <c r="DR17" s="145">
        <v>16908.862797636659</v>
      </c>
      <c r="DS17" s="146">
        <v>16899.141824144044</v>
      </c>
      <c r="GT17" s="824"/>
      <c r="GU17" s="150" t="s">
        <v>33</v>
      </c>
      <c r="GV17" s="148">
        <f>'[2]No. of aircraft'!AF135</f>
        <v>0</v>
      </c>
      <c r="GW17" s="148">
        <f>'[2]No. of aircraft'!AG135</f>
        <v>0</v>
      </c>
      <c r="GX17" s="148">
        <f>'[2]No. of aircraft'!AH135</f>
        <v>0</v>
      </c>
      <c r="GY17" s="148">
        <f>'[2]No. of aircraft'!AI135</f>
        <v>0</v>
      </c>
      <c r="GZ17" s="148">
        <f>'[2]No. of aircraft'!AJ135</f>
        <v>0</v>
      </c>
      <c r="HA17" s="148">
        <f>'[2]No. of aircraft'!AK135</f>
        <v>0</v>
      </c>
      <c r="HB17" s="148">
        <f>'[2]No. of aircraft'!AL135</f>
        <v>0</v>
      </c>
      <c r="HC17" s="148">
        <f>'[2]No. of aircraft'!AM135</f>
        <v>0</v>
      </c>
      <c r="HD17" s="148">
        <f>'[2]No. of aircraft'!AN135</f>
        <v>0</v>
      </c>
      <c r="HE17" s="148">
        <f>'[2]No. of aircraft'!AO135</f>
        <v>0</v>
      </c>
      <c r="HF17" s="148">
        <f>'[2]No. of aircraft'!AP135</f>
        <v>0</v>
      </c>
      <c r="HG17" s="148">
        <f>'[2]No. of aircraft'!AQ135</f>
        <v>0</v>
      </c>
      <c r="HH17" s="148">
        <f>'[2]No. of aircraft'!AR135</f>
        <v>1</v>
      </c>
      <c r="HI17" s="148">
        <f>'[2]No. of aircraft'!AS135</f>
        <v>1</v>
      </c>
      <c r="HJ17" s="148">
        <f>'[2]No. of aircraft'!AT135</f>
        <v>1</v>
      </c>
      <c r="HK17" s="148">
        <f>'[2]No. of aircraft'!AU135</f>
        <v>1</v>
      </c>
      <c r="HL17" s="148">
        <f>'[2]No. of aircraft'!AV135</f>
        <v>1</v>
      </c>
      <c r="HM17" s="148">
        <f>'[2]No. of aircraft'!AW135</f>
        <v>1</v>
      </c>
      <c r="HN17" s="148">
        <f>'[2]No. of aircraft'!AX135</f>
        <v>1</v>
      </c>
      <c r="HO17" s="148">
        <f>'[2]No. of aircraft'!AY135</f>
        <v>1</v>
      </c>
    </row>
    <row r="18" spans="1:223">
      <c r="A18" s="697"/>
      <c r="B18" s="176" t="s">
        <v>34</v>
      </c>
      <c r="C18" s="126">
        <v>0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5">
        <v>8.8019899104995201</v>
      </c>
      <c r="P18" s="125">
        <v>8.9142384007430646</v>
      </c>
      <c r="Q18" s="125">
        <v>9.0315310112791565</v>
      </c>
      <c r="R18" s="125">
        <v>9.1488236218152501</v>
      </c>
      <c r="S18" s="125">
        <v>9.7536324215694332</v>
      </c>
      <c r="T18" s="125">
        <v>9.8657789127820887</v>
      </c>
      <c r="U18" s="125">
        <v>9.9891011491918675</v>
      </c>
      <c r="V18" s="125">
        <v>10.112423385601641</v>
      </c>
      <c r="W18" s="125">
        <v>10.163686447062743</v>
      </c>
      <c r="X18" s="125">
        <v>10.184013819956867</v>
      </c>
      <c r="Y18" s="125">
        <v>10.204381847596785</v>
      </c>
      <c r="Z18" s="125">
        <v>10.224790611291967</v>
      </c>
      <c r="AA18" s="125">
        <v>10.285337026892625</v>
      </c>
      <c r="AB18" s="125">
        <v>10.320560622349765</v>
      </c>
      <c r="AC18" s="125">
        <v>10.36184286483916</v>
      </c>
      <c r="AD18" s="125">
        <v>10.403290236298519</v>
      </c>
      <c r="AE18" s="125">
        <v>10.491752510281245</v>
      </c>
      <c r="AF18" s="125">
        <v>10.542609410723864</v>
      </c>
      <c r="AG18" s="125">
        <v>10.605865067188212</v>
      </c>
      <c r="AH18" s="125">
        <v>10.66950025759134</v>
      </c>
      <c r="AI18" s="125">
        <v>10.781379105238315</v>
      </c>
      <c r="AJ18" s="125">
        <v>10.848716555052608</v>
      </c>
      <c r="AK18" s="125">
        <v>10.928997057559991</v>
      </c>
      <c r="AL18" s="125">
        <v>11.009871635785933</v>
      </c>
      <c r="AM18" s="125">
        <v>11.133050086696056</v>
      </c>
      <c r="AN18" s="125">
        <v>11.142787462872707</v>
      </c>
      <c r="AO18" s="125">
        <v>11.210457105378509</v>
      </c>
      <c r="AP18" s="125">
        <v>11.267921564771987</v>
      </c>
      <c r="AQ18" s="127"/>
      <c r="AS18" s="697"/>
      <c r="AT18" s="177" t="s">
        <v>34</v>
      </c>
      <c r="AU18" s="167"/>
      <c r="AV18" s="163"/>
      <c r="AW18" s="163"/>
      <c r="AX18" s="129">
        <f t="shared" si="3"/>
        <v>8.9741457360842478</v>
      </c>
      <c r="AY18" s="129">
        <f t="shared" si="4"/>
        <v>9.9302339672862576</v>
      </c>
      <c r="AZ18" s="129">
        <f t="shared" si="5"/>
        <v>10.19421818147709</v>
      </c>
      <c r="BA18" s="129">
        <f t="shared" si="6"/>
        <v>10.342757687595016</v>
      </c>
      <c r="BB18" s="129">
        <f t="shared" si="7"/>
        <v>10.577431811446164</v>
      </c>
      <c r="BC18" s="129">
        <f t="shared" si="8"/>
        <v>10.892241088409213</v>
      </c>
      <c r="BD18" s="130">
        <f t="shared" si="9"/>
        <v>11.188554054929815</v>
      </c>
      <c r="BE18" s="173"/>
      <c r="BF18" s="132">
        <f t="shared" si="10"/>
        <v>1.9059331701987638</v>
      </c>
      <c r="BG18" s="697"/>
      <c r="BH18" s="178" t="s">
        <v>34</v>
      </c>
      <c r="BI18" s="134">
        <f t="shared" si="11"/>
        <v>1.7844766446468818</v>
      </c>
      <c r="BJ18" s="135">
        <v>1.8685619315674156</v>
      </c>
      <c r="BK18" s="823"/>
      <c r="BL18" s="176" t="s">
        <v>34</v>
      </c>
      <c r="BM18" s="136">
        <f t="shared" si="12"/>
        <v>25547.906002248244</v>
      </c>
      <c r="BO18" s="697"/>
      <c r="BP18" s="176" t="s">
        <v>34</v>
      </c>
      <c r="BQ18" s="137">
        <f>'[2]No. of aircraft'!AF48</f>
        <v>0</v>
      </c>
      <c r="BR18" s="137">
        <f>'[2]No. of aircraft'!AG48</f>
        <v>0</v>
      </c>
      <c r="BS18" s="137">
        <f>'[2]No. of aircraft'!AH48</f>
        <v>0</v>
      </c>
      <c r="BT18" s="137">
        <f>'[2]No. of aircraft'!AI48</f>
        <v>0</v>
      </c>
      <c r="BU18" s="137">
        <f>'[2]No. of aircraft'!AJ48</f>
        <v>0</v>
      </c>
      <c r="BV18" s="137">
        <f>'[2]No. of aircraft'!AK48</f>
        <v>0</v>
      </c>
      <c r="BW18" s="137">
        <f>'[2]No. of aircraft'!AL48</f>
        <v>0</v>
      </c>
      <c r="BX18" s="137">
        <f>'[2]No. of aircraft'!AM48</f>
        <v>0</v>
      </c>
      <c r="BY18" s="137">
        <f>'[2]No. of aircraft'!AN48</f>
        <v>0</v>
      </c>
      <c r="BZ18" s="137">
        <f>'[2]No. of aircraft'!AO48</f>
        <v>0</v>
      </c>
      <c r="CA18" s="137">
        <f>'[2]No. of aircraft'!AP48</f>
        <v>0</v>
      </c>
      <c r="CB18" s="137">
        <f>'[2]No. of aircraft'!AQ48</f>
        <v>0</v>
      </c>
      <c r="CC18" s="137">
        <f>'[2]No. of aircraft'!AR48</f>
        <v>1</v>
      </c>
      <c r="CD18" s="137">
        <f>'[2]No. of aircraft'!AS48</f>
        <v>1</v>
      </c>
      <c r="CE18" s="137">
        <f>'[2]No. of aircraft'!AT48</f>
        <v>1</v>
      </c>
      <c r="CF18" s="137">
        <f>'[2]No. of aircraft'!AU48</f>
        <v>1</v>
      </c>
      <c r="CG18" s="137">
        <f>'[2]No. of aircraft'!AV48</f>
        <v>1</v>
      </c>
      <c r="CH18" s="137">
        <f>'[2]No. of aircraft'!AW48</f>
        <v>1</v>
      </c>
      <c r="CI18" s="137">
        <f>'[2]No. of aircraft'!AX48</f>
        <v>1</v>
      </c>
      <c r="CJ18" s="137">
        <f>'[2]No. of aircraft'!AY48</f>
        <v>1</v>
      </c>
      <c r="CK18" s="137">
        <v>1</v>
      </c>
      <c r="CL18" s="137">
        <v>1</v>
      </c>
      <c r="CM18" s="137">
        <v>1</v>
      </c>
      <c r="CN18" s="137">
        <v>1</v>
      </c>
      <c r="CO18" s="137">
        <v>1</v>
      </c>
      <c r="CP18" s="137">
        <v>1</v>
      </c>
      <c r="CQ18" s="137">
        <v>1</v>
      </c>
      <c r="CR18" s="137">
        <v>1</v>
      </c>
      <c r="CS18" s="137">
        <v>1</v>
      </c>
      <c r="CT18" s="137">
        <v>1</v>
      </c>
      <c r="CU18" s="137">
        <v>1</v>
      </c>
      <c r="CV18" s="137">
        <v>1</v>
      </c>
      <c r="CW18" s="137">
        <v>1</v>
      </c>
      <c r="CX18" s="137">
        <v>1</v>
      </c>
      <c r="CY18" s="137">
        <v>1</v>
      </c>
      <c r="CZ18" s="137">
        <v>1</v>
      </c>
      <c r="DA18" s="137">
        <v>1</v>
      </c>
      <c r="DB18" s="137">
        <v>1</v>
      </c>
      <c r="DC18" s="137">
        <v>1</v>
      </c>
      <c r="DD18" s="137">
        <v>1</v>
      </c>
      <c r="DF18" s="827"/>
      <c r="DH18" s="696"/>
      <c r="DI18" s="142" t="str">
        <v>TIM-AMQ</v>
      </c>
      <c r="DJ18" s="179"/>
      <c r="DK18" s="166"/>
      <c r="DL18" s="166"/>
      <c r="DM18" s="145">
        <v>9300.4309017758242</v>
      </c>
      <c r="DN18" s="145">
        <v>9384.5666661216019</v>
      </c>
      <c r="DO18" s="145">
        <v>9429.0559015652052</v>
      </c>
      <c r="DP18" s="145">
        <v>9420.868753508772</v>
      </c>
      <c r="DQ18" s="145">
        <v>9598.3262297622314</v>
      </c>
      <c r="DR18" s="145">
        <v>9490.4819173752312</v>
      </c>
      <c r="DS18" s="146">
        <v>9495.2988338342348</v>
      </c>
      <c r="GT18" s="825">
        <v>4</v>
      </c>
      <c r="GU18" s="156" t="s">
        <v>32</v>
      </c>
      <c r="GV18" s="148">
        <f>'[2]No. of aircraft'!AF136</f>
        <v>0</v>
      </c>
      <c r="GW18" s="148">
        <f>'[2]No. of aircraft'!AG136</f>
        <v>0</v>
      </c>
      <c r="GX18" s="148">
        <f>'[2]No. of aircraft'!AH136</f>
        <v>0</v>
      </c>
      <c r="GY18" s="148">
        <f>'[2]No. of aircraft'!AI136</f>
        <v>0</v>
      </c>
      <c r="GZ18" s="148">
        <f>'[2]No. of aircraft'!AJ136</f>
        <v>0</v>
      </c>
      <c r="HA18" s="148">
        <f>'[2]No. of aircraft'!AK136</f>
        <v>0</v>
      </c>
      <c r="HB18" s="148">
        <f>'[2]No. of aircraft'!AL136</f>
        <v>0</v>
      </c>
      <c r="HC18" s="148">
        <f>'[2]No. of aircraft'!AM136</f>
        <v>0</v>
      </c>
      <c r="HD18" s="148">
        <f>'[2]No. of aircraft'!AN136</f>
        <v>0</v>
      </c>
      <c r="HE18" s="148">
        <f>'[2]No. of aircraft'!AO136</f>
        <v>0</v>
      </c>
      <c r="HF18" s="148">
        <f>'[2]No. of aircraft'!AP136</f>
        <v>0</v>
      </c>
      <c r="HG18" s="148">
        <f>'[2]No. of aircraft'!AQ136</f>
        <v>0</v>
      </c>
      <c r="HH18" s="148">
        <f>'[2]No. of aircraft'!AR136</f>
        <v>1</v>
      </c>
      <c r="HI18" s="148">
        <f>'[2]No. of aircraft'!AS136</f>
        <v>1</v>
      </c>
      <c r="HJ18" s="148">
        <f>'[2]No. of aircraft'!AT136</f>
        <v>1</v>
      </c>
      <c r="HK18" s="148">
        <f>'[2]No. of aircraft'!AU136</f>
        <v>1</v>
      </c>
      <c r="HL18" s="148">
        <f>'[2]No. of aircraft'!AV136</f>
        <v>1</v>
      </c>
      <c r="HM18" s="148">
        <f>'[2]No. of aircraft'!AW136</f>
        <v>1</v>
      </c>
      <c r="HN18" s="148">
        <f>'[2]No. of aircraft'!AX136</f>
        <v>1</v>
      </c>
      <c r="HO18" s="148">
        <f>'[2]No. of aircraft'!AY136</f>
        <v>1</v>
      </c>
    </row>
    <row r="19" spans="1:223" ht="15" customHeight="1">
      <c r="A19" s="697"/>
      <c r="B19" s="176" t="s">
        <v>24</v>
      </c>
      <c r="C19" s="126">
        <v>0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6">
        <v>0</v>
      </c>
      <c r="K19" s="126">
        <v>0</v>
      </c>
      <c r="L19" s="126">
        <v>0</v>
      </c>
      <c r="M19" s="126">
        <v>0</v>
      </c>
      <c r="N19" s="126">
        <v>0</v>
      </c>
      <c r="O19" s="125">
        <v>6.833767166623935</v>
      </c>
      <c r="P19" s="125">
        <v>7.2851743655195511</v>
      </c>
      <c r="Q19" s="125">
        <v>7.7404977633645213</v>
      </c>
      <c r="R19" s="125">
        <v>8.195821161209496</v>
      </c>
      <c r="S19" s="125">
        <v>9.1063053753066967</v>
      </c>
      <c r="T19" s="125">
        <v>9.5746014101478991</v>
      </c>
      <c r="U19" s="125">
        <v>10.053331480655293</v>
      </c>
      <c r="V19" s="125">
        <v>10.532061551162691</v>
      </c>
      <c r="W19" s="125">
        <v>10.585451890750143</v>
      </c>
      <c r="X19" s="125">
        <v>10.606622794531644</v>
      </c>
      <c r="Y19" s="125">
        <v>10.627836040120707</v>
      </c>
      <c r="Z19" s="125">
        <v>10.649091712200949</v>
      </c>
      <c r="AA19" s="125">
        <v>10.712150639966595</v>
      </c>
      <c r="AB19" s="125">
        <v>10.748835919178306</v>
      </c>
      <c r="AC19" s="125">
        <v>10.79183126285502</v>
      </c>
      <c r="AD19" s="125">
        <v>10.834998587906449</v>
      </c>
      <c r="AE19" s="125">
        <v>10.927131806524292</v>
      </c>
      <c r="AF19" s="125">
        <v>10.980099130511705</v>
      </c>
      <c r="AG19" s="125">
        <v>11.045979725294774</v>
      </c>
      <c r="AH19" s="125">
        <v>11.112255603646544</v>
      </c>
      <c r="AI19" s="125">
        <v>11.228777120276172</v>
      </c>
      <c r="AJ19" s="125">
        <v>11.298908891771424</v>
      </c>
      <c r="AK19" s="125">
        <v>11.382520817570535</v>
      </c>
      <c r="AL19" s="125">
        <v>11.466751471620551</v>
      </c>
      <c r="AM19" s="125">
        <v>11.595041494426512</v>
      </c>
      <c r="AN19" s="125">
        <v>11.675568078889023</v>
      </c>
      <c r="AO19" s="125">
        <v>11.73511347609136</v>
      </c>
      <c r="AP19" s="125">
        <v>11.794962554819426</v>
      </c>
      <c r="AQ19" s="127"/>
      <c r="AS19" s="697"/>
      <c r="AT19" s="177" t="s">
        <v>24</v>
      </c>
      <c r="AU19" s="167"/>
      <c r="AV19" s="163"/>
      <c r="AW19" s="163"/>
      <c r="AX19" s="129">
        <f t="shared" si="3"/>
        <v>7.5138151141793763</v>
      </c>
      <c r="AY19" s="129">
        <f t="shared" si="4"/>
        <v>9.8165749543181455</v>
      </c>
      <c r="AZ19" s="129">
        <f t="shared" si="5"/>
        <v>10.617250609400861</v>
      </c>
      <c r="BA19" s="129">
        <f t="shared" si="6"/>
        <v>10.771954102476592</v>
      </c>
      <c r="BB19" s="129">
        <f t="shared" si="7"/>
        <v>11.01636656649433</v>
      </c>
      <c r="BC19" s="129">
        <f t="shared" si="8"/>
        <v>11.344239575309672</v>
      </c>
      <c r="BD19" s="130">
        <f t="shared" si="9"/>
        <v>11.700171401056581</v>
      </c>
      <c r="BE19" s="173"/>
      <c r="BF19" s="132">
        <f t="shared" si="10"/>
        <v>0.68387393358653159</v>
      </c>
      <c r="BG19" s="697"/>
      <c r="BH19" s="178" t="s">
        <v>24</v>
      </c>
      <c r="BI19" s="134">
        <f t="shared" si="11"/>
        <v>0.64029373193640937</v>
      </c>
      <c r="BJ19" s="135">
        <v>0.67046464077110934</v>
      </c>
      <c r="BK19" s="823"/>
      <c r="BL19" s="176" t="s">
        <v>24</v>
      </c>
      <c r="BM19" s="136">
        <f t="shared" si="12"/>
        <v>9166.9252867005889</v>
      </c>
      <c r="BO19" s="697"/>
      <c r="BP19" s="176" t="s">
        <v>24</v>
      </c>
      <c r="BQ19" s="137">
        <f>'[2]No. of aircraft'!AF49</f>
        <v>0</v>
      </c>
      <c r="BR19" s="137">
        <f>'[2]No. of aircraft'!AG49</f>
        <v>0</v>
      </c>
      <c r="BS19" s="137">
        <f>'[2]No. of aircraft'!AH49</f>
        <v>0</v>
      </c>
      <c r="BT19" s="137">
        <f>'[2]No. of aircraft'!AI49</f>
        <v>0</v>
      </c>
      <c r="BU19" s="137">
        <f>'[2]No. of aircraft'!AJ49</f>
        <v>0</v>
      </c>
      <c r="BV19" s="137">
        <f>'[2]No. of aircraft'!AK49</f>
        <v>0</v>
      </c>
      <c r="BW19" s="137">
        <f>'[2]No. of aircraft'!AL49</f>
        <v>0</v>
      </c>
      <c r="BX19" s="137">
        <f>'[2]No. of aircraft'!AM49</f>
        <v>0</v>
      </c>
      <c r="BY19" s="137">
        <f>'[2]No. of aircraft'!AN49</f>
        <v>0</v>
      </c>
      <c r="BZ19" s="137">
        <f>'[2]No. of aircraft'!AO49</f>
        <v>0</v>
      </c>
      <c r="CA19" s="137">
        <f>'[2]No. of aircraft'!AP49</f>
        <v>0</v>
      </c>
      <c r="CB19" s="137">
        <f>'[2]No. of aircraft'!AQ49</f>
        <v>0</v>
      </c>
      <c r="CC19" s="137">
        <f>'[2]No. of aircraft'!AR49</f>
        <v>1</v>
      </c>
      <c r="CD19" s="137">
        <f>'[2]No. of aircraft'!AS49</f>
        <v>1</v>
      </c>
      <c r="CE19" s="137">
        <f>'[2]No. of aircraft'!AT49</f>
        <v>1</v>
      </c>
      <c r="CF19" s="137">
        <f>'[2]No. of aircraft'!AU49</f>
        <v>1</v>
      </c>
      <c r="CG19" s="137">
        <f>'[2]No. of aircraft'!AV49</f>
        <v>1</v>
      </c>
      <c r="CH19" s="137">
        <f>'[2]No. of aircraft'!AW49</f>
        <v>1</v>
      </c>
      <c r="CI19" s="137">
        <f>'[2]No. of aircraft'!AX49</f>
        <v>1</v>
      </c>
      <c r="CJ19" s="137">
        <f>'[2]No. of aircraft'!AY49</f>
        <v>1</v>
      </c>
      <c r="CK19" s="137">
        <v>1</v>
      </c>
      <c r="CL19" s="137">
        <v>1</v>
      </c>
      <c r="CM19" s="137">
        <v>1</v>
      </c>
      <c r="CN19" s="137">
        <v>1</v>
      </c>
      <c r="CO19" s="137">
        <v>1</v>
      </c>
      <c r="CP19" s="137">
        <v>1</v>
      </c>
      <c r="CQ19" s="137">
        <v>1</v>
      </c>
      <c r="CR19" s="137">
        <v>1</v>
      </c>
      <c r="CS19" s="137">
        <v>1</v>
      </c>
      <c r="CT19" s="137">
        <v>1</v>
      </c>
      <c r="CU19" s="137">
        <v>1</v>
      </c>
      <c r="CV19" s="137">
        <v>1</v>
      </c>
      <c r="CW19" s="137">
        <v>1</v>
      </c>
      <c r="CX19" s="137">
        <v>1</v>
      </c>
      <c r="CY19" s="137">
        <v>1</v>
      </c>
      <c r="CZ19" s="137">
        <v>1</v>
      </c>
      <c r="DA19" s="137">
        <v>1</v>
      </c>
      <c r="DB19" s="137">
        <v>1</v>
      </c>
      <c r="DC19" s="137">
        <v>1</v>
      </c>
      <c r="DD19" s="137">
        <v>1</v>
      </c>
      <c r="DF19" s="827"/>
      <c r="DH19" s="696"/>
      <c r="DI19" s="142" t="str">
        <v>AMQ-CGK</v>
      </c>
      <c r="DJ19" s="179"/>
      <c r="DK19" s="166"/>
      <c r="DL19" s="166"/>
      <c r="DM19" s="145">
        <v>16851.221946301968</v>
      </c>
      <c r="DN19" s="145">
        <v>17066.760267338956</v>
      </c>
      <c r="DO19" s="145">
        <v>17175.295706666366</v>
      </c>
      <c r="DP19" s="145">
        <v>17156.183755606588</v>
      </c>
      <c r="DQ19" s="145">
        <v>17426.840825781408</v>
      </c>
      <c r="DR19" s="145">
        <v>17243.34187387543</v>
      </c>
      <c r="DS19" s="146">
        <v>17243.064894753676</v>
      </c>
      <c r="GT19" s="825"/>
      <c r="GU19" s="180" t="s">
        <v>35</v>
      </c>
      <c r="GV19" s="148">
        <f>'[2]No. of aircraft'!AF137</f>
        <v>0</v>
      </c>
      <c r="GW19" s="148">
        <f>'[2]No. of aircraft'!AG137</f>
        <v>0</v>
      </c>
      <c r="GX19" s="148">
        <f>'[2]No. of aircraft'!AH137</f>
        <v>0</v>
      </c>
      <c r="GY19" s="148">
        <f>'[2]No. of aircraft'!AI137</f>
        <v>0</v>
      </c>
      <c r="GZ19" s="148">
        <f>'[2]No. of aircraft'!AJ137</f>
        <v>0</v>
      </c>
      <c r="HA19" s="148">
        <f>'[2]No. of aircraft'!AK137</f>
        <v>0</v>
      </c>
      <c r="HB19" s="148">
        <f>'[2]No. of aircraft'!AL137</f>
        <v>0</v>
      </c>
      <c r="HC19" s="148">
        <f>'[2]No. of aircraft'!AM137</f>
        <v>0</v>
      </c>
      <c r="HD19" s="148">
        <f>'[2]No. of aircraft'!AN137</f>
        <v>0</v>
      </c>
      <c r="HE19" s="148">
        <f>'[2]No. of aircraft'!AO137</f>
        <v>0</v>
      </c>
      <c r="HF19" s="148">
        <f>'[2]No. of aircraft'!AP137</f>
        <v>0</v>
      </c>
      <c r="HG19" s="148">
        <f>'[2]No. of aircraft'!AQ137</f>
        <v>0</v>
      </c>
      <c r="HH19" s="148">
        <f>'[2]No. of aircraft'!AR137</f>
        <v>1</v>
      </c>
      <c r="HI19" s="148">
        <f>'[2]No. of aircraft'!AS137</f>
        <v>1</v>
      </c>
      <c r="HJ19" s="148">
        <f>'[2]No. of aircraft'!AT137</f>
        <v>1</v>
      </c>
      <c r="HK19" s="148">
        <f>'[2]No. of aircraft'!AU137</f>
        <v>1</v>
      </c>
      <c r="HL19" s="148">
        <f>'[2]No. of aircraft'!AV137</f>
        <v>1</v>
      </c>
      <c r="HM19" s="148">
        <f>'[2]No. of aircraft'!AW137</f>
        <v>1</v>
      </c>
      <c r="HN19" s="148">
        <f>'[2]No. of aircraft'!AX137</f>
        <v>1</v>
      </c>
      <c r="HO19" s="148">
        <f>'[2]No. of aircraft'!AY137</f>
        <v>1</v>
      </c>
    </row>
    <row r="20" spans="1:223" ht="15" customHeight="1" thickBot="1">
      <c r="A20" s="706"/>
      <c r="B20" s="181" t="s">
        <v>36</v>
      </c>
      <c r="C20" s="126">
        <v>0</v>
      </c>
      <c r="D20" s="126">
        <v>0</v>
      </c>
      <c r="E20" s="126">
        <v>0</v>
      </c>
      <c r="F20" s="126">
        <v>0</v>
      </c>
      <c r="G20" s="126">
        <v>0</v>
      </c>
      <c r="H20" s="126">
        <v>0</v>
      </c>
      <c r="I20" s="126">
        <v>0</v>
      </c>
      <c r="J20" s="126">
        <v>0</v>
      </c>
      <c r="K20" s="126">
        <v>0</v>
      </c>
      <c r="L20" s="126">
        <v>0</v>
      </c>
      <c r="M20" s="126">
        <v>0</v>
      </c>
      <c r="N20" s="126">
        <v>0</v>
      </c>
      <c r="O20" s="125">
        <v>3.6794879251523334</v>
      </c>
      <c r="P20" s="125">
        <v>3.9602546696283616</v>
      </c>
      <c r="Q20" s="125">
        <v>4.2431300031732446</v>
      </c>
      <c r="R20" s="125">
        <v>4.5260053367181285</v>
      </c>
      <c r="S20" s="125">
        <v>5.0618892792621066</v>
      </c>
      <c r="T20" s="125">
        <v>5.3535063698601046</v>
      </c>
      <c r="U20" s="125">
        <v>5.6509233904078906</v>
      </c>
      <c r="V20" s="125">
        <v>5.9483404109556739</v>
      </c>
      <c r="W20" s="125">
        <v>5.9784944233472572</v>
      </c>
      <c r="X20" s="125">
        <v>5.9904514121939512</v>
      </c>
      <c r="Y20" s="125">
        <v>6.002432315018333</v>
      </c>
      <c r="Z20" s="125">
        <v>6.0144371796483744</v>
      </c>
      <c r="AA20" s="125">
        <v>6.0500518564595387</v>
      </c>
      <c r="AB20" s="125">
        <v>6.0707711171438987</v>
      </c>
      <c r="AC20" s="125">
        <v>6.0950542016124691</v>
      </c>
      <c r="AD20" s="125">
        <v>6.1194344184189218</v>
      </c>
      <c r="AE20" s="125">
        <v>6.1714697910602316</v>
      </c>
      <c r="AF20" s="125">
        <v>6.2013848909866773</v>
      </c>
      <c r="AG20" s="125">
        <v>6.2385932003325975</v>
      </c>
      <c r="AH20" s="125">
        <v>6.2760247595345922</v>
      </c>
      <c r="AI20" s="125">
        <v>6.3418342539765717</v>
      </c>
      <c r="AJ20" s="125">
        <v>6.3814435601366855</v>
      </c>
      <c r="AK20" s="125">
        <v>6.4286662424816976</v>
      </c>
      <c r="AL20" s="125">
        <v>6.4762383726760619</v>
      </c>
      <c r="AM20" s="125">
        <v>6.5486945317359035</v>
      </c>
      <c r="AN20" s="125">
        <v>6.5941746624954627</v>
      </c>
      <c r="AO20" s="125">
        <v>6.6278049532741896</v>
      </c>
      <c r="AP20" s="125">
        <v>6.66160675853589</v>
      </c>
      <c r="AQ20" s="127"/>
      <c r="AS20" s="706"/>
      <c r="AT20" s="182" t="s">
        <v>36</v>
      </c>
      <c r="AU20" s="169"/>
      <c r="AV20" s="183"/>
      <c r="AW20" s="183"/>
      <c r="AX20" s="184">
        <f t="shared" si="3"/>
        <v>4.1022194836680175</v>
      </c>
      <c r="AY20" s="184">
        <f t="shared" si="4"/>
        <v>5.5036648626214433</v>
      </c>
      <c r="AZ20" s="184">
        <f t="shared" si="5"/>
        <v>5.9964538325519792</v>
      </c>
      <c r="BA20" s="184">
        <f t="shared" si="6"/>
        <v>6.0838278984087077</v>
      </c>
      <c r="BB20" s="184">
        <f t="shared" si="7"/>
        <v>6.2218681604785253</v>
      </c>
      <c r="BC20" s="184">
        <f t="shared" si="8"/>
        <v>6.4070456073177535</v>
      </c>
      <c r="BD20" s="185">
        <f t="shared" si="9"/>
        <v>6.6080702265103612</v>
      </c>
      <c r="BE20" s="173"/>
      <c r="BF20" s="132">
        <f t="shared" si="10"/>
        <v>0.93547436465375611</v>
      </c>
      <c r="BG20" s="706"/>
      <c r="BH20" s="186" t="s">
        <v>36</v>
      </c>
      <c r="BI20" s="134">
        <f t="shared" si="11"/>
        <v>0.87586080220033047</v>
      </c>
      <c r="BJ20" s="135">
        <v>0.9171317300527021</v>
      </c>
      <c r="BK20" s="826"/>
      <c r="BL20" s="181" t="s">
        <v>36</v>
      </c>
      <c r="BM20" s="136">
        <f t="shared" si="12"/>
        <v>12539.480139901581</v>
      </c>
      <c r="BO20" s="698"/>
      <c r="BP20" s="187" t="s">
        <v>36</v>
      </c>
      <c r="BQ20" s="188">
        <f>'[2]No. of aircraft'!AF50</f>
        <v>0</v>
      </c>
      <c r="BR20" s="188">
        <f>'[2]No. of aircraft'!AG50</f>
        <v>0</v>
      </c>
      <c r="BS20" s="188">
        <f>'[2]No. of aircraft'!AH50</f>
        <v>0</v>
      </c>
      <c r="BT20" s="188">
        <f>'[2]No. of aircraft'!AI50</f>
        <v>0</v>
      </c>
      <c r="BU20" s="188">
        <f>'[2]No. of aircraft'!AJ50</f>
        <v>0</v>
      </c>
      <c r="BV20" s="188">
        <f>'[2]No. of aircraft'!AK50</f>
        <v>0</v>
      </c>
      <c r="BW20" s="188">
        <f>'[2]No. of aircraft'!AL50</f>
        <v>0</v>
      </c>
      <c r="BX20" s="188">
        <f>'[2]No. of aircraft'!AM50</f>
        <v>0</v>
      </c>
      <c r="BY20" s="188">
        <f>'[2]No. of aircraft'!AN50</f>
        <v>0</v>
      </c>
      <c r="BZ20" s="188">
        <f>'[2]No. of aircraft'!AO50</f>
        <v>0</v>
      </c>
      <c r="CA20" s="188">
        <f>'[2]No. of aircraft'!AP50</f>
        <v>0</v>
      </c>
      <c r="CB20" s="188">
        <f>'[2]No. of aircraft'!AQ50</f>
        <v>0</v>
      </c>
      <c r="CC20" s="188">
        <f>'[2]No. of aircraft'!AR50</f>
        <v>1</v>
      </c>
      <c r="CD20" s="188">
        <f>'[2]No. of aircraft'!AS50</f>
        <v>1</v>
      </c>
      <c r="CE20" s="188">
        <f>'[2]No. of aircraft'!AT50</f>
        <v>1</v>
      </c>
      <c r="CF20" s="188">
        <f>'[2]No. of aircraft'!AU50</f>
        <v>1</v>
      </c>
      <c r="CG20" s="188">
        <f>'[2]No. of aircraft'!AV50</f>
        <v>1</v>
      </c>
      <c r="CH20" s="188">
        <f>'[2]No. of aircraft'!AW50</f>
        <v>1</v>
      </c>
      <c r="CI20" s="188">
        <f>'[2]No. of aircraft'!AX50</f>
        <v>1</v>
      </c>
      <c r="CJ20" s="188">
        <f>'[2]No. of aircraft'!AY50</f>
        <v>1</v>
      </c>
      <c r="CK20" s="137">
        <v>1</v>
      </c>
      <c r="CL20" s="137">
        <v>1</v>
      </c>
      <c r="CM20" s="137">
        <v>1</v>
      </c>
      <c r="CN20" s="137">
        <v>1</v>
      </c>
      <c r="CO20" s="137">
        <v>1</v>
      </c>
      <c r="CP20" s="137">
        <v>1</v>
      </c>
      <c r="CQ20" s="137">
        <v>1</v>
      </c>
      <c r="CR20" s="137">
        <v>1</v>
      </c>
      <c r="CS20" s="137">
        <v>1</v>
      </c>
      <c r="CT20" s="137">
        <v>1</v>
      </c>
      <c r="CU20" s="137">
        <v>1</v>
      </c>
      <c r="CV20" s="137">
        <v>1</v>
      </c>
      <c r="CW20" s="137">
        <v>1</v>
      </c>
      <c r="CX20" s="137">
        <v>1</v>
      </c>
      <c r="CY20" s="137">
        <v>1</v>
      </c>
      <c r="CZ20" s="137">
        <v>1</v>
      </c>
      <c r="DA20" s="137">
        <v>1</v>
      </c>
      <c r="DB20" s="137">
        <v>1</v>
      </c>
      <c r="DC20" s="137">
        <v>1</v>
      </c>
      <c r="DD20" s="137">
        <v>1</v>
      </c>
      <c r="DF20" s="827"/>
      <c r="DH20" s="741"/>
      <c r="DI20" s="143" t="str">
        <v>CGK-LOP</v>
      </c>
      <c r="DJ20" s="189"/>
      <c r="DK20" s="190"/>
      <c r="DL20" s="190"/>
      <c r="DM20" s="191">
        <v>9334.9372506246073</v>
      </c>
      <c r="DN20" s="191">
        <v>9397.4417145259285</v>
      </c>
      <c r="DO20" s="191">
        <v>9441.7205617585751</v>
      </c>
      <c r="DP20" s="191">
        <v>9423.3169859220416</v>
      </c>
      <c r="DQ20" s="191">
        <v>9593.9644312172695</v>
      </c>
      <c r="DR20" s="191">
        <v>9460.0329549131275</v>
      </c>
      <c r="DS20" s="192">
        <v>9446.6981937553755</v>
      </c>
      <c r="GT20" s="825"/>
      <c r="GU20" s="180" t="s">
        <v>37</v>
      </c>
      <c r="GV20" s="148">
        <f>'[2]No. of aircraft'!AF138</f>
        <v>0</v>
      </c>
      <c r="GW20" s="148">
        <f>'[2]No. of aircraft'!AG138</f>
        <v>0</v>
      </c>
      <c r="GX20" s="148">
        <f>'[2]No. of aircraft'!AH138</f>
        <v>0</v>
      </c>
      <c r="GY20" s="148">
        <f>'[2]No. of aircraft'!AI138</f>
        <v>0</v>
      </c>
      <c r="GZ20" s="148">
        <f>'[2]No. of aircraft'!AJ138</f>
        <v>0</v>
      </c>
      <c r="HA20" s="148">
        <f>'[2]No. of aircraft'!AK138</f>
        <v>0</v>
      </c>
      <c r="HB20" s="148">
        <f>'[2]No. of aircraft'!AL138</f>
        <v>0</v>
      </c>
      <c r="HC20" s="148">
        <f>'[2]No. of aircraft'!AM138</f>
        <v>0</v>
      </c>
      <c r="HD20" s="148">
        <f>'[2]No. of aircraft'!AN138</f>
        <v>0</v>
      </c>
      <c r="HE20" s="148">
        <f>'[2]No. of aircraft'!AO138</f>
        <v>0</v>
      </c>
      <c r="HF20" s="148">
        <f>'[2]No. of aircraft'!AP138</f>
        <v>0</v>
      </c>
      <c r="HG20" s="148">
        <f>'[2]No. of aircraft'!AQ138</f>
        <v>0</v>
      </c>
      <c r="HH20" s="148">
        <f>'[2]No. of aircraft'!AR138</f>
        <v>1</v>
      </c>
      <c r="HI20" s="148">
        <f>'[2]No. of aircraft'!AS138</f>
        <v>1</v>
      </c>
      <c r="HJ20" s="148">
        <f>'[2]No. of aircraft'!AT138</f>
        <v>1</v>
      </c>
      <c r="HK20" s="148">
        <f>'[2]No. of aircraft'!AU138</f>
        <v>1</v>
      </c>
      <c r="HL20" s="148">
        <f>'[2]No. of aircraft'!AV138</f>
        <v>1</v>
      </c>
      <c r="HM20" s="148">
        <f>'[2]No. of aircraft'!AW138</f>
        <v>1</v>
      </c>
      <c r="HN20" s="148">
        <f>'[2]No. of aircraft'!AX138</f>
        <v>1</v>
      </c>
      <c r="HO20" s="148">
        <f>'[2]No. of aircraft'!AY138</f>
        <v>1</v>
      </c>
    </row>
    <row r="21" spans="1:223" ht="15" customHeight="1" thickBot="1">
      <c r="A21" s="193"/>
      <c r="B21" s="98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98"/>
      <c r="AS21" s="99"/>
      <c r="BG21" s="193"/>
      <c r="BH21" s="98"/>
      <c r="BI21" s="194"/>
      <c r="BJ21" s="194"/>
      <c r="BK21" s="108"/>
      <c r="BM21" s="108"/>
      <c r="BO21" s="193"/>
      <c r="BP21" s="98"/>
      <c r="BQ21" s="195"/>
      <c r="BR21" s="195"/>
      <c r="BS21" s="195"/>
      <c r="BT21" s="195"/>
      <c r="BU21" s="195"/>
      <c r="BV21" s="195"/>
      <c r="BW21" s="195"/>
      <c r="BX21" s="195"/>
      <c r="BY21" s="195"/>
      <c r="BZ21" s="195"/>
      <c r="CA21" s="195"/>
      <c r="CB21" s="195"/>
      <c r="CC21" s="195"/>
      <c r="CD21" s="195"/>
      <c r="CE21" s="195"/>
      <c r="CF21" s="195"/>
      <c r="CG21" s="195"/>
      <c r="CH21" s="195"/>
      <c r="CI21" s="195"/>
      <c r="CJ21" s="195"/>
      <c r="CK21" s="195"/>
      <c r="CL21" s="195"/>
      <c r="CM21" s="195"/>
      <c r="CN21" s="195"/>
      <c r="CO21" s="195"/>
      <c r="CP21" s="195"/>
      <c r="CQ21" s="195"/>
      <c r="CR21" s="195"/>
      <c r="CS21" s="195"/>
      <c r="CT21" s="195"/>
      <c r="CU21" s="195"/>
      <c r="CV21" s="195"/>
      <c r="CW21" s="195"/>
      <c r="CX21" s="195"/>
      <c r="CY21" s="195"/>
      <c r="CZ21" s="195"/>
      <c r="DA21" s="195"/>
      <c r="DB21" s="195"/>
      <c r="DC21" s="195"/>
      <c r="DD21" s="195"/>
      <c r="DF21" s="827"/>
      <c r="DH21" s="193"/>
      <c r="DI21" s="194"/>
      <c r="DJ21" s="194"/>
      <c r="DK21" s="194"/>
      <c r="DL21" s="194"/>
      <c r="DM21" s="194"/>
      <c r="DN21" s="194"/>
      <c r="DO21" s="194"/>
      <c r="DP21" s="194"/>
      <c r="DQ21" s="194"/>
      <c r="DR21" s="194"/>
      <c r="GT21" s="825"/>
      <c r="GU21" s="156" t="s">
        <v>23</v>
      </c>
      <c r="GV21" s="148">
        <f>'[2]No. of aircraft'!AF139</f>
        <v>0</v>
      </c>
      <c r="GW21" s="148">
        <f>'[2]No. of aircraft'!AG139</f>
        <v>0</v>
      </c>
      <c r="GX21" s="148">
        <f>'[2]No. of aircraft'!AH139</f>
        <v>0</v>
      </c>
      <c r="GY21" s="148">
        <f>'[2]No. of aircraft'!AI139</f>
        <v>0</v>
      </c>
      <c r="GZ21" s="148">
        <f>'[2]No. of aircraft'!AJ139</f>
        <v>0</v>
      </c>
      <c r="HA21" s="148">
        <f>'[2]No. of aircraft'!AK139</f>
        <v>0</v>
      </c>
      <c r="HB21" s="148">
        <f>'[2]No. of aircraft'!AL139</f>
        <v>0</v>
      </c>
      <c r="HC21" s="148">
        <f>'[2]No. of aircraft'!AM139</f>
        <v>0</v>
      </c>
      <c r="HD21" s="148">
        <f>'[2]No. of aircraft'!AN139</f>
        <v>0</v>
      </c>
      <c r="HE21" s="148">
        <f>'[2]No. of aircraft'!AO139</f>
        <v>0</v>
      </c>
      <c r="HF21" s="148">
        <f>'[2]No. of aircraft'!AP139</f>
        <v>0</v>
      </c>
      <c r="HG21" s="148">
        <f>'[2]No. of aircraft'!AQ139</f>
        <v>0</v>
      </c>
      <c r="HH21" s="148">
        <f>'[2]No. of aircraft'!AR139</f>
        <v>0</v>
      </c>
      <c r="HI21" s="148">
        <f>'[2]No. of aircraft'!AS139</f>
        <v>0</v>
      </c>
      <c r="HJ21" s="148">
        <f>'[2]No. of aircraft'!AT139</f>
        <v>0</v>
      </c>
      <c r="HK21" s="148">
        <f>'[2]No. of aircraft'!AU139</f>
        <v>0</v>
      </c>
      <c r="HL21" s="148">
        <f>'[2]No. of aircraft'!AV139</f>
        <v>0</v>
      </c>
      <c r="HM21" s="148">
        <f>'[2]No. of aircraft'!AW139</f>
        <v>0</v>
      </c>
      <c r="HN21" s="148">
        <f>'[2]No. of aircraft'!AX139</f>
        <v>0</v>
      </c>
      <c r="HO21" s="148">
        <f>'[2]No. of aircraft'!AY139</f>
        <v>0</v>
      </c>
    </row>
    <row r="22" spans="1:223" ht="15" customHeight="1">
      <c r="A22" s="193"/>
      <c r="B22" s="98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98"/>
      <c r="AS22" s="99"/>
      <c r="BG22" s="193"/>
      <c r="BH22" s="98"/>
      <c r="BI22" s="194"/>
      <c r="BJ22" s="194"/>
      <c r="BK22" s="108"/>
      <c r="BM22" s="108"/>
      <c r="BO22" s="193"/>
      <c r="BP22" s="98"/>
      <c r="BQ22" s="195"/>
      <c r="BR22" s="195"/>
      <c r="BS22" s="195"/>
      <c r="BT22" s="195"/>
      <c r="BU22" s="195"/>
      <c r="BV22" s="195"/>
      <c r="BW22" s="195"/>
      <c r="BX22" s="195"/>
      <c r="BY22" s="195"/>
      <c r="BZ22" s="195"/>
      <c r="CA22" s="195"/>
      <c r="CB22" s="195"/>
      <c r="CC22" s="195"/>
      <c r="CD22" s="195"/>
      <c r="CE22" s="195"/>
      <c r="CF22" s="195"/>
      <c r="CG22" s="195"/>
      <c r="CH22" s="195"/>
      <c r="CI22" s="195"/>
      <c r="CJ22" s="195"/>
      <c r="CK22" s="195"/>
      <c r="CL22" s="195"/>
      <c r="CM22" s="195"/>
      <c r="CN22" s="195"/>
      <c r="CO22" s="195"/>
      <c r="CP22" s="195"/>
      <c r="CQ22" s="195"/>
      <c r="CR22" s="195"/>
      <c r="CS22" s="195"/>
      <c r="CT22" s="195"/>
      <c r="CU22" s="195"/>
      <c r="CV22" s="195"/>
      <c r="CW22" s="195"/>
      <c r="CX22" s="195"/>
      <c r="CY22" s="195"/>
      <c r="CZ22" s="195"/>
      <c r="DA22" s="195"/>
      <c r="DB22" s="195"/>
      <c r="DC22" s="195"/>
      <c r="DD22" s="195"/>
      <c r="DF22" s="827"/>
      <c r="DH22" s="193"/>
      <c r="DI22" s="196"/>
      <c r="DJ22" s="782">
        <v>2023</v>
      </c>
      <c r="DK22" s="783"/>
      <c r="DL22" s="783"/>
      <c r="DM22" s="784"/>
      <c r="DN22" s="744">
        <v>2024</v>
      </c>
      <c r="DO22" s="745"/>
      <c r="DP22" s="745"/>
      <c r="DQ22" s="746"/>
      <c r="DR22" s="763">
        <v>2025</v>
      </c>
      <c r="DS22" s="764"/>
      <c r="DT22" s="764"/>
      <c r="DU22" s="765"/>
      <c r="DV22" s="744">
        <v>2026</v>
      </c>
      <c r="DW22" s="745"/>
      <c r="DX22" s="745"/>
      <c r="DY22" s="746"/>
      <c r="DZ22" s="747">
        <v>2027</v>
      </c>
      <c r="EA22" s="748"/>
      <c r="EB22" s="748"/>
      <c r="EC22" s="749"/>
      <c r="ED22" s="782">
        <v>2028</v>
      </c>
      <c r="EE22" s="783"/>
      <c r="EF22" s="783"/>
      <c r="EG22" s="784"/>
      <c r="EH22" s="744">
        <v>2029</v>
      </c>
      <c r="EI22" s="745"/>
      <c r="EJ22" s="745"/>
      <c r="EK22" s="746"/>
      <c r="EL22" s="763">
        <v>2030</v>
      </c>
      <c r="EM22" s="764"/>
      <c r="EN22" s="764"/>
      <c r="EO22" s="765"/>
      <c r="EP22" s="744">
        <v>2031</v>
      </c>
      <c r="EQ22" s="745"/>
      <c r="ER22" s="745"/>
      <c r="ES22" s="746"/>
      <c r="ET22" s="747">
        <v>2032</v>
      </c>
      <c r="EU22" s="748"/>
      <c r="EV22" s="748"/>
      <c r="EW22" s="749"/>
      <c r="GT22" s="825"/>
      <c r="GU22" s="156" t="s">
        <v>38</v>
      </c>
      <c r="GV22" s="148">
        <f>'[2]No. of aircraft'!AF140</f>
        <v>0</v>
      </c>
      <c r="GW22" s="148">
        <f>'[2]No. of aircraft'!AG140</f>
        <v>0</v>
      </c>
      <c r="GX22" s="148">
        <f>'[2]No. of aircraft'!AH140</f>
        <v>0</v>
      </c>
      <c r="GY22" s="148">
        <f>'[2]No. of aircraft'!AI140</f>
        <v>0</v>
      </c>
      <c r="GZ22" s="148">
        <f>'[2]No. of aircraft'!AJ140</f>
        <v>0</v>
      </c>
      <c r="HA22" s="148">
        <f>'[2]No. of aircraft'!AK140</f>
        <v>0</v>
      </c>
      <c r="HB22" s="148">
        <f>'[2]No. of aircraft'!AL140</f>
        <v>0</v>
      </c>
      <c r="HC22" s="148">
        <f>'[2]No. of aircraft'!AM140</f>
        <v>0</v>
      </c>
      <c r="HD22" s="148">
        <f>'[2]No. of aircraft'!AN140</f>
        <v>0</v>
      </c>
      <c r="HE22" s="148">
        <f>'[2]No. of aircraft'!AO140</f>
        <v>0</v>
      </c>
      <c r="HF22" s="148">
        <f>'[2]No. of aircraft'!AP140</f>
        <v>0</v>
      </c>
      <c r="HG22" s="148">
        <f>'[2]No. of aircraft'!AQ140</f>
        <v>0</v>
      </c>
      <c r="HH22" s="148">
        <f>'[2]No. of aircraft'!AR140</f>
        <v>0</v>
      </c>
      <c r="HI22" s="148">
        <f>'[2]No. of aircraft'!AS140</f>
        <v>0</v>
      </c>
      <c r="HJ22" s="148">
        <f>'[2]No. of aircraft'!AT140</f>
        <v>0</v>
      </c>
      <c r="HK22" s="148">
        <f>'[2]No. of aircraft'!AU140</f>
        <v>0</v>
      </c>
      <c r="HL22" s="148">
        <f>'[2]No. of aircraft'!AV140</f>
        <v>0</v>
      </c>
      <c r="HM22" s="148">
        <f>'[2]No. of aircraft'!AW140</f>
        <v>0</v>
      </c>
      <c r="HN22" s="148">
        <f>'[2]No. of aircraft'!AX140</f>
        <v>0</v>
      </c>
      <c r="HO22" s="148">
        <f>'[2]No. of aircraft'!AY140</f>
        <v>0</v>
      </c>
    </row>
    <row r="23" spans="1:223">
      <c r="A23" s="193"/>
      <c r="B23" s="104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9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04"/>
      <c r="AS23" s="99"/>
      <c r="BG23" s="193"/>
      <c r="BH23" s="104"/>
      <c r="BI23" s="194"/>
      <c r="BJ23" s="194"/>
      <c r="BK23" s="108"/>
      <c r="BM23" s="108"/>
      <c r="BO23" s="193"/>
      <c r="BP23" s="104"/>
      <c r="BQ23" s="195"/>
      <c r="BR23" s="195"/>
      <c r="BS23" s="195"/>
      <c r="BT23" s="195"/>
      <c r="BU23" s="195"/>
      <c r="BV23" s="195"/>
      <c r="BW23" s="195"/>
      <c r="BX23" s="195"/>
      <c r="BY23" s="195"/>
      <c r="BZ23" s="195"/>
      <c r="CA23" s="195"/>
      <c r="CB23" s="195"/>
      <c r="CC23" s="195"/>
      <c r="CD23" s="195"/>
      <c r="CE23" s="195"/>
      <c r="CF23" s="195"/>
      <c r="CG23" s="195"/>
      <c r="CH23" s="195"/>
      <c r="CI23" s="195"/>
      <c r="CJ23" s="195"/>
      <c r="CK23" s="195"/>
      <c r="CL23" s="195"/>
      <c r="CM23" s="195"/>
      <c r="CN23" s="195"/>
      <c r="CO23" s="195"/>
      <c r="CP23" s="195"/>
      <c r="CQ23" s="195"/>
      <c r="CR23" s="195"/>
      <c r="CS23" s="195"/>
      <c r="CT23" s="195"/>
      <c r="CU23" s="195"/>
      <c r="CV23" s="195"/>
      <c r="CW23" s="195"/>
      <c r="CX23" s="195"/>
      <c r="CY23" s="195"/>
      <c r="CZ23" s="195"/>
      <c r="DA23" s="195"/>
      <c r="DB23" s="195"/>
      <c r="DC23" s="195"/>
      <c r="DD23" s="195"/>
      <c r="DF23" s="827"/>
      <c r="DH23" s="193"/>
      <c r="DI23" s="196"/>
      <c r="DJ23" s="98">
        <v>1</v>
      </c>
      <c r="DK23" s="98">
        <v>2</v>
      </c>
      <c r="DL23" s="98">
        <v>3</v>
      </c>
      <c r="DM23" s="98">
        <v>4</v>
      </c>
      <c r="DN23" s="98">
        <v>1</v>
      </c>
      <c r="DO23" s="98">
        <v>2</v>
      </c>
      <c r="DP23" s="98">
        <v>3</v>
      </c>
      <c r="DQ23" s="98">
        <v>4</v>
      </c>
      <c r="DR23" s="98">
        <v>1</v>
      </c>
      <c r="DS23" s="98">
        <v>2</v>
      </c>
      <c r="DT23" s="98">
        <v>3</v>
      </c>
      <c r="DU23" s="98">
        <v>4</v>
      </c>
      <c r="DV23" s="98">
        <v>1</v>
      </c>
      <c r="DW23" s="98">
        <v>2</v>
      </c>
      <c r="DX23" s="98">
        <v>3</v>
      </c>
      <c r="DY23" s="98">
        <v>4</v>
      </c>
      <c r="DZ23" s="98">
        <v>1</v>
      </c>
      <c r="EA23" s="98">
        <v>2</v>
      </c>
      <c r="EB23" s="98">
        <v>3</v>
      </c>
      <c r="EC23" s="198">
        <v>4</v>
      </c>
      <c r="ED23" s="112">
        <v>1</v>
      </c>
      <c r="EE23" s="113">
        <v>2</v>
      </c>
      <c r="EF23" s="113">
        <v>3</v>
      </c>
      <c r="EG23" s="114">
        <v>4</v>
      </c>
      <c r="EH23" s="112">
        <v>1</v>
      </c>
      <c r="EI23" s="113">
        <v>2</v>
      </c>
      <c r="EJ23" s="113">
        <v>3</v>
      </c>
      <c r="EK23" s="114">
        <v>4</v>
      </c>
      <c r="EL23" s="112">
        <v>1</v>
      </c>
      <c r="EM23" s="113">
        <v>2</v>
      </c>
      <c r="EN23" s="113">
        <v>3</v>
      </c>
      <c r="EO23" s="114">
        <v>4</v>
      </c>
      <c r="EP23" s="112">
        <v>1</v>
      </c>
      <c r="EQ23" s="113">
        <v>2</v>
      </c>
      <c r="ER23" s="113">
        <v>3</v>
      </c>
      <c r="ES23" s="114">
        <v>4</v>
      </c>
      <c r="ET23" s="112">
        <v>1</v>
      </c>
      <c r="EU23" s="113">
        <v>2</v>
      </c>
      <c r="EV23" s="113">
        <v>3</v>
      </c>
      <c r="EW23" s="114">
        <v>4</v>
      </c>
      <c r="GT23" s="825"/>
      <c r="GU23" s="180" t="s">
        <v>36</v>
      </c>
      <c r="GV23" s="148">
        <f>'[2]No. of aircraft'!AF141</f>
        <v>0</v>
      </c>
      <c r="GW23" s="148">
        <f>'[2]No. of aircraft'!AG141</f>
        <v>0</v>
      </c>
      <c r="GX23" s="148">
        <f>'[2]No. of aircraft'!AH141</f>
        <v>0</v>
      </c>
      <c r="GY23" s="148">
        <f>'[2]No. of aircraft'!AI141</f>
        <v>0</v>
      </c>
      <c r="GZ23" s="148">
        <f>'[2]No. of aircraft'!AJ141</f>
        <v>0</v>
      </c>
      <c r="HA23" s="148">
        <f>'[2]No. of aircraft'!AK141</f>
        <v>0</v>
      </c>
      <c r="HB23" s="148">
        <f>'[2]No. of aircraft'!AL141</f>
        <v>0</v>
      </c>
      <c r="HC23" s="148">
        <f>'[2]No. of aircraft'!AM141</f>
        <v>0</v>
      </c>
      <c r="HD23" s="148">
        <f>'[2]No. of aircraft'!AN141</f>
        <v>0</v>
      </c>
      <c r="HE23" s="148">
        <f>'[2]No. of aircraft'!AO141</f>
        <v>0</v>
      </c>
      <c r="HF23" s="148">
        <f>'[2]No. of aircraft'!AP141</f>
        <v>0</v>
      </c>
      <c r="HG23" s="148">
        <f>'[2]No. of aircraft'!AQ141</f>
        <v>0</v>
      </c>
      <c r="HH23" s="148">
        <f>'[2]No. of aircraft'!AR141</f>
        <v>0</v>
      </c>
      <c r="HI23" s="148">
        <f>'[2]No. of aircraft'!AS141</f>
        <v>0</v>
      </c>
      <c r="HJ23" s="148">
        <f>'[2]No. of aircraft'!AT141</f>
        <v>0</v>
      </c>
      <c r="HK23" s="148">
        <f>'[2]No. of aircraft'!AU141</f>
        <v>0</v>
      </c>
      <c r="HL23" s="148">
        <f>'[2]No. of aircraft'!AV141</f>
        <v>0</v>
      </c>
      <c r="HM23" s="148">
        <f>'[2]No. of aircraft'!AW141</f>
        <v>0</v>
      </c>
      <c r="HN23" s="148">
        <f>'[2]No. of aircraft'!AX141</f>
        <v>0</v>
      </c>
      <c r="HO23" s="148">
        <f>'[2]No. of aircraft'!AY141</f>
        <v>0</v>
      </c>
    </row>
    <row r="24" spans="1:223">
      <c r="A24" s="99"/>
      <c r="B24" s="99"/>
      <c r="C24" s="99"/>
      <c r="D24" s="99"/>
      <c r="E24" s="99"/>
      <c r="F24" s="99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99"/>
      <c r="BK24" s="108"/>
      <c r="DF24" s="827"/>
      <c r="DH24" s="697">
        <v>1</v>
      </c>
      <c r="DI24" s="124" t="s">
        <v>15</v>
      </c>
      <c r="DJ24" s="144">
        <v>10933.014596421561</v>
      </c>
      <c r="DK24" s="144">
        <v>10933.014596421561</v>
      </c>
      <c r="DL24" s="144">
        <v>10933.014596421561</v>
      </c>
      <c r="DM24" s="144">
        <v>10933.014596421561</v>
      </c>
      <c r="DN24" s="145">
        <v>11138.184545534092</v>
      </c>
      <c r="DO24" s="145">
        <v>11138.184545534092</v>
      </c>
      <c r="DP24" s="145">
        <v>11138.184545534092</v>
      </c>
      <c r="DQ24" s="145">
        <v>11138.184545534092</v>
      </c>
      <c r="DR24" s="145">
        <v>11320.425796421561</v>
      </c>
      <c r="DS24" s="145">
        <v>11320.425796421561</v>
      </c>
      <c r="DT24" s="145">
        <v>11320.425796421561</v>
      </c>
      <c r="DU24" s="145">
        <v>11320.425796421561</v>
      </c>
      <c r="DV24" s="145">
        <v>11320.425796421561</v>
      </c>
      <c r="DW24" s="145">
        <v>11320.425796421561</v>
      </c>
      <c r="DX24" s="145">
        <v>11320.425796421561</v>
      </c>
      <c r="DY24" s="145">
        <v>11320.425796421561</v>
      </c>
      <c r="DZ24" s="145">
        <v>11320.425796421561</v>
      </c>
      <c r="EA24" s="145">
        <v>11320.425796421561</v>
      </c>
      <c r="EB24" s="145">
        <v>11320.425796421561</v>
      </c>
      <c r="EC24" s="145">
        <v>11320.425796421561</v>
      </c>
      <c r="ED24" s="145">
        <v>11320.425796421561</v>
      </c>
      <c r="EE24" s="145">
        <v>11320.425796421561</v>
      </c>
      <c r="EF24" s="145">
        <v>11320.425796421561</v>
      </c>
      <c r="EG24" s="145">
        <v>11320.425796421561</v>
      </c>
      <c r="EH24" s="145">
        <v>11520.499627234254</v>
      </c>
      <c r="EI24" s="145">
        <v>11520.499627234254</v>
      </c>
      <c r="EJ24" s="145">
        <v>11520.499627234254</v>
      </c>
      <c r="EK24" s="145">
        <v>11520.499627234254</v>
      </c>
      <c r="EL24" s="145">
        <v>11320.425796421561</v>
      </c>
      <c r="EM24" s="145">
        <v>11320.425796421561</v>
      </c>
      <c r="EN24" s="145">
        <v>11320.425796421561</v>
      </c>
      <c r="EO24" s="145">
        <v>11320.425796421561</v>
      </c>
      <c r="EP24" s="145">
        <v>11320.425796421561</v>
      </c>
      <c r="EQ24" s="145">
        <v>11320.425796421561</v>
      </c>
      <c r="ER24" s="145">
        <v>11320.425796421561</v>
      </c>
      <c r="ES24" s="145">
        <v>11320.425796421561</v>
      </c>
      <c r="ET24" s="146">
        <v>11320.425796421561</v>
      </c>
      <c r="EU24" s="146">
        <v>11320.425796421561</v>
      </c>
      <c r="EV24" s="146">
        <v>11320.425796421561</v>
      </c>
      <c r="EW24" s="146">
        <v>11320.425796421561</v>
      </c>
    </row>
    <row r="25" spans="1:223" ht="15" thickBot="1">
      <c r="A25" s="99"/>
      <c r="B25" s="99"/>
      <c r="C25" s="99"/>
      <c r="D25" s="99"/>
      <c r="E25" s="99"/>
      <c r="F25" s="99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99"/>
      <c r="DF25" s="827"/>
      <c r="DH25" s="697"/>
      <c r="DI25" s="124" t="s">
        <v>16</v>
      </c>
      <c r="DJ25" s="149">
        <v>7727.0417254316708</v>
      </c>
      <c r="DK25" s="149">
        <v>7727.0417254316708</v>
      </c>
      <c r="DL25" s="149">
        <v>7727.0417254316708</v>
      </c>
      <c r="DM25" s="149">
        <v>7727.0417254316708</v>
      </c>
      <c r="DN25" s="145">
        <v>8387.5918530493182</v>
      </c>
      <c r="DO25" s="145">
        <v>8387.5918530493182</v>
      </c>
      <c r="DP25" s="145">
        <v>8387.5918530493182</v>
      </c>
      <c r="DQ25" s="145">
        <v>8387.5918530493182</v>
      </c>
      <c r="DR25" s="145">
        <v>8475.6921254316694</v>
      </c>
      <c r="DS25" s="145">
        <v>8475.6921254316694</v>
      </c>
      <c r="DT25" s="145">
        <v>8475.6921254316694</v>
      </c>
      <c r="DU25" s="145">
        <v>8475.6921254316694</v>
      </c>
      <c r="DV25" s="145">
        <v>8475.6921254316694</v>
      </c>
      <c r="DW25" s="145">
        <v>8475.6921254316694</v>
      </c>
      <c r="DX25" s="145">
        <v>8475.6921254316694</v>
      </c>
      <c r="DY25" s="145">
        <v>8475.6921254316694</v>
      </c>
      <c r="DZ25" s="145">
        <v>8475.6921254316694</v>
      </c>
      <c r="EA25" s="145">
        <v>8475.6921254316694</v>
      </c>
      <c r="EB25" s="145">
        <v>8475.6921254316694</v>
      </c>
      <c r="EC25" s="145">
        <v>8475.6921254316694</v>
      </c>
      <c r="ED25" s="145">
        <v>8475.6921254316694</v>
      </c>
      <c r="EE25" s="145">
        <v>8475.6921254316694</v>
      </c>
      <c r="EF25" s="145">
        <v>8475.6921254316694</v>
      </c>
      <c r="EG25" s="145">
        <v>8475.6921254316694</v>
      </c>
      <c r="EH25" s="145">
        <v>8645.4381305767729</v>
      </c>
      <c r="EI25" s="145">
        <v>8645.4381305767729</v>
      </c>
      <c r="EJ25" s="145">
        <v>8645.4381305767729</v>
      </c>
      <c r="EK25" s="145">
        <v>8645.4381305767729</v>
      </c>
      <c r="EL25" s="145">
        <v>8475.6921254316694</v>
      </c>
      <c r="EM25" s="145">
        <v>8475.6921254316694</v>
      </c>
      <c r="EN25" s="145">
        <v>8475.6921254316694</v>
      </c>
      <c r="EO25" s="145">
        <v>8475.6921254316694</v>
      </c>
      <c r="EP25" s="145">
        <v>8475.6921254316694</v>
      </c>
      <c r="EQ25" s="145">
        <v>8475.6921254316694</v>
      </c>
      <c r="ER25" s="145">
        <v>8475.6921254316694</v>
      </c>
      <c r="ES25" s="145">
        <v>8475.6921254316694</v>
      </c>
      <c r="ET25" s="146">
        <v>8475.6921254316694</v>
      </c>
      <c r="EU25" s="146">
        <v>8475.6921254316694</v>
      </c>
      <c r="EV25" s="146">
        <v>8475.6921254316694</v>
      </c>
      <c r="EW25" s="146">
        <v>8475.6921254316694</v>
      </c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</row>
    <row r="26" spans="1:223" ht="15" thickBot="1">
      <c r="A26" s="200" t="s">
        <v>39</v>
      </c>
      <c r="B26" s="201"/>
      <c r="C26" s="202">
        <v>1</v>
      </c>
      <c r="D26" s="99"/>
      <c r="E26" s="99"/>
      <c r="F26" s="99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99"/>
      <c r="AR26" s="199"/>
      <c r="DF26" s="827"/>
      <c r="DH26" s="697"/>
      <c r="DI26" s="124" t="s">
        <v>17</v>
      </c>
      <c r="DJ26" s="149">
        <v>8913.1422989010243</v>
      </c>
      <c r="DK26" s="149">
        <v>8913.1422989010243</v>
      </c>
      <c r="DL26" s="149">
        <v>8913.1422989010243</v>
      </c>
      <c r="DM26" s="149">
        <v>8913.1422989010243</v>
      </c>
      <c r="DN26" s="145">
        <v>9368.6561959120445</v>
      </c>
      <c r="DO26" s="145">
        <v>9368.6561959120445</v>
      </c>
      <c r="DP26" s="145">
        <v>9368.6561959120445</v>
      </c>
      <c r="DQ26" s="145">
        <v>9368.6561959120445</v>
      </c>
      <c r="DR26" s="145">
        <v>9484.1356174445373</v>
      </c>
      <c r="DS26" s="145">
        <v>9484.1356174445373</v>
      </c>
      <c r="DT26" s="145">
        <v>9484.1356174445373</v>
      </c>
      <c r="DU26" s="145">
        <v>9484.1356174445373</v>
      </c>
      <c r="DV26" s="145">
        <v>9582.7449365504744</v>
      </c>
      <c r="DW26" s="145">
        <v>9582.7449365504744</v>
      </c>
      <c r="DX26" s="145">
        <v>9582.7449365504744</v>
      </c>
      <c r="DY26" s="145">
        <v>9582.7449365504744</v>
      </c>
      <c r="DZ26" s="145">
        <v>9689.5745349115568</v>
      </c>
      <c r="EA26" s="145">
        <v>9689.5745349115568</v>
      </c>
      <c r="EB26" s="145">
        <v>9689.5745349115568</v>
      </c>
      <c r="EC26" s="145">
        <v>9689.5745349115568</v>
      </c>
      <c r="ED26" s="145">
        <v>9720.4689389010236</v>
      </c>
      <c r="EE26" s="145">
        <v>9720.4689389010236</v>
      </c>
      <c r="EF26" s="145">
        <v>9720.4689389010236</v>
      </c>
      <c r="EG26" s="145">
        <v>9720.4689389010236</v>
      </c>
      <c r="EH26" s="145">
        <v>9910.7683706392036</v>
      </c>
      <c r="EI26" s="145">
        <v>9910.7683706392036</v>
      </c>
      <c r="EJ26" s="145">
        <v>9910.7683706392036</v>
      </c>
      <c r="EK26" s="145">
        <v>9910.7683706392036</v>
      </c>
      <c r="EL26" s="145">
        <v>9720.4689389010236</v>
      </c>
      <c r="EM26" s="145">
        <v>9720.4689389010236</v>
      </c>
      <c r="EN26" s="145">
        <v>9720.4689389010236</v>
      </c>
      <c r="EO26" s="145">
        <v>9720.4689389010236</v>
      </c>
      <c r="EP26" s="145">
        <v>9720.4689389010236</v>
      </c>
      <c r="EQ26" s="145">
        <v>9720.4689389010236</v>
      </c>
      <c r="ER26" s="145">
        <v>9720.4689389010236</v>
      </c>
      <c r="ES26" s="145">
        <v>9720.4689389010236</v>
      </c>
      <c r="ET26" s="146">
        <v>9720.4689389010236</v>
      </c>
      <c r="EU26" s="146">
        <v>9720.4689389010236</v>
      </c>
      <c r="EV26" s="146">
        <v>9720.4689389010236</v>
      </c>
      <c r="EW26" s="146">
        <v>9720.4689389010236</v>
      </c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</row>
    <row r="27" spans="1:223">
      <c r="A27" s="99"/>
      <c r="B27" s="99"/>
      <c r="C27" s="203"/>
      <c r="D27" s="99"/>
      <c r="E27" s="99"/>
      <c r="F27" s="99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99"/>
      <c r="AR27" s="199"/>
      <c r="DF27" s="827"/>
      <c r="DH27" s="697"/>
      <c r="DI27" s="124" t="s">
        <v>18</v>
      </c>
      <c r="DJ27" s="149">
        <v>9492.1101289010239</v>
      </c>
      <c r="DK27" s="149">
        <v>9492.1101289010239</v>
      </c>
      <c r="DL27" s="149">
        <v>9492.1101289010239</v>
      </c>
      <c r="DM27" s="149">
        <v>9492.1101289010239</v>
      </c>
      <c r="DN27" s="145">
        <v>10042.039265963653</v>
      </c>
      <c r="DO27" s="145">
        <v>10042.039265963653</v>
      </c>
      <c r="DP27" s="145">
        <v>10042.039265963653</v>
      </c>
      <c r="DQ27" s="145">
        <v>10042.039265963653</v>
      </c>
      <c r="DR27" s="145">
        <v>10249.013616683213</v>
      </c>
      <c r="DS27" s="145">
        <v>10249.013616683213</v>
      </c>
      <c r="DT27" s="145">
        <v>10249.013616683213</v>
      </c>
      <c r="DU27" s="145">
        <v>10249.013616683213</v>
      </c>
      <c r="DV27" s="145">
        <v>10447.752075367727</v>
      </c>
      <c r="DW27" s="145">
        <v>10447.752075367727</v>
      </c>
      <c r="DX27" s="145">
        <v>10447.752075367727</v>
      </c>
      <c r="DY27" s="145">
        <v>10447.752075367727</v>
      </c>
      <c r="DZ27" s="145">
        <v>10656.140375786235</v>
      </c>
      <c r="EA27" s="145">
        <v>10656.140375786235</v>
      </c>
      <c r="EB27" s="145">
        <v>10656.140375786235</v>
      </c>
      <c r="EC27" s="145">
        <v>10656.140375786235</v>
      </c>
      <c r="ED27" s="145">
        <v>10684.554928901023</v>
      </c>
      <c r="EE27" s="145">
        <v>10684.554928901023</v>
      </c>
      <c r="EF27" s="145">
        <v>10684.554928901023</v>
      </c>
      <c r="EG27" s="145">
        <v>10684.554928901023</v>
      </c>
      <c r="EH27" s="145">
        <v>10874.854360639203</v>
      </c>
      <c r="EI27" s="145">
        <v>10874.854360639203</v>
      </c>
      <c r="EJ27" s="145">
        <v>10874.854360639203</v>
      </c>
      <c r="EK27" s="145">
        <v>10874.854360639203</v>
      </c>
      <c r="EL27" s="145">
        <v>10684.554928901023</v>
      </c>
      <c r="EM27" s="145">
        <v>10684.554928901023</v>
      </c>
      <c r="EN27" s="145">
        <v>10684.554928901023</v>
      </c>
      <c r="EO27" s="145">
        <v>10684.554928901023</v>
      </c>
      <c r="EP27" s="145">
        <v>10684.554928901023</v>
      </c>
      <c r="EQ27" s="145">
        <v>10684.554928901023</v>
      </c>
      <c r="ER27" s="145">
        <v>10684.554928901023</v>
      </c>
      <c r="ES27" s="145">
        <v>10684.554928901023</v>
      </c>
      <c r="ET27" s="146">
        <v>10684.554928901023</v>
      </c>
      <c r="EU27" s="146">
        <v>10684.554928901023</v>
      </c>
      <c r="EV27" s="146">
        <v>10684.554928901023</v>
      </c>
      <c r="EW27" s="146">
        <v>10684.554928901023</v>
      </c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</row>
    <row r="28" spans="1:223" ht="15" thickBot="1">
      <c r="A28" s="99"/>
      <c r="B28" s="99"/>
      <c r="C28" s="203"/>
      <c r="D28" s="99"/>
      <c r="E28" s="99"/>
      <c r="F28" s="99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99"/>
      <c r="AR28" s="199"/>
      <c r="DF28" s="827"/>
      <c r="DH28" s="697"/>
      <c r="DI28" s="124" t="s">
        <v>19</v>
      </c>
      <c r="DJ28" s="151">
        <v>5954.2007240772891</v>
      </c>
      <c r="DK28" s="151">
        <v>5954.2007240772891</v>
      </c>
      <c r="DL28" s="151">
        <v>5954.2007240772891</v>
      </c>
      <c r="DM28" s="151">
        <v>5954.2007240772891</v>
      </c>
      <c r="DN28" s="145">
        <v>6201.608771650197</v>
      </c>
      <c r="DO28" s="145">
        <v>6201.608771650197</v>
      </c>
      <c r="DP28" s="145">
        <v>6201.608771650197</v>
      </c>
      <c r="DQ28" s="145">
        <v>6201.608771650197</v>
      </c>
      <c r="DR28" s="145">
        <v>6283.360747301871</v>
      </c>
      <c r="DS28" s="145">
        <v>6283.360747301871</v>
      </c>
      <c r="DT28" s="145">
        <v>6283.360747301871</v>
      </c>
      <c r="DU28" s="145">
        <v>6283.360747301871</v>
      </c>
      <c r="DV28" s="145">
        <v>6352.0060332111452</v>
      </c>
      <c r="DW28" s="145">
        <v>6352.0060332111452</v>
      </c>
      <c r="DX28" s="145">
        <v>6352.0060332111452</v>
      </c>
      <c r="DY28" s="145">
        <v>6352.0060332111452</v>
      </c>
      <c r="DZ28" s="145">
        <v>6426.6115948236375</v>
      </c>
      <c r="EA28" s="145">
        <v>6426.6115948236375</v>
      </c>
      <c r="EB28" s="145">
        <v>6426.6115948236375</v>
      </c>
      <c r="EC28" s="145">
        <v>6426.6115948236375</v>
      </c>
      <c r="ED28" s="145">
        <v>6472.7389653675655</v>
      </c>
      <c r="EE28" s="145">
        <v>6472.7389653675655</v>
      </c>
      <c r="EF28" s="145">
        <v>6472.7389653675655</v>
      </c>
      <c r="EG28" s="145">
        <v>6472.7389653675655</v>
      </c>
      <c r="EH28" s="145">
        <v>6646.822877716686</v>
      </c>
      <c r="EI28" s="145">
        <v>6646.822877716686</v>
      </c>
      <c r="EJ28" s="145">
        <v>6646.822877716686</v>
      </c>
      <c r="EK28" s="145">
        <v>6646.822877716686</v>
      </c>
      <c r="EL28" s="145">
        <v>6532.8973529051545</v>
      </c>
      <c r="EM28" s="145">
        <v>6532.8973529051545</v>
      </c>
      <c r="EN28" s="145">
        <v>6532.8973529051545</v>
      </c>
      <c r="EO28" s="145">
        <v>6532.8973529051545</v>
      </c>
      <c r="EP28" s="145">
        <v>6565.1820296141268</v>
      </c>
      <c r="EQ28" s="145">
        <v>6565.1820296141268</v>
      </c>
      <c r="ER28" s="145">
        <v>6565.1820296141268</v>
      </c>
      <c r="ES28" s="145">
        <v>6565.1820296141268</v>
      </c>
      <c r="ET28" s="146">
        <v>6598.4607494447373</v>
      </c>
      <c r="EU28" s="146">
        <v>6598.4607494447373</v>
      </c>
      <c r="EV28" s="146">
        <v>6598.4607494447373</v>
      </c>
      <c r="EW28" s="146">
        <v>6598.4607494447373</v>
      </c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</row>
    <row r="29" spans="1:223">
      <c r="A29" s="768" t="s">
        <v>40</v>
      </c>
      <c r="B29" s="768"/>
      <c r="C29" s="768"/>
      <c r="D29" s="768"/>
      <c r="E29" s="204">
        <v>2023</v>
      </c>
      <c r="F29" s="204">
        <v>2024</v>
      </c>
      <c r="G29" s="204">
        <v>2025</v>
      </c>
      <c r="H29" s="204">
        <v>2026</v>
      </c>
      <c r="I29" s="204">
        <v>2027</v>
      </c>
      <c r="J29" s="204">
        <v>2028</v>
      </c>
      <c r="K29" s="204">
        <v>2029</v>
      </c>
      <c r="L29" s="204">
        <v>2030</v>
      </c>
      <c r="M29" s="204">
        <v>2031</v>
      </c>
      <c r="N29" s="204">
        <v>2032</v>
      </c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99"/>
      <c r="AR29" s="199"/>
      <c r="DF29" s="827"/>
      <c r="DH29" s="697">
        <v>2</v>
      </c>
      <c r="DI29" s="152" t="s">
        <v>20</v>
      </c>
      <c r="DJ29" s="155">
        <v>13874.547181234309</v>
      </c>
      <c r="DK29" s="155">
        <v>13874.547181234309</v>
      </c>
      <c r="DL29" s="155">
        <v>13874.547181234309</v>
      </c>
      <c r="DM29" s="155">
        <v>13874.547181234309</v>
      </c>
      <c r="DN29" s="145">
        <v>14277.61683091852</v>
      </c>
      <c r="DO29" s="145">
        <v>14277.61683091852</v>
      </c>
      <c r="DP29" s="145">
        <v>14277.61683091852</v>
      </c>
      <c r="DQ29" s="145">
        <v>14277.61683091852</v>
      </c>
      <c r="DR29" s="145">
        <v>14393.777744109222</v>
      </c>
      <c r="DS29" s="145">
        <v>14393.777744109222</v>
      </c>
      <c r="DT29" s="145">
        <v>14393.777744109222</v>
      </c>
      <c r="DU29" s="145">
        <v>14393.777744109222</v>
      </c>
      <c r="DV29" s="145">
        <v>14455.590555211815</v>
      </c>
      <c r="DW29" s="145">
        <v>14455.590555211815</v>
      </c>
      <c r="DX29" s="145">
        <v>14455.590555211815</v>
      </c>
      <c r="DY29" s="145">
        <v>14455.590555211815</v>
      </c>
      <c r="DZ29" s="145">
        <v>14780.324842057822</v>
      </c>
      <c r="EA29" s="145">
        <v>14780.324842057822</v>
      </c>
      <c r="EB29" s="145">
        <v>14780.324842057822</v>
      </c>
      <c r="EC29" s="145">
        <v>14780.324842057822</v>
      </c>
      <c r="ED29" s="145">
        <v>14624.227270684449</v>
      </c>
      <c r="EE29" s="145">
        <v>14624.227270684449</v>
      </c>
      <c r="EF29" s="145">
        <v>14624.227270684449</v>
      </c>
      <c r="EG29" s="145">
        <v>14624.227270684449</v>
      </c>
      <c r="EH29" s="145">
        <v>14707.612562073329</v>
      </c>
      <c r="EI29" s="145">
        <v>14707.612562073329</v>
      </c>
      <c r="EJ29" s="145">
        <v>14707.612562073329</v>
      </c>
      <c r="EK29" s="145">
        <v>14707.612562073329</v>
      </c>
      <c r="EL29" s="145">
        <v>14732.392563750163</v>
      </c>
      <c r="EM29" s="145">
        <v>14732.392563750163</v>
      </c>
      <c r="EN29" s="145">
        <v>14732.392563750163</v>
      </c>
      <c r="EO29" s="145">
        <v>14732.392563750163</v>
      </c>
      <c r="EP29" s="145">
        <v>14790.267811898901</v>
      </c>
      <c r="EQ29" s="145">
        <v>14790.267811898901</v>
      </c>
      <c r="ER29" s="145">
        <v>14790.267811898901</v>
      </c>
      <c r="ES29" s="145">
        <v>14790.267811898901</v>
      </c>
      <c r="ET29" s="146">
        <v>14881.357384400129</v>
      </c>
      <c r="EU29" s="146">
        <v>14881.357384400129</v>
      </c>
      <c r="EV29" s="146">
        <v>14881.357384400129</v>
      </c>
      <c r="EW29" s="146">
        <v>14881.357384400129</v>
      </c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</row>
    <row r="30" spans="1:223">
      <c r="A30" s="768" t="s">
        <v>41</v>
      </c>
      <c r="B30" s="768"/>
      <c r="C30" s="768"/>
      <c r="D30" s="768"/>
      <c r="E30" s="110">
        <v>357</v>
      </c>
      <c r="F30" s="110">
        <v>360</v>
      </c>
      <c r="G30" s="110">
        <v>357</v>
      </c>
      <c r="H30" s="110">
        <v>357</v>
      </c>
      <c r="I30" s="110">
        <v>357</v>
      </c>
      <c r="J30" s="110">
        <v>357</v>
      </c>
      <c r="K30" s="110">
        <v>336</v>
      </c>
      <c r="L30" s="110">
        <v>357</v>
      </c>
      <c r="M30" s="110">
        <v>357</v>
      </c>
      <c r="N30" s="110">
        <v>357</v>
      </c>
      <c r="AQ30" s="99"/>
      <c r="AR30" s="199"/>
      <c r="DF30" s="827"/>
      <c r="DH30" s="697"/>
      <c r="DI30" s="152" t="s">
        <v>21</v>
      </c>
      <c r="DJ30" s="149">
        <v>11167.895780597333</v>
      </c>
      <c r="DK30" s="149">
        <v>11167.895780597333</v>
      </c>
      <c r="DL30" s="149">
        <v>11167.895780597333</v>
      </c>
      <c r="DM30" s="149">
        <v>11167.895780597333</v>
      </c>
      <c r="DN30" s="145">
        <v>11573.943309753315</v>
      </c>
      <c r="DO30" s="145">
        <v>11573.943309753315</v>
      </c>
      <c r="DP30" s="145">
        <v>11573.943309753315</v>
      </c>
      <c r="DQ30" s="145">
        <v>11573.943309753315</v>
      </c>
      <c r="DR30" s="145">
        <v>11689.880587243888</v>
      </c>
      <c r="DS30" s="145">
        <v>11689.880587243888</v>
      </c>
      <c r="DT30" s="145">
        <v>11689.880587243888</v>
      </c>
      <c r="DU30" s="145">
        <v>11689.880587243888</v>
      </c>
      <c r="DV30" s="145">
        <v>11761.026074092182</v>
      </c>
      <c r="DW30" s="145">
        <v>11761.026074092182</v>
      </c>
      <c r="DX30" s="145">
        <v>11761.026074092182</v>
      </c>
      <c r="DY30" s="145">
        <v>11761.026074092182</v>
      </c>
      <c r="DZ30" s="145">
        <v>12057.386001215909</v>
      </c>
      <c r="EA30" s="145">
        <v>12057.386001215909</v>
      </c>
      <c r="EB30" s="145">
        <v>12057.386001215909</v>
      </c>
      <c r="EC30" s="145">
        <v>12057.386001215909</v>
      </c>
      <c r="ED30" s="145">
        <v>11893.191183749968</v>
      </c>
      <c r="EE30" s="145">
        <v>11893.191183749968</v>
      </c>
      <c r="EF30" s="145">
        <v>11893.191183749968</v>
      </c>
      <c r="EG30" s="145">
        <v>11893.191183749968</v>
      </c>
      <c r="EH30" s="145">
        <v>11935.227879718535</v>
      </c>
      <c r="EI30" s="145">
        <v>11935.227879718535</v>
      </c>
      <c r="EJ30" s="145">
        <v>11935.227879718535</v>
      </c>
      <c r="EK30" s="145">
        <v>11935.227879718535</v>
      </c>
      <c r="EL30" s="145">
        <v>11934.72533565005</v>
      </c>
      <c r="EM30" s="145">
        <v>11934.72533565005</v>
      </c>
      <c r="EN30" s="145">
        <v>11934.72533565005</v>
      </c>
      <c r="EO30" s="145">
        <v>11934.72533565005</v>
      </c>
      <c r="EP30" s="145">
        <v>11968.424522100129</v>
      </c>
      <c r="EQ30" s="145">
        <v>11968.424522100129</v>
      </c>
      <c r="ER30" s="145">
        <v>11968.424522100129</v>
      </c>
      <c r="ES30" s="145">
        <v>11968.424522100129</v>
      </c>
      <c r="ET30" s="146">
        <v>12018.935401086226</v>
      </c>
      <c r="EU30" s="146">
        <v>12018.935401086226</v>
      </c>
      <c r="EV30" s="146">
        <v>12018.935401086226</v>
      </c>
      <c r="EW30" s="146">
        <v>12018.935401086226</v>
      </c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</row>
    <row r="31" spans="1:223">
      <c r="A31" s="768" t="s">
        <v>42</v>
      </c>
      <c r="B31" s="768"/>
      <c r="C31" s="768"/>
      <c r="D31" s="768"/>
      <c r="E31" s="110">
        <v>355</v>
      </c>
      <c r="F31" s="110">
        <v>355</v>
      </c>
      <c r="G31" s="110">
        <v>352</v>
      </c>
      <c r="H31" s="110">
        <v>355</v>
      </c>
      <c r="I31" s="110">
        <v>334</v>
      </c>
      <c r="J31" s="110">
        <v>355</v>
      </c>
      <c r="K31" s="110">
        <v>352</v>
      </c>
      <c r="L31" s="110">
        <v>355</v>
      </c>
      <c r="M31" s="110">
        <v>355</v>
      </c>
      <c r="N31" s="110">
        <v>352</v>
      </c>
      <c r="AQ31" s="99"/>
      <c r="AR31" s="199"/>
      <c r="DF31" s="827"/>
      <c r="DH31" s="697"/>
      <c r="DI31" s="152" t="s">
        <v>23</v>
      </c>
      <c r="DJ31" s="149">
        <v>11934.194837722906</v>
      </c>
      <c r="DK31" s="149">
        <v>11934.194837722906</v>
      </c>
      <c r="DL31" s="149">
        <v>11934.194837722906</v>
      </c>
      <c r="DM31" s="149">
        <v>11934.194837722906</v>
      </c>
      <c r="DN31" s="145">
        <v>12239.614112501855</v>
      </c>
      <c r="DO31" s="145">
        <v>12239.614112501855</v>
      </c>
      <c r="DP31" s="145">
        <v>12239.614112501855</v>
      </c>
      <c r="DQ31" s="145">
        <v>12239.614112501855</v>
      </c>
      <c r="DR31" s="145">
        <v>12347.225492350197</v>
      </c>
      <c r="DS31" s="145">
        <v>12347.225492350197</v>
      </c>
      <c r="DT31" s="145">
        <v>12347.225492350197</v>
      </c>
      <c r="DU31" s="145">
        <v>12347.225492350197</v>
      </c>
      <c r="DV31" s="145">
        <v>12406.754044093937</v>
      </c>
      <c r="DW31" s="145">
        <v>12406.754044093937</v>
      </c>
      <c r="DX31" s="145">
        <v>12406.754044093937</v>
      </c>
      <c r="DY31" s="145">
        <v>12406.754044093937</v>
      </c>
      <c r="DZ31" s="145">
        <v>12679.617261272237</v>
      </c>
      <c r="EA31" s="145">
        <v>12679.617261272237</v>
      </c>
      <c r="EB31" s="145">
        <v>12679.617261272237</v>
      </c>
      <c r="EC31" s="145">
        <v>12679.617261272237</v>
      </c>
      <c r="ED31" s="145">
        <v>12484.724860593589</v>
      </c>
      <c r="EE31" s="145">
        <v>12484.724860593589</v>
      </c>
      <c r="EF31" s="145">
        <v>12484.724860593589</v>
      </c>
      <c r="EG31" s="145">
        <v>12484.724860593589</v>
      </c>
      <c r="EH31" s="145">
        <v>12525.734805706237</v>
      </c>
      <c r="EI31" s="145">
        <v>12525.734805706237</v>
      </c>
      <c r="EJ31" s="145">
        <v>12525.734805706237</v>
      </c>
      <c r="EK31" s="145">
        <v>12525.734805706237</v>
      </c>
      <c r="EL31" s="145">
        <v>12520.335716136673</v>
      </c>
      <c r="EM31" s="145">
        <v>12520.335716136673</v>
      </c>
      <c r="EN31" s="145">
        <v>12520.335716136673</v>
      </c>
      <c r="EO31" s="145">
        <v>12520.335716136673</v>
      </c>
      <c r="EP31" s="145">
        <v>12549.228971582947</v>
      </c>
      <c r="EQ31" s="145">
        <v>12549.228971582947</v>
      </c>
      <c r="ER31" s="145">
        <v>12549.228971582947</v>
      </c>
      <c r="ES31" s="145">
        <v>12549.228971582947</v>
      </c>
      <c r="ET31" s="146">
        <v>12597.504573835024</v>
      </c>
      <c r="EU31" s="146">
        <v>12597.504573835024</v>
      </c>
      <c r="EV31" s="146">
        <v>12597.504573835024</v>
      </c>
      <c r="EW31" s="146">
        <v>12597.504573835024</v>
      </c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</row>
    <row r="32" spans="1:223" ht="15" thickBot="1">
      <c r="A32" s="768" t="s">
        <v>43</v>
      </c>
      <c r="B32" s="768"/>
      <c r="C32" s="768"/>
      <c r="D32" s="768"/>
      <c r="E32" s="110" t="s">
        <v>44</v>
      </c>
      <c r="F32" s="110" t="s">
        <v>44</v>
      </c>
      <c r="G32" s="110">
        <v>357</v>
      </c>
      <c r="H32" s="110">
        <v>357</v>
      </c>
      <c r="I32" s="110">
        <v>357</v>
      </c>
      <c r="J32" s="110">
        <v>357</v>
      </c>
      <c r="K32" s="110">
        <v>333</v>
      </c>
      <c r="L32" s="110">
        <v>357</v>
      </c>
      <c r="M32" s="110">
        <v>357</v>
      </c>
      <c r="N32" s="110">
        <v>357</v>
      </c>
      <c r="AQ32" s="99"/>
      <c r="AR32" s="199"/>
      <c r="DF32" s="827"/>
      <c r="DH32" s="697"/>
      <c r="DI32" s="157" t="s">
        <v>25</v>
      </c>
      <c r="DJ32" s="151">
        <v>13132.089074945765</v>
      </c>
      <c r="DK32" s="151">
        <v>13132.089074945765</v>
      </c>
      <c r="DL32" s="151">
        <v>13132.089074945765</v>
      </c>
      <c r="DM32" s="151">
        <v>13132.089074945765</v>
      </c>
      <c r="DN32" s="145">
        <v>13405.808652545766</v>
      </c>
      <c r="DO32" s="145">
        <v>13405.808652545766</v>
      </c>
      <c r="DP32" s="145">
        <v>13405.808652545766</v>
      </c>
      <c r="DQ32" s="145">
        <v>13405.808652545766</v>
      </c>
      <c r="DR32" s="145">
        <v>13510.501087025175</v>
      </c>
      <c r="DS32" s="145">
        <v>13510.501087025175</v>
      </c>
      <c r="DT32" s="145">
        <v>13510.501087025175</v>
      </c>
      <c r="DU32" s="145">
        <v>13510.501087025175</v>
      </c>
      <c r="DV32" s="145">
        <v>13562.659952225009</v>
      </c>
      <c r="DW32" s="145">
        <v>13562.659952225009</v>
      </c>
      <c r="DX32" s="145">
        <v>13562.659952225009</v>
      </c>
      <c r="DY32" s="145">
        <v>13562.659952225009</v>
      </c>
      <c r="DZ32" s="145">
        <v>13866.853942652335</v>
      </c>
      <c r="EA32" s="145">
        <v>13866.853942652335</v>
      </c>
      <c r="EB32" s="145">
        <v>13866.853942652335</v>
      </c>
      <c r="EC32" s="145">
        <v>13866.853942652335</v>
      </c>
      <c r="ED32" s="145">
        <v>13674.124501340064</v>
      </c>
      <c r="EE32" s="145">
        <v>13674.124501340064</v>
      </c>
      <c r="EF32" s="145">
        <v>13674.124501340064</v>
      </c>
      <c r="EG32" s="145">
        <v>13674.124501340064</v>
      </c>
      <c r="EH32" s="145">
        <v>13716.403428646547</v>
      </c>
      <c r="EI32" s="145">
        <v>13716.403428646547</v>
      </c>
      <c r="EJ32" s="145">
        <v>13716.403428646547</v>
      </c>
      <c r="EK32" s="145">
        <v>13716.403428646547</v>
      </c>
      <c r="EL32" s="145">
        <v>13707.656594017491</v>
      </c>
      <c r="EM32" s="145">
        <v>13707.656594017491</v>
      </c>
      <c r="EN32" s="145">
        <v>13707.656594017491</v>
      </c>
      <c r="EO32" s="145">
        <v>13707.656594017491</v>
      </c>
      <c r="EP32" s="145">
        <v>13734.863222575033</v>
      </c>
      <c r="EQ32" s="145">
        <v>13734.863222575033</v>
      </c>
      <c r="ER32" s="145">
        <v>13734.863222575033</v>
      </c>
      <c r="ES32" s="145">
        <v>13734.863222575033</v>
      </c>
      <c r="ET32" s="146">
        <v>13783.983678534678</v>
      </c>
      <c r="EU32" s="146">
        <v>13783.983678534678</v>
      </c>
      <c r="EV32" s="146">
        <v>13783.983678534678</v>
      </c>
      <c r="EW32" s="146">
        <v>13783.983678534678</v>
      </c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</row>
    <row r="33" spans="1:205">
      <c r="A33" s="814" t="s">
        <v>45</v>
      </c>
      <c r="B33" s="814"/>
      <c r="C33" s="814"/>
      <c r="D33" s="814"/>
      <c r="E33" s="205" t="s">
        <v>44</v>
      </c>
      <c r="F33" s="205" t="s">
        <v>44</v>
      </c>
      <c r="G33" s="205" t="s">
        <v>44</v>
      </c>
      <c r="H33" s="205">
        <v>356</v>
      </c>
      <c r="I33" s="205">
        <v>356</v>
      </c>
      <c r="J33" s="205">
        <v>353</v>
      </c>
      <c r="K33" s="205">
        <v>356</v>
      </c>
      <c r="L33" s="205">
        <v>335</v>
      </c>
      <c r="M33" s="205">
        <v>353</v>
      </c>
      <c r="N33" s="205">
        <v>356</v>
      </c>
      <c r="O33" s="710"/>
      <c r="P33" s="710"/>
      <c r="Q33" s="710"/>
      <c r="R33" s="710"/>
      <c r="S33" s="710"/>
      <c r="T33" s="710"/>
      <c r="U33" s="710"/>
      <c r="V33" s="710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99"/>
      <c r="AR33" s="199"/>
      <c r="DF33" s="827"/>
      <c r="DH33" s="697">
        <v>3</v>
      </c>
      <c r="DI33" s="160" t="s">
        <v>27</v>
      </c>
      <c r="DJ33" s="206"/>
      <c r="DK33" s="206"/>
      <c r="DL33" s="206"/>
      <c r="DM33" s="206"/>
      <c r="DN33" s="206"/>
      <c r="DO33" s="206"/>
      <c r="DP33" s="206"/>
      <c r="DQ33" s="206"/>
      <c r="DR33" s="145">
        <v>21682.915850213831</v>
      </c>
      <c r="DS33" s="145">
        <v>21682.915850213831</v>
      </c>
      <c r="DT33" s="145">
        <v>21682.915850213831</v>
      </c>
      <c r="DU33" s="145">
        <v>21682.915850213831</v>
      </c>
      <c r="DV33" s="145">
        <v>21770.568224113595</v>
      </c>
      <c r="DW33" s="145">
        <v>21770.568224113595</v>
      </c>
      <c r="DX33" s="145">
        <v>21770.568224113595</v>
      </c>
      <c r="DY33" s="145">
        <v>21770.568224113595</v>
      </c>
      <c r="DZ33" s="145">
        <v>21865.150764581129</v>
      </c>
      <c r="EA33" s="145">
        <v>21865.150764581129</v>
      </c>
      <c r="EB33" s="145">
        <v>21865.150764581129</v>
      </c>
      <c r="EC33" s="145">
        <v>21865.150764581129</v>
      </c>
      <c r="ED33" s="145">
        <v>21890.027836674919</v>
      </c>
      <c r="EE33" s="145">
        <v>21890.027836674919</v>
      </c>
      <c r="EF33" s="145">
        <v>21890.027836674919</v>
      </c>
      <c r="EG33" s="145">
        <v>21890.027836674919</v>
      </c>
      <c r="EH33" s="145">
        <v>22280.991769775537</v>
      </c>
      <c r="EI33" s="145">
        <v>22280.991769775537</v>
      </c>
      <c r="EJ33" s="145">
        <v>22280.991769775537</v>
      </c>
      <c r="EK33" s="145">
        <v>22280.991769775537</v>
      </c>
      <c r="EL33" s="145">
        <v>21927.131613178208</v>
      </c>
      <c r="EM33" s="145">
        <v>21927.131613178208</v>
      </c>
      <c r="EN33" s="145">
        <v>21927.131613178208</v>
      </c>
      <c r="EO33" s="145">
        <v>21927.131613178208</v>
      </c>
      <c r="EP33" s="145">
        <v>21957.236166303424</v>
      </c>
      <c r="EQ33" s="145">
        <v>21957.236166303424</v>
      </c>
      <c r="ER33" s="145">
        <v>21957.236166303424</v>
      </c>
      <c r="ES33" s="145">
        <v>21957.236166303424</v>
      </c>
      <c r="ET33" s="146">
        <v>21979.158301156996</v>
      </c>
      <c r="EU33" s="146">
        <v>21979.158301156996</v>
      </c>
      <c r="EV33" s="146">
        <v>21979.158301156996</v>
      </c>
      <c r="EW33" s="146">
        <v>21979.158301156996</v>
      </c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</row>
    <row r="34" spans="1:205">
      <c r="A34" s="815"/>
      <c r="B34" s="816"/>
      <c r="C34" s="819">
        <v>2023</v>
      </c>
      <c r="D34" s="819"/>
      <c r="E34" s="819"/>
      <c r="F34" s="819"/>
      <c r="G34" s="820">
        <v>2024</v>
      </c>
      <c r="H34" s="820"/>
      <c r="I34" s="820"/>
      <c r="J34" s="820"/>
      <c r="K34" s="821">
        <v>2025</v>
      </c>
      <c r="L34" s="821"/>
      <c r="M34" s="821"/>
      <c r="N34" s="821"/>
      <c r="O34" s="820">
        <v>2026</v>
      </c>
      <c r="P34" s="820"/>
      <c r="Q34" s="820"/>
      <c r="R34" s="820"/>
      <c r="S34" s="822">
        <v>2027</v>
      </c>
      <c r="T34" s="822"/>
      <c r="U34" s="822"/>
      <c r="V34" s="822"/>
      <c r="W34" s="819">
        <v>2028</v>
      </c>
      <c r="X34" s="819"/>
      <c r="Y34" s="819"/>
      <c r="Z34" s="819"/>
      <c r="AA34" s="820">
        <v>2029</v>
      </c>
      <c r="AB34" s="820"/>
      <c r="AC34" s="820"/>
      <c r="AD34" s="820"/>
      <c r="AE34" s="821">
        <v>2030</v>
      </c>
      <c r="AF34" s="821"/>
      <c r="AG34" s="821"/>
      <c r="AH34" s="821"/>
      <c r="AI34" s="820">
        <v>2031</v>
      </c>
      <c r="AJ34" s="820"/>
      <c r="AK34" s="820"/>
      <c r="AL34" s="820"/>
      <c r="AM34" s="822">
        <v>2032</v>
      </c>
      <c r="AN34" s="822"/>
      <c r="AO34" s="822"/>
      <c r="AP34" s="822"/>
      <c r="AQ34" s="99"/>
      <c r="AR34" s="199"/>
      <c r="DF34" s="827"/>
      <c r="DH34" s="697"/>
      <c r="DI34" s="160" t="s">
        <v>28</v>
      </c>
      <c r="DJ34" s="206"/>
      <c r="DK34" s="206"/>
      <c r="DL34" s="206"/>
      <c r="DM34" s="206"/>
      <c r="DN34" s="206"/>
      <c r="DO34" s="206"/>
      <c r="DP34" s="206"/>
      <c r="DQ34" s="206"/>
      <c r="DR34" s="145">
        <v>7061.8860398807283</v>
      </c>
      <c r="DS34" s="145">
        <v>7061.8860398807283</v>
      </c>
      <c r="DT34" s="145">
        <v>7061.8860398807283</v>
      </c>
      <c r="DU34" s="145">
        <v>7061.8860398807283</v>
      </c>
      <c r="DV34" s="145">
        <v>7181.4673592288127</v>
      </c>
      <c r="DW34" s="145">
        <v>7181.4673592288127</v>
      </c>
      <c r="DX34" s="145">
        <v>7181.4673592288127</v>
      </c>
      <c r="DY34" s="145">
        <v>7181.4673592288127</v>
      </c>
      <c r="DZ34" s="145">
        <v>7310.1402357200495</v>
      </c>
      <c r="EA34" s="145">
        <v>7310.1402357200495</v>
      </c>
      <c r="EB34" s="145">
        <v>7310.1402357200495</v>
      </c>
      <c r="EC34" s="145">
        <v>7310.1402357200495</v>
      </c>
      <c r="ED34" s="145">
        <v>7342.1479816702922</v>
      </c>
      <c r="EE34" s="145">
        <v>7342.1479816702922</v>
      </c>
      <c r="EF34" s="145">
        <v>7342.1479816702922</v>
      </c>
      <c r="EG34" s="145">
        <v>7342.1479816702922</v>
      </c>
      <c r="EH34" s="145">
        <v>7517.7620801804205</v>
      </c>
      <c r="EI34" s="145">
        <v>7517.7620801804205</v>
      </c>
      <c r="EJ34" s="145">
        <v>7517.7620801804205</v>
      </c>
      <c r="EK34" s="145">
        <v>7517.7620801804205</v>
      </c>
      <c r="EL34" s="145">
        <v>7397.8056846383934</v>
      </c>
      <c r="EM34" s="145">
        <v>7397.8056846383934</v>
      </c>
      <c r="EN34" s="145">
        <v>7397.8056846383934</v>
      </c>
      <c r="EO34" s="145">
        <v>7397.8056846383934</v>
      </c>
      <c r="EP34" s="145">
        <v>7442.9641680526547</v>
      </c>
      <c r="EQ34" s="145">
        <v>7442.9641680526547</v>
      </c>
      <c r="ER34" s="145">
        <v>7442.9641680526547</v>
      </c>
      <c r="ES34" s="145">
        <v>7442.9641680526547</v>
      </c>
      <c r="ET34" s="146">
        <v>7475.8485745765702</v>
      </c>
      <c r="EU34" s="146">
        <v>7475.8485745765702</v>
      </c>
      <c r="EV34" s="146">
        <v>7475.8485745765702</v>
      </c>
      <c r="EW34" s="146">
        <v>7475.8485745765702</v>
      </c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</row>
    <row r="35" spans="1:205">
      <c r="A35" s="817"/>
      <c r="B35" s="818"/>
      <c r="C35" s="207">
        <v>1</v>
      </c>
      <c r="D35" s="207">
        <v>2</v>
      </c>
      <c r="E35" s="207">
        <v>3</v>
      </c>
      <c r="F35" s="207">
        <v>4</v>
      </c>
      <c r="G35" s="207">
        <v>1</v>
      </c>
      <c r="H35" s="207">
        <v>2</v>
      </c>
      <c r="I35" s="207">
        <v>3</v>
      </c>
      <c r="J35" s="207">
        <v>4</v>
      </c>
      <c r="K35" s="207">
        <v>1</v>
      </c>
      <c r="L35" s="207">
        <v>2</v>
      </c>
      <c r="M35" s="207">
        <v>3</v>
      </c>
      <c r="N35" s="207">
        <v>4</v>
      </c>
      <c r="O35" s="207">
        <v>1</v>
      </c>
      <c r="P35" s="207">
        <v>2</v>
      </c>
      <c r="Q35" s="207">
        <v>3</v>
      </c>
      <c r="R35" s="207">
        <v>4</v>
      </c>
      <c r="S35" s="207">
        <v>1</v>
      </c>
      <c r="T35" s="207">
        <v>2</v>
      </c>
      <c r="U35" s="207">
        <v>3</v>
      </c>
      <c r="V35" s="207">
        <v>4</v>
      </c>
      <c r="W35" s="207">
        <v>1</v>
      </c>
      <c r="X35" s="207">
        <v>2</v>
      </c>
      <c r="Y35" s="207">
        <v>3</v>
      </c>
      <c r="Z35" s="207">
        <v>4</v>
      </c>
      <c r="AA35" s="207">
        <v>1</v>
      </c>
      <c r="AB35" s="207">
        <v>2</v>
      </c>
      <c r="AC35" s="207">
        <v>3</v>
      </c>
      <c r="AD35" s="207">
        <v>4</v>
      </c>
      <c r="AE35" s="207">
        <v>1</v>
      </c>
      <c r="AF35" s="207">
        <v>2</v>
      </c>
      <c r="AG35" s="207">
        <v>3</v>
      </c>
      <c r="AH35" s="207">
        <v>4</v>
      </c>
      <c r="AI35" s="207">
        <v>1</v>
      </c>
      <c r="AJ35" s="207">
        <v>2</v>
      </c>
      <c r="AK35" s="207">
        <v>3</v>
      </c>
      <c r="AL35" s="207">
        <v>4</v>
      </c>
      <c r="AM35" s="207">
        <v>1</v>
      </c>
      <c r="AN35" s="207">
        <v>2</v>
      </c>
      <c r="AO35" s="207">
        <v>3</v>
      </c>
      <c r="AP35" s="207">
        <v>4</v>
      </c>
      <c r="AQ35" s="99"/>
      <c r="AR35" s="199"/>
      <c r="DF35" s="827"/>
      <c r="DH35" s="697"/>
      <c r="DI35" s="160" t="s">
        <v>29</v>
      </c>
      <c r="DJ35" s="206"/>
      <c r="DK35" s="206"/>
      <c r="DL35" s="206"/>
      <c r="DM35" s="206"/>
      <c r="DN35" s="206"/>
      <c r="DO35" s="206"/>
      <c r="DP35" s="206"/>
      <c r="DQ35" s="206"/>
      <c r="DR35" s="145">
        <v>10517.458802694226</v>
      </c>
      <c r="DS35" s="145">
        <v>10517.458802694226</v>
      </c>
      <c r="DT35" s="145">
        <v>10517.458802694226</v>
      </c>
      <c r="DU35" s="145">
        <v>10517.458802694226</v>
      </c>
      <c r="DV35" s="145">
        <v>10648.397921710361</v>
      </c>
      <c r="DW35" s="145">
        <v>10648.397921710361</v>
      </c>
      <c r="DX35" s="145">
        <v>10648.397921710361</v>
      </c>
      <c r="DY35" s="145">
        <v>10648.397921710361</v>
      </c>
      <c r="DZ35" s="145">
        <v>10789.292111378825</v>
      </c>
      <c r="EA35" s="145">
        <v>10789.292111378825</v>
      </c>
      <c r="EB35" s="145">
        <v>10789.292111378825</v>
      </c>
      <c r="EC35" s="145">
        <v>10789.292111378825</v>
      </c>
      <c r="ED35" s="145">
        <v>10824.339943927129</v>
      </c>
      <c r="EE35" s="145">
        <v>10824.339943927129</v>
      </c>
      <c r="EF35" s="145">
        <v>10824.339943927129</v>
      </c>
      <c r="EG35" s="145">
        <v>10824.339943927129</v>
      </c>
      <c r="EH35" s="145">
        <v>11051.518237749424</v>
      </c>
      <c r="EI35" s="145">
        <v>11051.518237749424</v>
      </c>
      <c r="EJ35" s="145">
        <v>11051.518237749424</v>
      </c>
      <c r="EK35" s="145">
        <v>11051.518237749424</v>
      </c>
      <c r="EL35" s="145">
        <v>10885.283999677938</v>
      </c>
      <c r="EM35" s="145">
        <v>10885.283999677938</v>
      </c>
      <c r="EN35" s="145">
        <v>10885.283999677938</v>
      </c>
      <c r="EO35" s="145">
        <v>10885.283999677938</v>
      </c>
      <c r="EP35" s="145">
        <v>10934.731622990708</v>
      </c>
      <c r="EQ35" s="145">
        <v>10934.731622990708</v>
      </c>
      <c r="ER35" s="145">
        <v>10934.731622990708</v>
      </c>
      <c r="ES35" s="145">
        <v>10934.731622990708</v>
      </c>
      <c r="ET35" s="146">
        <v>10970.739381084395</v>
      </c>
      <c r="EU35" s="146">
        <v>10970.739381084395</v>
      </c>
      <c r="EV35" s="146">
        <v>10970.739381084395</v>
      </c>
      <c r="EW35" s="146">
        <v>10970.739381084395</v>
      </c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</row>
    <row r="36" spans="1:205">
      <c r="A36" s="768" t="s">
        <v>41</v>
      </c>
      <c r="B36" s="768"/>
      <c r="C36" s="110">
        <v>357</v>
      </c>
      <c r="D36" s="110">
        <v>357</v>
      </c>
      <c r="E36" s="110">
        <v>357</v>
      </c>
      <c r="F36" s="110">
        <v>357</v>
      </c>
      <c r="G36" s="110">
        <v>360</v>
      </c>
      <c r="H36" s="110">
        <v>360</v>
      </c>
      <c r="I36" s="110">
        <v>360</v>
      </c>
      <c r="J36" s="110">
        <v>360</v>
      </c>
      <c r="K36" s="110">
        <v>357</v>
      </c>
      <c r="L36" s="110">
        <v>357</v>
      </c>
      <c r="M36" s="110">
        <v>357</v>
      </c>
      <c r="N36" s="110">
        <v>357</v>
      </c>
      <c r="O36" s="110">
        <v>357</v>
      </c>
      <c r="P36" s="110">
        <v>357</v>
      </c>
      <c r="Q36" s="110">
        <v>357</v>
      </c>
      <c r="R36" s="110">
        <v>357</v>
      </c>
      <c r="S36" s="110">
        <v>357</v>
      </c>
      <c r="T36" s="110">
        <v>357</v>
      </c>
      <c r="U36" s="110">
        <v>357</v>
      </c>
      <c r="V36" s="110">
        <v>357</v>
      </c>
      <c r="W36" s="110">
        <v>357</v>
      </c>
      <c r="X36" s="110">
        <v>357</v>
      </c>
      <c r="Y36" s="110">
        <v>357</v>
      </c>
      <c r="Z36" s="110">
        <v>357</v>
      </c>
      <c r="AA36" s="110">
        <v>336</v>
      </c>
      <c r="AB36" s="110">
        <v>336</v>
      </c>
      <c r="AC36" s="110">
        <v>336</v>
      </c>
      <c r="AD36" s="110">
        <v>336</v>
      </c>
      <c r="AE36" s="110">
        <v>357</v>
      </c>
      <c r="AF36" s="110">
        <v>357</v>
      </c>
      <c r="AG36" s="110">
        <v>357</v>
      </c>
      <c r="AH36" s="110">
        <v>357</v>
      </c>
      <c r="AI36" s="110">
        <v>357</v>
      </c>
      <c r="AJ36" s="110">
        <v>357</v>
      </c>
      <c r="AK36" s="110">
        <v>357</v>
      </c>
      <c r="AL36" s="110">
        <v>357</v>
      </c>
      <c r="AM36" s="110">
        <v>357</v>
      </c>
      <c r="AN36" s="110">
        <v>357</v>
      </c>
      <c r="AO36" s="110">
        <v>357</v>
      </c>
      <c r="AP36" s="110">
        <v>357</v>
      </c>
      <c r="AQ36" s="99"/>
      <c r="AR36" s="199"/>
      <c r="DF36" s="827"/>
      <c r="DH36" s="697"/>
      <c r="DI36" s="160" t="s">
        <v>30</v>
      </c>
      <c r="DJ36" s="206"/>
      <c r="DK36" s="206"/>
      <c r="DL36" s="206"/>
      <c r="DM36" s="206"/>
      <c r="DN36" s="206"/>
      <c r="DO36" s="206"/>
      <c r="DP36" s="206"/>
      <c r="DQ36" s="206"/>
      <c r="DR36" s="145">
        <v>11449.89374530261</v>
      </c>
      <c r="DS36" s="145">
        <v>11449.89374530261</v>
      </c>
      <c r="DT36" s="145">
        <v>11449.89374530261</v>
      </c>
      <c r="DU36" s="145">
        <v>11449.89374530261</v>
      </c>
      <c r="DV36" s="145">
        <v>11538.821117342255</v>
      </c>
      <c r="DW36" s="145">
        <v>11538.821117342255</v>
      </c>
      <c r="DX36" s="145">
        <v>11538.821117342255</v>
      </c>
      <c r="DY36" s="145">
        <v>11538.821117342255</v>
      </c>
      <c r="DZ36" s="145">
        <v>11634.999752821621</v>
      </c>
      <c r="EA36" s="145">
        <v>11634.999752821621</v>
      </c>
      <c r="EB36" s="145">
        <v>11634.999752821621</v>
      </c>
      <c r="EC36" s="145">
        <v>11634.999752821621</v>
      </c>
      <c r="ED36" s="145">
        <v>11661.410533275712</v>
      </c>
      <c r="EE36" s="145">
        <v>11661.410533275712</v>
      </c>
      <c r="EF36" s="145">
        <v>11661.410533275712</v>
      </c>
      <c r="EG36" s="145">
        <v>11661.410533275712</v>
      </c>
      <c r="EH36" s="145">
        <v>11901.280671038632</v>
      </c>
      <c r="EI36" s="145">
        <v>11901.280671038632</v>
      </c>
      <c r="EJ36" s="145">
        <v>11901.280671038632</v>
      </c>
      <c r="EK36" s="145">
        <v>11901.280671038632</v>
      </c>
      <c r="EL36" s="145">
        <v>11695.996927747105</v>
      </c>
      <c r="EM36" s="145">
        <v>11695.996927747105</v>
      </c>
      <c r="EN36" s="145">
        <v>11695.996927747105</v>
      </c>
      <c r="EO36" s="145">
        <v>11695.996927747105</v>
      </c>
      <c r="EP36" s="145">
        <v>11724.058975546503</v>
      </c>
      <c r="EQ36" s="145">
        <v>11724.058975546503</v>
      </c>
      <c r="ER36" s="145">
        <v>11724.058975546503</v>
      </c>
      <c r="ES36" s="145">
        <v>11724.058975546503</v>
      </c>
      <c r="ET36" s="146">
        <v>11744.493758071494</v>
      </c>
      <c r="EU36" s="146">
        <v>11744.493758071494</v>
      </c>
      <c r="EV36" s="146">
        <v>11744.493758071494</v>
      </c>
      <c r="EW36" s="146">
        <v>11744.493758071494</v>
      </c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</row>
    <row r="37" spans="1:205">
      <c r="A37" s="768" t="s">
        <v>42</v>
      </c>
      <c r="B37" s="768"/>
      <c r="C37" s="110">
        <v>355</v>
      </c>
      <c r="D37" s="110">
        <v>355</v>
      </c>
      <c r="E37" s="110">
        <v>355</v>
      </c>
      <c r="F37" s="110">
        <v>355</v>
      </c>
      <c r="G37" s="110">
        <v>355</v>
      </c>
      <c r="H37" s="110">
        <v>355</v>
      </c>
      <c r="I37" s="110">
        <v>355</v>
      </c>
      <c r="J37" s="110">
        <v>355</v>
      </c>
      <c r="K37" s="110">
        <v>352</v>
      </c>
      <c r="L37" s="110">
        <v>352</v>
      </c>
      <c r="M37" s="110">
        <v>352</v>
      </c>
      <c r="N37" s="110">
        <v>352</v>
      </c>
      <c r="O37" s="110">
        <v>355</v>
      </c>
      <c r="P37" s="110">
        <v>355</v>
      </c>
      <c r="Q37" s="110">
        <v>355</v>
      </c>
      <c r="R37" s="110">
        <v>355</v>
      </c>
      <c r="S37" s="110">
        <v>334</v>
      </c>
      <c r="T37" s="110">
        <v>334</v>
      </c>
      <c r="U37" s="110">
        <v>334</v>
      </c>
      <c r="V37" s="110">
        <v>334</v>
      </c>
      <c r="W37" s="110">
        <v>355</v>
      </c>
      <c r="X37" s="110">
        <v>355</v>
      </c>
      <c r="Y37" s="110">
        <v>355</v>
      </c>
      <c r="Z37" s="110">
        <v>355</v>
      </c>
      <c r="AA37" s="110">
        <v>352</v>
      </c>
      <c r="AB37" s="110">
        <v>352</v>
      </c>
      <c r="AC37" s="110">
        <v>352</v>
      </c>
      <c r="AD37" s="110">
        <v>352</v>
      </c>
      <c r="AE37" s="110">
        <v>355</v>
      </c>
      <c r="AF37" s="110">
        <v>355</v>
      </c>
      <c r="AG37" s="110">
        <v>355</v>
      </c>
      <c r="AH37" s="110">
        <v>355</v>
      </c>
      <c r="AI37" s="110">
        <v>355</v>
      </c>
      <c r="AJ37" s="110">
        <v>355</v>
      </c>
      <c r="AK37" s="110">
        <v>355</v>
      </c>
      <c r="AL37" s="110">
        <v>355</v>
      </c>
      <c r="AM37" s="110">
        <v>352</v>
      </c>
      <c r="AN37" s="110">
        <v>352</v>
      </c>
      <c r="AO37" s="110">
        <v>352</v>
      </c>
      <c r="AP37" s="110">
        <v>352</v>
      </c>
      <c r="AQ37" s="99"/>
      <c r="AR37" s="199"/>
      <c r="DF37" s="827"/>
      <c r="DH37" s="697">
        <v>4</v>
      </c>
      <c r="DI37" s="171" t="s">
        <v>32</v>
      </c>
      <c r="DJ37" s="206"/>
      <c r="DK37" s="206"/>
      <c r="DL37" s="206"/>
      <c r="DM37" s="206"/>
      <c r="DN37" s="206"/>
      <c r="DO37" s="206"/>
      <c r="DP37" s="206"/>
      <c r="DQ37" s="206"/>
      <c r="DR37" s="206"/>
      <c r="DS37" s="206"/>
      <c r="DT37" s="206"/>
      <c r="DU37" s="206"/>
      <c r="DV37" s="145">
        <v>16687.233326814167</v>
      </c>
      <c r="DW37" s="145">
        <v>16687.233326814167</v>
      </c>
      <c r="DX37" s="145">
        <v>16687.233326814167</v>
      </c>
      <c r="DY37" s="145">
        <v>16687.233326814167</v>
      </c>
      <c r="DZ37" s="145">
        <v>16780.261369631335</v>
      </c>
      <c r="EA37" s="145">
        <v>16780.261369631335</v>
      </c>
      <c r="EB37" s="145">
        <v>16780.261369631335</v>
      </c>
      <c r="EC37" s="145">
        <v>16780.261369631335</v>
      </c>
      <c r="ED37" s="145">
        <v>16838.548055980064</v>
      </c>
      <c r="EE37" s="145">
        <v>16838.548055980064</v>
      </c>
      <c r="EF37" s="145">
        <v>16838.548055980064</v>
      </c>
      <c r="EG37" s="145">
        <v>16838.548055980064</v>
      </c>
      <c r="EH37" s="145">
        <v>16820.496139194984</v>
      </c>
      <c r="EI37" s="145">
        <v>16820.496139194984</v>
      </c>
      <c r="EJ37" s="145">
        <v>16820.496139194984</v>
      </c>
      <c r="EK37" s="145">
        <v>16820.496139194984</v>
      </c>
      <c r="EL37" s="145">
        <v>17087.657807573734</v>
      </c>
      <c r="EM37" s="145">
        <v>17087.657807573734</v>
      </c>
      <c r="EN37" s="145">
        <v>17087.657807573734</v>
      </c>
      <c r="EO37" s="145">
        <v>17087.657807573734</v>
      </c>
      <c r="EP37" s="145">
        <v>16908.862797636659</v>
      </c>
      <c r="EQ37" s="145">
        <v>16908.862797636659</v>
      </c>
      <c r="ER37" s="145">
        <v>16908.862797636659</v>
      </c>
      <c r="ES37" s="145">
        <v>16908.862797636659</v>
      </c>
      <c r="ET37" s="146">
        <v>16899.141824144044</v>
      </c>
      <c r="EU37" s="146">
        <v>16899.141824144044</v>
      </c>
      <c r="EV37" s="146">
        <v>16899.141824144044</v>
      </c>
      <c r="EW37" s="146">
        <v>16899.141824144044</v>
      </c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</row>
    <row r="38" spans="1:205">
      <c r="A38" s="768" t="s">
        <v>43</v>
      </c>
      <c r="B38" s="768"/>
      <c r="C38" s="208"/>
      <c r="D38" s="208"/>
      <c r="E38" s="208"/>
      <c r="F38" s="208"/>
      <c r="G38" s="208"/>
      <c r="H38" s="208"/>
      <c r="I38" s="208"/>
      <c r="J38" s="208"/>
      <c r="K38" s="110">
        <v>357</v>
      </c>
      <c r="L38" s="110">
        <v>357</v>
      </c>
      <c r="M38" s="110">
        <v>357</v>
      </c>
      <c r="N38" s="110">
        <v>357</v>
      </c>
      <c r="O38" s="110">
        <v>357</v>
      </c>
      <c r="P38" s="110">
        <v>357</v>
      </c>
      <c r="Q38" s="110">
        <v>357</v>
      </c>
      <c r="R38" s="110">
        <v>357</v>
      </c>
      <c r="S38" s="110">
        <v>357</v>
      </c>
      <c r="T38" s="110">
        <v>357</v>
      </c>
      <c r="U38" s="110">
        <v>357</v>
      </c>
      <c r="V38" s="110">
        <v>357</v>
      </c>
      <c r="W38" s="110">
        <v>357</v>
      </c>
      <c r="X38" s="110">
        <v>357</v>
      </c>
      <c r="Y38" s="110">
        <v>357</v>
      </c>
      <c r="Z38" s="110">
        <v>357</v>
      </c>
      <c r="AA38" s="110">
        <v>333</v>
      </c>
      <c r="AB38" s="110">
        <v>333</v>
      </c>
      <c r="AC38" s="110">
        <v>333</v>
      </c>
      <c r="AD38" s="110">
        <v>333</v>
      </c>
      <c r="AE38" s="110">
        <v>357</v>
      </c>
      <c r="AF38" s="110">
        <v>357</v>
      </c>
      <c r="AG38" s="110">
        <v>357</v>
      </c>
      <c r="AH38" s="110">
        <v>357</v>
      </c>
      <c r="AI38" s="110">
        <v>357</v>
      </c>
      <c r="AJ38" s="110">
        <v>357</v>
      </c>
      <c r="AK38" s="110">
        <v>357</v>
      </c>
      <c r="AL38" s="110">
        <v>357</v>
      </c>
      <c r="AM38" s="110">
        <v>357</v>
      </c>
      <c r="AN38" s="110">
        <v>357</v>
      </c>
      <c r="AO38" s="110">
        <v>357</v>
      </c>
      <c r="AP38" s="110">
        <v>357</v>
      </c>
      <c r="AQ38" s="99"/>
      <c r="AR38" s="199"/>
      <c r="DF38" s="827"/>
      <c r="DH38" s="697"/>
      <c r="DI38" s="176" t="s">
        <v>34</v>
      </c>
      <c r="DJ38" s="206"/>
      <c r="DK38" s="206"/>
      <c r="DL38" s="206"/>
      <c r="DM38" s="206"/>
      <c r="DN38" s="206"/>
      <c r="DO38" s="206"/>
      <c r="DP38" s="206"/>
      <c r="DQ38" s="206"/>
      <c r="DR38" s="206"/>
      <c r="DS38" s="206"/>
      <c r="DT38" s="206"/>
      <c r="DU38" s="206"/>
      <c r="DV38" s="145">
        <v>9300.4309017758242</v>
      </c>
      <c r="DW38" s="145">
        <v>9300.4309017758242</v>
      </c>
      <c r="DX38" s="145">
        <v>9300.4309017758242</v>
      </c>
      <c r="DY38" s="145">
        <v>9300.4309017758242</v>
      </c>
      <c r="DZ38" s="145">
        <v>9384.5666661216019</v>
      </c>
      <c r="EA38" s="145">
        <v>9384.5666661216019</v>
      </c>
      <c r="EB38" s="145">
        <v>9384.5666661216019</v>
      </c>
      <c r="EC38" s="145">
        <v>9384.5666661216019</v>
      </c>
      <c r="ED38" s="145">
        <v>9429.0559015652052</v>
      </c>
      <c r="EE38" s="145">
        <v>9429.0559015652052</v>
      </c>
      <c r="EF38" s="145">
        <v>9429.0559015652052</v>
      </c>
      <c r="EG38" s="145">
        <v>9429.0559015652052</v>
      </c>
      <c r="EH38" s="145">
        <v>9420.868753508772</v>
      </c>
      <c r="EI38" s="145">
        <v>9420.868753508772</v>
      </c>
      <c r="EJ38" s="145">
        <v>9420.868753508772</v>
      </c>
      <c r="EK38" s="145">
        <v>9420.868753508772</v>
      </c>
      <c r="EL38" s="145">
        <v>9598.3262297622314</v>
      </c>
      <c r="EM38" s="145">
        <v>9598.3262297622314</v>
      </c>
      <c r="EN38" s="145">
        <v>9598.3262297622314</v>
      </c>
      <c r="EO38" s="145">
        <v>9598.3262297622314</v>
      </c>
      <c r="EP38" s="145">
        <v>9490.4819173752312</v>
      </c>
      <c r="EQ38" s="145">
        <v>9490.4819173752312</v>
      </c>
      <c r="ER38" s="145">
        <v>9490.4819173752312</v>
      </c>
      <c r="ES38" s="145">
        <v>9490.4819173752312</v>
      </c>
      <c r="ET38" s="146">
        <v>9495.2988338342348</v>
      </c>
      <c r="EU38" s="146">
        <v>9495.2988338342348</v>
      </c>
      <c r="EV38" s="146">
        <v>9495.2988338342348</v>
      </c>
      <c r="EW38" s="146">
        <v>9495.2988338342348</v>
      </c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</row>
    <row r="39" spans="1:205">
      <c r="A39" s="768" t="s">
        <v>45</v>
      </c>
      <c r="B39" s="768"/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110">
        <v>356</v>
      </c>
      <c r="P39" s="110">
        <v>356</v>
      </c>
      <c r="Q39" s="110">
        <v>356</v>
      </c>
      <c r="R39" s="110">
        <v>356</v>
      </c>
      <c r="S39" s="110">
        <v>356</v>
      </c>
      <c r="T39" s="110">
        <v>356</v>
      </c>
      <c r="U39" s="110">
        <v>356</v>
      </c>
      <c r="V39" s="110">
        <v>356</v>
      </c>
      <c r="W39" s="110">
        <v>353</v>
      </c>
      <c r="X39" s="110">
        <v>353</v>
      </c>
      <c r="Y39" s="110">
        <v>353</v>
      </c>
      <c r="Z39" s="110">
        <v>353</v>
      </c>
      <c r="AA39" s="110">
        <v>356</v>
      </c>
      <c r="AB39" s="110">
        <v>356</v>
      </c>
      <c r="AC39" s="110">
        <v>356</v>
      </c>
      <c r="AD39" s="110">
        <v>356</v>
      </c>
      <c r="AE39" s="110">
        <v>335</v>
      </c>
      <c r="AF39" s="110">
        <v>335</v>
      </c>
      <c r="AG39" s="110">
        <v>335</v>
      </c>
      <c r="AH39" s="110">
        <v>335</v>
      </c>
      <c r="AI39" s="110">
        <v>353</v>
      </c>
      <c r="AJ39" s="110">
        <v>353</v>
      </c>
      <c r="AK39" s="110">
        <v>353</v>
      </c>
      <c r="AL39" s="110">
        <v>353</v>
      </c>
      <c r="AM39" s="110">
        <v>356</v>
      </c>
      <c r="AN39" s="110">
        <v>356</v>
      </c>
      <c r="AO39" s="110">
        <v>356</v>
      </c>
      <c r="AP39" s="110">
        <v>356</v>
      </c>
      <c r="AQ39" s="99"/>
      <c r="AR39" s="199"/>
      <c r="DF39" s="827"/>
      <c r="DH39" s="697"/>
      <c r="DI39" s="176" t="s">
        <v>24</v>
      </c>
      <c r="DJ39" s="206"/>
      <c r="DK39" s="206"/>
      <c r="DL39" s="206"/>
      <c r="DM39" s="206"/>
      <c r="DN39" s="206"/>
      <c r="DO39" s="206"/>
      <c r="DP39" s="206"/>
      <c r="DQ39" s="206"/>
      <c r="DR39" s="206"/>
      <c r="DS39" s="206"/>
      <c r="DT39" s="206"/>
      <c r="DU39" s="206"/>
      <c r="DV39" s="145">
        <v>16851.221946301968</v>
      </c>
      <c r="DW39" s="145">
        <v>16851.221946301968</v>
      </c>
      <c r="DX39" s="145">
        <v>16851.221946301968</v>
      </c>
      <c r="DY39" s="145">
        <v>16851.221946301968</v>
      </c>
      <c r="DZ39" s="145">
        <v>17066.760267338956</v>
      </c>
      <c r="EA39" s="145">
        <v>17066.760267338956</v>
      </c>
      <c r="EB39" s="145">
        <v>17066.760267338956</v>
      </c>
      <c r="EC39" s="145">
        <v>17066.760267338956</v>
      </c>
      <c r="ED39" s="145">
        <v>17175.295706666366</v>
      </c>
      <c r="EE39" s="145">
        <v>17175.295706666366</v>
      </c>
      <c r="EF39" s="145">
        <v>17175.295706666366</v>
      </c>
      <c r="EG39" s="145">
        <v>17175.295706666366</v>
      </c>
      <c r="EH39" s="145">
        <v>17156.183755606588</v>
      </c>
      <c r="EI39" s="145">
        <v>17156.183755606588</v>
      </c>
      <c r="EJ39" s="145">
        <v>17156.183755606588</v>
      </c>
      <c r="EK39" s="145">
        <v>17156.183755606588</v>
      </c>
      <c r="EL39" s="145">
        <v>17426.840825781408</v>
      </c>
      <c r="EM39" s="145">
        <v>17426.840825781408</v>
      </c>
      <c r="EN39" s="145">
        <v>17426.840825781408</v>
      </c>
      <c r="EO39" s="145">
        <v>17426.840825781408</v>
      </c>
      <c r="EP39" s="145">
        <v>17243.34187387543</v>
      </c>
      <c r="EQ39" s="145">
        <v>17243.34187387543</v>
      </c>
      <c r="ER39" s="145">
        <v>17243.34187387543</v>
      </c>
      <c r="ES39" s="145">
        <v>17243.34187387543</v>
      </c>
      <c r="ET39" s="146">
        <v>17243.064894753676</v>
      </c>
      <c r="EU39" s="146">
        <v>17243.064894753676</v>
      </c>
      <c r="EV39" s="146">
        <v>17243.064894753676</v>
      </c>
      <c r="EW39" s="146">
        <v>17243.064894753676</v>
      </c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</row>
    <row r="40" spans="1:205" ht="15" thickBot="1">
      <c r="A40" s="712"/>
      <c r="B40" s="712"/>
      <c r="C40" s="712"/>
      <c r="D40" s="712"/>
      <c r="E40" s="712"/>
      <c r="F40" s="712"/>
      <c r="G40" s="712"/>
      <c r="H40" s="712"/>
      <c r="I40" s="712"/>
      <c r="J40" s="712"/>
      <c r="K40" s="712"/>
      <c r="L40" s="712"/>
      <c r="M40" s="712"/>
      <c r="N40" s="712"/>
      <c r="O40" s="712"/>
      <c r="P40" s="712"/>
      <c r="Q40" s="712"/>
      <c r="R40" s="712"/>
      <c r="S40" s="712"/>
      <c r="T40" s="712"/>
      <c r="U40" s="712"/>
      <c r="V40" s="712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DF40" s="827"/>
      <c r="DH40" s="706"/>
      <c r="DI40" s="181" t="s">
        <v>36</v>
      </c>
      <c r="DJ40" s="206"/>
      <c r="DK40" s="206"/>
      <c r="DL40" s="206"/>
      <c r="DM40" s="206"/>
      <c r="DN40" s="206"/>
      <c r="DO40" s="206"/>
      <c r="DP40" s="206"/>
      <c r="DQ40" s="206"/>
      <c r="DR40" s="206"/>
      <c r="DS40" s="206"/>
      <c r="DT40" s="206"/>
      <c r="DU40" s="206"/>
      <c r="DV40" s="191">
        <v>9334.9372506246073</v>
      </c>
      <c r="DW40" s="191">
        <v>9334.9372506246073</v>
      </c>
      <c r="DX40" s="191">
        <v>9334.9372506246073</v>
      </c>
      <c r="DY40" s="191">
        <v>9334.9372506246073</v>
      </c>
      <c r="DZ40" s="191">
        <v>9397.4417145259285</v>
      </c>
      <c r="EA40" s="191">
        <v>9397.4417145259285</v>
      </c>
      <c r="EB40" s="191">
        <v>9397.4417145259285</v>
      </c>
      <c r="EC40" s="191">
        <v>9397.4417145259285</v>
      </c>
      <c r="ED40" s="191">
        <v>9441.7205617585751</v>
      </c>
      <c r="EE40" s="191">
        <v>9441.7205617585751</v>
      </c>
      <c r="EF40" s="191">
        <v>9441.7205617585751</v>
      </c>
      <c r="EG40" s="191">
        <v>9441.7205617585751</v>
      </c>
      <c r="EH40" s="191">
        <v>9423.3169859220416</v>
      </c>
      <c r="EI40" s="191">
        <v>9423.3169859220416</v>
      </c>
      <c r="EJ40" s="191">
        <v>9423.3169859220416</v>
      </c>
      <c r="EK40" s="191">
        <v>9423.3169859220416</v>
      </c>
      <c r="EL40" s="191">
        <v>9593.9644312172695</v>
      </c>
      <c r="EM40" s="191">
        <v>9593.9644312172695</v>
      </c>
      <c r="EN40" s="191">
        <v>9593.9644312172695</v>
      </c>
      <c r="EO40" s="191">
        <v>9593.9644312172695</v>
      </c>
      <c r="EP40" s="191">
        <v>9460.0329549131275</v>
      </c>
      <c r="EQ40" s="191">
        <v>9460.0329549131275</v>
      </c>
      <c r="ER40" s="191">
        <v>9460.0329549131275</v>
      </c>
      <c r="ES40" s="191">
        <v>9460.0329549131275</v>
      </c>
      <c r="ET40" s="192">
        <v>9446.6981937553755</v>
      </c>
      <c r="EU40" s="192">
        <v>9446.6981937553755</v>
      </c>
      <c r="EV40" s="192">
        <v>9446.6981937553755</v>
      </c>
      <c r="EW40" s="192">
        <v>9446.6981937553755</v>
      </c>
      <c r="GI40" s="108"/>
      <c r="GK40" s="108"/>
      <c r="GL40" s="108"/>
      <c r="GM40" s="108"/>
      <c r="GN40" s="108"/>
      <c r="GO40" s="108"/>
      <c r="GP40" s="108"/>
      <c r="GQ40" s="108"/>
      <c r="GR40" s="108"/>
    </row>
    <row r="41" spans="1:205" ht="23.65" customHeight="1">
      <c r="A41" s="785" t="s">
        <v>46</v>
      </c>
      <c r="B41" s="786"/>
      <c r="C41" s="786"/>
      <c r="D41" s="786"/>
      <c r="E41" s="786"/>
      <c r="F41" s="786"/>
      <c r="G41" s="786"/>
      <c r="H41" s="786"/>
      <c r="I41" s="786"/>
      <c r="J41" s="786"/>
      <c r="K41" s="786"/>
      <c r="L41" s="786"/>
      <c r="M41" s="786"/>
      <c r="N41" s="786"/>
      <c r="O41" s="786"/>
      <c r="P41" s="786"/>
      <c r="Q41" s="786"/>
      <c r="R41" s="786"/>
      <c r="S41" s="786"/>
      <c r="T41" s="786"/>
      <c r="U41" s="786"/>
      <c r="V41" s="786"/>
      <c r="W41" s="786"/>
      <c r="X41" s="786"/>
      <c r="Y41" s="786"/>
      <c r="Z41" s="786"/>
      <c r="AA41" s="786"/>
      <c r="AB41" s="786"/>
      <c r="AC41" s="786"/>
      <c r="AD41" s="786"/>
      <c r="AE41" s="786"/>
      <c r="AF41" s="786"/>
      <c r="AG41" s="786"/>
      <c r="AH41" s="786"/>
      <c r="AI41" s="786"/>
      <c r="AJ41" s="786"/>
      <c r="AK41" s="786"/>
      <c r="AL41" s="786"/>
      <c r="AM41" s="786"/>
      <c r="AN41" s="786"/>
      <c r="AO41" s="786"/>
      <c r="AP41" s="78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6"/>
      <c r="BD41" s="206"/>
      <c r="BE41" s="206"/>
      <c r="BF41" s="206"/>
      <c r="BG41" s="206"/>
      <c r="BH41" s="206"/>
      <c r="BI41" s="206"/>
      <c r="BJ41" s="206"/>
      <c r="BK41" s="206"/>
      <c r="BL41" s="206"/>
      <c r="BM41" s="206"/>
      <c r="BN41" s="206"/>
      <c r="BO41" s="789" t="s">
        <v>47</v>
      </c>
      <c r="BP41" s="790"/>
      <c r="BQ41" s="790"/>
      <c r="BR41" s="790"/>
      <c r="BS41" s="790"/>
      <c r="BT41" s="790"/>
      <c r="BU41" s="790"/>
      <c r="BV41" s="790"/>
      <c r="BW41" s="790"/>
      <c r="BX41" s="790"/>
      <c r="BY41" s="790"/>
      <c r="BZ41" s="790"/>
      <c r="CA41" s="790"/>
      <c r="CB41" s="790"/>
      <c r="CC41" s="790"/>
      <c r="CD41" s="790"/>
      <c r="CE41" s="790"/>
      <c r="CF41" s="790"/>
      <c r="CG41" s="790"/>
      <c r="CH41" s="790"/>
      <c r="CI41" s="790"/>
      <c r="CJ41" s="790"/>
      <c r="CK41" s="790"/>
      <c r="CL41" s="790"/>
      <c r="CM41" s="790"/>
      <c r="CN41" s="790"/>
      <c r="CO41" s="790"/>
      <c r="CP41" s="790"/>
      <c r="CQ41" s="790"/>
      <c r="CR41" s="790"/>
      <c r="CS41" s="790"/>
      <c r="CT41" s="790"/>
      <c r="CU41" s="790"/>
      <c r="CV41" s="790"/>
      <c r="CW41" s="790"/>
      <c r="CX41" s="790"/>
      <c r="CY41" s="790"/>
      <c r="CZ41" s="790"/>
      <c r="DA41" s="790"/>
      <c r="DB41" s="790"/>
      <c r="DC41" s="790"/>
      <c r="DD41" s="790"/>
      <c r="DE41" s="209"/>
      <c r="DF41" s="209"/>
      <c r="DG41" s="209"/>
      <c r="DH41" s="209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9"/>
      <c r="EB41" s="209"/>
      <c r="EC41" s="209"/>
      <c r="ED41" s="209"/>
      <c r="EE41" s="209"/>
      <c r="EF41" s="209"/>
      <c r="EG41" s="793" t="s">
        <v>48</v>
      </c>
      <c r="EH41" s="794"/>
      <c r="EI41" s="794"/>
      <c r="EJ41" s="794"/>
      <c r="EK41" s="794"/>
      <c r="EL41" s="794"/>
      <c r="EM41" s="794"/>
      <c r="EN41" s="794"/>
      <c r="EO41" s="794"/>
      <c r="EP41" s="794"/>
      <c r="EQ41" s="794"/>
      <c r="ER41" s="794"/>
      <c r="ES41" s="794"/>
      <c r="ET41" s="794"/>
      <c r="EU41" s="794"/>
      <c r="EV41" s="794"/>
      <c r="EW41" s="794"/>
      <c r="EX41" s="794"/>
      <c r="EY41" s="794"/>
      <c r="EZ41" s="794"/>
      <c r="FA41" s="794"/>
      <c r="FB41" s="794"/>
      <c r="FC41" s="794"/>
      <c r="FD41" s="794"/>
      <c r="FE41" s="794"/>
      <c r="FF41" s="794"/>
      <c r="FG41" s="794"/>
      <c r="FH41" s="794"/>
      <c r="FI41" s="794"/>
      <c r="FJ41" s="794"/>
      <c r="FK41" s="794"/>
      <c r="FL41" s="794"/>
      <c r="FM41" s="794"/>
      <c r="FN41" s="794"/>
      <c r="FO41" s="794"/>
      <c r="FP41" s="794"/>
      <c r="FQ41" s="794"/>
      <c r="FR41" s="794"/>
      <c r="FS41" s="794"/>
      <c r="FT41" s="794"/>
      <c r="FU41" s="794"/>
      <c r="FV41" s="794"/>
      <c r="FW41" s="794"/>
      <c r="FX41" s="794"/>
      <c r="FY41" s="794"/>
      <c r="FZ41" s="794"/>
      <c r="GA41" s="794"/>
      <c r="GB41" s="794"/>
      <c r="GC41" s="794"/>
      <c r="GD41" s="794"/>
      <c r="GE41" s="794"/>
      <c r="GF41" s="794"/>
      <c r="GG41" s="795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</row>
    <row r="42" spans="1:205" ht="24" thickBot="1">
      <c r="A42" s="787"/>
      <c r="B42" s="788"/>
      <c r="C42" s="788"/>
      <c r="D42" s="788"/>
      <c r="E42" s="788"/>
      <c r="F42" s="788"/>
      <c r="G42" s="788"/>
      <c r="H42" s="788"/>
      <c r="I42" s="788"/>
      <c r="J42" s="788"/>
      <c r="K42" s="788"/>
      <c r="L42" s="788"/>
      <c r="M42" s="788"/>
      <c r="N42" s="788"/>
      <c r="O42" s="788"/>
      <c r="P42" s="788"/>
      <c r="Q42" s="788"/>
      <c r="R42" s="788"/>
      <c r="S42" s="788"/>
      <c r="T42" s="788"/>
      <c r="U42" s="788"/>
      <c r="V42" s="788"/>
      <c r="W42" s="788"/>
      <c r="X42" s="788"/>
      <c r="Y42" s="788"/>
      <c r="Z42" s="788"/>
      <c r="AA42" s="788"/>
      <c r="AB42" s="788"/>
      <c r="AC42" s="788"/>
      <c r="AD42" s="788"/>
      <c r="AE42" s="788"/>
      <c r="AF42" s="788"/>
      <c r="AG42" s="788"/>
      <c r="AH42" s="788"/>
      <c r="AI42" s="788"/>
      <c r="AJ42" s="788"/>
      <c r="AK42" s="788"/>
      <c r="AL42" s="788"/>
      <c r="AM42" s="788"/>
      <c r="AN42" s="788"/>
      <c r="AO42" s="788"/>
      <c r="AP42" s="788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  <c r="BK42" s="206"/>
      <c r="BL42" s="206"/>
      <c r="BM42" s="206"/>
      <c r="BN42" s="206"/>
      <c r="BO42" s="791"/>
      <c r="BP42" s="792"/>
      <c r="BQ42" s="792"/>
      <c r="BR42" s="792"/>
      <c r="BS42" s="792"/>
      <c r="BT42" s="792"/>
      <c r="BU42" s="792"/>
      <c r="BV42" s="792"/>
      <c r="BW42" s="792"/>
      <c r="BX42" s="792"/>
      <c r="BY42" s="792"/>
      <c r="BZ42" s="792"/>
      <c r="CA42" s="792"/>
      <c r="CB42" s="792"/>
      <c r="CC42" s="792"/>
      <c r="CD42" s="792"/>
      <c r="CE42" s="792"/>
      <c r="CF42" s="792"/>
      <c r="CG42" s="792"/>
      <c r="CH42" s="792"/>
      <c r="CI42" s="792"/>
      <c r="CJ42" s="792"/>
      <c r="CK42" s="792"/>
      <c r="CL42" s="792"/>
      <c r="CM42" s="792"/>
      <c r="CN42" s="792"/>
      <c r="CO42" s="792"/>
      <c r="CP42" s="792"/>
      <c r="CQ42" s="792"/>
      <c r="CR42" s="792"/>
      <c r="CS42" s="792"/>
      <c r="CT42" s="792"/>
      <c r="CU42" s="792"/>
      <c r="CV42" s="792"/>
      <c r="CW42" s="792"/>
      <c r="CX42" s="792"/>
      <c r="CY42" s="792"/>
      <c r="CZ42" s="792"/>
      <c r="DA42" s="792"/>
      <c r="DB42" s="792"/>
      <c r="DC42" s="792"/>
      <c r="DD42" s="792"/>
      <c r="DE42" s="209"/>
      <c r="DF42" s="209"/>
      <c r="DG42" s="209"/>
      <c r="DH42" s="209"/>
      <c r="DI42" s="209"/>
      <c r="DJ42" s="209"/>
      <c r="DK42" s="209"/>
      <c r="DL42" s="209"/>
      <c r="DM42" s="209"/>
      <c r="DN42" s="209"/>
      <c r="DO42" s="209"/>
      <c r="DP42" s="209"/>
      <c r="DQ42" s="209"/>
      <c r="DR42" s="209"/>
      <c r="DS42" s="209"/>
      <c r="DT42" s="209"/>
      <c r="DU42" s="209"/>
      <c r="DV42" s="209"/>
      <c r="DW42" s="209"/>
      <c r="DX42" s="209"/>
      <c r="DY42" s="209"/>
      <c r="DZ42" s="209"/>
      <c r="EA42" s="799" t="s">
        <v>49</v>
      </c>
      <c r="EB42" s="799"/>
      <c r="EC42" s="799"/>
      <c r="ED42" s="799"/>
      <c r="EE42" s="799"/>
      <c r="EF42" s="209"/>
      <c r="EG42" s="796"/>
      <c r="EH42" s="797"/>
      <c r="EI42" s="797"/>
      <c r="EJ42" s="797"/>
      <c r="EK42" s="797"/>
      <c r="EL42" s="797"/>
      <c r="EM42" s="797"/>
      <c r="EN42" s="797"/>
      <c r="EO42" s="797"/>
      <c r="EP42" s="797"/>
      <c r="EQ42" s="797"/>
      <c r="ER42" s="797"/>
      <c r="ES42" s="797"/>
      <c r="ET42" s="797"/>
      <c r="EU42" s="797"/>
      <c r="EV42" s="797"/>
      <c r="EW42" s="797"/>
      <c r="EX42" s="797"/>
      <c r="EY42" s="797"/>
      <c r="EZ42" s="797"/>
      <c r="FA42" s="797"/>
      <c r="FB42" s="797"/>
      <c r="FC42" s="797"/>
      <c r="FD42" s="797"/>
      <c r="FE42" s="797"/>
      <c r="FF42" s="797"/>
      <c r="FG42" s="797"/>
      <c r="FH42" s="797"/>
      <c r="FI42" s="797"/>
      <c r="FJ42" s="797"/>
      <c r="FK42" s="797"/>
      <c r="FL42" s="797"/>
      <c r="FM42" s="797"/>
      <c r="FN42" s="797"/>
      <c r="FO42" s="797"/>
      <c r="FP42" s="797"/>
      <c r="FQ42" s="797"/>
      <c r="FR42" s="797"/>
      <c r="FS42" s="797"/>
      <c r="FT42" s="797"/>
      <c r="FU42" s="797"/>
      <c r="FV42" s="797"/>
      <c r="FW42" s="797"/>
      <c r="FX42" s="797"/>
      <c r="FY42" s="797"/>
      <c r="FZ42" s="797"/>
      <c r="GA42" s="797"/>
      <c r="GB42" s="797"/>
      <c r="GC42" s="797"/>
      <c r="GD42" s="797"/>
      <c r="GE42" s="797"/>
      <c r="GF42" s="797"/>
      <c r="GG42" s="79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</row>
    <row r="43" spans="1:205" ht="15" customHeight="1" thickBot="1">
      <c r="A43" s="800" t="s">
        <v>50</v>
      </c>
      <c r="B43" s="801"/>
      <c r="C43" s="801"/>
      <c r="D43" s="801"/>
      <c r="E43" s="801"/>
      <c r="F43" s="801"/>
      <c r="G43" s="801"/>
      <c r="H43" s="801"/>
      <c r="I43" s="801"/>
      <c r="J43" s="801"/>
      <c r="K43" s="801"/>
      <c r="L43" s="801"/>
      <c r="M43" s="801"/>
      <c r="N43" s="801"/>
      <c r="O43" s="801"/>
      <c r="P43" s="801"/>
      <c r="Q43" s="801"/>
      <c r="R43" s="801"/>
      <c r="S43" s="801"/>
      <c r="T43" s="801"/>
      <c r="U43" s="801"/>
      <c r="V43" s="802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803" t="s">
        <v>51</v>
      </c>
      <c r="AR43" s="803"/>
      <c r="AS43" s="803"/>
      <c r="AT43" s="803"/>
      <c r="AU43" s="804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O43" s="806" t="s">
        <v>52</v>
      </c>
      <c r="BP43" s="807"/>
      <c r="BQ43" s="807"/>
      <c r="BR43" s="807"/>
      <c r="BS43" s="807"/>
      <c r="BT43" s="807"/>
      <c r="BU43" s="807"/>
      <c r="BV43" s="807"/>
      <c r="BW43" s="807"/>
      <c r="BX43" s="807"/>
      <c r="BY43" s="807"/>
      <c r="BZ43" s="807"/>
      <c r="CA43" s="807"/>
      <c r="CB43" s="807"/>
      <c r="CC43" s="807"/>
      <c r="CD43" s="807"/>
      <c r="CE43" s="807"/>
      <c r="CF43" s="807"/>
      <c r="CG43" s="807"/>
      <c r="CH43" s="807"/>
      <c r="CI43" s="807"/>
      <c r="CJ43" s="807"/>
      <c r="CK43" s="212"/>
      <c r="CL43" s="212"/>
      <c r="CM43" s="212"/>
      <c r="CN43" s="212"/>
      <c r="CO43" s="212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12"/>
      <c r="DB43" s="212"/>
      <c r="DC43" s="212"/>
      <c r="DD43" s="212"/>
      <c r="DE43" s="808" t="s">
        <v>53</v>
      </c>
      <c r="DF43" s="803"/>
      <c r="DG43" s="803"/>
      <c r="DH43" s="803"/>
      <c r="DI43" s="803"/>
      <c r="DJ43" s="803"/>
      <c r="DK43" s="803"/>
      <c r="DL43" s="803"/>
      <c r="DM43" s="803"/>
      <c r="DN43" s="804"/>
      <c r="DO43" s="808" t="s">
        <v>54</v>
      </c>
      <c r="DP43" s="803"/>
      <c r="DQ43" s="803"/>
      <c r="DR43" s="803"/>
      <c r="DS43" s="803"/>
      <c r="DT43" s="803"/>
      <c r="DU43" s="803"/>
      <c r="DV43" s="803"/>
      <c r="DW43" s="803"/>
      <c r="DX43" s="804"/>
      <c r="DY43" s="211"/>
      <c r="DZ43" s="209"/>
      <c r="EA43" s="678" t="s">
        <v>55</v>
      </c>
      <c r="EB43" s="672"/>
      <c r="EC43" s="672"/>
      <c r="ED43" s="672"/>
      <c r="EE43" s="673"/>
      <c r="EF43" s="209"/>
      <c r="EG43" s="806" t="s">
        <v>56</v>
      </c>
      <c r="EH43" s="807"/>
      <c r="EI43" s="807"/>
      <c r="EJ43" s="807"/>
      <c r="EK43" s="807"/>
      <c r="EL43" s="807"/>
      <c r="EM43" s="807"/>
      <c r="EN43" s="807"/>
      <c r="EO43" s="807"/>
      <c r="EP43" s="807"/>
      <c r="EQ43" s="807"/>
      <c r="ER43" s="807"/>
      <c r="ES43" s="807"/>
      <c r="ET43" s="807"/>
      <c r="EU43" s="807"/>
      <c r="EV43" s="807"/>
      <c r="EW43" s="807"/>
      <c r="EX43" s="807"/>
      <c r="EY43" s="807"/>
      <c r="EZ43" s="807"/>
      <c r="FA43" s="807"/>
      <c r="FB43" s="807"/>
      <c r="FC43" s="807"/>
      <c r="FD43" s="807"/>
      <c r="FE43" s="807"/>
      <c r="FF43" s="807"/>
      <c r="FG43" s="807"/>
      <c r="FH43" s="807"/>
      <c r="FI43" s="807"/>
      <c r="FJ43" s="807"/>
      <c r="FK43" s="807"/>
      <c r="FL43" s="807"/>
      <c r="FM43" s="807"/>
      <c r="FN43" s="807"/>
      <c r="FO43" s="807"/>
      <c r="FP43" s="807"/>
      <c r="FQ43" s="807"/>
      <c r="FR43" s="807"/>
      <c r="FS43" s="807"/>
      <c r="FT43" s="807"/>
      <c r="FU43" s="807"/>
      <c r="FV43" s="807"/>
      <c r="FW43" s="807"/>
      <c r="FX43" s="807"/>
      <c r="FY43" s="807"/>
      <c r="FZ43" s="807"/>
      <c r="GA43" s="807"/>
      <c r="GB43" s="807"/>
      <c r="GC43" s="807"/>
      <c r="GD43" s="807"/>
      <c r="GE43" s="807"/>
      <c r="GF43" s="807"/>
      <c r="GG43" s="813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</row>
    <row r="44" spans="1:205" ht="15" customHeight="1" thickBot="1">
      <c r="A44" s="213"/>
      <c r="B44" s="98"/>
      <c r="C44" s="782">
        <v>2023</v>
      </c>
      <c r="D44" s="783"/>
      <c r="E44" s="783"/>
      <c r="F44" s="784"/>
      <c r="G44" s="744">
        <v>2024</v>
      </c>
      <c r="H44" s="745"/>
      <c r="I44" s="745"/>
      <c r="J44" s="746"/>
      <c r="K44" s="763">
        <v>2025</v>
      </c>
      <c r="L44" s="764"/>
      <c r="M44" s="764"/>
      <c r="N44" s="765"/>
      <c r="O44" s="744">
        <v>2026</v>
      </c>
      <c r="P44" s="745"/>
      <c r="Q44" s="745"/>
      <c r="R44" s="746"/>
      <c r="S44" s="747">
        <v>2027</v>
      </c>
      <c r="T44" s="748"/>
      <c r="U44" s="748"/>
      <c r="V44" s="749"/>
      <c r="W44" s="782">
        <v>2028</v>
      </c>
      <c r="X44" s="783"/>
      <c r="Y44" s="783"/>
      <c r="Z44" s="784"/>
      <c r="AA44" s="744">
        <v>2029</v>
      </c>
      <c r="AB44" s="745"/>
      <c r="AC44" s="745"/>
      <c r="AD44" s="746"/>
      <c r="AE44" s="763">
        <v>2030</v>
      </c>
      <c r="AF44" s="764"/>
      <c r="AG44" s="764"/>
      <c r="AH44" s="765"/>
      <c r="AI44" s="744">
        <v>2031</v>
      </c>
      <c r="AJ44" s="745"/>
      <c r="AK44" s="745"/>
      <c r="AL44" s="746"/>
      <c r="AM44" s="747">
        <v>2032</v>
      </c>
      <c r="AN44" s="748"/>
      <c r="AO44" s="748"/>
      <c r="AP44" s="749"/>
      <c r="AQ44" s="805"/>
      <c r="AR44" s="805"/>
      <c r="AS44" s="805"/>
      <c r="AT44" s="805"/>
      <c r="AU44" s="805"/>
      <c r="AV44" s="214"/>
      <c r="AW44" s="214"/>
      <c r="AX44" s="214"/>
      <c r="AY44" s="214"/>
      <c r="AZ44" s="214"/>
      <c r="BA44" s="211"/>
      <c r="BB44" s="211"/>
      <c r="BC44" s="211"/>
      <c r="BD44" s="211"/>
      <c r="BE44" s="211"/>
      <c r="BF44" s="211"/>
      <c r="BG44" s="811" t="s">
        <v>57</v>
      </c>
      <c r="BH44" s="770"/>
      <c r="BI44" s="770"/>
      <c r="BJ44" s="812"/>
      <c r="BO44" s="107"/>
      <c r="BP44" s="99"/>
      <c r="BQ44" s="772">
        <v>2022</v>
      </c>
      <c r="BR44" s="772"/>
      <c r="BS44" s="772"/>
      <c r="BT44" s="772"/>
      <c r="BU44" s="775">
        <v>2023</v>
      </c>
      <c r="BV44" s="775"/>
      <c r="BW44" s="775"/>
      <c r="BX44" s="775"/>
      <c r="BY44" s="778">
        <v>2024</v>
      </c>
      <c r="BZ44" s="778"/>
      <c r="CA44" s="778"/>
      <c r="CB44" s="778"/>
      <c r="CC44" s="775">
        <v>2025</v>
      </c>
      <c r="CD44" s="775"/>
      <c r="CE44" s="775"/>
      <c r="CF44" s="775"/>
      <c r="CG44" s="781">
        <v>2026</v>
      </c>
      <c r="CH44" s="781"/>
      <c r="CI44" s="781"/>
      <c r="CJ44" s="781"/>
      <c r="CK44" s="782">
        <v>2028</v>
      </c>
      <c r="CL44" s="783"/>
      <c r="CM44" s="783"/>
      <c r="CN44" s="784"/>
      <c r="CO44" s="744">
        <v>2029</v>
      </c>
      <c r="CP44" s="745"/>
      <c r="CQ44" s="745"/>
      <c r="CR44" s="746"/>
      <c r="CS44" s="763">
        <v>2030</v>
      </c>
      <c r="CT44" s="764"/>
      <c r="CU44" s="764"/>
      <c r="CV44" s="765"/>
      <c r="CW44" s="744">
        <v>2031</v>
      </c>
      <c r="CX44" s="745"/>
      <c r="CY44" s="745"/>
      <c r="CZ44" s="746"/>
      <c r="DA44" s="747">
        <v>2032</v>
      </c>
      <c r="DB44" s="748"/>
      <c r="DC44" s="748"/>
      <c r="DD44" s="749"/>
      <c r="DE44" s="809"/>
      <c r="DF44" s="805"/>
      <c r="DG44" s="805"/>
      <c r="DH44" s="805"/>
      <c r="DI44" s="805"/>
      <c r="DJ44" s="805"/>
      <c r="DK44" s="805"/>
      <c r="DL44" s="805"/>
      <c r="DM44" s="805"/>
      <c r="DN44" s="810"/>
      <c r="DO44" s="809"/>
      <c r="DP44" s="805"/>
      <c r="DQ44" s="805"/>
      <c r="DR44" s="805"/>
      <c r="DS44" s="805"/>
      <c r="DT44" s="805"/>
      <c r="DU44" s="805"/>
      <c r="DV44" s="805"/>
      <c r="DW44" s="805"/>
      <c r="DX44" s="810"/>
      <c r="DY44" s="211"/>
      <c r="DZ44" s="209"/>
      <c r="EA44" s="679"/>
      <c r="EB44" s="674"/>
      <c r="EC44" s="674"/>
      <c r="ED44" s="674"/>
      <c r="EE44" s="680"/>
      <c r="EF44" s="209"/>
      <c r="EG44" s="107"/>
      <c r="EH44" s="99"/>
      <c r="EI44" s="771">
        <v>2023</v>
      </c>
      <c r="EJ44" s="772"/>
      <c r="EK44" s="772"/>
      <c r="EL44" s="773"/>
      <c r="EM44" s="774">
        <v>2024</v>
      </c>
      <c r="EN44" s="775"/>
      <c r="EO44" s="775"/>
      <c r="EP44" s="776"/>
      <c r="EQ44" s="777">
        <v>2025</v>
      </c>
      <c r="ER44" s="778"/>
      <c r="ES44" s="778"/>
      <c r="ET44" s="779"/>
      <c r="EU44" s="774">
        <v>2026</v>
      </c>
      <c r="EV44" s="775"/>
      <c r="EW44" s="775"/>
      <c r="EX44" s="776"/>
      <c r="EY44" s="780">
        <v>2027</v>
      </c>
      <c r="EZ44" s="781"/>
      <c r="FA44" s="781"/>
      <c r="FB44" s="781"/>
      <c r="FC44" s="782">
        <v>2028</v>
      </c>
      <c r="FD44" s="783"/>
      <c r="FE44" s="783"/>
      <c r="FF44" s="784"/>
      <c r="FG44" s="744">
        <v>2029</v>
      </c>
      <c r="FH44" s="745"/>
      <c r="FI44" s="745"/>
      <c r="FJ44" s="746"/>
      <c r="FK44" s="763">
        <v>2030</v>
      </c>
      <c r="FL44" s="764"/>
      <c r="FM44" s="764"/>
      <c r="FN44" s="765"/>
      <c r="FO44" s="744">
        <v>2031</v>
      </c>
      <c r="FP44" s="745"/>
      <c r="FQ44" s="745"/>
      <c r="FR44" s="746"/>
      <c r="FS44" s="747">
        <v>2032</v>
      </c>
      <c r="FT44" s="748"/>
      <c r="FU44" s="748"/>
      <c r="FV44" s="749"/>
      <c r="FW44" s="215"/>
      <c r="FX44" s="750" t="s">
        <v>58</v>
      </c>
      <c r="FY44" s="751"/>
      <c r="FZ44" s="750" t="s">
        <v>59</v>
      </c>
      <c r="GA44" s="766"/>
      <c r="GB44" s="750" t="s">
        <v>60</v>
      </c>
      <c r="GC44" s="766"/>
      <c r="GD44" s="750" t="s">
        <v>61</v>
      </c>
      <c r="GE44" s="766"/>
      <c r="GF44" s="750" t="s">
        <v>62</v>
      </c>
      <c r="GG44" s="766"/>
      <c r="GH44" s="767" t="s">
        <v>63</v>
      </c>
      <c r="GI44" s="768" t="s">
        <v>64</v>
      </c>
      <c r="GJ44" s="108"/>
      <c r="GK44" s="108"/>
      <c r="GL44" s="108"/>
      <c r="GM44" s="108"/>
      <c r="GN44" s="108"/>
      <c r="GO44" s="108"/>
      <c r="GP44" s="108"/>
      <c r="GQ44" s="108"/>
      <c r="GR44" s="108"/>
    </row>
    <row r="45" spans="1:205" ht="15" customHeight="1" thickBot="1">
      <c r="A45" s="213"/>
      <c r="B45" s="98"/>
      <c r="C45" s="98">
        <v>1</v>
      </c>
      <c r="D45" s="98">
        <v>2</v>
      </c>
      <c r="E45" s="98">
        <v>3</v>
      </c>
      <c r="F45" s="98">
        <v>4</v>
      </c>
      <c r="G45" s="98">
        <v>1</v>
      </c>
      <c r="H45" s="98">
        <v>2</v>
      </c>
      <c r="I45" s="98">
        <v>3</v>
      </c>
      <c r="J45" s="98">
        <v>4</v>
      </c>
      <c r="K45" s="98">
        <v>1</v>
      </c>
      <c r="L45" s="98">
        <v>2</v>
      </c>
      <c r="M45" s="98">
        <v>3</v>
      </c>
      <c r="N45" s="98">
        <v>4</v>
      </c>
      <c r="O45" s="98">
        <v>1</v>
      </c>
      <c r="P45" s="98">
        <v>2</v>
      </c>
      <c r="Q45" s="98">
        <v>3</v>
      </c>
      <c r="R45" s="98">
        <v>4</v>
      </c>
      <c r="S45" s="98">
        <v>1</v>
      </c>
      <c r="T45" s="98">
        <v>2</v>
      </c>
      <c r="U45" s="98">
        <v>3</v>
      </c>
      <c r="V45" s="198">
        <v>4</v>
      </c>
      <c r="W45" s="112">
        <v>1</v>
      </c>
      <c r="X45" s="113">
        <v>2</v>
      </c>
      <c r="Y45" s="113">
        <v>3</v>
      </c>
      <c r="Z45" s="114">
        <v>4</v>
      </c>
      <c r="AA45" s="112">
        <v>1</v>
      </c>
      <c r="AB45" s="113">
        <v>2</v>
      </c>
      <c r="AC45" s="113">
        <v>3</v>
      </c>
      <c r="AD45" s="114">
        <v>4</v>
      </c>
      <c r="AE45" s="112">
        <v>1</v>
      </c>
      <c r="AF45" s="113">
        <v>2</v>
      </c>
      <c r="AG45" s="113">
        <v>3</v>
      </c>
      <c r="AH45" s="114">
        <v>4</v>
      </c>
      <c r="AI45" s="112">
        <v>1</v>
      </c>
      <c r="AJ45" s="113">
        <v>2</v>
      </c>
      <c r="AK45" s="113">
        <v>3</v>
      </c>
      <c r="AL45" s="114">
        <v>4</v>
      </c>
      <c r="AM45" s="112">
        <v>1</v>
      </c>
      <c r="AN45" s="113">
        <v>2</v>
      </c>
      <c r="AO45" s="113">
        <v>3</v>
      </c>
      <c r="AP45" s="114">
        <v>4</v>
      </c>
      <c r="AQ45" s="216">
        <v>2023</v>
      </c>
      <c r="AR45" s="217">
        <v>2024</v>
      </c>
      <c r="AS45" s="216">
        <v>2025</v>
      </c>
      <c r="AT45" s="217">
        <v>2026</v>
      </c>
      <c r="AU45" s="216">
        <v>2027</v>
      </c>
      <c r="AV45" s="217">
        <v>2028</v>
      </c>
      <c r="AW45" s="216">
        <v>2029</v>
      </c>
      <c r="AX45" s="216">
        <v>2030</v>
      </c>
      <c r="AY45" s="217">
        <v>2031</v>
      </c>
      <c r="AZ45" s="218">
        <v>2032</v>
      </c>
      <c r="BA45" s="211"/>
      <c r="BB45" s="211"/>
      <c r="BC45" s="211"/>
      <c r="BD45" s="211"/>
      <c r="BE45" s="211"/>
      <c r="BF45" s="211"/>
      <c r="BG45" s="769" t="s">
        <v>65</v>
      </c>
      <c r="BH45" s="770"/>
      <c r="BI45" s="770"/>
      <c r="BJ45" s="219" t="s">
        <v>66</v>
      </c>
      <c r="BO45" s="107"/>
      <c r="BP45" s="99"/>
      <c r="BQ45" s="99">
        <v>1</v>
      </c>
      <c r="BR45" s="99">
        <v>2</v>
      </c>
      <c r="BS45" s="99">
        <v>3</v>
      </c>
      <c r="BT45" s="99">
        <v>4</v>
      </c>
      <c r="BU45" s="99">
        <v>1</v>
      </c>
      <c r="BV45" s="99">
        <v>2</v>
      </c>
      <c r="BW45" s="99">
        <v>3</v>
      </c>
      <c r="BX45" s="99">
        <v>4</v>
      </c>
      <c r="BY45" s="99">
        <v>1</v>
      </c>
      <c r="BZ45" s="99">
        <v>2</v>
      </c>
      <c r="CA45" s="99">
        <v>3</v>
      </c>
      <c r="CB45" s="99">
        <v>4</v>
      </c>
      <c r="CC45" s="99">
        <v>1</v>
      </c>
      <c r="CD45" s="99">
        <v>2</v>
      </c>
      <c r="CE45" s="99">
        <v>3</v>
      </c>
      <c r="CF45" s="99">
        <v>4</v>
      </c>
      <c r="CG45" s="99">
        <v>1</v>
      </c>
      <c r="CH45" s="99">
        <v>2</v>
      </c>
      <c r="CI45" s="99">
        <v>3</v>
      </c>
      <c r="CJ45" s="99">
        <v>4</v>
      </c>
      <c r="CK45" s="112">
        <v>1</v>
      </c>
      <c r="CL45" s="113">
        <v>2</v>
      </c>
      <c r="CM45" s="113">
        <v>3</v>
      </c>
      <c r="CN45" s="114">
        <v>4</v>
      </c>
      <c r="CO45" s="112">
        <v>1</v>
      </c>
      <c r="CP45" s="113">
        <v>2</v>
      </c>
      <c r="CQ45" s="113">
        <v>3</v>
      </c>
      <c r="CR45" s="114">
        <v>4</v>
      </c>
      <c r="CS45" s="112">
        <v>1</v>
      </c>
      <c r="CT45" s="113">
        <v>2</v>
      </c>
      <c r="CU45" s="113">
        <v>3</v>
      </c>
      <c r="CV45" s="114">
        <v>4</v>
      </c>
      <c r="CW45" s="112">
        <v>1</v>
      </c>
      <c r="CX45" s="113">
        <v>2</v>
      </c>
      <c r="CY45" s="113">
        <v>3</v>
      </c>
      <c r="CZ45" s="114">
        <v>4</v>
      </c>
      <c r="DA45" s="112">
        <v>1</v>
      </c>
      <c r="DB45" s="113">
        <v>2</v>
      </c>
      <c r="DC45" s="113">
        <v>3</v>
      </c>
      <c r="DD45" s="114">
        <v>4</v>
      </c>
      <c r="DE45" s="217">
        <v>2023</v>
      </c>
      <c r="DF45" s="217">
        <v>2024</v>
      </c>
      <c r="DG45" s="217">
        <v>2025</v>
      </c>
      <c r="DH45" s="217">
        <v>2026</v>
      </c>
      <c r="DI45" s="217">
        <v>2027</v>
      </c>
      <c r="DJ45" s="217">
        <v>2028</v>
      </c>
      <c r="DK45" s="217">
        <v>2029</v>
      </c>
      <c r="DL45" s="217">
        <v>2030</v>
      </c>
      <c r="DM45" s="217">
        <v>2031</v>
      </c>
      <c r="DN45" s="217">
        <v>2032</v>
      </c>
      <c r="DO45" s="217">
        <v>2023</v>
      </c>
      <c r="DP45" s="217">
        <v>2024</v>
      </c>
      <c r="DQ45" s="217">
        <v>2025</v>
      </c>
      <c r="DR45" s="217">
        <v>2026</v>
      </c>
      <c r="DS45" s="217">
        <v>2027</v>
      </c>
      <c r="DT45" s="217">
        <v>2028</v>
      </c>
      <c r="DU45" s="217">
        <v>2029</v>
      </c>
      <c r="DV45" s="217">
        <v>2030</v>
      </c>
      <c r="DW45" s="217">
        <v>2031</v>
      </c>
      <c r="DX45" s="217">
        <v>2032</v>
      </c>
      <c r="DY45" s="211"/>
      <c r="DZ45" s="209"/>
      <c r="EA45" s="220" t="s">
        <v>67</v>
      </c>
      <c r="EB45" s="220" t="s">
        <v>68</v>
      </c>
      <c r="EC45" s="220" t="s">
        <v>69</v>
      </c>
      <c r="ED45" s="220" t="s">
        <v>70</v>
      </c>
      <c r="EE45" s="220" t="s">
        <v>71</v>
      </c>
      <c r="EF45" s="209"/>
      <c r="EG45" s="107"/>
      <c r="EH45" s="99"/>
      <c r="EI45" s="107">
        <v>1</v>
      </c>
      <c r="EJ45" s="99">
        <v>2</v>
      </c>
      <c r="EK45" s="99">
        <v>3</v>
      </c>
      <c r="EL45" s="221">
        <v>4</v>
      </c>
      <c r="EM45" s="107">
        <v>1</v>
      </c>
      <c r="EN45" s="99">
        <v>2</v>
      </c>
      <c r="EO45" s="99">
        <v>3</v>
      </c>
      <c r="EP45" s="221">
        <v>4</v>
      </c>
      <c r="EQ45" s="107">
        <v>1</v>
      </c>
      <c r="ER45" s="99">
        <v>2</v>
      </c>
      <c r="ES45" s="99">
        <v>3</v>
      </c>
      <c r="ET45" s="221">
        <v>4</v>
      </c>
      <c r="EU45" s="107">
        <v>1</v>
      </c>
      <c r="EV45" s="99">
        <v>2</v>
      </c>
      <c r="EW45" s="99">
        <v>3</v>
      </c>
      <c r="EX45" s="221">
        <v>4</v>
      </c>
      <c r="EY45" s="107">
        <v>1</v>
      </c>
      <c r="EZ45" s="99">
        <v>2</v>
      </c>
      <c r="FA45" s="99">
        <v>3</v>
      </c>
      <c r="FB45" s="99">
        <v>4</v>
      </c>
      <c r="FC45" s="112">
        <v>1</v>
      </c>
      <c r="FD45" s="113">
        <v>2</v>
      </c>
      <c r="FE45" s="113">
        <v>3</v>
      </c>
      <c r="FF45" s="114">
        <v>4</v>
      </c>
      <c r="FG45" s="112">
        <v>1</v>
      </c>
      <c r="FH45" s="113">
        <v>2</v>
      </c>
      <c r="FI45" s="113">
        <v>3</v>
      </c>
      <c r="FJ45" s="114">
        <v>4</v>
      </c>
      <c r="FK45" s="112">
        <v>1</v>
      </c>
      <c r="FL45" s="113">
        <v>2</v>
      </c>
      <c r="FM45" s="113">
        <v>3</v>
      </c>
      <c r="FN45" s="114">
        <v>4</v>
      </c>
      <c r="FO45" s="112">
        <v>1</v>
      </c>
      <c r="FP45" s="113">
        <v>2</v>
      </c>
      <c r="FQ45" s="113">
        <v>3</v>
      </c>
      <c r="FR45" s="114">
        <v>4</v>
      </c>
      <c r="FS45" s="112">
        <v>1</v>
      </c>
      <c r="FT45" s="113">
        <v>2</v>
      </c>
      <c r="FU45" s="113">
        <v>3</v>
      </c>
      <c r="FV45" s="114">
        <v>4</v>
      </c>
      <c r="FW45" s="99"/>
      <c r="FX45" s="706"/>
      <c r="FY45" s="707"/>
      <c r="FZ45" s="706"/>
      <c r="GA45" s="709"/>
      <c r="GB45" s="706"/>
      <c r="GC45" s="709"/>
      <c r="GD45" s="706"/>
      <c r="GE45" s="709"/>
      <c r="GF45" s="706"/>
      <c r="GG45" s="709"/>
      <c r="GH45" s="767"/>
      <c r="GI45" s="768"/>
      <c r="GJ45" s="108"/>
      <c r="GK45" s="108"/>
      <c r="GL45" s="108"/>
      <c r="GM45" s="108"/>
      <c r="GN45" s="108"/>
      <c r="GO45" s="108"/>
      <c r="GP45" s="108"/>
      <c r="GQ45" s="108"/>
      <c r="GR45" s="108"/>
    </row>
    <row r="46" spans="1:205" ht="14.65" customHeight="1" thickBot="1">
      <c r="A46" s="697">
        <v>1</v>
      </c>
      <c r="B46" s="124" t="s">
        <v>15</v>
      </c>
      <c r="C46" s="222">
        <f t="shared" ref="C46:AP46" si="13">(IF(BQ4=1,IF(C4&lt;=$BJ$46,C4*1000*$BI4,$BJ$46*1000*$BI4),IF(BQ4*$BJ$46&gt;=C4,C4*1000*$BI4,BQ4*1000*$BJ$46*$BI4)))*C36/4*$C$26</f>
        <v>1020791.5199999997</v>
      </c>
      <c r="D46" s="222">
        <f t="shared" si="13"/>
        <v>1046311.3079999998</v>
      </c>
      <c r="E46" s="222">
        <f t="shared" si="13"/>
        <v>1071831.0959999999</v>
      </c>
      <c r="F46" s="222">
        <f t="shared" si="13"/>
        <v>1097350.8839999998</v>
      </c>
      <c r="G46" s="222">
        <f t="shared" si="13"/>
        <v>1189387.3206660287</v>
      </c>
      <c r="H46" s="222">
        <f t="shared" si="13"/>
        <v>1222875.4418194445</v>
      </c>
      <c r="I46" s="222">
        <f t="shared" si="13"/>
        <v>1243501.6253029667</v>
      </c>
      <c r="J46" s="222">
        <f t="shared" si="13"/>
        <v>1270558.7776214359</v>
      </c>
      <c r="K46" s="222">
        <f t="shared" si="13"/>
        <v>1330181.9999999998</v>
      </c>
      <c r="L46" s="222">
        <f t="shared" si="13"/>
        <v>1330181.9999999998</v>
      </c>
      <c r="M46" s="222">
        <f t="shared" si="13"/>
        <v>1330181.9999999998</v>
      </c>
      <c r="N46" s="222">
        <f t="shared" si="13"/>
        <v>1330181.9999999998</v>
      </c>
      <c r="O46" s="222">
        <f t="shared" si="13"/>
        <v>1330181.9999999998</v>
      </c>
      <c r="P46" s="222">
        <f t="shared" si="13"/>
        <v>1330181.9999999998</v>
      </c>
      <c r="Q46" s="222">
        <f t="shared" si="13"/>
        <v>1330181.9999999998</v>
      </c>
      <c r="R46" s="222">
        <f t="shared" si="13"/>
        <v>1330181.9999999998</v>
      </c>
      <c r="S46" s="222">
        <f t="shared" si="13"/>
        <v>1330181.9999999998</v>
      </c>
      <c r="T46" s="222">
        <f t="shared" si="13"/>
        <v>1330181.9999999998</v>
      </c>
      <c r="U46" s="222">
        <f t="shared" si="13"/>
        <v>1330181.9999999998</v>
      </c>
      <c r="V46" s="222">
        <f t="shared" si="13"/>
        <v>1330181.9999999998</v>
      </c>
      <c r="W46" s="222">
        <f t="shared" si="13"/>
        <v>1330181.9999999998</v>
      </c>
      <c r="X46" s="222">
        <f t="shared" si="13"/>
        <v>1330181.9999999998</v>
      </c>
      <c r="Y46" s="222">
        <f t="shared" si="13"/>
        <v>1330181.9999999998</v>
      </c>
      <c r="Z46" s="222">
        <f t="shared" si="13"/>
        <v>1330181.9999999998</v>
      </c>
      <c r="AA46" s="222">
        <f t="shared" si="13"/>
        <v>1251935.9999999998</v>
      </c>
      <c r="AB46" s="222">
        <f t="shared" si="13"/>
        <v>1251935.9999999998</v>
      </c>
      <c r="AC46" s="222">
        <f t="shared" si="13"/>
        <v>1251935.9999999998</v>
      </c>
      <c r="AD46" s="222">
        <f t="shared" si="13"/>
        <v>1251935.9999999998</v>
      </c>
      <c r="AE46" s="222">
        <f t="shared" si="13"/>
        <v>1330181.9999999998</v>
      </c>
      <c r="AF46" s="222">
        <f t="shared" si="13"/>
        <v>1330181.9999999998</v>
      </c>
      <c r="AG46" s="222">
        <f t="shared" si="13"/>
        <v>1330181.9999999998</v>
      </c>
      <c r="AH46" s="222">
        <f t="shared" si="13"/>
        <v>1330181.9999999998</v>
      </c>
      <c r="AI46" s="222">
        <f>(IF(CW4=1,IF(AI4&lt;=$BJ$46,AI4*1000*$BI4,$BJ$46*1000*$BI4),IF(CW4*$BJ$46&gt;=AI4,AI4*1000*$BI4,CW4*1000*$BJ$46*$BI4)))*AI36/4*$C$26</f>
        <v>1330181.9999999998</v>
      </c>
      <c r="AJ46" s="222">
        <f t="shared" si="13"/>
        <v>1330181.9999999998</v>
      </c>
      <c r="AK46" s="222">
        <f t="shared" si="13"/>
        <v>1330181.9999999998</v>
      </c>
      <c r="AL46" s="222">
        <f t="shared" si="13"/>
        <v>1330181.9999999998</v>
      </c>
      <c r="AM46" s="222">
        <f t="shared" si="13"/>
        <v>1330181.9999999998</v>
      </c>
      <c r="AN46" s="222">
        <f t="shared" si="13"/>
        <v>1330181.9999999998</v>
      </c>
      <c r="AO46" s="222">
        <f t="shared" si="13"/>
        <v>1330181.9999999998</v>
      </c>
      <c r="AP46" s="222">
        <f t="shared" si="13"/>
        <v>1330181.9999999998</v>
      </c>
      <c r="AQ46" s="223">
        <f>SUM(C46:F46)</f>
        <v>4236284.8079999993</v>
      </c>
      <c r="AR46" s="223">
        <f t="shared" ref="AR46:AR54" si="14">SUM(G46:J46)</f>
        <v>4926323.165409876</v>
      </c>
      <c r="AS46" s="223">
        <f t="shared" ref="AS46:AS58" si="15">SUM(K46:N46)</f>
        <v>5320727.9999999991</v>
      </c>
      <c r="AT46" s="223">
        <f t="shared" ref="AT46:AT62" si="16">SUM(O46:R46)</f>
        <v>5320727.9999999991</v>
      </c>
      <c r="AU46" s="223">
        <f t="shared" ref="AU46:AU62" si="17">SUM(S46:V46)</f>
        <v>5320727.9999999991</v>
      </c>
      <c r="AV46" s="223">
        <f>SUM(W46:Z46)</f>
        <v>5320727.9999999991</v>
      </c>
      <c r="AW46" s="223">
        <f>SUM(AA46:AD46)</f>
        <v>5007743.9999999991</v>
      </c>
      <c r="AX46" s="223">
        <f>SUM(AE46:AH46)</f>
        <v>5320727.9999999991</v>
      </c>
      <c r="AY46" s="223">
        <f>SUM(AI46:AL46)</f>
        <v>5320727.9999999991</v>
      </c>
      <c r="AZ46" s="223">
        <f>SUM(AM46:AP46)</f>
        <v>5320727.9999999991</v>
      </c>
      <c r="BA46" s="224"/>
      <c r="BB46" s="224"/>
      <c r="BC46" s="224"/>
      <c r="BD46" s="224"/>
      <c r="BE46" s="224"/>
      <c r="BF46" s="225"/>
      <c r="BG46" s="760" t="s">
        <v>72</v>
      </c>
      <c r="BH46" s="761"/>
      <c r="BI46" s="761"/>
      <c r="BJ46" s="226">
        <v>26</v>
      </c>
      <c r="BL46" s="227"/>
      <c r="BM46" t="e">
        <f>BN46*4</f>
        <v>#REF!</v>
      </c>
      <c r="BN46" t="e">
        <f>(#REF!/('[2]Cost Structure'!$BA$13+'[2]Cost Structure'!$BF$13))/4</f>
        <v>#REF!</v>
      </c>
      <c r="BO46" s="750">
        <v>1</v>
      </c>
      <c r="BP46" s="228" t="s">
        <v>15</v>
      </c>
      <c r="BQ46" s="229">
        <f>(BQ4*DJ24*$C$36/4)</f>
        <v>975771.55273062433</v>
      </c>
      <c r="BR46" s="229">
        <f t="shared" ref="BR46:DD46" si="18">(BR4*DK24*$C$36/4)</f>
        <v>975771.55273062433</v>
      </c>
      <c r="BS46" s="229">
        <f t="shared" si="18"/>
        <v>975771.55273062433</v>
      </c>
      <c r="BT46" s="229">
        <f t="shared" si="18"/>
        <v>975771.55273062433</v>
      </c>
      <c r="BU46" s="229">
        <f t="shared" si="18"/>
        <v>994082.97068891767</v>
      </c>
      <c r="BV46" s="229">
        <f t="shared" si="18"/>
        <v>994082.97068891767</v>
      </c>
      <c r="BW46" s="229">
        <f t="shared" si="18"/>
        <v>994082.97068891767</v>
      </c>
      <c r="BX46" s="229">
        <f t="shared" si="18"/>
        <v>994082.97068891767</v>
      </c>
      <c r="BY46" s="229">
        <f t="shared" si="18"/>
        <v>1010348.0023306244</v>
      </c>
      <c r="BZ46" s="229">
        <f t="shared" si="18"/>
        <v>1010348.0023306244</v>
      </c>
      <c r="CA46" s="229">
        <f t="shared" si="18"/>
        <v>1010348.0023306244</v>
      </c>
      <c r="CB46" s="229">
        <f t="shared" si="18"/>
        <v>1010348.0023306244</v>
      </c>
      <c r="CC46" s="229">
        <f t="shared" si="18"/>
        <v>1010348.0023306244</v>
      </c>
      <c r="CD46" s="229">
        <f t="shared" si="18"/>
        <v>1010348.0023306244</v>
      </c>
      <c r="CE46" s="229">
        <f t="shared" si="18"/>
        <v>1010348.0023306244</v>
      </c>
      <c r="CF46" s="229">
        <f t="shared" si="18"/>
        <v>1010348.0023306244</v>
      </c>
      <c r="CG46" s="229">
        <f t="shared" si="18"/>
        <v>1010348.0023306244</v>
      </c>
      <c r="CH46" s="229">
        <f t="shared" si="18"/>
        <v>1010348.0023306244</v>
      </c>
      <c r="CI46" s="229">
        <f t="shared" si="18"/>
        <v>1010348.0023306244</v>
      </c>
      <c r="CJ46" s="229">
        <f t="shared" si="18"/>
        <v>1010348.0023306244</v>
      </c>
      <c r="CK46" s="229">
        <f t="shared" si="18"/>
        <v>1010348.0023306244</v>
      </c>
      <c r="CL46" s="229">
        <f t="shared" si="18"/>
        <v>1010348.0023306244</v>
      </c>
      <c r="CM46" s="229">
        <f t="shared" si="18"/>
        <v>1010348.0023306244</v>
      </c>
      <c r="CN46" s="229">
        <f t="shared" si="18"/>
        <v>1010348.0023306244</v>
      </c>
      <c r="CO46" s="229">
        <f t="shared" si="18"/>
        <v>1028204.5917306572</v>
      </c>
      <c r="CP46" s="229">
        <f t="shared" si="18"/>
        <v>1028204.5917306572</v>
      </c>
      <c r="CQ46" s="229">
        <f t="shared" si="18"/>
        <v>1028204.5917306572</v>
      </c>
      <c r="CR46" s="229">
        <f t="shared" si="18"/>
        <v>1028204.5917306572</v>
      </c>
      <c r="CS46" s="229">
        <f t="shared" si="18"/>
        <v>1010348.0023306244</v>
      </c>
      <c r="CT46" s="229">
        <f t="shared" si="18"/>
        <v>1010348.0023306244</v>
      </c>
      <c r="CU46" s="229">
        <f t="shared" si="18"/>
        <v>1010348.0023306244</v>
      </c>
      <c r="CV46" s="229">
        <f t="shared" si="18"/>
        <v>1010348.0023306244</v>
      </c>
      <c r="CW46" s="229">
        <f t="shared" si="18"/>
        <v>1010348.0023306244</v>
      </c>
      <c r="CX46" s="229">
        <f t="shared" si="18"/>
        <v>1010348.0023306244</v>
      </c>
      <c r="CY46" s="229">
        <f t="shared" si="18"/>
        <v>1010348.0023306244</v>
      </c>
      <c r="CZ46" s="229">
        <f t="shared" si="18"/>
        <v>1010348.0023306244</v>
      </c>
      <c r="DA46" s="229">
        <f t="shared" si="18"/>
        <v>1010348.0023306244</v>
      </c>
      <c r="DB46" s="229">
        <f t="shared" si="18"/>
        <v>1010348.0023306244</v>
      </c>
      <c r="DC46" s="229">
        <f t="shared" si="18"/>
        <v>1010348.0023306244</v>
      </c>
      <c r="DD46" s="229">
        <f t="shared" si="18"/>
        <v>1010348.0023306244</v>
      </c>
      <c r="DE46" s="230">
        <f>SUM(BQ46:BT46)</f>
        <v>3903086.2109224973</v>
      </c>
      <c r="DF46" s="231">
        <f>SUM(BU46:BX46)</f>
        <v>3976331.8827556707</v>
      </c>
      <c r="DG46" s="231">
        <f>SUM(BY46:CB46)</f>
        <v>4041392.0093224975</v>
      </c>
      <c r="DH46" s="231">
        <f>SUM(CC46:CF46)</f>
        <v>4041392.0093224975</v>
      </c>
      <c r="DI46" s="232">
        <f>SUM(CG46:CJ46)</f>
        <v>4041392.0093224975</v>
      </c>
      <c r="DJ46" s="232">
        <f>SUM(CK46:CN46)</f>
        <v>4041392.0093224975</v>
      </c>
      <c r="DK46" s="232">
        <f>SUM(CO46:CR46)</f>
        <v>4112818.3669226286</v>
      </c>
      <c r="DL46" s="232">
        <f>SUM(CS46:CV46)</f>
        <v>4041392.0093224975</v>
      </c>
      <c r="DM46" s="232">
        <f>SUM(CW46:CZ46)</f>
        <v>4041392.0093224975</v>
      </c>
      <c r="DN46" s="232">
        <f>SUM(DA46:DD46)</f>
        <v>4041392.0093224975</v>
      </c>
      <c r="DO46" s="230">
        <f>AQ46-DE46</f>
        <v>333198.59707750194</v>
      </c>
      <c r="DP46" s="230">
        <f t="shared" ref="DP46:DX61" si="19">AR46-DF46</f>
        <v>949991.28265420534</v>
      </c>
      <c r="DQ46" s="230">
        <f t="shared" si="19"/>
        <v>1279335.9906775015</v>
      </c>
      <c r="DR46" s="230">
        <f t="shared" si="19"/>
        <v>1279335.9906775015</v>
      </c>
      <c r="DS46" s="230">
        <f t="shared" si="19"/>
        <v>1279335.9906775015</v>
      </c>
      <c r="DT46" s="230">
        <f t="shared" si="19"/>
        <v>1279335.9906775015</v>
      </c>
      <c r="DU46" s="230">
        <f t="shared" si="19"/>
        <v>894925.63307737047</v>
      </c>
      <c r="DV46" s="230">
        <f t="shared" si="19"/>
        <v>1279335.9906775015</v>
      </c>
      <c r="DW46" s="230">
        <f t="shared" si="19"/>
        <v>1279335.9906775015</v>
      </c>
      <c r="DX46" s="230">
        <f t="shared" si="19"/>
        <v>1279335.9906775015</v>
      </c>
      <c r="DY46" s="233"/>
      <c r="DZ46" s="762">
        <v>1</v>
      </c>
      <c r="EA46" s="234" t="e">
        <f>(DE46+#REF!/5)*1.1</f>
        <v>#REF!</v>
      </c>
      <c r="EB46" s="235" t="e">
        <f>(DF46+#REF!/9)*1.1</f>
        <v>#REF!</v>
      </c>
      <c r="EC46" s="235" t="e">
        <f>(DG46+#REF!/13)*1.1</f>
        <v>#REF!</v>
      </c>
      <c r="ED46" s="235" t="e">
        <f>(DH46+#REF!/17)*1.1</f>
        <v>#REF!</v>
      </c>
      <c r="EE46" s="236">
        <f t="shared" ref="EE46:EE62" si="20">(DI46)*1.1</f>
        <v>4445531.2102547474</v>
      </c>
      <c r="EF46" s="209"/>
      <c r="EG46" s="750">
        <v>1</v>
      </c>
      <c r="EH46" s="237" t="s">
        <v>15</v>
      </c>
      <c r="EI46" s="238">
        <f>C46-BQ46</f>
        <v>45019.967269375338</v>
      </c>
      <c r="EJ46" s="238">
        <f t="shared" ref="EJ46:EY61" si="21">D46-BR46</f>
        <v>70539.755269375513</v>
      </c>
      <c r="EK46" s="238">
        <f t="shared" si="21"/>
        <v>96059.543269375572</v>
      </c>
      <c r="EL46" s="238">
        <f t="shared" si="21"/>
        <v>121579.33126937551</v>
      </c>
      <c r="EM46" s="238">
        <f t="shared" si="21"/>
        <v>195304.34997711098</v>
      </c>
      <c r="EN46" s="238">
        <f t="shared" si="21"/>
        <v>228792.47113052686</v>
      </c>
      <c r="EO46" s="238">
        <f t="shared" si="21"/>
        <v>249418.65461404901</v>
      </c>
      <c r="EP46" s="238">
        <f t="shared" si="21"/>
        <v>276475.80693251826</v>
      </c>
      <c r="EQ46" s="238">
        <f t="shared" si="21"/>
        <v>319833.99766937539</v>
      </c>
      <c r="ER46" s="238">
        <f t="shared" si="21"/>
        <v>319833.99766937539</v>
      </c>
      <c r="ES46" s="238">
        <f t="shared" si="21"/>
        <v>319833.99766937539</v>
      </c>
      <c r="ET46" s="238">
        <f t="shared" si="21"/>
        <v>319833.99766937539</v>
      </c>
      <c r="EU46" s="238">
        <f t="shared" si="21"/>
        <v>319833.99766937539</v>
      </c>
      <c r="EV46" s="238">
        <f t="shared" si="21"/>
        <v>319833.99766937539</v>
      </c>
      <c r="EW46" s="238">
        <f t="shared" si="21"/>
        <v>319833.99766937539</v>
      </c>
      <c r="EX46" s="238">
        <f t="shared" si="21"/>
        <v>319833.99766937539</v>
      </c>
      <c r="EY46" s="238">
        <f t="shared" si="21"/>
        <v>319833.99766937539</v>
      </c>
      <c r="EZ46" s="238">
        <f t="shared" ref="EZ46:FO61" si="22">T46-CH46</f>
        <v>319833.99766937539</v>
      </c>
      <c r="FA46" s="238">
        <f t="shared" si="22"/>
        <v>319833.99766937539</v>
      </c>
      <c r="FB46" s="238">
        <f t="shared" si="22"/>
        <v>319833.99766937539</v>
      </c>
      <c r="FC46" s="238">
        <f>W46-CK46</f>
        <v>319833.99766937539</v>
      </c>
      <c r="FD46" s="238">
        <f t="shared" si="22"/>
        <v>319833.99766937539</v>
      </c>
      <c r="FE46" s="238">
        <f t="shared" si="22"/>
        <v>319833.99766937539</v>
      </c>
      <c r="FF46" s="238">
        <f t="shared" si="22"/>
        <v>319833.99766937539</v>
      </c>
      <c r="FG46" s="238">
        <f t="shared" si="22"/>
        <v>223731.40826934262</v>
      </c>
      <c r="FH46" s="238">
        <f t="shared" si="22"/>
        <v>223731.40826934262</v>
      </c>
      <c r="FI46" s="238">
        <f t="shared" si="22"/>
        <v>223731.40826934262</v>
      </c>
      <c r="FJ46" s="238">
        <f t="shared" si="22"/>
        <v>223731.40826934262</v>
      </c>
      <c r="FK46" s="238">
        <f t="shared" si="22"/>
        <v>319833.99766937539</v>
      </c>
      <c r="FL46" s="238">
        <f t="shared" si="22"/>
        <v>319833.99766937539</v>
      </c>
      <c r="FM46" s="238">
        <f t="shared" si="22"/>
        <v>319833.99766937539</v>
      </c>
      <c r="FN46" s="238">
        <f t="shared" si="22"/>
        <v>319833.99766937539</v>
      </c>
      <c r="FO46" s="238">
        <f t="shared" si="22"/>
        <v>319833.99766937539</v>
      </c>
      <c r="FP46" s="238">
        <f t="shared" ref="FP46:FV61" si="23">AJ46-CX46</f>
        <v>319833.99766937539</v>
      </c>
      <c r="FQ46" s="238">
        <f t="shared" si="23"/>
        <v>319833.99766937539</v>
      </c>
      <c r="FR46" s="238">
        <f t="shared" si="23"/>
        <v>319833.99766937539</v>
      </c>
      <c r="FS46" s="238">
        <f t="shared" si="23"/>
        <v>319833.99766937539</v>
      </c>
      <c r="FT46" s="238">
        <f t="shared" si="23"/>
        <v>319833.99766937539</v>
      </c>
      <c r="FU46" s="238">
        <f t="shared" si="23"/>
        <v>319833.99766937539</v>
      </c>
      <c r="FV46" s="238">
        <f t="shared" si="23"/>
        <v>319833.99766937539</v>
      </c>
      <c r="FW46" s="238"/>
      <c r="FX46" s="239">
        <f>AVERAGE(EI46:EL46)</f>
        <v>83299.649269375484</v>
      </c>
      <c r="FY46" s="758">
        <f>SUM(FX46:FX50)</f>
        <v>-596961.48944798042</v>
      </c>
      <c r="FZ46" s="239">
        <f t="shared" ref="FZ46:FZ54" si="24">AVERAGE(EM46:EP46)</f>
        <v>237497.82066355128</v>
      </c>
      <c r="GA46" s="758">
        <f>SUM(FZ46:FZ50)</f>
        <v>-280780.68052809004</v>
      </c>
      <c r="GB46" s="239">
        <f t="shared" ref="GB46:GB58" si="25">AVERAGE(EQ46:ET46)</f>
        <v>319833.99766937539</v>
      </c>
      <c r="GC46" s="758">
        <f>SUM(GB46:GB50)</f>
        <v>92324.85139532102</v>
      </c>
      <c r="GD46" s="239">
        <f t="shared" ref="GD46:GD62" si="26">AVERAGE(EU46:EX46)</f>
        <v>319833.99766937539</v>
      </c>
      <c r="GE46" s="758">
        <f>SUM(GD46:GD50)</f>
        <v>379295.66277923691</v>
      </c>
      <c r="GF46" s="239">
        <f t="shared" ref="GF46:GF62" si="27">AVERAGE(EY46:FB46)</f>
        <v>319833.99766937539</v>
      </c>
      <c r="GG46" s="758">
        <f>SUM(GF46:GF50)</f>
        <v>688813.26205604291</v>
      </c>
      <c r="GH46" s="725">
        <f>GG46+GE46+GC46+GA46+FY46</f>
        <v>282691.60625453037</v>
      </c>
      <c r="GI46" s="728">
        <f>SUM(EI46:FB50)</f>
        <v>1130766.4250181243</v>
      </c>
      <c r="GJ46" s="108"/>
      <c r="GK46" s="108"/>
      <c r="GL46" s="108"/>
      <c r="GM46" s="108"/>
      <c r="GN46" s="108"/>
      <c r="GO46" s="108"/>
      <c r="GP46" s="108"/>
      <c r="GQ46" s="108"/>
      <c r="GR46" s="108"/>
      <c r="GS46" s="750" t="s">
        <v>6</v>
      </c>
      <c r="GT46" s="751" t="s">
        <v>64</v>
      </c>
      <c r="GU46" s="752"/>
      <c r="GV46" s="752"/>
      <c r="GW46" s="753"/>
    </row>
    <row r="47" spans="1:205" ht="14.65" customHeight="1" thickBot="1">
      <c r="A47" s="697"/>
      <c r="B47" s="124" t="s">
        <v>16</v>
      </c>
      <c r="C47" s="222">
        <f t="shared" ref="C47:AP47" si="28">(IF(BQ5=1,IF(C5&lt;=$BJ$46,C5*1000*$BI5,$BJ$46*1000*$BI5),IF(BQ5*$BJ$46&gt;=C5,C5*1000*$BI5,BQ5*1000*$BJ$46*$BI5)))*C36/4*$C$26</f>
        <v>457206.88766360102</v>
      </c>
      <c r="D47" s="222">
        <f t="shared" si="28"/>
        <v>468637.0598551911</v>
      </c>
      <c r="E47" s="222">
        <f t="shared" si="28"/>
        <v>480067.23204678128</v>
      </c>
      <c r="F47" s="222">
        <f t="shared" si="28"/>
        <v>491497.40423837124</v>
      </c>
      <c r="G47" s="222">
        <f t="shared" si="28"/>
        <v>532720.01623628754</v>
      </c>
      <c r="H47" s="222">
        <f t="shared" si="28"/>
        <v>547719.16086697055</v>
      </c>
      <c r="I47" s="222">
        <f t="shared" si="28"/>
        <v>556957.51460533193</v>
      </c>
      <c r="J47" s="222">
        <f t="shared" si="28"/>
        <v>569076.26378985425</v>
      </c>
      <c r="K47" s="222">
        <f t="shared" si="28"/>
        <v>585606.54492017231</v>
      </c>
      <c r="L47" s="222">
        <f t="shared" si="28"/>
        <v>585606.54492017231</v>
      </c>
      <c r="M47" s="222">
        <f t="shared" si="28"/>
        <v>585606.54492017231</v>
      </c>
      <c r="N47" s="222">
        <f t="shared" si="28"/>
        <v>585606.54492017231</v>
      </c>
      <c r="O47" s="222">
        <f t="shared" si="28"/>
        <v>585606.54492017231</v>
      </c>
      <c r="P47" s="222">
        <f t="shared" si="28"/>
        <v>585606.54492017231</v>
      </c>
      <c r="Q47" s="222">
        <f t="shared" si="28"/>
        <v>585606.54492017231</v>
      </c>
      <c r="R47" s="222">
        <f t="shared" si="28"/>
        <v>585606.54492017231</v>
      </c>
      <c r="S47" s="222">
        <f t="shared" si="28"/>
        <v>585606.54492017231</v>
      </c>
      <c r="T47" s="222">
        <f t="shared" si="28"/>
        <v>585606.54492017231</v>
      </c>
      <c r="U47" s="222">
        <f t="shared" si="28"/>
        <v>585606.54492017231</v>
      </c>
      <c r="V47" s="222">
        <f t="shared" si="28"/>
        <v>585606.54492017231</v>
      </c>
      <c r="W47" s="222">
        <f t="shared" si="28"/>
        <v>585606.54492017231</v>
      </c>
      <c r="X47" s="222">
        <f t="shared" si="28"/>
        <v>585606.54492017231</v>
      </c>
      <c r="Y47" s="222">
        <f t="shared" si="28"/>
        <v>585606.54492017231</v>
      </c>
      <c r="Z47" s="222">
        <f t="shared" si="28"/>
        <v>585606.54492017231</v>
      </c>
      <c r="AA47" s="222">
        <f t="shared" si="28"/>
        <v>551159.10110133863</v>
      </c>
      <c r="AB47" s="222">
        <f t="shared" si="28"/>
        <v>551159.10110133863</v>
      </c>
      <c r="AC47" s="222">
        <f t="shared" si="28"/>
        <v>551159.10110133863</v>
      </c>
      <c r="AD47" s="222">
        <f t="shared" si="28"/>
        <v>551159.10110133863</v>
      </c>
      <c r="AE47" s="222">
        <f t="shared" si="28"/>
        <v>585606.54492017231</v>
      </c>
      <c r="AF47" s="222">
        <f t="shared" si="28"/>
        <v>585606.54492017231</v>
      </c>
      <c r="AG47" s="222">
        <f t="shared" si="28"/>
        <v>585606.54492017231</v>
      </c>
      <c r="AH47" s="222">
        <f t="shared" si="28"/>
        <v>585606.54492017231</v>
      </c>
      <c r="AI47" s="222">
        <f t="shared" si="28"/>
        <v>585606.54492017231</v>
      </c>
      <c r="AJ47" s="222">
        <f t="shared" si="28"/>
        <v>585606.54492017231</v>
      </c>
      <c r="AK47" s="222">
        <f t="shared" si="28"/>
        <v>585606.54492017231</v>
      </c>
      <c r="AL47" s="222">
        <f t="shared" si="28"/>
        <v>585606.54492017231</v>
      </c>
      <c r="AM47" s="222">
        <f t="shared" si="28"/>
        <v>585606.54492017231</v>
      </c>
      <c r="AN47" s="222">
        <f t="shared" si="28"/>
        <v>585606.54492017231</v>
      </c>
      <c r="AO47" s="222">
        <f t="shared" si="28"/>
        <v>585606.54492017231</v>
      </c>
      <c r="AP47" s="222">
        <f t="shared" si="28"/>
        <v>585606.54492017231</v>
      </c>
      <c r="AQ47" s="223">
        <f>SUM(C47:F47)</f>
        <v>1897408.5838039445</v>
      </c>
      <c r="AR47" s="223">
        <f t="shared" si="14"/>
        <v>2206472.9554984444</v>
      </c>
      <c r="AS47" s="223">
        <f t="shared" si="15"/>
        <v>2342426.1796806892</v>
      </c>
      <c r="AT47" s="223">
        <f t="shared" si="16"/>
        <v>2342426.1796806892</v>
      </c>
      <c r="AU47" s="223">
        <f t="shared" si="17"/>
        <v>2342426.1796806892</v>
      </c>
      <c r="AV47" s="223">
        <f t="shared" ref="AV47:AV62" si="29">SUM(W47:Z47)</f>
        <v>2342426.1796806892</v>
      </c>
      <c r="AW47" s="223">
        <f t="shared" ref="AW47:AW62" si="30">SUM(AA47:AD47)</f>
        <v>2204636.4044053545</v>
      </c>
      <c r="AX47" s="223">
        <f t="shared" ref="AX47:AX62" si="31">SUM(AE47:AH47)</f>
        <v>2342426.1796806892</v>
      </c>
      <c r="AY47" s="223">
        <f t="shared" ref="AY47:AY62" si="32">SUM(AI47:AL47)</f>
        <v>2342426.1796806892</v>
      </c>
      <c r="AZ47" s="223">
        <f t="shared" ref="AZ47:AZ62" si="33">SUM(AM47:AP47)</f>
        <v>2342426.1796806892</v>
      </c>
      <c r="BA47" s="224"/>
      <c r="BB47" s="224"/>
      <c r="BC47" s="224"/>
      <c r="BD47" s="224"/>
      <c r="BE47" s="224"/>
      <c r="BF47" s="225"/>
      <c r="BG47" s="754" t="s">
        <v>73</v>
      </c>
      <c r="BH47" s="755"/>
      <c r="BI47" s="755"/>
      <c r="BJ47" s="240">
        <v>18.97</v>
      </c>
      <c r="BL47" s="227"/>
      <c r="BM47" t="e">
        <f>BN46*4</f>
        <v>#REF!</v>
      </c>
      <c r="BN47" t="e">
        <f>(#REF!/('[2]Cost Structure'!$BA$13+'[2]Cost Structure'!$BF$13))/4</f>
        <v>#REF!</v>
      </c>
      <c r="BO47" s="697"/>
      <c r="BP47" s="133" t="s">
        <v>16</v>
      </c>
      <c r="BQ47" s="229">
        <f t="shared" ref="BQ47:DD47" si="34">(BQ5*DJ25*C36/4)</f>
        <v>689638.47399477661</v>
      </c>
      <c r="BR47" s="229">
        <f t="shared" si="34"/>
        <v>689638.47399477661</v>
      </c>
      <c r="BS47" s="229">
        <f t="shared" si="34"/>
        <v>689638.47399477661</v>
      </c>
      <c r="BT47" s="229">
        <f t="shared" si="34"/>
        <v>689638.47399477661</v>
      </c>
      <c r="BU47" s="229">
        <f t="shared" si="34"/>
        <v>754883.26677443867</v>
      </c>
      <c r="BV47" s="229">
        <f t="shared" si="34"/>
        <v>754883.26677443867</v>
      </c>
      <c r="BW47" s="229">
        <f t="shared" si="34"/>
        <v>754883.26677443867</v>
      </c>
      <c r="BX47" s="229">
        <f t="shared" si="34"/>
        <v>754883.26677443867</v>
      </c>
      <c r="BY47" s="229">
        <f t="shared" si="34"/>
        <v>756455.52219477645</v>
      </c>
      <c r="BZ47" s="229">
        <f t="shared" si="34"/>
        <v>756455.52219477645</v>
      </c>
      <c r="CA47" s="229">
        <f t="shared" si="34"/>
        <v>756455.52219477645</v>
      </c>
      <c r="CB47" s="229">
        <f t="shared" si="34"/>
        <v>756455.52219477645</v>
      </c>
      <c r="CC47" s="229">
        <f t="shared" si="34"/>
        <v>756455.52219477645</v>
      </c>
      <c r="CD47" s="229">
        <f t="shared" si="34"/>
        <v>756455.52219477645</v>
      </c>
      <c r="CE47" s="229">
        <f t="shared" si="34"/>
        <v>756455.52219477645</v>
      </c>
      <c r="CF47" s="229">
        <f t="shared" si="34"/>
        <v>756455.52219477645</v>
      </c>
      <c r="CG47" s="229">
        <f t="shared" si="34"/>
        <v>756455.52219477645</v>
      </c>
      <c r="CH47" s="229">
        <f t="shared" si="34"/>
        <v>756455.52219477645</v>
      </c>
      <c r="CI47" s="229">
        <f t="shared" si="34"/>
        <v>756455.52219477645</v>
      </c>
      <c r="CJ47" s="229">
        <f t="shared" si="34"/>
        <v>756455.52219477645</v>
      </c>
      <c r="CK47" s="229">
        <f t="shared" si="34"/>
        <v>756455.52219477645</v>
      </c>
      <c r="CL47" s="229">
        <f t="shared" si="34"/>
        <v>756455.52219477645</v>
      </c>
      <c r="CM47" s="229">
        <f t="shared" si="34"/>
        <v>756455.52219477645</v>
      </c>
      <c r="CN47" s="229">
        <f t="shared" si="34"/>
        <v>756455.52219477645</v>
      </c>
      <c r="CO47" s="229">
        <f t="shared" si="34"/>
        <v>726216.80296844896</v>
      </c>
      <c r="CP47" s="229">
        <f t="shared" si="34"/>
        <v>726216.80296844896</v>
      </c>
      <c r="CQ47" s="229">
        <f t="shared" si="34"/>
        <v>726216.80296844896</v>
      </c>
      <c r="CR47" s="229">
        <f t="shared" si="34"/>
        <v>726216.80296844896</v>
      </c>
      <c r="CS47" s="229">
        <f t="shared" si="34"/>
        <v>756455.52219477645</v>
      </c>
      <c r="CT47" s="229">
        <f t="shared" si="34"/>
        <v>756455.52219477645</v>
      </c>
      <c r="CU47" s="229">
        <f t="shared" si="34"/>
        <v>756455.52219477645</v>
      </c>
      <c r="CV47" s="229">
        <f t="shared" si="34"/>
        <v>756455.52219477645</v>
      </c>
      <c r="CW47" s="229">
        <f t="shared" si="34"/>
        <v>756455.52219477645</v>
      </c>
      <c r="CX47" s="229">
        <f t="shared" si="34"/>
        <v>756455.52219477645</v>
      </c>
      <c r="CY47" s="229">
        <f t="shared" si="34"/>
        <v>756455.52219477645</v>
      </c>
      <c r="CZ47" s="229">
        <f t="shared" si="34"/>
        <v>756455.52219477645</v>
      </c>
      <c r="DA47" s="229">
        <f t="shared" si="34"/>
        <v>756455.52219477645</v>
      </c>
      <c r="DB47" s="229">
        <f t="shared" si="34"/>
        <v>756455.52219477645</v>
      </c>
      <c r="DC47" s="229">
        <f t="shared" si="34"/>
        <v>756455.52219477645</v>
      </c>
      <c r="DD47" s="229">
        <f t="shared" si="34"/>
        <v>756455.52219477645</v>
      </c>
      <c r="DE47" s="230">
        <f t="shared" ref="DE47:DE54" si="35">SUM(BQ47:BT47)</f>
        <v>2758553.8959791064</v>
      </c>
      <c r="DF47" s="231">
        <f t="shared" ref="DF47:DF54" si="36">SUM(BU47:BX47)</f>
        <v>3019533.0670977547</v>
      </c>
      <c r="DG47" s="231">
        <f t="shared" ref="DG47:DG58" si="37">SUM(BY47:CB47)</f>
        <v>3025822.0887791058</v>
      </c>
      <c r="DH47" s="231">
        <f t="shared" ref="DH47:DH62" si="38">SUM(CC47:CF47)</f>
        <v>3025822.0887791058</v>
      </c>
      <c r="DI47" s="232">
        <f t="shared" ref="DI47:DI62" si="39">SUM(CG47:CJ47)</f>
        <v>3025822.0887791058</v>
      </c>
      <c r="DJ47" s="232">
        <f t="shared" ref="DJ47:DJ62" si="40">SUM(CK47:CN47)</f>
        <v>3025822.0887791058</v>
      </c>
      <c r="DK47" s="232">
        <f t="shared" ref="DK47:DK62" si="41">SUM(CO47:CR47)</f>
        <v>2904867.2118737958</v>
      </c>
      <c r="DL47" s="232">
        <f t="shared" ref="DL47:DL62" si="42">SUM(CS47:CV47)</f>
        <v>3025822.0887791058</v>
      </c>
      <c r="DM47" s="232">
        <f t="shared" ref="DM47:DM62" si="43">SUM(CW47:CZ47)</f>
        <v>3025822.0887791058</v>
      </c>
      <c r="DN47" s="232">
        <f t="shared" ref="DN47:DN62" si="44">SUM(DA47:DD47)</f>
        <v>3025822.0887791058</v>
      </c>
      <c r="DO47" s="230">
        <f t="shared" ref="DO47:DO54" si="45">AQ47-DE47</f>
        <v>-861145.3121751619</v>
      </c>
      <c r="DP47" s="230">
        <f t="shared" si="19"/>
        <v>-813060.1115993103</v>
      </c>
      <c r="DQ47" s="230">
        <f t="shared" si="19"/>
        <v>-683395.90909841657</v>
      </c>
      <c r="DR47" s="230">
        <f t="shared" si="19"/>
        <v>-683395.90909841657</v>
      </c>
      <c r="DS47" s="230">
        <f t="shared" si="19"/>
        <v>-683395.90909841657</v>
      </c>
      <c r="DT47" s="230">
        <f>AV47-DJ47</f>
        <v>-683395.90909841657</v>
      </c>
      <c r="DU47" s="230">
        <f t="shared" si="19"/>
        <v>-700230.80746844131</v>
      </c>
      <c r="DV47" s="230">
        <f t="shared" si="19"/>
        <v>-683395.90909841657</v>
      </c>
      <c r="DW47" s="230">
        <f t="shared" si="19"/>
        <v>-683395.90909841657</v>
      </c>
      <c r="DX47" s="230">
        <f t="shared" si="19"/>
        <v>-683395.90909841657</v>
      </c>
      <c r="DY47" s="241"/>
      <c r="DZ47" s="696"/>
      <c r="EA47" s="234" t="e">
        <f>(DE47+#REF!/5)*1.1</f>
        <v>#REF!</v>
      </c>
      <c r="EB47" s="235" t="e">
        <f>(DF47+#REF!/9)*1.1</f>
        <v>#REF!</v>
      </c>
      <c r="EC47" s="235" t="e">
        <f>(DG47+#REF!/13)*1.1</f>
        <v>#REF!</v>
      </c>
      <c r="ED47" s="235" t="e">
        <f>(DH47+#REF!/17)*1.1</f>
        <v>#REF!</v>
      </c>
      <c r="EE47" s="236">
        <f t="shared" si="20"/>
        <v>3328404.2976570167</v>
      </c>
      <c r="EF47" s="209"/>
      <c r="EG47" s="697"/>
      <c r="EH47" s="240" t="s">
        <v>16</v>
      </c>
      <c r="EI47" s="238">
        <f t="shared" ref="EI47:EX62" si="46">C47-BQ47</f>
        <v>-232431.58633117558</v>
      </c>
      <c r="EJ47" s="238">
        <f t="shared" si="21"/>
        <v>-221001.41413958551</v>
      </c>
      <c r="EK47" s="238">
        <f t="shared" si="21"/>
        <v>-209571.24194799532</v>
      </c>
      <c r="EL47" s="238">
        <f t="shared" si="21"/>
        <v>-198141.06975640537</v>
      </c>
      <c r="EM47" s="238">
        <f t="shared" si="21"/>
        <v>-222163.25053815113</v>
      </c>
      <c r="EN47" s="238">
        <f t="shared" si="21"/>
        <v>-207164.10590746813</v>
      </c>
      <c r="EO47" s="238">
        <f t="shared" si="21"/>
        <v>-197925.75216910674</v>
      </c>
      <c r="EP47" s="238">
        <f t="shared" si="21"/>
        <v>-185807.00298458443</v>
      </c>
      <c r="EQ47" s="238">
        <f t="shared" si="21"/>
        <v>-170848.97727460414</v>
      </c>
      <c r="ER47" s="238">
        <f t="shared" si="21"/>
        <v>-170848.97727460414</v>
      </c>
      <c r="ES47" s="238">
        <f t="shared" si="21"/>
        <v>-170848.97727460414</v>
      </c>
      <c r="ET47" s="238">
        <f t="shared" si="21"/>
        <v>-170848.97727460414</v>
      </c>
      <c r="EU47" s="238">
        <f t="shared" si="21"/>
        <v>-170848.97727460414</v>
      </c>
      <c r="EV47" s="238">
        <f t="shared" si="21"/>
        <v>-170848.97727460414</v>
      </c>
      <c r="EW47" s="238">
        <f t="shared" si="21"/>
        <v>-170848.97727460414</v>
      </c>
      <c r="EX47" s="238">
        <f t="shared" si="21"/>
        <v>-170848.97727460414</v>
      </c>
      <c r="EY47" s="238">
        <f t="shared" si="21"/>
        <v>-170848.97727460414</v>
      </c>
      <c r="EZ47" s="238">
        <f t="shared" si="22"/>
        <v>-170848.97727460414</v>
      </c>
      <c r="FA47" s="238">
        <f t="shared" si="22"/>
        <v>-170848.97727460414</v>
      </c>
      <c r="FB47" s="238">
        <f t="shared" si="22"/>
        <v>-170848.97727460414</v>
      </c>
      <c r="FC47" s="238">
        <f t="shared" si="22"/>
        <v>-170848.97727460414</v>
      </c>
      <c r="FD47" s="238">
        <f t="shared" si="22"/>
        <v>-170848.97727460414</v>
      </c>
      <c r="FE47" s="238">
        <f t="shared" si="22"/>
        <v>-170848.97727460414</v>
      </c>
      <c r="FF47" s="238">
        <f t="shared" si="22"/>
        <v>-170848.97727460414</v>
      </c>
      <c r="FG47" s="238">
        <f t="shared" si="22"/>
        <v>-175057.70186711033</v>
      </c>
      <c r="FH47" s="238">
        <f t="shared" si="22"/>
        <v>-175057.70186711033</v>
      </c>
      <c r="FI47" s="238">
        <f t="shared" si="22"/>
        <v>-175057.70186711033</v>
      </c>
      <c r="FJ47" s="238">
        <f t="shared" si="22"/>
        <v>-175057.70186711033</v>
      </c>
      <c r="FK47" s="238">
        <f t="shared" si="22"/>
        <v>-170848.97727460414</v>
      </c>
      <c r="FL47" s="238">
        <f t="shared" si="22"/>
        <v>-170848.97727460414</v>
      </c>
      <c r="FM47" s="238">
        <f t="shared" si="22"/>
        <v>-170848.97727460414</v>
      </c>
      <c r="FN47" s="238">
        <f t="shared" si="22"/>
        <v>-170848.97727460414</v>
      </c>
      <c r="FO47" s="238">
        <f t="shared" si="22"/>
        <v>-170848.97727460414</v>
      </c>
      <c r="FP47" s="238">
        <f t="shared" si="23"/>
        <v>-170848.97727460414</v>
      </c>
      <c r="FQ47" s="238">
        <f t="shared" si="23"/>
        <v>-170848.97727460414</v>
      </c>
      <c r="FR47" s="238">
        <f t="shared" si="23"/>
        <v>-170848.97727460414</v>
      </c>
      <c r="FS47" s="238">
        <f t="shared" si="23"/>
        <v>-170848.97727460414</v>
      </c>
      <c r="FT47" s="238">
        <f t="shared" si="23"/>
        <v>-170848.97727460414</v>
      </c>
      <c r="FU47" s="238">
        <f t="shared" si="23"/>
        <v>-170848.97727460414</v>
      </c>
      <c r="FV47" s="238">
        <f t="shared" si="23"/>
        <v>-170848.97727460414</v>
      </c>
      <c r="FW47" s="238"/>
      <c r="FX47" s="239">
        <f>AVERAGE(EI47:EL47)</f>
        <v>-215286.32804379048</v>
      </c>
      <c r="FY47" s="720"/>
      <c r="FZ47" s="239">
        <f t="shared" si="24"/>
        <v>-203265.0278998276</v>
      </c>
      <c r="GA47" s="720"/>
      <c r="GB47" s="239">
        <f t="shared" si="25"/>
        <v>-170848.97727460414</v>
      </c>
      <c r="GC47" s="720"/>
      <c r="GD47" s="239">
        <f t="shared" si="26"/>
        <v>-170848.97727460414</v>
      </c>
      <c r="GE47" s="720"/>
      <c r="GF47" s="239">
        <f t="shared" si="27"/>
        <v>-170848.97727460414</v>
      </c>
      <c r="GG47" s="720"/>
      <c r="GH47" s="726"/>
      <c r="GI47" s="728"/>
      <c r="GJ47" s="108"/>
      <c r="GK47" s="108"/>
      <c r="GL47" s="108"/>
      <c r="GM47" s="108"/>
      <c r="GN47" s="108"/>
      <c r="GO47" s="108"/>
      <c r="GP47" s="108"/>
      <c r="GQ47" s="108"/>
      <c r="GR47" s="108"/>
      <c r="GS47" s="706"/>
      <c r="GT47" s="242" t="s">
        <v>74</v>
      </c>
      <c r="GU47" s="242" t="s">
        <v>75</v>
      </c>
      <c r="GV47" s="242" t="s">
        <v>76</v>
      </c>
      <c r="GW47" s="243" t="s">
        <v>5</v>
      </c>
    </row>
    <row r="48" spans="1:205" ht="15" customHeight="1" thickBot="1">
      <c r="A48" s="697"/>
      <c r="B48" s="124" t="s">
        <v>17</v>
      </c>
      <c r="C48" s="222">
        <f t="shared" ref="C48:AP48" si="47">(IF(BQ6=1,IF(C6&lt;=$BJ$46,C6*1000*$BI6,$BJ$46*1000*$BI6),IF(BQ6*$BJ$46&gt;=C6,C6*1000*$BI6,BQ6*1000*$BJ$46*$BI6)))*C36/4*$C$26</f>
        <v>1012023.5999999996</v>
      </c>
      <c r="D48" s="222">
        <f t="shared" si="47"/>
        <v>1037324.1899999997</v>
      </c>
      <c r="E48" s="222">
        <f t="shared" si="47"/>
        <v>1062624.7799999996</v>
      </c>
      <c r="F48" s="222">
        <f t="shared" si="47"/>
        <v>1087925.3699999996</v>
      </c>
      <c r="G48" s="222">
        <f t="shared" si="47"/>
        <v>1179171.2749090907</v>
      </c>
      <c r="H48" s="222">
        <f t="shared" si="47"/>
        <v>1212371.7553822401</v>
      </c>
      <c r="I48" s="222">
        <f t="shared" si="47"/>
        <v>1232820.7736727269</v>
      </c>
      <c r="J48" s="222">
        <f t="shared" si="47"/>
        <v>1259645.523054546</v>
      </c>
      <c r="K48" s="222">
        <f t="shared" si="47"/>
        <v>1340171.953680173</v>
      </c>
      <c r="L48" s="222">
        <f t="shared" si="47"/>
        <v>1368140.6438576391</v>
      </c>
      <c r="M48" s="222">
        <f t="shared" si="47"/>
        <v>1396109.3340351039</v>
      </c>
      <c r="N48" s="222">
        <f t="shared" si="47"/>
        <v>1424078.0242125697</v>
      </c>
      <c r="O48" s="222">
        <f t="shared" si="47"/>
        <v>1525478.0140794723</v>
      </c>
      <c r="P48" s="222">
        <f t="shared" si="47"/>
        <v>1554884.482282138</v>
      </c>
      <c r="Q48" s="222">
        <f t="shared" si="47"/>
        <v>1584290.9504848022</v>
      </c>
      <c r="R48" s="222">
        <f t="shared" si="47"/>
        <v>1613697.4186874672</v>
      </c>
      <c r="S48" s="222">
        <f t="shared" si="47"/>
        <v>1726300.4927129513</v>
      </c>
      <c r="T48" s="222">
        <f t="shared" si="47"/>
        <v>1757218.6503623594</v>
      </c>
      <c r="U48" s="222">
        <f t="shared" si="47"/>
        <v>1788136.8080117689</v>
      </c>
      <c r="V48" s="222">
        <f t="shared" si="47"/>
        <v>1819054.9656611765</v>
      </c>
      <c r="W48" s="222">
        <f t="shared" si="47"/>
        <v>1831410</v>
      </c>
      <c r="X48" s="222">
        <f t="shared" si="47"/>
        <v>1831410</v>
      </c>
      <c r="Y48" s="222">
        <f t="shared" si="47"/>
        <v>1831410</v>
      </c>
      <c r="Z48" s="222">
        <f t="shared" si="47"/>
        <v>1831410</v>
      </c>
      <c r="AA48" s="222">
        <f t="shared" si="47"/>
        <v>1723680</v>
      </c>
      <c r="AB48" s="222">
        <f t="shared" si="47"/>
        <v>1723680</v>
      </c>
      <c r="AC48" s="222">
        <f t="shared" si="47"/>
        <v>1723680</v>
      </c>
      <c r="AD48" s="222">
        <f t="shared" si="47"/>
        <v>1723680</v>
      </c>
      <c r="AE48" s="222">
        <f t="shared" si="47"/>
        <v>1831410</v>
      </c>
      <c r="AF48" s="222">
        <f t="shared" si="47"/>
        <v>1831410</v>
      </c>
      <c r="AG48" s="222">
        <f t="shared" si="47"/>
        <v>1831410</v>
      </c>
      <c r="AH48" s="222">
        <f t="shared" si="47"/>
        <v>1831410</v>
      </c>
      <c r="AI48" s="222">
        <f t="shared" si="47"/>
        <v>1831410</v>
      </c>
      <c r="AJ48" s="222">
        <f t="shared" si="47"/>
        <v>1831410</v>
      </c>
      <c r="AK48" s="222">
        <f t="shared" si="47"/>
        <v>1831410</v>
      </c>
      <c r="AL48" s="222">
        <f t="shared" si="47"/>
        <v>1831410</v>
      </c>
      <c r="AM48" s="222">
        <f t="shared" si="47"/>
        <v>1831410</v>
      </c>
      <c r="AN48" s="222">
        <f t="shared" si="47"/>
        <v>1831410</v>
      </c>
      <c r="AO48" s="222">
        <f t="shared" si="47"/>
        <v>1831410</v>
      </c>
      <c r="AP48" s="222">
        <f t="shared" si="47"/>
        <v>1831410</v>
      </c>
      <c r="AQ48" s="223">
        <f t="shared" ref="AQ48:AQ54" si="48">SUM(C48:F48)</f>
        <v>4199897.9399999985</v>
      </c>
      <c r="AR48" s="223">
        <f t="shared" si="14"/>
        <v>4884009.3270186037</v>
      </c>
      <c r="AS48" s="223">
        <f t="shared" si="15"/>
        <v>5528499.9557854859</v>
      </c>
      <c r="AT48" s="223">
        <f t="shared" si="16"/>
        <v>6278350.86553388</v>
      </c>
      <c r="AU48" s="223">
        <f t="shared" si="17"/>
        <v>7090710.9167482564</v>
      </c>
      <c r="AV48" s="223">
        <f t="shared" si="29"/>
        <v>7325640</v>
      </c>
      <c r="AW48" s="223">
        <f t="shared" si="30"/>
        <v>6894720</v>
      </c>
      <c r="AX48" s="223">
        <f t="shared" si="31"/>
        <v>7325640</v>
      </c>
      <c r="AY48" s="223">
        <f t="shared" si="32"/>
        <v>7325640</v>
      </c>
      <c r="AZ48" s="223">
        <f t="shared" si="33"/>
        <v>7325640</v>
      </c>
      <c r="BA48" s="224"/>
      <c r="BB48" s="224"/>
      <c r="BC48" s="224"/>
      <c r="BD48" s="224"/>
      <c r="BE48" s="224"/>
      <c r="BF48" s="225"/>
      <c r="BG48" s="754" t="s">
        <v>77</v>
      </c>
      <c r="BH48" s="755"/>
      <c r="BI48" s="755"/>
      <c r="BJ48" s="240">
        <v>66</v>
      </c>
      <c r="BL48" s="227"/>
      <c r="BM48" t="e">
        <f t="shared" ref="BM48:BM54" si="49">BN47*4</f>
        <v>#REF!</v>
      </c>
      <c r="BN48" t="e">
        <f>(#REF!/('[2]Cost Structure'!$BA$13+'[2]Cost Structure'!$BF$13))/4</f>
        <v>#REF!</v>
      </c>
      <c r="BO48" s="697"/>
      <c r="BP48" s="133" t="s">
        <v>17</v>
      </c>
      <c r="BQ48" s="229">
        <f t="shared" ref="BQ48:DD48" si="50">(BQ6*DJ26*C36/4)</f>
        <v>795497.95017691643</v>
      </c>
      <c r="BR48" s="229">
        <f t="shared" si="50"/>
        <v>795497.95017691643</v>
      </c>
      <c r="BS48" s="229">
        <f t="shared" si="50"/>
        <v>795497.95017691643</v>
      </c>
      <c r="BT48" s="229">
        <f t="shared" si="50"/>
        <v>795497.95017691643</v>
      </c>
      <c r="BU48" s="229">
        <f t="shared" si="50"/>
        <v>843179.057632084</v>
      </c>
      <c r="BV48" s="229">
        <f t="shared" si="50"/>
        <v>843179.057632084</v>
      </c>
      <c r="BW48" s="229">
        <f t="shared" si="50"/>
        <v>843179.057632084</v>
      </c>
      <c r="BX48" s="229">
        <f t="shared" si="50"/>
        <v>843179.057632084</v>
      </c>
      <c r="BY48" s="229">
        <f t="shared" si="50"/>
        <v>846459.10385692492</v>
      </c>
      <c r="BZ48" s="229">
        <f t="shared" si="50"/>
        <v>846459.10385692492</v>
      </c>
      <c r="CA48" s="229">
        <f t="shared" si="50"/>
        <v>846459.10385692492</v>
      </c>
      <c r="CB48" s="229">
        <f t="shared" si="50"/>
        <v>846459.10385692492</v>
      </c>
      <c r="CC48" s="229">
        <f t="shared" si="50"/>
        <v>855259.98558712984</v>
      </c>
      <c r="CD48" s="229">
        <f t="shared" si="50"/>
        <v>855259.98558712984</v>
      </c>
      <c r="CE48" s="229">
        <f t="shared" si="50"/>
        <v>855259.98558712984</v>
      </c>
      <c r="CF48" s="229">
        <f t="shared" si="50"/>
        <v>855259.98558712984</v>
      </c>
      <c r="CG48" s="229">
        <f t="shared" si="50"/>
        <v>864794.52724085643</v>
      </c>
      <c r="CH48" s="229">
        <f t="shared" si="50"/>
        <v>864794.52724085643</v>
      </c>
      <c r="CI48" s="229">
        <f t="shared" si="50"/>
        <v>864794.52724085643</v>
      </c>
      <c r="CJ48" s="229">
        <f t="shared" si="50"/>
        <v>864794.52724085643</v>
      </c>
      <c r="CK48" s="229">
        <f t="shared" si="50"/>
        <v>867551.85279691638</v>
      </c>
      <c r="CL48" s="229">
        <f t="shared" si="50"/>
        <v>867551.85279691638</v>
      </c>
      <c r="CM48" s="229">
        <f t="shared" si="50"/>
        <v>867551.85279691638</v>
      </c>
      <c r="CN48" s="229">
        <f t="shared" si="50"/>
        <v>867551.85279691638</v>
      </c>
      <c r="CO48" s="229">
        <f t="shared" si="50"/>
        <v>832504.54313369305</v>
      </c>
      <c r="CP48" s="229">
        <f t="shared" si="50"/>
        <v>832504.54313369305</v>
      </c>
      <c r="CQ48" s="229">
        <f t="shared" si="50"/>
        <v>832504.54313369305</v>
      </c>
      <c r="CR48" s="229">
        <f t="shared" si="50"/>
        <v>832504.54313369305</v>
      </c>
      <c r="CS48" s="229">
        <f t="shared" si="50"/>
        <v>867551.85279691638</v>
      </c>
      <c r="CT48" s="229">
        <f t="shared" si="50"/>
        <v>867551.85279691638</v>
      </c>
      <c r="CU48" s="229">
        <f t="shared" si="50"/>
        <v>867551.85279691638</v>
      </c>
      <c r="CV48" s="229">
        <f t="shared" si="50"/>
        <v>867551.85279691638</v>
      </c>
      <c r="CW48" s="229">
        <f t="shared" si="50"/>
        <v>867551.85279691638</v>
      </c>
      <c r="CX48" s="229">
        <f t="shared" si="50"/>
        <v>867551.85279691638</v>
      </c>
      <c r="CY48" s="229">
        <f t="shared" si="50"/>
        <v>867551.85279691638</v>
      </c>
      <c r="CZ48" s="229">
        <f t="shared" si="50"/>
        <v>867551.85279691638</v>
      </c>
      <c r="DA48" s="229">
        <f t="shared" si="50"/>
        <v>867551.85279691638</v>
      </c>
      <c r="DB48" s="229">
        <f t="shared" si="50"/>
        <v>867551.85279691638</v>
      </c>
      <c r="DC48" s="229">
        <f t="shared" si="50"/>
        <v>867551.85279691638</v>
      </c>
      <c r="DD48" s="229">
        <f t="shared" si="50"/>
        <v>867551.85279691638</v>
      </c>
      <c r="DE48" s="230">
        <f t="shared" si="35"/>
        <v>3181991.8007076657</v>
      </c>
      <c r="DF48" s="231">
        <f t="shared" si="36"/>
        <v>3372716.230528336</v>
      </c>
      <c r="DG48" s="231">
        <f t="shared" si="37"/>
        <v>3385836.4154276997</v>
      </c>
      <c r="DH48" s="231">
        <f t="shared" si="38"/>
        <v>3421039.9423485193</v>
      </c>
      <c r="DI48" s="232">
        <f t="shared" si="39"/>
        <v>3459178.1089634257</v>
      </c>
      <c r="DJ48" s="232">
        <f t="shared" si="40"/>
        <v>3470207.4111876655</v>
      </c>
      <c r="DK48" s="232">
        <f t="shared" si="41"/>
        <v>3330018.1725347722</v>
      </c>
      <c r="DL48" s="232">
        <f t="shared" si="42"/>
        <v>3470207.4111876655</v>
      </c>
      <c r="DM48" s="232">
        <f t="shared" si="43"/>
        <v>3470207.4111876655</v>
      </c>
      <c r="DN48" s="232">
        <f t="shared" si="44"/>
        <v>3470207.4111876655</v>
      </c>
      <c r="DO48" s="230">
        <f t="shared" si="45"/>
        <v>1017906.1392923328</v>
      </c>
      <c r="DP48" s="230">
        <f t="shared" si="19"/>
        <v>1511293.0964902677</v>
      </c>
      <c r="DQ48" s="230">
        <f t="shared" si="19"/>
        <v>2142663.5403577862</v>
      </c>
      <c r="DR48" s="230">
        <f t="shared" si="19"/>
        <v>2857310.9231853606</v>
      </c>
      <c r="DS48" s="230">
        <f t="shared" si="19"/>
        <v>3631532.8077848307</v>
      </c>
      <c r="DT48" s="230">
        <f t="shared" si="19"/>
        <v>3855432.5888123345</v>
      </c>
      <c r="DU48" s="230">
        <f t="shared" si="19"/>
        <v>3564701.8274652278</v>
      </c>
      <c r="DV48" s="230">
        <f t="shared" si="19"/>
        <v>3855432.5888123345</v>
      </c>
      <c r="DW48" s="230">
        <f t="shared" si="19"/>
        <v>3855432.5888123345</v>
      </c>
      <c r="DX48" s="230">
        <f t="shared" si="19"/>
        <v>3855432.5888123345</v>
      </c>
      <c r="DY48" s="241"/>
      <c r="DZ48" s="696"/>
      <c r="EA48" s="234" t="e">
        <f>(DE48+#REF!/5)*1.1</f>
        <v>#REF!</v>
      </c>
      <c r="EB48" s="235" t="e">
        <f>(DF48+#REF!/9)*1.1</f>
        <v>#REF!</v>
      </c>
      <c r="EC48" s="235" t="e">
        <f>(DG48+#REF!/13)*1.1</f>
        <v>#REF!</v>
      </c>
      <c r="ED48" s="235" t="e">
        <f>(DH48+#REF!/17)*1.1</f>
        <v>#REF!</v>
      </c>
      <c r="EE48" s="236">
        <f t="shared" si="20"/>
        <v>3805095.9198597688</v>
      </c>
      <c r="EF48" s="209"/>
      <c r="EG48" s="697"/>
      <c r="EH48" s="240" t="s">
        <v>17</v>
      </c>
      <c r="EI48" s="238">
        <f t="shared" si="46"/>
        <v>216525.64982308319</v>
      </c>
      <c r="EJ48" s="238">
        <f t="shared" si="21"/>
        <v>241826.23982308328</v>
      </c>
      <c r="EK48" s="238">
        <f t="shared" si="21"/>
        <v>267126.82982308313</v>
      </c>
      <c r="EL48" s="238">
        <f t="shared" si="21"/>
        <v>292427.41982308321</v>
      </c>
      <c r="EM48" s="238">
        <f t="shared" si="21"/>
        <v>335992.21727700671</v>
      </c>
      <c r="EN48" s="238">
        <f t="shared" si="21"/>
        <v>369192.69775015605</v>
      </c>
      <c r="EO48" s="238">
        <f t="shared" si="21"/>
        <v>389641.71604064293</v>
      </c>
      <c r="EP48" s="238">
        <f t="shared" si="21"/>
        <v>416466.46542246197</v>
      </c>
      <c r="EQ48" s="238">
        <f t="shared" si="21"/>
        <v>493712.84982324811</v>
      </c>
      <c r="ER48" s="238">
        <f t="shared" si="21"/>
        <v>521681.54000071413</v>
      </c>
      <c r="ES48" s="238">
        <f t="shared" si="21"/>
        <v>549650.23017817899</v>
      </c>
      <c r="ET48" s="238">
        <f t="shared" si="21"/>
        <v>577618.92035564478</v>
      </c>
      <c r="EU48" s="238">
        <f t="shared" si="21"/>
        <v>670218.02849234245</v>
      </c>
      <c r="EV48" s="238">
        <f t="shared" si="21"/>
        <v>699624.49669500813</v>
      </c>
      <c r="EW48" s="238">
        <f t="shared" si="21"/>
        <v>729030.96489767241</v>
      </c>
      <c r="EX48" s="238">
        <f t="shared" si="21"/>
        <v>758437.4331003374</v>
      </c>
      <c r="EY48" s="238">
        <f t="shared" si="21"/>
        <v>861505.96547209483</v>
      </c>
      <c r="EZ48" s="238">
        <f t="shared" si="22"/>
        <v>892424.12312150293</v>
      </c>
      <c r="FA48" s="238">
        <f t="shared" si="22"/>
        <v>923342.28077091242</v>
      </c>
      <c r="FB48" s="238">
        <f t="shared" si="22"/>
        <v>954260.43842032005</v>
      </c>
      <c r="FC48" s="238">
        <f t="shared" si="22"/>
        <v>963858.14720308362</v>
      </c>
      <c r="FD48" s="238">
        <f t="shared" si="22"/>
        <v>963858.14720308362</v>
      </c>
      <c r="FE48" s="238">
        <f t="shared" si="22"/>
        <v>963858.14720308362</v>
      </c>
      <c r="FF48" s="238">
        <f t="shared" si="22"/>
        <v>963858.14720308362</v>
      </c>
      <c r="FG48" s="238">
        <f t="shared" si="22"/>
        <v>891175.45686630695</v>
      </c>
      <c r="FH48" s="238">
        <f t="shared" si="22"/>
        <v>891175.45686630695</v>
      </c>
      <c r="FI48" s="238">
        <f t="shared" si="22"/>
        <v>891175.45686630695</v>
      </c>
      <c r="FJ48" s="238">
        <f t="shared" si="22"/>
        <v>891175.45686630695</v>
      </c>
      <c r="FK48" s="238">
        <f t="shared" si="22"/>
        <v>963858.14720308362</v>
      </c>
      <c r="FL48" s="238">
        <f t="shared" si="22"/>
        <v>963858.14720308362</v>
      </c>
      <c r="FM48" s="238">
        <f t="shared" si="22"/>
        <v>963858.14720308362</v>
      </c>
      <c r="FN48" s="238">
        <f t="shared" si="22"/>
        <v>963858.14720308362</v>
      </c>
      <c r="FO48" s="238">
        <f t="shared" si="22"/>
        <v>963858.14720308362</v>
      </c>
      <c r="FP48" s="238">
        <f t="shared" si="23"/>
        <v>963858.14720308362</v>
      </c>
      <c r="FQ48" s="238">
        <f t="shared" si="23"/>
        <v>963858.14720308362</v>
      </c>
      <c r="FR48" s="238">
        <f t="shared" si="23"/>
        <v>963858.14720308362</v>
      </c>
      <c r="FS48" s="238">
        <f t="shared" si="23"/>
        <v>963858.14720308362</v>
      </c>
      <c r="FT48" s="238">
        <f t="shared" si="23"/>
        <v>963858.14720308362</v>
      </c>
      <c r="FU48" s="238">
        <f t="shared" si="23"/>
        <v>963858.14720308362</v>
      </c>
      <c r="FV48" s="238">
        <f t="shared" si="23"/>
        <v>963858.14720308362</v>
      </c>
      <c r="FW48" s="238"/>
      <c r="FX48" s="239">
        <f>AVERAGE(EI48:EL48)</f>
        <v>254476.5348230832</v>
      </c>
      <c r="FY48" s="720"/>
      <c r="FZ48" s="239">
        <f t="shared" si="24"/>
        <v>377823.27412256692</v>
      </c>
      <c r="GA48" s="720"/>
      <c r="GB48" s="239">
        <f t="shared" si="25"/>
        <v>535665.88508944656</v>
      </c>
      <c r="GC48" s="720"/>
      <c r="GD48" s="239">
        <f t="shared" si="26"/>
        <v>714327.73079634015</v>
      </c>
      <c r="GE48" s="720"/>
      <c r="GF48" s="239">
        <f t="shared" si="27"/>
        <v>907883.20194620756</v>
      </c>
      <c r="GG48" s="720"/>
      <c r="GH48" s="726"/>
      <c r="GI48" s="728"/>
      <c r="GS48" s="244">
        <v>1</v>
      </c>
      <c r="GT48" s="245">
        <v>3344038.8995958194</v>
      </c>
      <c r="GU48" s="245">
        <v>2067858.2781495887</v>
      </c>
      <c r="GV48" s="245">
        <v>3585179.3666392644</v>
      </c>
      <c r="GW48" s="246">
        <v>3719920.8433200861</v>
      </c>
    </row>
    <row r="49" spans="1:205" ht="15" customHeight="1" thickBot="1">
      <c r="A49" s="697"/>
      <c r="B49" s="124" t="s">
        <v>18</v>
      </c>
      <c r="C49" s="222">
        <f t="shared" ref="C49:AP49" si="51">(IF(BQ7=1,IF(C7&lt;=$BJ$46,C7*1000*$BI7,$BJ$46*1000*$BI7),IF(BQ7*$BJ$46&gt;=C7,C7*1000*$BI7,BQ7*1000*$BJ$46*$BI7)))*C36/4*$C$26</f>
        <v>342748.50422329246</v>
      </c>
      <c r="D49" s="222">
        <f t="shared" si="51"/>
        <v>351317.21682887478</v>
      </c>
      <c r="E49" s="222">
        <f t="shared" si="51"/>
        <v>359885.9294344571</v>
      </c>
      <c r="F49" s="222">
        <f t="shared" si="51"/>
        <v>368454.64204003941</v>
      </c>
      <c r="G49" s="222">
        <f t="shared" si="51"/>
        <v>399357.47614795144</v>
      </c>
      <c r="H49" s="222">
        <f t="shared" si="51"/>
        <v>410601.69517769164</v>
      </c>
      <c r="I49" s="222">
        <f t="shared" si="51"/>
        <v>417527.29496795259</v>
      </c>
      <c r="J49" s="222">
        <f t="shared" si="51"/>
        <v>426612.20437795372</v>
      </c>
      <c r="K49" s="222">
        <f t="shared" si="51"/>
        <v>453884.60558220936</v>
      </c>
      <c r="L49" s="222">
        <f t="shared" si="51"/>
        <v>463356.94073665648</v>
      </c>
      <c r="M49" s="222">
        <f t="shared" si="51"/>
        <v>472829.27589110465</v>
      </c>
      <c r="N49" s="222">
        <f t="shared" si="51"/>
        <v>482301.611045553</v>
      </c>
      <c r="O49" s="222">
        <f t="shared" si="51"/>
        <v>516643.39403869485</v>
      </c>
      <c r="P49" s="222">
        <f t="shared" si="51"/>
        <v>526602.6706711296</v>
      </c>
      <c r="Q49" s="222">
        <f t="shared" si="51"/>
        <v>536561.94730356568</v>
      </c>
      <c r="R49" s="222">
        <f t="shared" si="51"/>
        <v>546521.22393600061</v>
      </c>
      <c r="S49" s="222">
        <f t="shared" si="51"/>
        <v>584657.22708175611</v>
      </c>
      <c r="T49" s="222">
        <f t="shared" si="51"/>
        <v>595128.47724595712</v>
      </c>
      <c r="U49" s="222">
        <f t="shared" si="51"/>
        <v>605599.72741015814</v>
      </c>
      <c r="V49" s="222">
        <f t="shared" si="51"/>
        <v>607231.60197040008</v>
      </c>
      <c r="W49" s="222">
        <f t="shared" si="51"/>
        <v>607231.60197040008</v>
      </c>
      <c r="X49" s="222">
        <f t="shared" si="51"/>
        <v>607231.60197040008</v>
      </c>
      <c r="Y49" s="222">
        <f t="shared" si="51"/>
        <v>607231.60197040008</v>
      </c>
      <c r="Z49" s="222">
        <f t="shared" si="51"/>
        <v>607231.60197040008</v>
      </c>
      <c r="AA49" s="222">
        <f t="shared" si="51"/>
        <v>571512.09597214125</v>
      </c>
      <c r="AB49" s="222">
        <f t="shared" si="51"/>
        <v>571512.09597214125</v>
      </c>
      <c r="AC49" s="222">
        <f t="shared" si="51"/>
        <v>571512.09597214125</v>
      </c>
      <c r="AD49" s="222">
        <f t="shared" si="51"/>
        <v>571512.09597214125</v>
      </c>
      <c r="AE49" s="222">
        <f t="shared" si="51"/>
        <v>607231.60197040008</v>
      </c>
      <c r="AF49" s="222">
        <f t="shared" si="51"/>
        <v>607231.60197040008</v>
      </c>
      <c r="AG49" s="222">
        <f t="shared" si="51"/>
        <v>607231.60197040008</v>
      </c>
      <c r="AH49" s="222">
        <f t="shared" si="51"/>
        <v>607231.60197040008</v>
      </c>
      <c r="AI49" s="222">
        <f t="shared" si="51"/>
        <v>607231.60197040008</v>
      </c>
      <c r="AJ49" s="222">
        <f t="shared" si="51"/>
        <v>607231.60197040008</v>
      </c>
      <c r="AK49" s="222">
        <f t="shared" si="51"/>
        <v>607231.60197040008</v>
      </c>
      <c r="AL49" s="222">
        <f t="shared" si="51"/>
        <v>607231.60197040008</v>
      </c>
      <c r="AM49" s="222">
        <f t="shared" si="51"/>
        <v>607231.60197040008</v>
      </c>
      <c r="AN49" s="222">
        <f t="shared" si="51"/>
        <v>607231.60197040008</v>
      </c>
      <c r="AO49" s="222">
        <f t="shared" si="51"/>
        <v>607231.60197040008</v>
      </c>
      <c r="AP49" s="222">
        <f t="shared" si="51"/>
        <v>607231.60197040008</v>
      </c>
      <c r="AQ49" s="223">
        <f t="shared" si="48"/>
        <v>1422406.2925266637</v>
      </c>
      <c r="AR49" s="223">
        <f t="shared" si="14"/>
        <v>1654098.6706715494</v>
      </c>
      <c r="AS49" s="223">
        <f t="shared" si="15"/>
        <v>1872372.4332555234</v>
      </c>
      <c r="AT49" s="223">
        <f t="shared" si="16"/>
        <v>2126329.2359493906</v>
      </c>
      <c r="AU49" s="223">
        <f t="shared" si="17"/>
        <v>2392617.0337082716</v>
      </c>
      <c r="AV49" s="223">
        <f t="shared" si="29"/>
        <v>2428926.4078816003</v>
      </c>
      <c r="AW49" s="223">
        <f t="shared" si="30"/>
        <v>2286048.383888565</v>
      </c>
      <c r="AX49" s="223">
        <f t="shared" si="31"/>
        <v>2428926.4078816003</v>
      </c>
      <c r="AY49" s="223">
        <f t="shared" si="32"/>
        <v>2428926.4078816003</v>
      </c>
      <c r="AZ49" s="223">
        <f t="shared" si="33"/>
        <v>2428926.4078816003</v>
      </c>
      <c r="BA49" s="224"/>
      <c r="BB49" s="224"/>
      <c r="BC49" s="224"/>
      <c r="BD49" s="224"/>
      <c r="BE49" s="224"/>
      <c r="BF49" s="225"/>
      <c r="BG49" s="756" t="s">
        <v>78</v>
      </c>
      <c r="BH49" s="757"/>
      <c r="BI49" s="757"/>
      <c r="BJ49" s="247">
        <v>48.5</v>
      </c>
      <c r="BL49" s="227"/>
      <c r="BM49" t="e">
        <f t="shared" si="49"/>
        <v>#REF!</v>
      </c>
      <c r="BN49" t="e">
        <f>(#REF!/('[2]Cost Structure'!$BA$13+'[2]Cost Structure'!$BF$13))/4</f>
        <v>#REF!</v>
      </c>
      <c r="BO49" s="697"/>
      <c r="BP49" s="133" t="s">
        <v>18</v>
      </c>
      <c r="BQ49" s="229">
        <f t="shared" ref="BQ49:DD49" si="52">(BQ7*DJ27*C36/4)</f>
        <v>847170.82900441636</v>
      </c>
      <c r="BR49" s="229">
        <f t="shared" si="52"/>
        <v>847170.82900441636</v>
      </c>
      <c r="BS49" s="229">
        <f t="shared" si="52"/>
        <v>847170.82900441636</v>
      </c>
      <c r="BT49" s="229">
        <f t="shared" si="52"/>
        <v>847170.82900441636</v>
      </c>
      <c r="BU49" s="229">
        <f t="shared" si="52"/>
        <v>903783.53393672872</v>
      </c>
      <c r="BV49" s="229">
        <f t="shared" si="52"/>
        <v>903783.53393672872</v>
      </c>
      <c r="BW49" s="229">
        <f t="shared" si="52"/>
        <v>903783.53393672872</v>
      </c>
      <c r="BX49" s="229">
        <f t="shared" si="52"/>
        <v>903783.53393672872</v>
      </c>
      <c r="BY49" s="229">
        <f t="shared" si="52"/>
        <v>914724.46528897667</v>
      </c>
      <c r="BZ49" s="229">
        <f t="shared" si="52"/>
        <v>914724.46528897667</v>
      </c>
      <c r="CA49" s="229">
        <f t="shared" si="52"/>
        <v>914724.46528897667</v>
      </c>
      <c r="CB49" s="229">
        <f t="shared" si="52"/>
        <v>914724.46528897667</v>
      </c>
      <c r="CC49" s="229">
        <f t="shared" si="52"/>
        <v>932461.87272656965</v>
      </c>
      <c r="CD49" s="229">
        <f t="shared" si="52"/>
        <v>932461.87272656965</v>
      </c>
      <c r="CE49" s="229">
        <f t="shared" si="52"/>
        <v>932461.87272656965</v>
      </c>
      <c r="CF49" s="229">
        <f t="shared" si="52"/>
        <v>932461.87272656965</v>
      </c>
      <c r="CG49" s="229">
        <f t="shared" si="52"/>
        <v>951060.5285389215</v>
      </c>
      <c r="CH49" s="229">
        <f t="shared" si="52"/>
        <v>951060.5285389215</v>
      </c>
      <c r="CI49" s="229">
        <f t="shared" si="52"/>
        <v>951060.5285389215</v>
      </c>
      <c r="CJ49" s="229">
        <f t="shared" si="52"/>
        <v>951060.5285389215</v>
      </c>
      <c r="CK49" s="229">
        <f t="shared" si="52"/>
        <v>953596.52740441635</v>
      </c>
      <c r="CL49" s="229">
        <f t="shared" si="52"/>
        <v>953596.52740441635</v>
      </c>
      <c r="CM49" s="229">
        <f t="shared" si="52"/>
        <v>953596.52740441635</v>
      </c>
      <c r="CN49" s="229">
        <f t="shared" si="52"/>
        <v>953596.52740441635</v>
      </c>
      <c r="CO49" s="229">
        <f t="shared" si="52"/>
        <v>913487.7662936931</v>
      </c>
      <c r="CP49" s="229">
        <f t="shared" si="52"/>
        <v>913487.7662936931</v>
      </c>
      <c r="CQ49" s="229">
        <f t="shared" si="52"/>
        <v>913487.7662936931</v>
      </c>
      <c r="CR49" s="229">
        <f t="shared" si="52"/>
        <v>913487.7662936931</v>
      </c>
      <c r="CS49" s="229">
        <f t="shared" si="52"/>
        <v>953596.52740441635</v>
      </c>
      <c r="CT49" s="229">
        <f t="shared" si="52"/>
        <v>953596.52740441635</v>
      </c>
      <c r="CU49" s="229">
        <f t="shared" si="52"/>
        <v>953596.52740441635</v>
      </c>
      <c r="CV49" s="229">
        <f t="shared" si="52"/>
        <v>953596.52740441635</v>
      </c>
      <c r="CW49" s="229">
        <f t="shared" si="52"/>
        <v>953596.52740441635</v>
      </c>
      <c r="CX49" s="229">
        <f t="shared" si="52"/>
        <v>953596.52740441635</v>
      </c>
      <c r="CY49" s="229">
        <f t="shared" si="52"/>
        <v>953596.52740441635</v>
      </c>
      <c r="CZ49" s="229">
        <f t="shared" si="52"/>
        <v>953596.52740441635</v>
      </c>
      <c r="DA49" s="229">
        <f t="shared" si="52"/>
        <v>953596.52740441635</v>
      </c>
      <c r="DB49" s="229">
        <f t="shared" si="52"/>
        <v>953596.52740441635</v>
      </c>
      <c r="DC49" s="229">
        <f t="shared" si="52"/>
        <v>953596.52740441635</v>
      </c>
      <c r="DD49" s="229">
        <f t="shared" si="52"/>
        <v>953596.52740441635</v>
      </c>
      <c r="DE49" s="230">
        <f t="shared" si="35"/>
        <v>3388683.3160176654</v>
      </c>
      <c r="DF49" s="231">
        <f t="shared" si="36"/>
        <v>3615134.1357469149</v>
      </c>
      <c r="DG49" s="231">
        <f t="shared" si="37"/>
        <v>3658897.8611559067</v>
      </c>
      <c r="DH49" s="231">
        <f t="shared" si="38"/>
        <v>3729847.4909062786</v>
      </c>
      <c r="DI49" s="232">
        <f t="shared" si="39"/>
        <v>3804242.114155686</v>
      </c>
      <c r="DJ49" s="232">
        <f t="shared" si="40"/>
        <v>3814386.1096176654</v>
      </c>
      <c r="DK49" s="232">
        <f t="shared" si="41"/>
        <v>3653951.0651747724</v>
      </c>
      <c r="DL49" s="232">
        <f t="shared" si="42"/>
        <v>3814386.1096176654</v>
      </c>
      <c r="DM49" s="232">
        <f t="shared" si="43"/>
        <v>3814386.1096176654</v>
      </c>
      <c r="DN49" s="232">
        <f t="shared" si="44"/>
        <v>3814386.1096176654</v>
      </c>
      <c r="DO49" s="230">
        <f t="shared" si="45"/>
        <v>-1966277.0234910017</v>
      </c>
      <c r="DP49" s="230">
        <f t="shared" si="19"/>
        <v>-1961035.4650753655</v>
      </c>
      <c r="DQ49" s="230">
        <f t="shared" si="19"/>
        <v>-1786525.4279003832</v>
      </c>
      <c r="DR49" s="230">
        <f t="shared" si="19"/>
        <v>-1603518.254956888</v>
      </c>
      <c r="DS49" s="230">
        <f t="shared" si="19"/>
        <v>-1411625.0804474144</v>
      </c>
      <c r="DT49" s="230">
        <f t="shared" si="19"/>
        <v>-1385459.7017360651</v>
      </c>
      <c r="DU49" s="230">
        <f t="shared" si="19"/>
        <v>-1367902.6812862074</v>
      </c>
      <c r="DV49" s="230">
        <f t="shared" si="19"/>
        <v>-1385459.7017360651</v>
      </c>
      <c r="DW49" s="230">
        <f t="shared" si="19"/>
        <v>-1385459.7017360651</v>
      </c>
      <c r="DX49" s="230">
        <f t="shared" si="19"/>
        <v>-1385459.7017360651</v>
      </c>
      <c r="DY49" s="241"/>
      <c r="DZ49" s="696"/>
      <c r="EA49" s="234" t="e">
        <f>(DE49+#REF!/5)*1.1</f>
        <v>#REF!</v>
      </c>
      <c r="EB49" s="235" t="e">
        <f>(DF49+#REF!/9)*1.1</f>
        <v>#REF!</v>
      </c>
      <c r="EC49" s="235" t="e">
        <f>(DG49+#REF!/13)*1.1</f>
        <v>#REF!</v>
      </c>
      <c r="ED49" s="235" t="e">
        <f>(DH49+#REF!/17)*1.1</f>
        <v>#REF!</v>
      </c>
      <c r="EE49" s="236">
        <f t="shared" si="20"/>
        <v>4184666.3255712548</v>
      </c>
      <c r="EF49" s="209"/>
      <c r="EG49" s="697"/>
      <c r="EH49" s="240" t="s">
        <v>18</v>
      </c>
      <c r="EI49" s="238">
        <f t="shared" si="46"/>
        <v>-504422.3247811239</v>
      </c>
      <c r="EJ49" s="238">
        <f t="shared" si="21"/>
        <v>-495853.61217554158</v>
      </c>
      <c r="EK49" s="238">
        <f t="shared" si="21"/>
        <v>-487284.89956995926</v>
      </c>
      <c r="EL49" s="238">
        <f t="shared" si="21"/>
        <v>-478716.18696437695</v>
      </c>
      <c r="EM49" s="238">
        <f t="shared" si="21"/>
        <v>-504426.05778877728</v>
      </c>
      <c r="EN49" s="238">
        <f t="shared" si="21"/>
        <v>-493181.83875903708</v>
      </c>
      <c r="EO49" s="238">
        <f t="shared" si="21"/>
        <v>-486256.23896877613</v>
      </c>
      <c r="EP49" s="238">
        <f t="shared" si="21"/>
        <v>-477171.329558775</v>
      </c>
      <c r="EQ49" s="238">
        <f t="shared" si="21"/>
        <v>-460839.85970676731</v>
      </c>
      <c r="ER49" s="238">
        <f t="shared" si="21"/>
        <v>-451367.52455232019</v>
      </c>
      <c r="ES49" s="238">
        <f t="shared" si="21"/>
        <v>-441895.18939787202</v>
      </c>
      <c r="ET49" s="238">
        <f t="shared" si="21"/>
        <v>-432422.85424342367</v>
      </c>
      <c r="EU49" s="238">
        <f t="shared" si="21"/>
        <v>-415818.4786878748</v>
      </c>
      <c r="EV49" s="238">
        <f t="shared" si="21"/>
        <v>-405859.20205544005</v>
      </c>
      <c r="EW49" s="238">
        <f t="shared" si="21"/>
        <v>-395899.92542300397</v>
      </c>
      <c r="EX49" s="238">
        <f t="shared" si="21"/>
        <v>-385940.64879056904</v>
      </c>
      <c r="EY49" s="238">
        <f t="shared" si="21"/>
        <v>-366403.30145716539</v>
      </c>
      <c r="EZ49" s="238">
        <f t="shared" si="22"/>
        <v>-355932.05129296437</v>
      </c>
      <c r="FA49" s="238">
        <f t="shared" si="22"/>
        <v>-345460.80112876336</v>
      </c>
      <c r="FB49" s="238">
        <f t="shared" si="22"/>
        <v>-343828.92656852142</v>
      </c>
      <c r="FC49" s="238">
        <f t="shared" si="22"/>
        <v>-346364.92543401627</v>
      </c>
      <c r="FD49" s="238">
        <f t="shared" si="22"/>
        <v>-346364.92543401627</v>
      </c>
      <c r="FE49" s="238">
        <f t="shared" si="22"/>
        <v>-346364.92543401627</v>
      </c>
      <c r="FF49" s="238">
        <f t="shared" si="22"/>
        <v>-346364.92543401627</v>
      </c>
      <c r="FG49" s="238">
        <f t="shared" si="22"/>
        <v>-341975.67032155185</v>
      </c>
      <c r="FH49" s="238">
        <f t="shared" si="22"/>
        <v>-341975.67032155185</v>
      </c>
      <c r="FI49" s="238">
        <f t="shared" si="22"/>
        <v>-341975.67032155185</v>
      </c>
      <c r="FJ49" s="238">
        <f t="shared" si="22"/>
        <v>-341975.67032155185</v>
      </c>
      <c r="FK49" s="238">
        <f t="shared" si="22"/>
        <v>-346364.92543401627</v>
      </c>
      <c r="FL49" s="238">
        <f t="shared" si="22"/>
        <v>-346364.92543401627</v>
      </c>
      <c r="FM49" s="238">
        <f t="shared" si="22"/>
        <v>-346364.92543401627</v>
      </c>
      <c r="FN49" s="238">
        <f t="shared" si="22"/>
        <v>-346364.92543401627</v>
      </c>
      <c r="FO49" s="238">
        <f t="shared" si="22"/>
        <v>-346364.92543401627</v>
      </c>
      <c r="FP49" s="238">
        <f t="shared" si="23"/>
        <v>-346364.92543401627</v>
      </c>
      <c r="FQ49" s="238">
        <f t="shared" si="23"/>
        <v>-346364.92543401627</v>
      </c>
      <c r="FR49" s="238">
        <f t="shared" si="23"/>
        <v>-346364.92543401627</v>
      </c>
      <c r="FS49" s="238">
        <f t="shared" si="23"/>
        <v>-346364.92543401627</v>
      </c>
      <c r="FT49" s="238">
        <f t="shared" si="23"/>
        <v>-346364.92543401627</v>
      </c>
      <c r="FU49" s="238">
        <f t="shared" si="23"/>
        <v>-346364.92543401627</v>
      </c>
      <c r="FV49" s="238">
        <f t="shared" si="23"/>
        <v>-346364.92543401627</v>
      </c>
      <c r="FW49" s="238"/>
      <c r="FX49" s="239">
        <f>AVERAGE(EI49:EL49)</f>
        <v>-491569.25587275042</v>
      </c>
      <c r="FY49" s="720"/>
      <c r="FZ49" s="248">
        <f t="shared" si="24"/>
        <v>-490258.86626884138</v>
      </c>
      <c r="GA49" s="720"/>
      <c r="GB49" s="249">
        <f t="shared" si="25"/>
        <v>-446631.35697509581</v>
      </c>
      <c r="GC49" s="720"/>
      <c r="GD49" s="249">
        <f t="shared" si="26"/>
        <v>-400879.56373922195</v>
      </c>
      <c r="GE49" s="720"/>
      <c r="GF49" s="249">
        <f t="shared" si="27"/>
        <v>-352906.27011185366</v>
      </c>
      <c r="GG49" s="720"/>
      <c r="GH49" s="726"/>
      <c r="GI49" s="728"/>
      <c r="GJ49" s="108"/>
      <c r="GL49" s="108"/>
      <c r="GN49" s="108"/>
      <c r="GP49" s="108"/>
      <c r="GS49" s="250">
        <v>2</v>
      </c>
      <c r="GT49" s="251">
        <v>443749.84794514632</v>
      </c>
      <c r="GU49" s="252">
        <v>-1351408.2029092172</v>
      </c>
      <c r="GV49" s="252">
        <v>-594123.7278676366</v>
      </c>
      <c r="GW49" s="253">
        <v>-254209.1968950835</v>
      </c>
    </row>
    <row r="50" spans="1:205" ht="15" customHeight="1" thickBot="1">
      <c r="A50" s="697"/>
      <c r="B50" s="124" t="s">
        <v>19</v>
      </c>
      <c r="C50" s="222">
        <f t="shared" ref="C50:AP51" si="53">(IF(BQ8=1,IF(C8&lt;=$BJ$46,C8*1000*$BI8,$BJ$46*1000*$BI8),IF(BQ8*$BJ$46&gt;=C8,C8*1000*$BI8,BQ8*1000*$BJ$46*$BI8)))*C36/4*$C$26</f>
        <v>316837.5</v>
      </c>
      <c r="D50" s="222">
        <f t="shared" si="53"/>
        <v>288955.79999999993</v>
      </c>
      <c r="E50" s="222">
        <f t="shared" si="53"/>
        <v>299094.59999999992</v>
      </c>
      <c r="F50" s="222">
        <f t="shared" si="53"/>
        <v>309233.39999999991</v>
      </c>
      <c r="G50" s="222">
        <f t="shared" si="53"/>
        <v>338803.79253588553</v>
      </c>
      <c r="H50" s="222">
        <f t="shared" si="53"/>
        <v>352108.34517363633</v>
      </c>
      <c r="I50" s="222">
        <f t="shared" si="53"/>
        <v>360302.95670813374</v>
      </c>
      <c r="J50" s="222">
        <f t="shared" si="53"/>
        <v>371052.53879425843</v>
      </c>
      <c r="K50" s="222">
        <f t="shared" si="53"/>
        <v>398283.25294736127</v>
      </c>
      <c r="L50" s="222">
        <f t="shared" si="53"/>
        <v>409491.25070438039</v>
      </c>
      <c r="M50" s="222">
        <f t="shared" si="53"/>
        <v>420699.24846140109</v>
      </c>
      <c r="N50" s="222">
        <f t="shared" si="53"/>
        <v>431907.2462184215</v>
      </c>
      <c r="O50" s="222">
        <f t="shared" si="53"/>
        <v>466102.76791260077</v>
      </c>
      <c r="P50" s="222">
        <f t="shared" si="53"/>
        <v>477886.93183182791</v>
      </c>
      <c r="Q50" s="222">
        <f t="shared" si="53"/>
        <v>489671.09575105651</v>
      </c>
      <c r="R50" s="222">
        <f t="shared" si="53"/>
        <v>501455.2596702837</v>
      </c>
      <c r="S50" s="222">
        <f t="shared" si="53"/>
        <v>539841.47134243802</v>
      </c>
      <c r="T50" s="222">
        <f t="shared" si="53"/>
        <v>552231.42022409802</v>
      </c>
      <c r="U50" s="222">
        <f t="shared" si="53"/>
        <v>564621.36910575803</v>
      </c>
      <c r="V50" s="222">
        <f t="shared" si="53"/>
        <v>577011.31798741664</v>
      </c>
      <c r="W50" s="222">
        <f t="shared" si="53"/>
        <v>604102.63442852499</v>
      </c>
      <c r="X50" s="222">
        <f t="shared" si="53"/>
        <v>604420.6257150172</v>
      </c>
      <c r="Y50" s="222">
        <f t="shared" si="53"/>
        <v>604738.61700150929</v>
      </c>
      <c r="Z50" s="222">
        <f t="shared" si="53"/>
        <v>605056.6082880015</v>
      </c>
      <c r="AA50" s="222">
        <f t="shared" si="53"/>
        <v>596201.39387741196</v>
      </c>
      <c r="AB50" s="222">
        <f t="shared" si="53"/>
        <v>596514.5666606453</v>
      </c>
      <c r="AC50" s="222">
        <f t="shared" si="53"/>
        <v>596827.73944387864</v>
      </c>
      <c r="AD50" s="222">
        <f t="shared" si="53"/>
        <v>597140.91222711187</v>
      </c>
      <c r="AE50" s="222">
        <f t="shared" si="53"/>
        <v>664249.45171450183</v>
      </c>
      <c r="AF50" s="222">
        <f t="shared" si="53"/>
        <v>664597.63721490069</v>
      </c>
      <c r="AG50" s="222">
        <f t="shared" si="53"/>
        <v>664945.82271529944</v>
      </c>
      <c r="AH50" s="222">
        <f t="shared" si="53"/>
        <v>665294.0082156983</v>
      </c>
      <c r="AI50" s="222">
        <f t="shared" si="53"/>
        <v>696527.99150452402</v>
      </c>
      <c r="AJ50" s="222">
        <f t="shared" si="53"/>
        <v>696892.33281214128</v>
      </c>
      <c r="AK50" s="222">
        <f t="shared" si="53"/>
        <v>697256.67411975865</v>
      </c>
      <c r="AL50" s="222">
        <f t="shared" si="53"/>
        <v>697621.01542737591</v>
      </c>
      <c r="AM50" s="222">
        <f t="shared" si="53"/>
        <v>730371.87728749705</v>
      </c>
      <c r="AN50" s="222">
        <f t="shared" si="53"/>
        <v>730371.87728749705</v>
      </c>
      <c r="AO50" s="222">
        <f t="shared" si="53"/>
        <v>730371.87728749705</v>
      </c>
      <c r="AP50" s="222">
        <f t="shared" si="53"/>
        <v>730371.87728749705</v>
      </c>
      <c r="AQ50" s="223">
        <f t="shared" si="48"/>
        <v>1214121.2999999998</v>
      </c>
      <c r="AR50" s="223">
        <f t="shared" si="14"/>
        <v>1422267.633211914</v>
      </c>
      <c r="AS50" s="223">
        <f t="shared" si="15"/>
        <v>1660380.9983315642</v>
      </c>
      <c r="AT50" s="223">
        <f t="shared" si="16"/>
        <v>1935116.0551657688</v>
      </c>
      <c r="AU50" s="223">
        <f t="shared" si="17"/>
        <v>2233705.5786597105</v>
      </c>
      <c r="AV50" s="223">
        <f t="shared" si="29"/>
        <v>2418318.4854330532</v>
      </c>
      <c r="AW50" s="223">
        <f t="shared" si="30"/>
        <v>2386684.6122090477</v>
      </c>
      <c r="AX50" s="223">
        <f t="shared" si="31"/>
        <v>2659086.9198604003</v>
      </c>
      <c r="AY50" s="223">
        <f t="shared" si="32"/>
        <v>2788298.0138638001</v>
      </c>
      <c r="AZ50" s="223">
        <f t="shared" si="33"/>
        <v>2921487.5091499882</v>
      </c>
      <c r="BA50" s="224"/>
      <c r="BB50" s="224"/>
      <c r="BC50" s="224"/>
      <c r="BD50" s="224"/>
      <c r="BE50" s="224"/>
      <c r="BF50" s="225"/>
      <c r="BL50" s="227"/>
      <c r="BM50" t="e">
        <f t="shared" si="49"/>
        <v>#REF!</v>
      </c>
      <c r="BN50" t="e">
        <f>(#REF!/('[2]Cost Structure'!$BA$13+'[2]Cost Structure'!$BF$13))/4</f>
        <v>#REF!</v>
      </c>
      <c r="BO50" s="697"/>
      <c r="BP50" s="133" t="s">
        <v>19</v>
      </c>
      <c r="BQ50" s="229">
        <f t="shared" ref="BQ50:DD50" si="54">(BQ8*DJ28*C36/4)</f>
        <v>531412.4146238981</v>
      </c>
      <c r="BR50" s="229">
        <f t="shared" si="54"/>
        <v>531412.4146238981</v>
      </c>
      <c r="BS50" s="229">
        <f t="shared" si="54"/>
        <v>531412.4146238981</v>
      </c>
      <c r="BT50" s="229">
        <f t="shared" si="54"/>
        <v>531412.4146238981</v>
      </c>
      <c r="BU50" s="229">
        <f t="shared" si="54"/>
        <v>558144.78944851772</v>
      </c>
      <c r="BV50" s="229">
        <f t="shared" si="54"/>
        <v>558144.78944851772</v>
      </c>
      <c r="BW50" s="229">
        <f t="shared" si="54"/>
        <v>558144.78944851772</v>
      </c>
      <c r="BX50" s="229">
        <f t="shared" si="54"/>
        <v>558144.78944851772</v>
      </c>
      <c r="BY50" s="229">
        <f t="shared" si="54"/>
        <v>560789.94669669203</v>
      </c>
      <c r="BZ50" s="229">
        <f t="shared" si="54"/>
        <v>560789.94669669203</v>
      </c>
      <c r="CA50" s="229">
        <f t="shared" si="54"/>
        <v>560789.94669669203</v>
      </c>
      <c r="CB50" s="229">
        <f t="shared" si="54"/>
        <v>560789.94669669203</v>
      </c>
      <c r="CC50" s="229">
        <f t="shared" si="54"/>
        <v>566916.53846409474</v>
      </c>
      <c r="CD50" s="229">
        <f t="shared" si="54"/>
        <v>566916.53846409474</v>
      </c>
      <c r="CE50" s="229">
        <f t="shared" si="54"/>
        <v>566916.53846409474</v>
      </c>
      <c r="CF50" s="229">
        <f t="shared" si="54"/>
        <v>566916.53846409474</v>
      </c>
      <c r="CG50" s="229">
        <f t="shared" si="54"/>
        <v>573575.08483800967</v>
      </c>
      <c r="CH50" s="229">
        <f t="shared" si="54"/>
        <v>573575.08483800967</v>
      </c>
      <c r="CI50" s="229">
        <f t="shared" si="54"/>
        <v>573575.08483800967</v>
      </c>
      <c r="CJ50" s="229">
        <f t="shared" si="54"/>
        <v>573575.08483800967</v>
      </c>
      <c r="CK50" s="229">
        <f t="shared" si="54"/>
        <v>577691.95265905524</v>
      </c>
      <c r="CL50" s="229">
        <f t="shared" si="54"/>
        <v>577691.95265905524</v>
      </c>
      <c r="CM50" s="229">
        <f t="shared" si="54"/>
        <v>577691.95265905524</v>
      </c>
      <c r="CN50" s="229">
        <f t="shared" si="54"/>
        <v>577691.95265905524</v>
      </c>
      <c r="CO50" s="229">
        <f t="shared" si="54"/>
        <v>558333.12172820163</v>
      </c>
      <c r="CP50" s="229">
        <f t="shared" si="54"/>
        <v>558333.12172820163</v>
      </c>
      <c r="CQ50" s="229">
        <f t="shared" si="54"/>
        <v>558333.12172820163</v>
      </c>
      <c r="CR50" s="229">
        <f t="shared" si="54"/>
        <v>558333.12172820163</v>
      </c>
      <c r="CS50" s="229">
        <f t="shared" si="54"/>
        <v>583061.08874678507</v>
      </c>
      <c r="CT50" s="229">
        <f t="shared" si="54"/>
        <v>583061.08874678507</v>
      </c>
      <c r="CU50" s="229">
        <f t="shared" si="54"/>
        <v>583061.08874678507</v>
      </c>
      <c r="CV50" s="229">
        <f t="shared" si="54"/>
        <v>583061.08874678507</v>
      </c>
      <c r="CW50" s="229">
        <f t="shared" si="54"/>
        <v>585942.49614306085</v>
      </c>
      <c r="CX50" s="229">
        <f t="shared" si="54"/>
        <v>585942.49614306085</v>
      </c>
      <c r="CY50" s="229">
        <f t="shared" si="54"/>
        <v>585942.49614306085</v>
      </c>
      <c r="CZ50" s="229">
        <f t="shared" si="54"/>
        <v>585942.49614306085</v>
      </c>
      <c r="DA50" s="229">
        <f t="shared" si="54"/>
        <v>588912.62188794278</v>
      </c>
      <c r="DB50" s="229">
        <f t="shared" si="54"/>
        <v>588912.62188794278</v>
      </c>
      <c r="DC50" s="229">
        <f t="shared" si="54"/>
        <v>588912.62188794278</v>
      </c>
      <c r="DD50" s="229">
        <f t="shared" si="54"/>
        <v>588912.62188794278</v>
      </c>
      <c r="DE50" s="230">
        <f t="shared" si="35"/>
        <v>2125649.6584955924</v>
      </c>
      <c r="DF50" s="231">
        <f t="shared" si="36"/>
        <v>2232579.1577940709</v>
      </c>
      <c r="DG50" s="231">
        <f t="shared" si="37"/>
        <v>2243159.7867867681</v>
      </c>
      <c r="DH50" s="231">
        <f t="shared" si="38"/>
        <v>2267666.153856379</v>
      </c>
      <c r="DI50" s="232">
        <f t="shared" si="39"/>
        <v>2294300.3393520387</v>
      </c>
      <c r="DJ50" s="232">
        <f t="shared" si="40"/>
        <v>2310767.810636221</v>
      </c>
      <c r="DK50" s="232">
        <f t="shared" si="41"/>
        <v>2233332.4869128065</v>
      </c>
      <c r="DL50" s="232">
        <f t="shared" si="42"/>
        <v>2332244.3549871403</v>
      </c>
      <c r="DM50" s="232">
        <f t="shared" si="43"/>
        <v>2343769.9845722434</v>
      </c>
      <c r="DN50" s="232">
        <f t="shared" si="44"/>
        <v>2355650.4875517711</v>
      </c>
      <c r="DO50" s="230">
        <f t="shared" si="45"/>
        <v>-911528.35849559261</v>
      </c>
      <c r="DP50" s="230">
        <f t="shared" si="19"/>
        <v>-810311.52458215691</v>
      </c>
      <c r="DQ50" s="230">
        <f t="shared" si="19"/>
        <v>-582778.78845520387</v>
      </c>
      <c r="DR50" s="230">
        <f t="shared" si="19"/>
        <v>-332550.09869061015</v>
      </c>
      <c r="DS50" s="230">
        <f t="shared" si="19"/>
        <v>-60594.760692328215</v>
      </c>
      <c r="DT50" s="230">
        <f t="shared" si="19"/>
        <v>107550.67479683226</v>
      </c>
      <c r="DU50" s="230">
        <f t="shared" si="19"/>
        <v>153352.12529624114</v>
      </c>
      <c r="DV50" s="230">
        <f t="shared" si="19"/>
        <v>326842.56487325998</v>
      </c>
      <c r="DW50" s="230">
        <f t="shared" si="19"/>
        <v>444528.02929155668</v>
      </c>
      <c r="DX50" s="230">
        <f t="shared" si="19"/>
        <v>565837.02159821708</v>
      </c>
      <c r="DY50" s="241"/>
      <c r="DZ50" s="696"/>
      <c r="EA50" s="234" t="e">
        <f>(DE50+#REF!/5)*1.1</f>
        <v>#REF!</v>
      </c>
      <c r="EB50" s="235" t="e">
        <f>(DF50+#REF!/9)*1.1</f>
        <v>#REF!</v>
      </c>
      <c r="EC50" s="235" t="e">
        <f>(DG50+#REF!/13)*1.1</f>
        <v>#REF!</v>
      </c>
      <c r="ED50" s="235" t="e">
        <f>(DH50+#REF!/17)*1.1</f>
        <v>#REF!</v>
      </c>
      <c r="EE50" s="236">
        <f t="shared" si="20"/>
        <v>2523730.3732872428</v>
      </c>
      <c r="EF50" s="209"/>
      <c r="EG50" s="697"/>
      <c r="EH50" s="240" t="s">
        <v>19</v>
      </c>
      <c r="EI50" s="238">
        <f t="shared" si="46"/>
        <v>-214574.9146238981</v>
      </c>
      <c r="EJ50" s="238">
        <f t="shared" si="21"/>
        <v>-242456.61462389817</v>
      </c>
      <c r="EK50" s="238">
        <f t="shared" si="21"/>
        <v>-232317.81462389819</v>
      </c>
      <c r="EL50" s="238">
        <f t="shared" si="21"/>
        <v>-222179.0146238982</v>
      </c>
      <c r="EM50" s="238">
        <f t="shared" si="21"/>
        <v>-219340.9969126322</v>
      </c>
      <c r="EN50" s="238">
        <f t="shared" si="21"/>
        <v>-206036.44427488139</v>
      </c>
      <c r="EO50" s="238">
        <f t="shared" si="21"/>
        <v>-197841.83274038398</v>
      </c>
      <c r="EP50" s="238">
        <f t="shared" si="21"/>
        <v>-187092.25065425929</v>
      </c>
      <c r="EQ50" s="238">
        <f t="shared" si="21"/>
        <v>-162506.69374933076</v>
      </c>
      <c r="ER50" s="238">
        <f t="shared" si="21"/>
        <v>-151298.69599231164</v>
      </c>
      <c r="ES50" s="238">
        <f t="shared" si="21"/>
        <v>-140090.69823529094</v>
      </c>
      <c r="ET50" s="238">
        <f t="shared" si="21"/>
        <v>-128882.70047827053</v>
      </c>
      <c r="EU50" s="238">
        <f t="shared" si="21"/>
        <v>-100813.77055149397</v>
      </c>
      <c r="EV50" s="238">
        <f t="shared" si="21"/>
        <v>-89029.606632266834</v>
      </c>
      <c r="EW50" s="238">
        <f t="shared" si="21"/>
        <v>-77245.442713038239</v>
      </c>
      <c r="EX50" s="238">
        <f t="shared" si="21"/>
        <v>-65461.278793811041</v>
      </c>
      <c r="EY50" s="238">
        <f t="shared" si="21"/>
        <v>-33733.613495571655</v>
      </c>
      <c r="EZ50" s="238">
        <f t="shared" si="22"/>
        <v>-21343.664613911649</v>
      </c>
      <c r="FA50" s="238">
        <f t="shared" si="22"/>
        <v>-8953.7157322516432</v>
      </c>
      <c r="FB50" s="238">
        <f t="shared" si="22"/>
        <v>3436.2331494069658</v>
      </c>
      <c r="FC50" s="238">
        <f t="shared" si="22"/>
        <v>26410.681769469753</v>
      </c>
      <c r="FD50" s="238">
        <f t="shared" si="22"/>
        <v>26728.673055961961</v>
      </c>
      <c r="FE50" s="238">
        <f t="shared" si="22"/>
        <v>27046.664342454053</v>
      </c>
      <c r="FF50" s="238">
        <f t="shared" si="22"/>
        <v>27364.655628946261</v>
      </c>
      <c r="FG50" s="238">
        <f t="shared" si="22"/>
        <v>37868.27214921033</v>
      </c>
      <c r="FH50" s="238">
        <f t="shared" si="22"/>
        <v>38181.444932443672</v>
      </c>
      <c r="FI50" s="238">
        <f t="shared" si="22"/>
        <v>38494.617715677014</v>
      </c>
      <c r="FJ50" s="238">
        <f t="shared" si="22"/>
        <v>38807.790498910239</v>
      </c>
      <c r="FK50" s="238">
        <f t="shared" si="22"/>
        <v>81188.362967716763</v>
      </c>
      <c r="FL50" s="238">
        <f t="shared" si="22"/>
        <v>81536.548468115623</v>
      </c>
      <c r="FM50" s="238">
        <f t="shared" si="22"/>
        <v>81884.733968514367</v>
      </c>
      <c r="FN50" s="238">
        <f t="shared" si="22"/>
        <v>82232.919468913227</v>
      </c>
      <c r="FO50" s="238">
        <f t="shared" si="22"/>
        <v>110585.49536146317</v>
      </c>
      <c r="FP50" s="238">
        <f t="shared" si="23"/>
        <v>110949.83666908043</v>
      </c>
      <c r="FQ50" s="238">
        <f t="shared" si="23"/>
        <v>111314.1779766978</v>
      </c>
      <c r="FR50" s="238">
        <f t="shared" si="23"/>
        <v>111678.51928431506</v>
      </c>
      <c r="FS50" s="238">
        <f t="shared" si="23"/>
        <v>141459.25539955427</v>
      </c>
      <c r="FT50" s="238">
        <f t="shared" si="23"/>
        <v>141459.25539955427</v>
      </c>
      <c r="FU50" s="238">
        <f t="shared" si="23"/>
        <v>141459.25539955427</v>
      </c>
      <c r="FV50" s="238">
        <f t="shared" si="23"/>
        <v>141459.25539955427</v>
      </c>
      <c r="FW50" s="238"/>
      <c r="FX50" s="239">
        <f>AVERAGE(EI50:EL50)</f>
        <v>-227882.08962389818</v>
      </c>
      <c r="FY50" s="720"/>
      <c r="FZ50" s="254">
        <f t="shared" si="24"/>
        <v>-202577.88114553923</v>
      </c>
      <c r="GA50" s="759"/>
      <c r="GB50" s="255">
        <f t="shared" si="25"/>
        <v>-145694.69711380097</v>
      </c>
      <c r="GC50" s="759"/>
      <c r="GD50" s="255">
        <f t="shared" si="26"/>
        <v>-83137.524672652522</v>
      </c>
      <c r="GE50" s="759"/>
      <c r="GF50" s="255">
        <f t="shared" si="27"/>
        <v>-15148.690173081995</v>
      </c>
      <c r="GG50" s="759"/>
      <c r="GH50" s="727"/>
      <c r="GI50" s="728"/>
      <c r="GJ50" s="108"/>
      <c r="GL50" s="108"/>
      <c r="GN50" s="108"/>
      <c r="GP50" s="108"/>
      <c r="GS50" s="250">
        <v>3</v>
      </c>
      <c r="GT50" s="252">
        <v>1299024.5936951693</v>
      </c>
      <c r="GU50" s="252">
        <v>157013.53353494528</v>
      </c>
      <c r="GV50" s="252">
        <v>1317504.7232690502</v>
      </c>
      <c r="GW50" s="256">
        <v>1488003.2810456825</v>
      </c>
    </row>
    <row r="51" spans="1:205" ht="15" customHeight="1" thickBot="1">
      <c r="A51" s="697">
        <v>2</v>
      </c>
      <c r="B51" s="152" t="s">
        <v>20</v>
      </c>
      <c r="C51" s="222">
        <f t="shared" si="53"/>
        <v>843479.99999999988</v>
      </c>
      <c r="D51" s="222">
        <f t="shared" si="53"/>
        <v>855748.79999999981</v>
      </c>
      <c r="E51" s="222">
        <f t="shared" si="53"/>
        <v>868017.59999999974</v>
      </c>
      <c r="F51" s="222">
        <f t="shared" si="53"/>
        <v>880286.39999999979</v>
      </c>
      <c r="G51" s="222">
        <f t="shared" si="53"/>
        <v>938438.51611866022</v>
      </c>
      <c r="H51" s="222">
        <f t="shared" si="53"/>
        <v>951338.01462200971</v>
      </c>
      <c r="I51" s="222">
        <f t="shared" si="53"/>
        <v>964237.51312535873</v>
      </c>
      <c r="J51" s="222">
        <f t="shared" si="53"/>
        <v>977137.01162870822</v>
      </c>
      <c r="K51" s="222">
        <f t="shared" si="53"/>
        <v>1032134.4184193751</v>
      </c>
      <c r="L51" s="222">
        <f t="shared" si="53"/>
        <v>1045582.4238710933</v>
      </c>
      <c r="M51" s="222">
        <f t="shared" si="53"/>
        <v>1059030.4293228115</v>
      </c>
      <c r="N51" s="222">
        <f t="shared" si="53"/>
        <v>1072478.4347745297</v>
      </c>
      <c r="O51" s="222">
        <f t="shared" si="53"/>
        <v>1151481.1601074135</v>
      </c>
      <c r="P51" s="222">
        <f t="shared" si="53"/>
        <v>1165740.9887155548</v>
      </c>
      <c r="Q51" s="222">
        <f t="shared" si="53"/>
        <v>1180000.8173236963</v>
      </c>
      <c r="R51" s="222">
        <f t="shared" si="53"/>
        <v>1194260.6459318378</v>
      </c>
      <c r="S51" s="222">
        <f t="shared" si="53"/>
        <v>1195481.5167402467</v>
      </c>
      <c r="T51" s="222">
        <f t="shared" si="53"/>
        <v>1209587.4933389518</v>
      </c>
      <c r="U51" s="222">
        <f t="shared" si="53"/>
        <v>1223693.4699376565</v>
      </c>
      <c r="V51" s="222">
        <f t="shared" si="53"/>
        <v>1237799.4465363617</v>
      </c>
      <c r="W51" s="222">
        <f t="shared" si="53"/>
        <v>1376670.1676759142</v>
      </c>
      <c r="X51" s="222">
        <f t="shared" si="53"/>
        <v>1376670.1676759142</v>
      </c>
      <c r="Y51" s="222">
        <f t="shared" si="53"/>
        <v>1376670.1676759142</v>
      </c>
      <c r="Z51" s="222">
        <f t="shared" si="53"/>
        <v>1376670.1676759142</v>
      </c>
      <c r="AA51" s="222">
        <f t="shared" si="53"/>
        <v>1428374.0212296874</v>
      </c>
      <c r="AB51" s="222">
        <f t="shared" si="53"/>
        <v>1428374.0212296874</v>
      </c>
      <c r="AC51" s="222">
        <f t="shared" si="53"/>
        <v>1428374.0212296874</v>
      </c>
      <c r="AD51" s="222">
        <f t="shared" si="53"/>
        <v>1428374.0212296874</v>
      </c>
      <c r="AE51" s="222">
        <f t="shared" si="53"/>
        <v>1507389.0750404387</v>
      </c>
      <c r="AF51" s="222">
        <f t="shared" si="53"/>
        <v>1507389.0750404387</v>
      </c>
      <c r="AG51" s="222">
        <f t="shared" si="53"/>
        <v>1507389.0750404387</v>
      </c>
      <c r="AH51" s="222">
        <f t="shared" si="53"/>
        <v>1507389.0750404384</v>
      </c>
      <c r="AI51" s="222">
        <f t="shared" si="53"/>
        <v>1577331.9281223149</v>
      </c>
      <c r="AJ51" s="222">
        <f t="shared" si="53"/>
        <v>1577331.9281223149</v>
      </c>
      <c r="AK51" s="222">
        <f t="shared" si="53"/>
        <v>1577331.9281223149</v>
      </c>
      <c r="AL51" s="222">
        <f t="shared" si="53"/>
        <v>1577331.9281223149</v>
      </c>
      <c r="AM51" s="222">
        <f t="shared" si="53"/>
        <v>1636572.0721540591</v>
      </c>
      <c r="AN51" s="222">
        <f t="shared" si="53"/>
        <v>1636572.0721540591</v>
      </c>
      <c r="AO51" s="222">
        <f t="shared" si="53"/>
        <v>1636572.0721540591</v>
      </c>
      <c r="AP51" s="222">
        <f t="shared" si="53"/>
        <v>1636572.0721540591</v>
      </c>
      <c r="AQ51" s="223">
        <f t="shared" si="48"/>
        <v>3447532.7999999993</v>
      </c>
      <c r="AR51" s="223">
        <f t="shared" si="14"/>
        <v>3831151.0554947369</v>
      </c>
      <c r="AS51" s="223">
        <f t="shared" si="15"/>
        <v>4209225.7063878104</v>
      </c>
      <c r="AT51" s="223">
        <f t="shared" si="16"/>
        <v>4691483.6120785028</v>
      </c>
      <c r="AU51" s="223">
        <f t="shared" si="17"/>
        <v>4866561.9265532168</v>
      </c>
      <c r="AV51" s="223">
        <f t="shared" si="29"/>
        <v>5506680.670703657</v>
      </c>
      <c r="AW51" s="223">
        <f t="shared" si="30"/>
        <v>5713496.0849187495</v>
      </c>
      <c r="AX51" s="223">
        <f t="shared" si="31"/>
        <v>6029556.3001617538</v>
      </c>
      <c r="AY51" s="223">
        <f t="shared" si="32"/>
        <v>6309327.7124892594</v>
      </c>
      <c r="AZ51" s="223">
        <f t="shared" si="33"/>
        <v>6546288.2886162363</v>
      </c>
      <c r="BA51" s="224"/>
      <c r="BB51" s="224"/>
      <c r="BC51" s="224"/>
      <c r="BD51" s="224"/>
      <c r="BE51" s="224"/>
      <c r="BF51" s="225"/>
      <c r="BL51" s="227"/>
      <c r="BM51" t="e">
        <f t="shared" si="49"/>
        <v>#REF!</v>
      </c>
      <c r="BN51" t="e">
        <f>(#REF!/('[2]Cost Structure'!$BA$13+'[2]Cost Structure'!$BF$13))/4</f>
        <v>#REF!</v>
      </c>
      <c r="BO51" s="697">
        <v>2</v>
      </c>
      <c r="BP51" s="154" t="s">
        <v>20</v>
      </c>
      <c r="BQ51" s="229">
        <f t="shared" ref="BQ51:DD51" si="55">BQ9*DJ29*C37/4</f>
        <v>1231366.062334545</v>
      </c>
      <c r="BR51" s="229">
        <f t="shared" si="55"/>
        <v>1231366.062334545</v>
      </c>
      <c r="BS51" s="229">
        <f t="shared" si="55"/>
        <v>1231366.062334545</v>
      </c>
      <c r="BT51" s="229">
        <f t="shared" si="55"/>
        <v>1231366.062334545</v>
      </c>
      <c r="BU51" s="229">
        <f t="shared" si="55"/>
        <v>1267138.4937440187</v>
      </c>
      <c r="BV51" s="229">
        <f t="shared" si="55"/>
        <v>1267138.4937440187</v>
      </c>
      <c r="BW51" s="229">
        <f t="shared" si="55"/>
        <v>1267138.4937440187</v>
      </c>
      <c r="BX51" s="229">
        <f t="shared" si="55"/>
        <v>1267138.4937440187</v>
      </c>
      <c r="BY51" s="229">
        <f t="shared" si="55"/>
        <v>1266652.4414816115</v>
      </c>
      <c r="BZ51" s="229">
        <f t="shared" si="55"/>
        <v>1266652.4414816115</v>
      </c>
      <c r="CA51" s="229">
        <f t="shared" si="55"/>
        <v>1266652.4414816115</v>
      </c>
      <c r="CB51" s="229">
        <f t="shared" si="55"/>
        <v>1266652.4414816115</v>
      </c>
      <c r="CC51" s="229">
        <f t="shared" si="55"/>
        <v>1282933.6617750486</v>
      </c>
      <c r="CD51" s="229">
        <f t="shared" si="55"/>
        <v>1282933.6617750486</v>
      </c>
      <c r="CE51" s="229">
        <f t="shared" si="55"/>
        <v>1282933.6617750486</v>
      </c>
      <c r="CF51" s="229">
        <f t="shared" si="55"/>
        <v>1282933.6617750486</v>
      </c>
      <c r="CG51" s="229">
        <f t="shared" si="55"/>
        <v>1234157.1243118281</v>
      </c>
      <c r="CH51" s="229">
        <f t="shared" si="55"/>
        <v>1234157.1243118281</v>
      </c>
      <c r="CI51" s="229">
        <f t="shared" si="55"/>
        <v>1234157.1243118281</v>
      </c>
      <c r="CJ51" s="229">
        <f t="shared" si="55"/>
        <v>1234157.1243118281</v>
      </c>
      <c r="CK51" s="229">
        <f t="shared" si="55"/>
        <v>1297900.1702732448</v>
      </c>
      <c r="CL51" s="229">
        <f t="shared" si="55"/>
        <v>1297900.1702732448</v>
      </c>
      <c r="CM51" s="229">
        <f t="shared" si="55"/>
        <v>1297900.1702732448</v>
      </c>
      <c r="CN51" s="229">
        <f t="shared" si="55"/>
        <v>1297900.1702732448</v>
      </c>
      <c r="CO51" s="229">
        <f t="shared" si="55"/>
        <v>1294269.9054624529</v>
      </c>
      <c r="CP51" s="229">
        <f t="shared" si="55"/>
        <v>1294269.9054624529</v>
      </c>
      <c r="CQ51" s="229">
        <f t="shared" si="55"/>
        <v>1294269.9054624529</v>
      </c>
      <c r="CR51" s="229">
        <f t="shared" si="55"/>
        <v>1294269.9054624529</v>
      </c>
      <c r="CS51" s="229">
        <f t="shared" si="55"/>
        <v>1307499.8400328271</v>
      </c>
      <c r="CT51" s="229">
        <f t="shared" si="55"/>
        <v>1307499.8400328271</v>
      </c>
      <c r="CU51" s="229">
        <f t="shared" si="55"/>
        <v>1307499.8400328271</v>
      </c>
      <c r="CV51" s="229">
        <f t="shared" si="55"/>
        <v>1307499.8400328271</v>
      </c>
      <c r="CW51" s="229">
        <f t="shared" si="55"/>
        <v>1312636.2683060274</v>
      </c>
      <c r="CX51" s="229">
        <f t="shared" si="55"/>
        <v>1312636.2683060274</v>
      </c>
      <c r="CY51" s="229">
        <f t="shared" si="55"/>
        <v>1312636.2683060274</v>
      </c>
      <c r="CZ51" s="229">
        <f t="shared" si="55"/>
        <v>1312636.2683060274</v>
      </c>
      <c r="DA51" s="229">
        <f t="shared" si="55"/>
        <v>1309559.4498272114</v>
      </c>
      <c r="DB51" s="229">
        <f t="shared" si="55"/>
        <v>1309559.4498272114</v>
      </c>
      <c r="DC51" s="229">
        <f t="shared" si="55"/>
        <v>1309559.4498272114</v>
      </c>
      <c r="DD51" s="229">
        <f t="shared" si="55"/>
        <v>1309559.4498272114</v>
      </c>
      <c r="DE51" s="230">
        <f t="shared" si="35"/>
        <v>4925464.2493381798</v>
      </c>
      <c r="DF51" s="231">
        <f t="shared" si="36"/>
        <v>5068553.9749760749</v>
      </c>
      <c r="DG51" s="231">
        <f t="shared" si="37"/>
        <v>5066609.7659264458</v>
      </c>
      <c r="DH51" s="231">
        <f t="shared" si="38"/>
        <v>5131734.6471001944</v>
      </c>
      <c r="DI51" s="232">
        <f t="shared" si="39"/>
        <v>4936628.4972473122</v>
      </c>
      <c r="DJ51" s="232">
        <f t="shared" si="40"/>
        <v>5191600.6810929794</v>
      </c>
      <c r="DK51" s="232">
        <f t="shared" si="41"/>
        <v>5177079.6218498116</v>
      </c>
      <c r="DL51" s="232">
        <f t="shared" si="42"/>
        <v>5229999.3601313084</v>
      </c>
      <c r="DM51" s="232">
        <f t="shared" si="43"/>
        <v>5250545.0732241096</v>
      </c>
      <c r="DN51" s="232">
        <f t="shared" si="44"/>
        <v>5238237.7993088458</v>
      </c>
      <c r="DO51" s="230">
        <f t="shared" si="45"/>
        <v>-1477931.4493381805</v>
      </c>
      <c r="DP51" s="230">
        <f t="shared" si="19"/>
        <v>-1237402.919481338</v>
      </c>
      <c r="DQ51" s="230">
        <f t="shared" si="19"/>
        <v>-857384.05953863543</v>
      </c>
      <c r="DR51" s="230">
        <f t="shared" si="19"/>
        <v>-440251.03502169158</v>
      </c>
      <c r="DS51" s="230">
        <f t="shared" si="19"/>
        <v>-70066.570694095455</v>
      </c>
      <c r="DT51" s="230">
        <f t="shared" si="19"/>
        <v>315079.98961067759</v>
      </c>
      <c r="DU51" s="230">
        <f t="shared" si="19"/>
        <v>536416.46306893788</v>
      </c>
      <c r="DV51" s="230">
        <f t="shared" si="19"/>
        <v>799556.94003044534</v>
      </c>
      <c r="DW51" s="230">
        <f t="shared" si="19"/>
        <v>1058782.6392651498</v>
      </c>
      <c r="DX51" s="230">
        <f t="shared" si="19"/>
        <v>1308050.4893073905</v>
      </c>
      <c r="DY51" s="241"/>
      <c r="DZ51" s="696">
        <v>2</v>
      </c>
      <c r="EA51" s="257"/>
      <c r="EB51" s="235" t="e">
        <f>(DF51+#REF!/9)*1.1</f>
        <v>#REF!</v>
      </c>
      <c r="EC51" s="235" t="e">
        <f>(DG51+#REF!/13)*1.1</f>
        <v>#REF!</v>
      </c>
      <c r="ED51" s="235" t="e">
        <f>(DH51+#REF!/17)*1.1</f>
        <v>#REF!</v>
      </c>
      <c r="EE51" s="236">
        <f t="shared" si="20"/>
        <v>5430291.3469720436</v>
      </c>
      <c r="EF51" s="209"/>
      <c r="EG51" s="697">
        <v>2</v>
      </c>
      <c r="EH51" s="154" t="s">
        <v>20</v>
      </c>
      <c r="EI51" s="258">
        <f t="shared" si="46"/>
        <v>-387886.06233454507</v>
      </c>
      <c r="EJ51" s="258">
        <f t="shared" si="21"/>
        <v>-375617.26233454514</v>
      </c>
      <c r="EK51" s="258">
        <f t="shared" si="21"/>
        <v>-363348.46233454521</v>
      </c>
      <c r="EL51" s="258">
        <f t="shared" si="21"/>
        <v>-351079.66233454517</v>
      </c>
      <c r="EM51" s="258">
        <f t="shared" si="21"/>
        <v>-328699.9776253585</v>
      </c>
      <c r="EN51" s="258">
        <f t="shared" si="21"/>
        <v>-315800.47912200901</v>
      </c>
      <c r="EO51" s="258">
        <f t="shared" si="21"/>
        <v>-302900.98061865999</v>
      </c>
      <c r="EP51" s="258">
        <f t="shared" si="21"/>
        <v>-290001.4821153105</v>
      </c>
      <c r="EQ51" s="258">
        <f t="shared" si="21"/>
        <v>-234518.02306223637</v>
      </c>
      <c r="ER51" s="258">
        <f t="shared" si="21"/>
        <v>-221070.01761051815</v>
      </c>
      <c r="ES51" s="258">
        <f t="shared" si="21"/>
        <v>-207622.01215879992</v>
      </c>
      <c r="ET51" s="258">
        <f t="shared" si="21"/>
        <v>-194174.0067070818</v>
      </c>
      <c r="EU51" s="258">
        <f t="shared" si="21"/>
        <v>-131452.50166763505</v>
      </c>
      <c r="EV51" s="258">
        <f t="shared" si="21"/>
        <v>-117192.67305949377</v>
      </c>
      <c r="EW51" s="258">
        <f t="shared" si="21"/>
        <v>-102932.84445135226</v>
      </c>
      <c r="EX51" s="258">
        <f t="shared" si="21"/>
        <v>-88673.015843210742</v>
      </c>
      <c r="EY51" s="258">
        <f t="shared" si="21"/>
        <v>-38675.607571581379</v>
      </c>
      <c r="EZ51" s="258">
        <f t="shared" si="22"/>
        <v>-24569.630972876213</v>
      </c>
      <c r="FA51" s="258">
        <f t="shared" si="22"/>
        <v>-10463.654374171514</v>
      </c>
      <c r="FB51" s="258">
        <f t="shared" si="22"/>
        <v>3642.322224533651</v>
      </c>
      <c r="FC51" s="258">
        <f t="shared" si="22"/>
        <v>78769.997402669396</v>
      </c>
      <c r="FD51" s="258">
        <f t="shared" si="22"/>
        <v>78769.997402669396</v>
      </c>
      <c r="FE51" s="258">
        <f t="shared" si="22"/>
        <v>78769.997402669396</v>
      </c>
      <c r="FF51" s="258">
        <f t="shared" si="22"/>
        <v>78769.997402669396</v>
      </c>
      <c r="FG51" s="258">
        <f t="shared" si="22"/>
        <v>134104.11576723447</v>
      </c>
      <c r="FH51" s="258">
        <f t="shared" si="22"/>
        <v>134104.11576723447</v>
      </c>
      <c r="FI51" s="258">
        <f t="shared" si="22"/>
        <v>134104.11576723447</v>
      </c>
      <c r="FJ51" s="258">
        <f t="shared" si="22"/>
        <v>134104.11576723447</v>
      </c>
      <c r="FK51" s="258">
        <f t="shared" si="22"/>
        <v>199889.23500761157</v>
      </c>
      <c r="FL51" s="258">
        <f t="shared" si="22"/>
        <v>199889.23500761157</v>
      </c>
      <c r="FM51" s="258">
        <f t="shared" si="22"/>
        <v>199889.23500761157</v>
      </c>
      <c r="FN51" s="258">
        <f t="shared" si="22"/>
        <v>199889.23500761134</v>
      </c>
      <c r="FO51" s="258">
        <f t="shared" si="22"/>
        <v>264695.65981628746</v>
      </c>
      <c r="FP51" s="258">
        <f t="shared" si="23"/>
        <v>264695.65981628746</v>
      </c>
      <c r="FQ51" s="258">
        <f t="shared" si="23"/>
        <v>264695.65981628746</v>
      </c>
      <c r="FR51" s="258">
        <f t="shared" si="23"/>
        <v>264695.65981628746</v>
      </c>
      <c r="FS51" s="258">
        <f t="shared" si="23"/>
        <v>327012.62232684763</v>
      </c>
      <c r="FT51" s="258">
        <f t="shared" si="23"/>
        <v>327012.62232684763</v>
      </c>
      <c r="FU51" s="258">
        <f t="shared" si="23"/>
        <v>327012.62232684763</v>
      </c>
      <c r="FV51" s="258">
        <f t="shared" si="23"/>
        <v>327012.62232684763</v>
      </c>
      <c r="FW51" s="258"/>
      <c r="FX51" s="259"/>
      <c r="FY51" s="260"/>
      <c r="FZ51" s="254">
        <f t="shared" si="24"/>
        <v>-309350.7298703345</v>
      </c>
      <c r="GA51" s="719">
        <f>SUM(FZ51:FZ54)</f>
        <v>-626649.09496106976</v>
      </c>
      <c r="GB51" s="249">
        <f t="shared" si="25"/>
        <v>-214346.01488465906</v>
      </c>
      <c r="GC51" s="719">
        <f>SUM(GB51:GB54)</f>
        <v>-216536.46805321163</v>
      </c>
      <c r="GD51" s="249">
        <f t="shared" si="26"/>
        <v>-110062.75875542295</v>
      </c>
      <c r="GE51" s="719">
        <f>SUM(GD51:GD54)</f>
        <v>243222.09432783874</v>
      </c>
      <c r="GF51" s="249">
        <f t="shared" si="27"/>
        <v>-17516.642673523864</v>
      </c>
      <c r="GG51" s="719">
        <f>SUM(GF51:GF54)</f>
        <v>593250.31398967584</v>
      </c>
      <c r="GH51" s="725">
        <f>GG51+GE51+GC51+GA51</f>
        <v>-6713.1546967667527</v>
      </c>
      <c r="GI51" s="728">
        <f>SUM(EI51:FB54)</f>
        <v>-3698321.859234679</v>
      </c>
      <c r="GJ51" s="108"/>
      <c r="GL51" s="108"/>
      <c r="GN51" s="108"/>
      <c r="GP51" s="108"/>
      <c r="GS51" s="261">
        <v>4</v>
      </c>
      <c r="GT51" s="262">
        <v>425311.94351508474</v>
      </c>
      <c r="GU51" s="263">
        <v>354013.02003943536</v>
      </c>
      <c r="GV51" s="263">
        <v>-229115.83792985661</v>
      </c>
      <c r="GW51" s="264">
        <v>-89758.302248997381</v>
      </c>
    </row>
    <row r="52" spans="1:205" ht="15" customHeight="1" thickBot="1">
      <c r="A52" s="697"/>
      <c r="B52" s="152" t="s">
        <v>21</v>
      </c>
      <c r="C52" s="222">
        <f t="shared" ref="C52:AP52" si="56">(IF(BQ10=1,IF(C10&lt;=$BJ$46,C10*1000*$BI10,$BJ$46*1000*$BI10),IF(BQ10*$BJ$46&gt;=C10,C10*1000*$BI10,BQ10*1000*$BJ$46*$BI10)))*C37/4*$C$26</f>
        <v>970348.12500000012</v>
      </c>
      <c r="D52" s="222">
        <f t="shared" si="56"/>
        <v>985873.69500000018</v>
      </c>
      <c r="E52" s="222">
        <f t="shared" si="56"/>
        <v>1001399.2650000001</v>
      </c>
      <c r="F52" s="222">
        <f t="shared" si="56"/>
        <v>1016924.8350000002</v>
      </c>
      <c r="G52" s="222">
        <f t="shared" si="56"/>
        <v>1085525.2717527277</v>
      </c>
      <c r="H52" s="222">
        <f t="shared" si="56"/>
        <v>1101848.960049761</v>
      </c>
      <c r="I52" s="222">
        <f t="shared" si="56"/>
        <v>1118172.6483467948</v>
      </c>
      <c r="J52" s="222">
        <f t="shared" si="56"/>
        <v>1134496.3366438281</v>
      </c>
      <c r="K52" s="222">
        <f t="shared" si="56"/>
        <v>1199754.700954685</v>
      </c>
      <c r="L52" s="222">
        <f t="shared" si="56"/>
        <v>1216772.4981313471</v>
      </c>
      <c r="M52" s="222">
        <f t="shared" si="56"/>
        <v>1233790.2953080093</v>
      </c>
      <c r="N52" s="222">
        <f t="shared" si="56"/>
        <v>1250808.0924846716</v>
      </c>
      <c r="O52" s="222">
        <f t="shared" si="56"/>
        <v>1344361.4338530034</v>
      </c>
      <c r="P52" s="222">
        <f t="shared" si="56"/>
        <v>1362406.5537704935</v>
      </c>
      <c r="Q52" s="222">
        <f t="shared" si="56"/>
        <v>1380451.6736879835</v>
      </c>
      <c r="R52" s="222">
        <f t="shared" si="56"/>
        <v>1398496.7936054734</v>
      </c>
      <c r="S52" s="222">
        <f t="shared" si="56"/>
        <v>1401258.5727595319</v>
      </c>
      <c r="T52" s="222">
        <f t="shared" si="56"/>
        <v>1419109.0004379973</v>
      </c>
      <c r="U52" s="222">
        <f t="shared" si="56"/>
        <v>1436959.4281164627</v>
      </c>
      <c r="V52" s="222">
        <f t="shared" si="56"/>
        <v>1454809.8557949285</v>
      </c>
      <c r="W52" s="222">
        <f t="shared" si="56"/>
        <v>1551448.2107708715</v>
      </c>
      <c r="X52" s="222">
        <f t="shared" si="56"/>
        <v>1554551.1071924132</v>
      </c>
      <c r="Y52" s="222">
        <f t="shared" si="56"/>
        <v>1557660.2094067982</v>
      </c>
      <c r="Z52" s="222">
        <f t="shared" si="56"/>
        <v>1560775.5298256115</v>
      </c>
      <c r="AA52" s="222">
        <f t="shared" si="56"/>
        <v>1555857.8350466737</v>
      </c>
      <c r="AB52" s="222">
        <f t="shared" si="56"/>
        <v>1562081.2663868603</v>
      </c>
      <c r="AC52" s="222">
        <f t="shared" si="56"/>
        <v>1568329.5914524077</v>
      </c>
      <c r="AD52" s="222">
        <f t="shared" si="56"/>
        <v>1574602.9098182169</v>
      </c>
      <c r="AE52" s="222">
        <f t="shared" si="56"/>
        <v>1599691.2175638559</v>
      </c>
      <c r="AF52" s="222">
        <f t="shared" si="56"/>
        <v>1609289.3648692393</v>
      </c>
      <c r="AG52" s="222">
        <f t="shared" si="56"/>
        <v>1618945.101058455</v>
      </c>
      <c r="AH52" s="222">
        <f t="shared" si="56"/>
        <v>1628658.771664805</v>
      </c>
      <c r="AI52" s="222">
        <f t="shared" si="56"/>
        <v>1642908.9280920671</v>
      </c>
      <c r="AJ52" s="222">
        <f t="shared" si="56"/>
        <v>1655066.454159948</v>
      </c>
      <c r="AK52" s="222">
        <f t="shared" si="56"/>
        <v>1667313.9459207323</v>
      </c>
      <c r="AL52" s="222">
        <f t="shared" si="56"/>
        <v>1679652.0691205454</v>
      </c>
      <c r="AM52" s="222">
        <f t="shared" si="56"/>
        <v>1681197.3430476137</v>
      </c>
      <c r="AN52" s="222">
        <f t="shared" si="56"/>
        <v>1681197.3430476137</v>
      </c>
      <c r="AO52" s="222">
        <f t="shared" si="56"/>
        <v>1681197.3430476137</v>
      </c>
      <c r="AP52" s="222">
        <f t="shared" si="56"/>
        <v>1681197.3430476137</v>
      </c>
      <c r="AQ52" s="223">
        <f t="shared" si="48"/>
        <v>3974545.9200000009</v>
      </c>
      <c r="AR52" s="223">
        <f t="shared" si="14"/>
        <v>4440043.2167931115</v>
      </c>
      <c r="AS52" s="223">
        <f t="shared" si="15"/>
        <v>4901125.5868787132</v>
      </c>
      <c r="AT52" s="223">
        <f t="shared" si="16"/>
        <v>5485716.454916954</v>
      </c>
      <c r="AU52" s="223">
        <f t="shared" si="17"/>
        <v>5712136.8571089208</v>
      </c>
      <c r="AV52" s="223">
        <f t="shared" si="29"/>
        <v>6224435.0571956933</v>
      </c>
      <c r="AW52" s="223">
        <f t="shared" si="30"/>
        <v>6260871.602704159</v>
      </c>
      <c r="AX52" s="223">
        <f t="shared" si="31"/>
        <v>6456584.4551563552</v>
      </c>
      <c r="AY52" s="223">
        <f t="shared" si="32"/>
        <v>6644941.397293292</v>
      </c>
      <c r="AZ52" s="223">
        <f t="shared" si="33"/>
        <v>6724789.372190455</v>
      </c>
      <c r="BA52" s="224"/>
      <c r="BB52" s="224"/>
      <c r="BC52" s="224"/>
      <c r="BD52" s="224"/>
      <c r="BE52" s="224"/>
      <c r="BF52" s="225"/>
      <c r="BL52" s="227"/>
      <c r="BM52" t="e">
        <f t="shared" si="49"/>
        <v>#REF!</v>
      </c>
      <c r="BN52" t="e">
        <f>(#REF!/('[2]Cost Structure'!$BA$13+'[2]Cost Structure'!$BF$13))/4</f>
        <v>#REF!</v>
      </c>
      <c r="BO52" s="697"/>
      <c r="BP52" s="154" t="s">
        <v>21</v>
      </c>
      <c r="BQ52" s="229">
        <f t="shared" ref="BQ52:DD52" si="57">BQ10*DJ30*C37/4</f>
        <v>991150.75052801333</v>
      </c>
      <c r="BR52" s="229">
        <f t="shared" si="57"/>
        <v>991150.75052801333</v>
      </c>
      <c r="BS52" s="229">
        <f t="shared" si="57"/>
        <v>991150.75052801333</v>
      </c>
      <c r="BT52" s="229">
        <f t="shared" si="57"/>
        <v>991150.75052801333</v>
      </c>
      <c r="BU52" s="229">
        <f t="shared" si="57"/>
        <v>1027187.4687406067</v>
      </c>
      <c r="BV52" s="229">
        <f t="shared" si="57"/>
        <v>1027187.4687406067</v>
      </c>
      <c r="BW52" s="229">
        <f t="shared" si="57"/>
        <v>1027187.4687406067</v>
      </c>
      <c r="BX52" s="229">
        <f t="shared" si="57"/>
        <v>1027187.4687406067</v>
      </c>
      <c r="BY52" s="229">
        <f t="shared" si="57"/>
        <v>1028709.4916774621</v>
      </c>
      <c r="BZ52" s="229">
        <f t="shared" si="57"/>
        <v>1028709.4916774621</v>
      </c>
      <c r="CA52" s="229">
        <f t="shared" si="57"/>
        <v>1028709.4916774621</v>
      </c>
      <c r="CB52" s="229">
        <f t="shared" si="57"/>
        <v>1028709.4916774621</v>
      </c>
      <c r="CC52" s="229">
        <f t="shared" si="57"/>
        <v>1043791.0640756811</v>
      </c>
      <c r="CD52" s="229">
        <f t="shared" si="57"/>
        <v>1043791.0640756811</v>
      </c>
      <c r="CE52" s="229">
        <f t="shared" si="57"/>
        <v>1043791.0640756811</v>
      </c>
      <c r="CF52" s="229">
        <f t="shared" si="57"/>
        <v>1043791.0640756811</v>
      </c>
      <c r="CG52" s="229">
        <f t="shared" si="57"/>
        <v>1006791.7311015284</v>
      </c>
      <c r="CH52" s="229">
        <f t="shared" si="57"/>
        <v>1006791.7311015284</v>
      </c>
      <c r="CI52" s="229">
        <f t="shared" si="57"/>
        <v>1006791.7311015284</v>
      </c>
      <c r="CJ52" s="229">
        <f t="shared" si="57"/>
        <v>1006791.7311015284</v>
      </c>
      <c r="CK52" s="229">
        <f t="shared" si="57"/>
        <v>1055520.7175578098</v>
      </c>
      <c r="CL52" s="229">
        <f t="shared" si="57"/>
        <v>1055520.7175578098</v>
      </c>
      <c r="CM52" s="229">
        <f t="shared" si="57"/>
        <v>1055520.7175578098</v>
      </c>
      <c r="CN52" s="229">
        <f t="shared" si="57"/>
        <v>1055520.7175578098</v>
      </c>
      <c r="CO52" s="229">
        <f t="shared" si="57"/>
        <v>1050300.0534152312</v>
      </c>
      <c r="CP52" s="229">
        <f t="shared" si="57"/>
        <v>1050300.0534152312</v>
      </c>
      <c r="CQ52" s="229">
        <f t="shared" si="57"/>
        <v>1050300.0534152312</v>
      </c>
      <c r="CR52" s="229">
        <f t="shared" si="57"/>
        <v>1050300.0534152312</v>
      </c>
      <c r="CS52" s="229">
        <f t="shared" si="57"/>
        <v>1059206.8735389418</v>
      </c>
      <c r="CT52" s="229">
        <f t="shared" si="57"/>
        <v>1059206.8735389418</v>
      </c>
      <c r="CU52" s="229">
        <f t="shared" si="57"/>
        <v>1059206.8735389418</v>
      </c>
      <c r="CV52" s="229">
        <f t="shared" si="57"/>
        <v>1059206.8735389418</v>
      </c>
      <c r="CW52" s="229">
        <f t="shared" si="57"/>
        <v>1062197.6763363865</v>
      </c>
      <c r="CX52" s="229">
        <f t="shared" si="57"/>
        <v>1062197.6763363865</v>
      </c>
      <c r="CY52" s="229">
        <f t="shared" si="57"/>
        <v>1062197.6763363865</v>
      </c>
      <c r="CZ52" s="229">
        <f t="shared" si="57"/>
        <v>1062197.6763363865</v>
      </c>
      <c r="DA52" s="229">
        <f t="shared" si="57"/>
        <v>1057666.315295588</v>
      </c>
      <c r="DB52" s="229">
        <f t="shared" si="57"/>
        <v>1057666.315295588</v>
      </c>
      <c r="DC52" s="229">
        <f t="shared" si="57"/>
        <v>1057666.315295588</v>
      </c>
      <c r="DD52" s="229">
        <f t="shared" si="57"/>
        <v>1057666.315295588</v>
      </c>
      <c r="DE52" s="230">
        <f t="shared" si="35"/>
        <v>3964603.0021120533</v>
      </c>
      <c r="DF52" s="231">
        <f t="shared" si="36"/>
        <v>4108749.8749624267</v>
      </c>
      <c r="DG52" s="231">
        <f t="shared" si="37"/>
        <v>4114837.9667098485</v>
      </c>
      <c r="DH52" s="231">
        <f t="shared" si="38"/>
        <v>4175164.2563027246</v>
      </c>
      <c r="DI52" s="232">
        <f t="shared" si="39"/>
        <v>4027166.9244061136</v>
      </c>
      <c r="DJ52" s="232">
        <f t="shared" si="40"/>
        <v>4222082.8702312391</v>
      </c>
      <c r="DK52" s="232">
        <f t="shared" si="41"/>
        <v>4201200.2136609247</v>
      </c>
      <c r="DL52" s="232">
        <f t="shared" si="42"/>
        <v>4236827.4941557674</v>
      </c>
      <c r="DM52" s="232">
        <f t="shared" si="43"/>
        <v>4248790.7053455459</v>
      </c>
      <c r="DN52" s="232">
        <f t="shared" si="44"/>
        <v>4230665.261182352</v>
      </c>
      <c r="DO52" s="230">
        <f t="shared" si="45"/>
        <v>9942.9178879475221</v>
      </c>
      <c r="DP52" s="230">
        <f t="shared" si="19"/>
        <v>331293.3418306848</v>
      </c>
      <c r="DQ52" s="230">
        <f t="shared" si="19"/>
        <v>786287.62016886473</v>
      </c>
      <c r="DR52" s="230">
        <f t="shared" si="19"/>
        <v>1310552.1986142294</v>
      </c>
      <c r="DS52" s="230">
        <f t="shared" si="19"/>
        <v>1684969.9327028072</v>
      </c>
      <c r="DT52" s="230">
        <f t="shared" si="19"/>
        <v>2002352.1869644541</v>
      </c>
      <c r="DU52" s="230">
        <f t="shared" si="19"/>
        <v>2059671.3890432343</v>
      </c>
      <c r="DV52" s="230">
        <f t="shared" si="19"/>
        <v>2219756.9610005878</v>
      </c>
      <c r="DW52" s="230">
        <f t="shared" si="19"/>
        <v>2396150.6919477461</v>
      </c>
      <c r="DX52" s="230">
        <f t="shared" si="19"/>
        <v>2494124.111008103</v>
      </c>
      <c r="DY52" s="241"/>
      <c r="DZ52" s="696"/>
      <c r="EA52" s="257"/>
      <c r="EB52" s="235" t="e">
        <f>(DF52+#REF!/9)*1.1</f>
        <v>#REF!</v>
      </c>
      <c r="EC52" s="235" t="e">
        <f>(DG52+#REF!/13)*1.1</f>
        <v>#REF!</v>
      </c>
      <c r="ED52" s="235" t="e">
        <f>(DH52+#REF!/17)*1.1</f>
        <v>#REF!</v>
      </c>
      <c r="EE52" s="236">
        <f t="shared" si="20"/>
        <v>4429883.6168467253</v>
      </c>
      <c r="EF52" s="209"/>
      <c r="EG52" s="697"/>
      <c r="EH52" s="154" t="s">
        <v>21</v>
      </c>
      <c r="EI52" s="258">
        <f t="shared" si="46"/>
        <v>-20802.625528013217</v>
      </c>
      <c r="EJ52" s="258">
        <f t="shared" si="21"/>
        <v>-5277.0555280131521</v>
      </c>
      <c r="EK52" s="258">
        <f t="shared" si="21"/>
        <v>10248.514471986797</v>
      </c>
      <c r="EL52" s="258">
        <f t="shared" si="21"/>
        <v>25774.084471986862</v>
      </c>
      <c r="EM52" s="258">
        <f t="shared" si="21"/>
        <v>58337.803012121003</v>
      </c>
      <c r="EN52" s="258">
        <f t="shared" si="21"/>
        <v>74661.491309154313</v>
      </c>
      <c r="EO52" s="258">
        <f t="shared" si="21"/>
        <v>90985.179606188089</v>
      </c>
      <c r="EP52" s="258">
        <f t="shared" si="21"/>
        <v>107308.8679032214</v>
      </c>
      <c r="EQ52" s="258">
        <f t="shared" si="21"/>
        <v>171045.20927722286</v>
      </c>
      <c r="ER52" s="258">
        <f t="shared" si="21"/>
        <v>188063.006453885</v>
      </c>
      <c r="ES52" s="258">
        <f t="shared" si="21"/>
        <v>205080.80363054713</v>
      </c>
      <c r="ET52" s="258">
        <f t="shared" si="21"/>
        <v>222098.6008072095</v>
      </c>
      <c r="EU52" s="258">
        <f t="shared" si="21"/>
        <v>300570.36977732228</v>
      </c>
      <c r="EV52" s="258">
        <f t="shared" si="21"/>
        <v>318615.48969481234</v>
      </c>
      <c r="EW52" s="258">
        <f t="shared" si="21"/>
        <v>336660.60961230239</v>
      </c>
      <c r="EX52" s="258">
        <f t="shared" si="21"/>
        <v>354705.72952979221</v>
      </c>
      <c r="EY52" s="258">
        <f t="shared" si="21"/>
        <v>394466.84165800351</v>
      </c>
      <c r="EZ52" s="258">
        <f t="shared" si="22"/>
        <v>412317.26933646889</v>
      </c>
      <c r="FA52" s="258">
        <f t="shared" si="22"/>
        <v>430167.69701493427</v>
      </c>
      <c r="FB52" s="258">
        <f t="shared" si="22"/>
        <v>448018.12469340011</v>
      </c>
      <c r="FC52" s="258">
        <f t="shared" si="22"/>
        <v>495927.49321306171</v>
      </c>
      <c r="FD52" s="258">
        <f t="shared" si="22"/>
        <v>499030.3896346034</v>
      </c>
      <c r="FE52" s="258">
        <f t="shared" si="22"/>
        <v>502139.49184898846</v>
      </c>
      <c r="FF52" s="258">
        <f t="shared" si="22"/>
        <v>505254.81226780172</v>
      </c>
      <c r="FG52" s="258">
        <f t="shared" si="22"/>
        <v>505557.78163144249</v>
      </c>
      <c r="FH52" s="258">
        <f t="shared" si="22"/>
        <v>511781.21297162911</v>
      </c>
      <c r="FI52" s="258">
        <f t="shared" si="22"/>
        <v>518029.53803717648</v>
      </c>
      <c r="FJ52" s="258">
        <f t="shared" si="22"/>
        <v>524302.85640298575</v>
      </c>
      <c r="FK52" s="258">
        <f t="shared" si="22"/>
        <v>540484.34402491408</v>
      </c>
      <c r="FL52" s="258">
        <f t="shared" si="22"/>
        <v>550082.49133029743</v>
      </c>
      <c r="FM52" s="258">
        <f t="shared" si="22"/>
        <v>559738.22751951311</v>
      </c>
      <c r="FN52" s="258">
        <f t="shared" si="22"/>
        <v>569451.89812586317</v>
      </c>
      <c r="FO52" s="258">
        <f t="shared" si="22"/>
        <v>580711.25175568066</v>
      </c>
      <c r="FP52" s="258">
        <f t="shared" si="23"/>
        <v>592868.77782356157</v>
      </c>
      <c r="FQ52" s="258">
        <f t="shared" si="23"/>
        <v>605116.26958434586</v>
      </c>
      <c r="FR52" s="258">
        <f t="shared" si="23"/>
        <v>617454.39278415893</v>
      </c>
      <c r="FS52" s="258">
        <f t="shared" si="23"/>
        <v>623531.02775202575</v>
      </c>
      <c r="FT52" s="258">
        <f t="shared" si="23"/>
        <v>623531.02775202575</v>
      </c>
      <c r="FU52" s="258">
        <f t="shared" si="23"/>
        <v>623531.02775202575</v>
      </c>
      <c r="FV52" s="258">
        <f t="shared" si="23"/>
        <v>623531.02775202575</v>
      </c>
      <c r="FW52" s="258"/>
      <c r="FX52" s="259"/>
      <c r="FY52" s="260"/>
      <c r="FZ52" s="254">
        <f t="shared" si="24"/>
        <v>82823.335457671201</v>
      </c>
      <c r="GA52" s="720"/>
      <c r="GB52" s="249">
        <f t="shared" si="25"/>
        <v>196571.90504221612</v>
      </c>
      <c r="GC52" s="720"/>
      <c r="GD52" s="249">
        <f t="shared" si="26"/>
        <v>327638.0496535573</v>
      </c>
      <c r="GE52" s="720"/>
      <c r="GF52" s="249">
        <f t="shared" si="27"/>
        <v>421242.48317570169</v>
      </c>
      <c r="GG52" s="720"/>
      <c r="GH52" s="726"/>
      <c r="GI52" s="728"/>
      <c r="GJ52" s="108"/>
      <c r="GL52" s="108"/>
      <c r="GN52" s="108"/>
      <c r="GP52" s="108"/>
    </row>
    <row r="53" spans="1:205" ht="15" customHeight="1" thickBot="1">
      <c r="A53" s="697"/>
      <c r="B53" s="152" t="s">
        <v>23</v>
      </c>
      <c r="C53" s="222">
        <f t="shared" ref="C53:AP53" si="58">(IF(BQ11=1,IF(C11&lt;=$BJ$46,C11*1000*$BI11,$BJ$46*1000*$BI11),IF(BQ11*$BJ$46&gt;=C11,C11*1000*$BI11,BQ11*1000*$BJ$46*$BI11)))*C37/4*$C$26</f>
        <v>794623.125</v>
      </c>
      <c r="D53" s="222">
        <f t="shared" si="58"/>
        <v>807337.09500000009</v>
      </c>
      <c r="E53" s="222">
        <f t="shared" si="58"/>
        <v>820051.06499999994</v>
      </c>
      <c r="F53" s="222">
        <f t="shared" si="58"/>
        <v>832765.03500000003</v>
      </c>
      <c r="G53" s="222">
        <f t="shared" si="58"/>
        <v>888942.28935272736</v>
      </c>
      <c r="H53" s="222">
        <f t="shared" si="58"/>
        <v>902309.84257607663</v>
      </c>
      <c r="I53" s="222">
        <f t="shared" si="58"/>
        <v>915677.3957994259</v>
      </c>
      <c r="J53" s="222">
        <f t="shared" si="58"/>
        <v>929044.94902277528</v>
      </c>
      <c r="K53" s="222">
        <f t="shared" si="58"/>
        <v>982485.36287536204</v>
      </c>
      <c r="L53" s="222">
        <f t="shared" si="58"/>
        <v>996421.3254693388</v>
      </c>
      <c r="M53" s="222">
        <f t="shared" si="58"/>
        <v>1010357.2880633156</v>
      </c>
      <c r="N53" s="222">
        <f t="shared" si="58"/>
        <v>1024293.2506572922</v>
      </c>
      <c r="O53" s="222">
        <f t="shared" si="58"/>
        <v>1100904.5683452568</v>
      </c>
      <c r="P53" s="222">
        <f t="shared" si="58"/>
        <v>1115681.8108733813</v>
      </c>
      <c r="Q53" s="222">
        <f t="shared" si="58"/>
        <v>1130459.0534015053</v>
      </c>
      <c r="R53" s="222">
        <f t="shared" si="58"/>
        <v>1145236.2959296294</v>
      </c>
      <c r="S53" s="222">
        <f t="shared" si="58"/>
        <v>1143327.059833219</v>
      </c>
      <c r="T53" s="222">
        <f t="shared" si="58"/>
        <v>1143327.059833219</v>
      </c>
      <c r="U53" s="222">
        <f t="shared" si="58"/>
        <v>1143327.059833219</v>
      </c>
      <c r="V53" s="222">
        <f t="shared" si="58"/>
        <v>1143327.059833219</v>
      </c>
      <c r="W53" s="222">
        <f t="shared" si="58"/>
        <v>1219274.6112067909</v>
      </c>
      <c r="X53" s="222">
        <f t="shared" si="58"/>
        <v>1221713.1604292043</v>
      </c>
      <c r="Y53" s="222">
        <f t="shared" si="58"/>
        <v>1224156.5867500624</v>
      </c>
      <c r="Z53" s="222">
        <f t="shared" si="58"/>
        <v>1226604.8999235628</v>
      </c>
      <c r="AA53" s="222">
        <f t="shared" si="58"/>
        <v>1222740.1106589283</v>
      </c>
      <c r="AB53" s="222">
        <f t="shared" si="58"/>
        <v>1227631.071101564</v>
      </c>
      <c r="AC53" s="222">
        <f t="shared" si="58"/>
        <v>1232541.5953859705</v>
      </c>
      <c r="AD53" s="222">
        <f t="shared" si="58"/>
        <v>1237471.7617675141</v>
      </c>
      <c r="AE53" s="222">
        <f t="shared" si="58"/>
        <v>1257188.5247635543</v>
      </c>
      <c r="AF53" s="222">
        <f t="shared" si="58"/>
        <v>1264731.6559121355</v>
      </c>
      <c r="AG53" s="222">
        <f t="shared" si="58"/>
        <v>1272320.0458476085</v>
      </c>
      <c r="AH53" s="222">
        <f t="shared" si="58"/>
        <v>1279953.9661226938</v>
      </c>
      <c r="AI53" s="222">
        <f t="shared" si="58"/>
        <v>1291153.0856400982</v>
      </c>
      <c r="AJ53" s="222">
        <f t="shared" si="58"/>
        <v>1300707.6184738348</v>
      </c>
      <c r="AK53" s="222">
        <f t="shared" si="58"/>
        <v>1310332.8548505411</v>
      </c>
      <c r="AL53" s="222">
        <f t="shared" si="58"/>
        <v>1320029.3179764349</v>
      </c>
      <c r="AM53" s="222">
        <f t="shared" si="58"/>
        <v>1321243.7402520569</v>
      </c>
      <c r="AN53" s="222">
        <f t="shared" si="58"/>
        <v>1321243.7402520569</v>
      </c>
      <c r="AO53" s="222">
        <f t="shared" si="58"/>
        <v>1321243.7402520569</v>
      </c>
      <c r="AP53" s="222">
        <f t="shared" si="58"/>
        <v>1321243.7402520569</v>
      </c>
      <c r="AQ53" s="223">
        <f t="shared" si="48"/>
        <v>3254776.3200000003</v>
      </c>
      <c r="AR53" s="223">
        <f t="shared" si="14"/>
        <v>3635974.4767510053</v>
      </c>
      <c r="AS53" s="223">
        <f t="shared" si="15"/>
        <v>4013557.2270653085</v>
      </c>
      <c r="AT53" s="223">
        <f t="shared" si="16"/>
        <v>4492281.7285497729</v>
      </c>
      <c r="AU53" s="223">
        <f t="shared" si="17"/>
        <v>4573308.2393328762</v>
      </c>
      <c r="AV53" s="223">
        <f t="shared" si="29"/>
        <v>4891749.2583096204</v>
      </c>
      <c r="AW53" s="223">
        <f t="shared" si="30"/>
        <v>4920384.5389139764</v>
      </c>
      <c r="AX53" s="223">
        <f t="shared" si="31"/>
        <v>5074194.1926459931</v>
      </c>
      <c r="AY53" s="223">
        <f t="shared" si="32"/>
        <v>5222222.8769409088</v>
      </c>
      <c r="AZ53" s="223">
        <f t="shared" si="33"/>
        <v>5284974.9610082274</v>
      </c>
      <c r="BA53" s="224"/>
      <c r="BB53" s="224"/>
      <c r="BC53" s="224"/>
      <c r="BD53" s="224"/>
      <c r="BE53" s="224"/>
      <c r="BF53" s="225"/>
      <c r="BL53" s="227"/>
      <c r="BM53" t="e">
        <f t="shared" si="49"/>
        <v>#REF!</v>
      </c>
      <c r="BN53" t="e">
        <f>(#REF!/('[2]Cost Structure'!$BA$13+'[2]Cost Structure'!$BF$13))/4</f>
        <v>#REF!</v>
      </c>
      <c r="BO53" s="697"/>
      <c r="BP53" s="154" t="s">
        <v>23</v>
      </c>
      <c r="BQ53" s="229">
        <f t="shared" ref="BQ53:DD53" si="59">BQ11*DJ31*C37/4</f>
        <v>1059159.7918479079</v>
      </c>
      <c r="BR53" s="229">
        <f t="shared" si="59"/>
        <v>1059159.7918479079</v>
      </c>
      <c r="BS53" s="229">
        <f t="shared" si="59"/>
        <v>1059159.7918479079</v>
      </c>
      <c r="BT53" s="229">
        <f t="shared" si="59"/>
        <v>1059159.7918479079</v>
      </c>
      <c r="BU53" s="229">
        <f t="shared" si="59"/>
        <v>1086265.7524845395</v>
      </c>
      <c r="BV53" s="229">
        <f t="shared" si="59"/>
        <v>1086265.7524845395</v>
      </c>
      <c r="BW53" s="229">
        <f t="shared" si="59"/>
        <v>1086265.7524845395</v>
      </c>
      <c r="BX53" s="229">
        <f t="shared" si="59"/>
        <v>1086265.7524845395</v>
      </c>
      <c r="BY53" s="229">
        <f t="shared" si="59"/>
        <v>1086555.8433268173</v>
      </c>
      <c r="BZ53" s="229">
        <f t="shared" si="59"/>
        <v>1086555.8433268173</v>
      </c>
      <c r="CA53" s="229">
        <f t="shared" si="59"/>
        <v>1086555.8433268173</v>
      </c>
      <c r="CB53" s="229">
        <f t="shared" si="59"/>
        <v>1086555.8433268173</v>
      </c>
      <c r="CC53" s="229">
        <f t="shared" si="59"/>
        <v>1101099.4214133369</v>
      </c>
      <c r="CD53" s="229">
        <f t="shared" si="59"/>
        <v>1101099.4214133369</v>
      </c>
      <c r="CE53" s="229">
        <f t="shared" si="59"/>
        <v>1101099.4214133369</v>
      </c>
      <c r="CF53" s="229">
        <f t="shared" si="59"/>
        <v>1101099.4214133369</v>
      </c>
      <c r="CG53" s="229">
        <f t="shared" si="59"/>
        <v>1058748.0413162317</v>
      </c>
      <c r="CH53" s="229">
        <f t="shared" si="59"/>
        <v>1058748.0413162317</v>
      </c>
      <c r="CI53" s="229">
        <f t="shared" si="59"/>
        <v>1058748.0413162317</v>
      </c>
      <c r="CJ53" s="229">
        <f t="shared" si="59"/>
        <v>1058748.0413162317</v>
      </c>
      <c r="CK53" s="229">
        <f t="shared" si="59"/>
        <v>1108019.3313776811</v>
      </c>
      <c r="CL53" s="229">
        <f t="shared" si="59"/>
        <v>1108019.3313776811</v>
      </c>
      <c r="CM53" s="229">
        <f t="shared" si="59"/>
        <v>1108019.3313776811</v>
      </c>
      <c r="CN53" s="229">
        <f t="shared" si="59"/>
        <v>1108019.3313776811</v>
      </c>
      <c r="CO53" s="229">
        <f t="shared" si="59"/>
        <v>1102264.6629021489</v>
      </c>
      <c r="CP53" s="229">
        <f t="shared" si="59"/>
        <v>1102264.6629021489</v>
      </c>
      <c r="CQ53" s="229">
        <f t="shared" si="59"/>
        <v>1102264.6629021489</v>
      </c>
      <c r="CR53" s="229">
        <f t="shared" si="59"/>
        <v>1102264.6629021489</v>
      </c>
      <c r="CS53" s="229">
        <f t="shared" si="59"/>
        <v>1111179.7948071298</v>
      </c>
      <c r="CT53" s="229">
        <f t="shared" si="59"/>
        <v>1111179.7948071298</v>
      </c>
      <c r="CU53" s="229">
        <f t="shared" si="59"/>
        <v>1111179.7948071298</v>
      </c>
      <c r="CV53" s="229">
        <f t="shared" si="59"/>
        <v>1111179.7948071298</v>
      </c>
      <c r="CW53" s="229">
        <f t="shared" si="59"/>
        <v>1113744.0712279866</v>
      </c>
      <c r="CX53" s="229">
        <f t="shared" si="59"/>
        <v>1113744.0712279866</v>
      </c>
      <c r="CY53" s="229">
        <f t="shared" si="59"/>
        <v>1113744.0712279866</v>
      </c>
      <c r="CZ53" s="229">
        <f t="shared" si="59"/>
        <v>1113744.0712279866</v>
      </c>
      <c r="DA53" s="229">
        <f t="shared" si="59"/>
        <v>1108580.402497482</v>
      </c>
      <c r="DB53" s="229">
        <f t="shared" si="59"/>
        <v>1108580.402497482</v>
      </c>
      <c r="DC53" s="229">
        <f t="shared" si="59"/>
        <v>1108580.402497482</v>
      </c>
      <c r="DD53" s="229">
        <f t="shared" si="59"/>
        <v>1108580.402497482</v>
      </c>
      <c r="DE53" s="230">
        <f t="shared" si="35"/>
        <v>4236639.1673916318</v>
      </c>
      <c r="DF53" s="231">
        <f t="shared" si="36"/>
        <v>4345063.0099381581</v>
      </c>
      <c r="DG53" s="231">
        <f t="shared" si="37"/>
        <v>4346223.3733072691</v>
      </c>
      <c r="DH53" s="231">
        <f t="shared" si="38"/>
        <v>4404397.6856533475</v>
      </c>
      <c r="DI53" s="232">
        <f t="shared" si="39"/>
        <v>4234992.1652649269</v>
      </c>
      <c r="DJ53" s="232">
        <f t="shared" si="40"/>
        <v>4432077.3255107244</v>
      </c>
      <c r="DK53" s="232">
        <f t="shared" si="41"/>
        <v>4409058.6516085956</v>
      </c>
      <c r="DL53" s="232">
        <f t="shared" si="42"/>
        <v>4444719.1792285191</v>
      </c>
      <c r="DM53" s="232">
        <f t="shared" si="43"/>
        <v>4454976.2849119464</v>
      </c>
      <c r="DN53" s="232">
        <f t="shared" si="44"/>
        <v>4434321.6099899281</v>
      </c>
      <c r="DO53" s="230">
        <f t="shared" si="45"/>
        <v>-981862.84739163145</v>
      </c>
      <c r="DP53" s="230">
        <f t="shared" si="19"/>
        <v>-709088.53318715282</v>
      </c>
      <c r="DQ53" s="230">
        <f t="shared" si="19"/>
        <v>-332666.14624196058</v>
      </c>
      <c r="DR53" s="230">
        <f t="shared" si="19"/>
        <v>87884.042896425352</v>
      </c>
      <c r="DS53" s="230">
        <f t="shared" si="19"/>
        <v>338316.07406794932</v>
      </c>
      <c r="DT53" s="230">
        <f t="shared" si="19"/>
        <v>459671.93279889598</v>
      </c>
      <c r="DU53" s="230">
        <f t="shared" si="19"/>
        <v>511325.88730538078</v>
      </c>
      <c r="DV53" s="230">
        <f t="shared" si="19"/>
        <v>629475.01341747399</v>
      </c>
      <c r="DW53" s="230">
        <f t="shared" si="19"/>
        <v>767246.59202896245</v>
      </c>
      <c r="DX53" s="230">
        <f t="shared" si="19"/>
        <v>850653.35101829935</v>
      </c>
      <c r="DY53" s="241"/>
      <c r="DZ53" s="696"/>
      <c r="EA53" s="257"/>
      <c r="EB53" s="235" t="e">
        <f>(DF53+#REF!/9)*1.1</f>
        <v>#REF!</v>
      </c>
      <c r="EC53" s="235" t="e">
        <f>(DG53+#REF!/13)*1.1</f>
        <v>#REF!</v>
      </c>
      <c r="ED53" s="235" t="e">
        <f>(DH53+#REF!/17)*1.1</f>
        <v>#REF!</v>
      </c>
      <c r="EE53" s="236">
        <f t="shared" si="20"/>
        <v>4658491.3817914203</v>
      </c>
      <c r="EF53" s="209"/>
      <c r="EG53" s="697"/>
      <c r="EH53" s="154" t="s">
        <v>23</v>
      </c>
      <c r="EI53" s="258">
        <f t="shared" si="46"/>
        <v>-264536.66684790794</v>
      </c>
      <c r="EJ53" s="258">
        <f t="shared" si="21"/>
        <v>-251822.69684790785</v>
      </c>
      <c r="EK53" s="258">
        <f t="shared" si="21"/>
        <v>-239108.72684790799</v>
      </c>
      <c r="EL53" s="258">
        <f t="shared" si="21"/>
        <v>-226394.75684790791</v>
      </c>
      <c r="EM53" s="258">
        <f t="shared" si="21"/>
        <v>-197323.46313181217</v>
      </c>
      <c r="EN53" s="258">
        <f t="shared" si="21"/>
        <v>-183955.9099084629</v>
      </c>
      <c r="EO53" s="258">
        <f t="shared" si="21"/>
        <v>-170588.35668511363</v>
      </c>
      <c r="EP53" s="258">
        <f t="shared" si="21"/>
        <v>-157220.80346176424</v>
      </c>
      <c r="EQ53" s="258">
        <f t="shared" si="21"/>
        <v>-104070.48045145522</v>
      </c>
      <c r="ER53" s="258">
        <f t="shared" si="21"/>
        <v>-90134.517857478466</v>
      </c>
      <c r="ES53" s="258">
        <f t="shared" si="21"/>
        <v>-76198.555263501708</v>
      </c>
      <c r="ET53" s="258">
        <f t="shared" si="21"/>
        <v>-62262.592669525067</v>
      </c>
      <c r="EU53" s="258">
        <f t="shared" si="21"/>
        <v>-194.85306808003224</v>
      </c>
      <c r="EV53" s="258">
        <f t="shared" si="21"/>
        <v>14582.389460044447</v>
      </c>
      <c r="EW53" s="258">
        <f t="shared" si="21"/>
        <v>29359.631988168461</v>
      </c>
      <c r="EX53" s="258">
        <f t="shared" si="21"/>
        <v>44136.874516292475</v>
      </c>
      <c r="EY53" s="258">
        <f t="shared" si="21"/>
        <v>84579.018516987329</v>
      </c>
      <c r="EZ53" s="258">
        <f t="shared" si="22"/>
        <v>84579.018516987329</v>
      </c>
      <c r="FA53" s="258">
        <f t="shared" si="22"/>
        <v>84579.018516987329</v>
      </c>
      <c r="FB53" s="258">
        <f t="shared" si="22"/>
        <v>84579.018516987329</v>
      </c>
      <c r="FC53" s="258">
        <f t="shared" si="22"/>
        <v>111255.27982910979</v>
      </c>
      <c r="FD53" s="258">
        <f t="shared" si="22"/>
        <v>113693.82905152324</v>
      </c>
      <c r="FE53" s="258">
        <f t="shared" si="22"/>
        <v>116137.2553723813</v>
      </c>
      <c r="FF53" s="258">
        <f t="shared" si="22"/>
        <v>118585.56854588166</v>
      </c>
      <c r="FG53" s="258">
        <f t="shared" si="22"/>
        <v>120475.44775677938</v>
      </c>
      <c r="FH53" s="258">
        <f t="shared" si="22"/>
        <v>125366.40819941508</v>
      </c>
      <c r="FI53" s="258">
        <f t="shared" si="22"/>
        <v>130276.93248382164</v>
      </c>
      <c r="FJ53" s="258">
        <f t="shared" si="22"/>
        <v>135207.09886536514</v>
      </c>
      <c r="FK53" s="258">
        <f t="shared" si="22"/>
        <v>146008.72995642456</v>
      </c>
      <c r="FL53" s="258">
        <f t="shared" si="22"/>
        <v>153551.86110500572</v>
      </c>
      <c r="FM53" s="258">
        <f t="shared" si="22"/>
        <v>161140.2510404787</v>
      </c>
      <c r="FN53" s="258">
        <f t="shared" si="22"/>
        <v>168774.17131556408</v>
      </c>
      <c r="FO53" s="258">
        <f t="shared" si="22"/>
        <v>177409.0144121116</v>
      </c>
      <c r="FP53" s="258">
        <f t="shared" si="23"/>
        <v>186963.54724584823</v>
      </c>
      <c r="FQ53" s="258">
        <f t="shared" si="23"/>
        <v>196588.7836225545</v>
      </c>
      <c r="FR53" s="258">
        <f t="shared" si="23"/>
        <v>206285.24674844835</v>
      </c>
      <c r="FS53" s="258">
        <f t="shared" si="23"/>
        <v>212663.33775457484</v>
      </c>
      <c r="FT53" s="258">
        <f t="shared" si="23"/>
        <v>212663.33775457484</v>
      </c>
      <c r="FU53" s="258">
        <f t="shared" si="23"/>
        <v>212663.33775457484</v>
      </c>
      <c r="FV53" s="258">
        <f t="shared" si="23"/>
        <v>212663.33775457484</v>
      </c>
      <c r="FW53" s="258"/>
      <c r="FX53" s="259"/>
      <c r="FY53" s="260"/>
      <c r="FZ53" s="265">
        <f t="shared" si="24"/>
        <v>-177272.13329678823</v>
      </c>
      <c r="GA53" s="720"/>
      <c r="GB53" s="249">
        <f t="shared" si="25"/>
        <v>-83166.536560490116</v>
      </c>
      <c r="GC53" s="720"/>
      <c r="GD53" s="249">
        <f t="shared" si="26"/>
        <v>21971.010724106338</v>
      </c>
      <c r="GE53" s="720"/>
      <c r="GF53" s="249">
        <f t="shared" si="27"/>
        <v>84579.018516987329</v>
      </c>
      <c r="GG53" s="720"/>
      <c r="GH53" s="726"/>
      <c r="GI53" s="728"/>
      <c r="GO53" s="266"/>
    </row>
    <row r="54" spans="1:205" ht="15" customHeight="1" thickBot="1">
      <c r="A54" s="697"/>
      <c r="B54" s="157" t="s">
        <v>25</v>
      </c>
      <c r="C54" s="222">
        <f t="shared" ref="C54:AP55" si="60">(IF(BQ12=1,IF(C12&lt;=$BJ$46,C12*1000*$BI12,$BJ$46*1000*$BI12),IF(BQ12*$BJ$46&gt;=C12,C12*1000*$BI12,BQ12*1000*$BJ$46*$BI12)))*C37/4*$C$26</f>
        <v>837729.00000000012</v>
      </c>
      <c r="D54" s="222">
        <f t="shared" si="60"/>
        <v>852621.9600000002</v>
      </c>
      <c r="E54" s="222">
        <f t="shared" si="60"/>
        <v>867514.92</v>
      </c>
      <c r="F54" s="222">
        <f t="shared" si="60"/>
        <v>882407.88000000012</v>
      </c>
      <c r="G54" s="222">
        <f t="shared" si="60"/>
        <v>943428.11380363652</v>
      </c>
      <c r="H54" s="222">
        <f t="shared" si="60"/>
        <v>959086.67170909117</v>
      </c>
      <c r="I54" s="222">
        <f t="shared" si="60"/>
        <v>974745.22961454594</v>
      </c>
      <c r="J54" s="222">
        <f t="shared" si="60"/>
        <v>990403.78752000013</v>
      </c>
      <c r="K54" s="222">
        <f t="shared" si="60"/>
        <v>1048841.6974145998</v>
      </c>
      <c r="L54" s="222">
        <f t="shared" si="60"/>
        <v>1065166.081810158</v>
      </c>
      <c r="M54" s="222">
        <f t="shared" si="60"/>
        <v>1081490.4662057159</v>
      </c>
      <c r="N54" s="222">
        <f t="shared" si="60"/>
        <v>1097814.8506012738</v>
      </c>
      <c r="O54" s="222">
        <f t="shared" si="60"/>
        <v>1181397.0922082432</v>
      </c>
      <c r="P54" s="222">
        <f t="shared" si="60"/>
        <v>1198706.9397131263</v>
      </c>
      <c r="Q54" s="222">
        <f t="shared" si="60"/>
        <v>1216016.7872180091</v>
      </c>
      <c r="R54" s="222">
        <f t="shared" si="60"/>
        <v>1233326.6347228917</v>
      </c>
      <c r="S54" s="222">
        <f t="shared" si="60"/>
        <v>1237143.1267918388</v>
      </c>
      <c r="T54" s="222">
        <f t="shared" si="60"/>
        <v>1254266.2150519334</v>
      </c>
      <c r="U54" s="222">
        <f t="shared" si="60"/>
        <v>1271389.3033120278</v>
      </c>
      <c r="V54" s="222">
        <f t="shared" si="60"/>
        <v>1288512.3915721227</v>
      </c>
      <c r="W54" s="222">
        <f t="shared" si="60"/>
        <v>1374104.1391064487</v>
      </c>
      <c r="X54" s="222">
        <f t="shared" si="60"/>
        <v>1376852.3473846617</v>
      </c>
      <c r="Y54" s="222">
        <f t="shared" si="60"/>
        <v>1379606.052079431</v>
      </c>
      <c r="Z54" s="222">
        <f t="shared" si="60"/>
        <v>1382365.2641835897</v>
      </c>
      <c r="AA54" s="222">
        <f t="shared" si="60"/>
        <v>1378009.7048399467</v>
      </c>
      <c r="AB54" s="222">
        <f t="shared" si="60"/>
        <v>1383521.7436593063</v>
      </c>
      <c r="AC54" s="222">
        <f t="shared" si="60"/>
        <v>1389055.8306339437</v>
      </c>
      <c r="AD54" s="222">
        <f t="shared" si="60"/>
        <v>1394612.0539564793</v>
      </c>
      <c r="AE54" s="222">
        <f t="shared" si="60"/>
        <v>1416832.5491538858</v>
      </c>
      <c r="AF54" s="222">
        <f t="shared" si="60"/>
        <v>1425333.5444488088</v>
      </c>
      <c r="AG54" s="222">
        <f t="shared" si="60"/>
        <v>1433885.5457155018</v>
      </c>
      <c r="AH54" s="222">
        <f t="shared" si="60"/>
        <v>1442488.8589897947</v>
      </c>
      <c r="AI54" s="222">
        <f t="shared" si="60"/>
        <v>1455110.0981608315</v>
      </c>
      <c r="AJ54" s="222">
        <f t="shared" si="60"/>
        <v>1465877.912887221</v>
      </c>
      <c r="AK54" s="222">
        <f t="shared" si="60"/>
        <v>1476725.4094425866</v>
      </c>
      <c r="AL54" s="222">
        <f t="shared" si="60"/>
        <v>1487653.1774724612</v>
      </c>
      <c r="AM54" s="222">
        <f t="shared" si="60"/>
        <v>1489021.8131023813</v>
      </c>
      <c r="AN54" s="222">
        <f t="shared" si="60"/>
        <v>1489021.8131023813</v>
      </c>
      <c r="AO54" s="222">
        <f t="shared" si="60"/>
        <v>1489021.8131023813</v>
      </c>
      <c r="AP54" s="222">
        <f t="shared" si="60"/>
        <v>1489021.8131023813</v>
      </c>
      <c r="AQ54" s="223">
        <f t="shared" si="48"/>
        <v>3440273.7600000007</v>
      </c>
      <c r="AR54" s="223">
        <f t="shared" si="14"/>
        <v>3867663.802647274</v>
      </c>
      <c r="AS54" s="223">
        <f t="shared" si="15"/>
        <v>4293313.0960317478</v>
      </c>
      <c r="AT54" s="223">
        <f t="shared" si="16"/>
        <v>4829447.4538622703</v>
      </c>
      <c r="AU54" s="223">
        <f t="shared" si="17"/>
        <v>5051311.036727923</v>
      </c>
      <c r="AV54" s="223">
        <f t="shared" si="29"/>
        <v>5512927.8027541302</v>
      </c>
      <c r="AW54" s="223">
        <f t="shared" si="30"/>
        <v>5545199.3330896758</v>
      </c>
      <c r="AX54" s="223">
        <f t="shared" si="31"/>
        <v>5718540.4983079908</v>
      </c>
      <c r="AY54" s="223">
        <f t="shared" si="32"/>
        <v>5885366.5979631003</v>
      </c>
      <c r="AZ54" s="223">
        <f t="shared" si="33"/>
        <v>5956087.2524095252</v>
      </c>
      <c r="BA54" s="224"/>
      <c r="BB54" s="224"/>
      <c r="BC54" s="224"/>
      <c r="BD54" s="224"/>
      <c r="BE54" s="224"/>
      <c r="BF54" s="225"/>
      <c r="BJ54" s="267"/>
      <c r="BK54" s="34"/>
      <c r="BL54" s="227"/>
      <c r="BM54" t="e">
        <f t="shared" si="49"/>
        <v>#REF!</v>
      </c>
      <c r="BN54" t="e">
        <f>(#REF!/('[2]Cost Structure'!$BA$13+'[2]Cost Structure'!$BF$13))/4</f>
        <v>#REF!</v>
      </c>
      <c r="BO54" s="697"/>
      <c r="BP54" s="159" t="s">
        <v>25</v>
      </c>
      <c r="BQ54" s="229">
        <f t="shared" ref="BQ54:DD55" si="61">BQ12*DJ32*C37/4</f>
        <v>1165472.9054014366</v>
      </c>
      <c r="BR54" s="229">
        <f t="shared" si="61"/>
        <v>1165472.9054014366</v>
      </c>
      <c r="BS54" s="229">
        <f t="shared" si="61"/>
        <v>1165472.9054014366</v>
      </c>
      <c r="BT54" s="229">
        <f t="shared" si="61"/>
        <v>1165472.9054014366</v>
      </c>
      <c r="BU54" s="229">
        <f t="shared" si="61"/>
        <v>1189765.5179134367</v>
      </c>
      <c r="BV54" s="229">
        <f t="shared" si="61"/>
        <v>1189765.5179134367</v>
      </c>
      <c r="BW54" s="229">
        <f t="shared" si="61"/>
        <v>1189765.5179134367</v>
      </c>
      <c r="BX54" s="229">
        <f t="shared" si="61"/>
        <v>1189765.5179134367</v>
      </c>
      <c r="BY54" s="229">
        <f t="shared" si="61"/>
        <v>1188924.0956582155</v>
      </c>
      <c r="BZ54" s="229">
        <f t="shared" si="61"/>
        <v>1188924.0956582155</v>
      </c>
      <c r="CA54" s="229">
        <f t="shared" si="61"/>
        <v>1188924.0956582155</v>
      </c>
      <c r="CB54" s="229">
        <f t="shared" si="61"/>
        <v>1188924.0956582155</v>
      </c>
      <c r="CC54" s="229">
        <f t="shared" si="61"/>
        <v>1203686.0707599695</v>
      </c>
      <c r="CD54" s="229">
        <f t="shared" si="61"/>
        <v>1203686.0707599695</v>
      </c>
      <c r="CE54" s="229">
        <f t="shared" si="61"/>
        <v>1203686.0707599695</v>
      </c>
      <c r="CF54" s="229">
        <f t="shared" si="61"/>
        <v>1203686.0707599695</v>
      </c>
      <c r="CG54" s="229">
        <f t="shared" si="61"/>
        <v>1157882.3042114701</v>
      </c>
      <c r="CH54" s="229">
        <f t="shared" si="61"/>
        <v>1157882.3042114701</v>
      </c>
      <c r="CI54" s="229">
        <f t="shared" si="61"/>
        <v>1157882.3042114701</v>
      </c>
      <c r="CJ54" s="229">
        <f t="shared" si="61"/>
        <v>1157882.3042114701</v>
      </c>
      <c r="CK54" s="229">
        <f t="shared" si="61"/>
        <v>1213578.5494939308</v>
      </c>
      <c r="CL54" s="229">
        <f t="shared" si="61"/>
        <v>1213578.5494939308</v>
      </c>
      <c r="CM54" s="229">
        <f t="shared" si="61"/>
        <v>1213578.5494939308</v>
      </c>
      <c r="CN54" s="229">
        <f t="shared" si="61"/>
        <v>1213578.5494939308</v>
      </c>
      <c r="CO54" s="229">
        <f t="shared" si="61"/>
        <v>1207043.501720896</v>
      </c>
      <c r="CP54" s="229">
        <f t="shared" si="61"/>
        <v>1207043.501720896</v>
      </c>
      <c r="CQ54" s="229">
        <f t="shared" si="61"/>
        <v>1207043.501720896</v>
      </c>
      <c r="CR54" s="229">
        <f t="shared" si="61"/>
        <v>1207043.501720896</v>
      </c>
      <c r="CS54" s="229">
        <f t="shared" si="61"/>
        <v>1216554.5227190524</v>
      </c>
      <c r="CT54" s="229">
        <f t="shared" si="61"/>
        <v>1216554.5227190524</v>
      </c>
      <c r="CU54" s="229">
        <f t="shared" si="61"/>
        <v>1216554.5227190524</v>
      </c>
      <c r="CV54" s="229">
        <f t="shared" si="61"/>
        <v>1216554.5227190524</v>
      </c>
      <c r="CW54" s="229">
        <f t="shared" si="61"/>
        <v>1218969.1110035342</v>
      </c>
      <c r="CX54" s="229">
        <f t="shared" si="61"/>
        <v>1218969.1110035342</v>
      </c>
      <c r="CY54" s="229">
        <f t="shared" si="61"/>
        <v>1218969.1110035342</v>
      </c>
      <c r="CZ54" s="229">
        <f t="shared" si="61"/>
        <v>1218969.1110035342</v>
      </c>
      <c r="DA54" s="229">
        <f t="shared" si="61"/>
        <v>1212990.5637110516</v>
      </c>
      <c r="DB54" s="229">
        <f t="shared" si="61"/>
        <v>1212990.5637110516</v>
      </c>
      <c r="DC54" s="229">
        <f t="shared" si="61"/>
        <v>1212990.5637110516</v>
      </c>
      <c r="DD54" s="229">
        <f t="shared" si="61"/>
        <v>1212990.5637110516</v>
      </c>
      <c r="DE54" s="230">
        <f t="shared" si="35"/>
        <v>4661891.6216057464</v>
      </c>
      <c r="DF54" s="231">
        <f t="shared" si="36"/>
        <v>4759062.071653747</v>
      </c>
      <c r="DG54" s="231">
        <f t="shared" si="37"/>
        <v>4755696.3826328618</v>
      </c>
      <c r="DH54" s="231">
        <f t="shared" si="38"/>
        <v>4814744.2830398781</v>
      </c>
      <c r="DI54" s="232">
        <f t="shared" si="39"/>
        <v>4631529.2168458803</v>
      </c>
      <c r="DJ54" s="232">
        <f t="shared" si="40"/>
        <v>4854314.1979757231</v>
      </c>
      <c r="DK54" s="232">
        <f t="shared" si="41"/>
        <v>4828174.006883584</v>
      </c>
      <c r="DL54" s="232">
        <f t="shared" si="42"/>
        <v>4866218.0908762095</v>
      </c>
      <c r="DM54" s="232">
        <f t="shared" si="43"/>
        <v>4875876.4440141367</v>
      </c>
      <c r="DN54" s="232">
        <f t="shared" si="44"/>
        <v>4851962.2548442064</v>
      </c>
      <c r="DO54" s="230">
        <f t="shared" si="45"/>
        <v>-1221617.8616057457</v>
      </c>
      <c r="DP54" s="230">
        <f t="shared" si="19"/>
        <v>-891398.26900647301</v>
      </c>
      <c r="DQ54" s="230">
        <f t="shared" si="19"/>
        <v>-462383.28660111409</v>
      </c>
      <c r="DR54" s="230">
        <f t="shared" si="19"/>
        <v>14703.170822392218</v>
      </c>
      <c r="DS54" s="230">
        <f t="shared" si="19"/>
        <v>419781.81988204271</v>
      </c>
      <c r="DT54" s="230">
        <f t="shared" si="19"/>
        <v>658613.60477840714</v>
      </c>
      <c r="DU54" s="230">
        <f t="shared" si="19"/>
        <v>717025.32620609179</v>
      </c>
      <c r="DV54" s="230">
        <f t="shared" si="19"/>
        <v>852322.40743178129</v>
      </c>
      <c r="DW54" s="230">
        <f t="shared" si="19"/>
        <v>1009490.1539489636</v>
      </c>
      <c r="DX54" s="230">
        <f t="shared" si="19"/>
        <v>1104124.9975653188</v>
      </c>
      <c r="DY54" s="241"/>
      <c r="DZ54" s="696"/>
      <c r="EA54" s="257"/>
      <c r="EB54" s="235" t="e">
        <f>(DF54+#REF!/9)*1.1</f>
        <v>#REF!</v>
      </c>
      <c r="EC54" s="235" t="e">
        <f>(DG54+#REF!/13)*1.1</f>
        <v>#REF!</v>
      </c>
      <c r="ED54" s="235" t="e">
        <f>(DH54+#REF!/17)*1.1</f>
        <v>#REF!</v>
      </c>
      <c r="EE54" s="236">
        <f t="shared" si="20"/>
        <v>5094682.1385304686</v>
      </c>
      <c r="EF54" s="209"/>
      <c r="EG54" s="697"/>
      <c r="EH54" s="159" t="s">
        <v>25</v>
      </c>
      <c r="EI54" s="258">
        <f t="shared" si="46"/>
        <v>-327743.9054014365</v>
      </c>
      <c r="EJ54" s="258">
        <f t="shared" si="21"/>
        <v>-312850.94540143642</v>
      </c>
      <c r="EK54" s="258">
        <f t="shared" si="21"/>
        <v>-297957.98540143657</v>
      </c>
      <c r="EL54" s="258">
        <f t="shared" si="21"/>
        <v>-283065.02540143649</v>
      </c>
      <c r="EM54" s="258">
        <f t="shared" si="21"/>
        <v>-246337.40410980023</v>
      </c>
      <c r="EN54" s="258">
        <f t="shared" si="21"/>
        <v>-230678.84620434558</v>
      </c>
      <c r="EO54" s="258">
        <f t="shared" si="21"/>
        <v>-215020.28829889081</v>
      </c>
      <c r="EP54" s="258">
        <f t="shared" si="21"/>
        <v>-199361.73039343662</v>
      </c>
      <c r="EQ54" s="258">
        <f t="shared" si="21"/>
        <v>-140082.39824361564</v>
      </c>
      <c r="ER54" s="258">
        <f t="shared" si="21"/>
        <v>-123758.01384805748</v>
      </c>
      <c r="ES54" s="258">
        <f t="shared" si="21"/>
        <v>-107433.62945249956</v>
      </c>
      <c r="ET54" s="258">
        <f t="shared" si="21"/>
        <v>-91109.24505694164</v>
      </c>
      <c r="EU54" s="258">
        <f t="shared" si="21"/>
        <v>-22288.978551726323</v>
      </c>
      <c r="EV54" s="258">
        <f t="shared" si="21"/>
        <v>-4979.1310468432494</v>
      </c>
      <c r="EW54" s="258">
        <f t="shared" si="21"/>
        <v>12330.716458039591</v>
      </c>
      <c r="EX54" s="258">
        <f t="shared" si="21"/>
        <v>29640.563962922199</v>
      </c>
      <c r="EY54" s="258">
        <f t="shared" si="21"/>
        <v>79260.822580368724</v>
      </c>
      <c r="EZ54" s="258">
        <f t="shared" si="22"/>
        <v>96383.910840463359</v>
      </c>
      <c r="FA54" s="258">
        <f t="shared" si="22"/>
        <v>113506.99910055776</v>
      </c>
      <c r="FB54" s="258">
        <f t="shared" si="22"/>
        <v>130630.08736065263</v>
      </c>
      <c r="FC54" s="258">
        <f t="shared" si="22"/>
        <v>160525.58961251797</v>
      </c>
      <c r="FD54" s="258">
        <f t="shared" si="22"/>
        <v>163273.7978907309</v>
      </c>
      <c r="FE54" s="258">
        <f t="shared" si="22"/>
        <v>166027.50258550025</v>
      </c>
      <c r="FF54" s="258">
        <f t="shared" si="22"/>
        <v>168786.71468965895</v>
      </c>
      <c r="FG54" s="258">
        <f t="shared" si="22"/>
        <v>170966.20311905071</v>
      </c>
      <c r="FH54" s="258">
        <f t="shared" si="22"/>
        <v>176478.24193841033</v>
      </c>
      <c r="FI54" s="258">
        <f t="shared" si="22"/>
        <v>182012.32891304768</v>
      </c>
      <c r="FJ54" s="258">
        <f t="shared" si="22"/>
        <v>187568.55223558331</v>
      </c>
      <c r="FK54" s="258">
        <f t="shared" si="22"/>
        <v>200278.02643483342</v>
      </c>
      <c r="FL54" s="258">
        <f t="shared" si="22"/>
        <v>208779.02172975638</v>
      </c>
      <c r="FM54" s="258">
        <f t="shared" si="22"/>
        <v>217331.02299644938</v>
      </c>
      <c r="FN54" s="258">
        <f t="shared" si="22"/>
        <v>225934.33627074235</v>
      </c>
      <c r="FO54" s="258">
        <f t="shared" si="22"/>
        <v>236140.98715729732</v>
      </c>
      <c r="FP54" s="258">
        <f t="shared" si="23"/>
        <v>246908.8018836868</v>
      </c>
      <c r="FQ54" s="258">
        <f t="shared" si="23"/>
        <v>257756.29843905242</v>
      </c>
      <c r="FR54" s="258">
        <f t="shared" si="23"/>
        <v>268684.06646892708</v>
      </c>
      <c r="FS54" s="258">
        <f t="shared" si="23"/>
        <v>276031.24939132971</v>
      </c>
      <c r="FT54" s="258">
        <f t="shared" si="23"/>
        <v>276031.24939132971</v>
      </c>
      <c r="FU54" s="258">
        <f t="shared" si="23"/>
        <v>276031.24939132971</v>
      </c>
      <c r="FV54" s="258">
        <f t="shared" si="23"/>
        <v>276031.24939132971</v>
      </c>
      <c r="FW54" s="258"/>
      <c r="FX54" s="259"/>
      <c r="FY54" s="260"/>
      <c r="FZ54" s="265">
        <f t="shared" si="24"/>
        <v>-222849.56725161831</v>
      </c>
      <c r="GA54" s="720"/>
      <c r="GB54" s="249">
        <f t="shared" si="25"/>
        <v>-115595.82165027858</v>
      </c>
      <c r="GC54" s="720"/>
      <c r="GD54" s="249">
        <f t="shared" si="26"/>
        <v>3675.7927055980545</v>
      </c>
      <c r="GE54" s="720"/>
      <c r="GF54" s="249">
        <f t="shared" si="27"/>
        <v>104945.45497051062</v>
      </c>
      <c r="GG54" s="720"/>
      <c r="GH54" s="727"/>
      <c r="GI54" s="728"/>
    </row>
    <row r="55" spans="1:205" ht="15" customHeight="1" thickBot="1">
      <c r="A55" s="697">
        <v>3</v>
      </c>
      <c r="B55" s="160" t="s">
        <v>27</v>
      </c>
      <c r="C55" s="268">
        <v>0</v>
      </c>
      <c r="D55" s="268">
        <v>0</v>
      </c>
      <c r="E55" s="268">
        <v>0</v>
      </c>
      <c r="F55" s="268">
        <v>0</v>
      </c>
      <c r="G55" s="268">
        <v>0</v>
      </c>
      <c r="H55" s="268">
        <v>0</v>
      </c>
      <c r="I55" s="268">
        <v>0</v>
      </c>
      <c r="J55" s="268">
        <v>0</v>
      </c>
      <c r="K55" s="222">
        <f t="shared" si="60"/>
        <v>1188415.5831164501</v>
      </c>
      <c r="L55" s="222">
        <f t="shared" si="60"/>
        <v>1205701.627961779</v>
      </c>
      <c r="M55" s="222">
        <f t="shared" si="60"/>
        <v>1222987.6728071093</v>
      </c>
      <c r="N55" s="222">
        <f t="shared" si="60"/>
        <v>1240273.7176524396</v>
      </c>
      <c r="O55" s="222">
        <f t="shared" si="60"/>
        <v>1322206.7581354545</v>
      </c>
      <c r="P55" s="222">
        <f t="shared" si="60"/>
        <v>1340381.4214775227</v>
      </c>
      <c r="Q55" s="222">
        <f t="shared" si="60"/>
        <v>1358556.0848195907</v>
      </c>
      <c r="R55" s="222">
        <f t="shared" si="60"/>
        <v>1376730.7481616589</v>
      </c>
      <c r="S55" s="222">
        <f t="shared" si="60"/>
        <v>1466612.8935190188</v>
      </c>
      <c r="T55" s="222">
        <f t="shared" si="60"/>
        <v>1485721.8563010253</v>
      </c>
      <c r="U55" s="222">
        <f t="shared" si="60"/>
        <v>1504830.8190830324</v>
      </c>
      <c r="V55" s="222">
        <f t="shared" si="60"/>
        <v>1523939.7818650391</v>
      </c>
      <c r="W55" s="222">
        <f t="shared" si="60"/>
        <v>1529033.3865254209</v>
      </c>
      <c r="X55" s="222">
        <f t="shared" si="60"/>
        <v>1532091.4532984714</v>
      </c>
      <c r="Y55" s="222">
        <f t="shared" si="60"/>
        <v>1535155.6362050686</v>
      </c>
      <c r="Z55" s="222">
        <f t="shared" si="60"/>
        <v>1538225.9474774788</v>
      </c>
      <c r="AA55" s="222">
        <f t="shared" si="60"/>
        <v>1442484.9931747625</v>
      </c>
      <c r="AB55" s="222">
        <f t="shared" si="60"/>
        <v>1448254.9331474616</v>
      </c>
      <c r="AC55" s="222">
        <f t="shared" si="60"/>
        <v>1454047.9528800515</v>
      </c>
      <c r="AD55" s="222">
        <f t="shared" si="60"/>
        <v>1459864.1446915716</v>
      </c>
      <c r="AE55" s="222">
        <f t="shared" si="60"/>
        <v>1576579.3938885636</v>
      </c>
      <c r="AF55" s="222">
        <f t="shared" si="60"/>
        <v>1586038.8702518947</v>
      </c>
      <c r="AG55" s="222">
        <f t="shared" si="60"/>
        <v>1595555.1034734058</v>
      </c>
      <c r="AH55" s="222">
        <f t="shared" si="60"/>
        <v>1605128.4340942465</v>
      </c>
      <c r="AI55" s="222">
        <f t="shared" si="60"/>
        <v>1619172.708849424</v>
      </c>
      <c r="AJ55" s="222">
        <f t="shared" si="60"/>
        <v>1631154.5868949094</v>
      </c>
      <c r="AK55" s="222">
        <f t="shared" si="60"/>
        <v>1643225.1308379313</v>
      </c>
      <c r="AL55" s="222">
        <f t="shared" si="60"/>
        <v>1655384.9968061321</v>
      </c>
      <c r="AM55" s="222">
        <f t="shared" si="60"/>
        <v>1671029.3196452307</v>
      </c>
      <c r="AN55" s="222">
        <f t="shared" si="60"/>
        <v>1671029.3196452307</v>
      </c>
      <c r="AO55" s="222">
        <f t="shared" si="60"/>
        <v>1671029.3196452307</v>
      </c>
      <c r="AP55" s="222">
        <f t="shared" si="60"/>
        <v>1671029.3196452307</v>
      </c>
      <c r="AQ55" s="729"/>
      <c r="AR55" s="729"/>
      <c r="AS55" s="223">
        <f t="shared" si="15"/>
        <v>4857378.601537779</v>
      </c>
      <c r="AT55" s="223">
        <f t="shared" si="16"/>
        <v>5397875.0125942267</v>
      </c>
      <c r="AU55" s="223">
        <f t="shared" si="17"/>
        <v>5981105.3507681154</v>
      </c>
      <c r="AV55" s="223">
        <f t="shared" si="29"/>
        <v>6134506.4235064397</v>
      </c>
      <c r="AW55" s="223">
        <f t="shared" si="30"/>
        <v>5804652.0238938471</v>
      </c>
      <c r="AX55" s="223">
        <f t="shared" si="31"/>
        <v>6363301.8017081106</v>
      </c>
      <c r="AY55" s="223">
        <f t="shared" si="32"/>
        <v>6548937.4233883973</v>
      </c>
      <c r="AZ55" s="223">
        <f t="shared" si="33"/>
        <v>6684117.2785809226</v>
      </c>
      <c r="BA55" s="224"/>
      <c r="BB55" s="224"/>
      <c r="BC55" s="224"/>
      <c r="BD55" s="224"/>
      <c r="BE55" s="224"/>
      <c r="BF55" s="225"/>
      <c r="BL55" s="227"/>
      <c r="BM55" t="e">
        <f>SUM(BM46:BM54)</f>
        <v>#REF!</v>
      </c>
      <c r="BO55" s="697">
        <v>3</v>
      </c>
      <c r="BP55" s="164" t="s">
        <v>27</v>
      </c>
      <c r="BQ55" s="229">
        <f t="shared" ref="BQ55:CB62" si="62">BQ13*$DJ13*$C$33</f>
        <v>0</v>
      </c>
      <c r="BR55" s="229">
        <f t="shared" si="62"/>
        <v>0</v>
      </c>
      <c r="BS55" s="229">
        <f t="shared" si="62"/>
        <v>0</v>
      </c>
      <c r="BT55" s="229">
        <f t="shared" si="62"/>
        <v>0</v>
      </c>
      <c r="BU55" s="229">
        <f t="shared" si="62"/>
        <v>0</v>
      </c>
      <c r="BV55" s="229">
        <f t="shared" si="62"/>
        <v>0</v>
      </c>
      <c r="BW55" s="229">
        <f t="shared" si="62"/>
        <v>0</v>
      </c>
      <c r="BX55" s="229">
        <f t="shared" si="62"/>
        <v>0</v>
      </c>
      <c r="BY55" s="229">
        <f t="shared" si="61"/>
        <v>1935200.2396315844</v>
      </c>
      <c r="BZ55" s="229">
        <f t="shared" si="61"/>
        <v>1935200.2396315844</v>
      </c>
      <c r="CA55" s="229">
        <f t="shared" si="61"/>
        <v>1935200.2396315844</v>
      </c>
      <c r="CB55" s="229">
        <f t="shared" si="61"/>
        <v>1935200.2396315844</v>
      </c>
      <c r="CC55" s="229">
        <f t="shared" si="61"/>
        <v>1943023.2140021382</v>
      </c>
      <c r="CD55" s="229">
        <f t="shared" si="61"/>
        <v>1943023.2140021382</v>
      </c>
      <c r="CE55" s="229">
        <f t="shared" si="61"/>
        <v>1943023.2140021382</v>
      </c>
      <c r="CF55" s="229">
        <f t="shared" si="61"/>
        <v>1943023.2140021382</v>
      </c>
      <c r="CG55" s="229">
        <f t="shared" si="61"/>
        <v>1951464.7057388658</v>
      </c>
      <c r="CH55" s="229">
        <f t="shared" si="61"/>
        <v>1951464.7057388658</v>
      </c>
      <c r="CI55" s="229">
        <f t="shared" si="61"/>
        <v>1951464.7057388658</v>
      </c>
      <c r="CJ55" s="229">
        <f t="shared" si="61"/>
        <v>1951464.7057388658</v>
      </c>
      <c r="CK55" s="229">
        <f t="shared" si="61"/>
        <v>1953684.9844232365</v>
      </c>
      <c r="CL55" s="229">
        <f t="shared" si="61"/>
        <v>1953684.9844232365</v>
      </c>
      <c r="CM55" s="229">
        <f t="shared" si="61"/>
        <v>1953684.9844232365</v>
      </c>
      <c r="CN55" s="229">
        <f t="shared" si="61"/>
        <v>1953684.9844232365</v>
      </c>
      <c r="CO55" s="229">
        <f t="shared" si="61"/>
        <v>1854892.5648338136</v>
      </c>
      <c r="CP55" s="229">
        <f t="shared" si="61"/>
        <v>1854892.5648338136</v>
      </c>
      <c r="CQ55" s="229">
        <f t="shared" si="61"/>
        <v>1854892.5648338136</v>
      </c>
      <c r="CR55" s="229">
        <f t="shared" si="61"/>
        <v>1854892.5648338136</v>
      </c>
      <c r="CS55" s="229">
        <f t="shared" si="61"/>
        <v>1956996.496476155</v>
      </c>
      <c r="CT55" s="229">
        <f t="shared" si="61"/>
        <v>1956996.496476155</v>
      </c>
      <c r="CU55" s="229">
        <f t="shared" si="61"/>
        <v>1956996.496476155</v>
      </c>
      <c r="CV55" s="229">
        <f t="shared" si="61"/>
        <v>1956996.496476155</v>
      </c>
      <c r="CW55" s="229">
        <f t="shared" si="61"/>
        <v>1959683.3278425806</v>
      </c>
      <c r="CX55" s="229">
        <f t="shared" si="61"/>
        <v>1959683.3278425806</v>
      </c>
      <c r="CY55" s="229">
        <f t="shared" si="61"/>
        <v>1959683.3278425806</v>
      </c>
      <c r="CZ55" s="229">
        <f t="shared" si="61"/>
        <v>1959683.3278425806</v>
      </c>
      <c r="DA55" s="229">
        <f t="shared" si="61"/>
        <v>1961639.878378262</v>
      </c>
      <c r="DB55" s="229">
        <f t="shared" si="61"/>
        <v>1961639.878378262</v>
      </c>
      <c r="DC55" s="229">
        <f t="shared" si="61"/>
        <v>1961639.878378262</v>
      </c>
      <c r="DD55" s="229">
        <f t="shared" si="61"/>
        <v>1961639.878378262</v>
      </c>
      <c r="DE55" s="694"/>
      <c r="DF55" s="692"/>
      <c r="DG55" s="231">
        <f t="shared" si="37"/>
        <v>7740800.9585263375</v>
      </c>
      <c r="DH55" s="231">
        <f t="shared" si="38"/>
        <v>7772092.8560085529</v>
      </c>
      <c r="DI55" s="232">
        <f t="shared" si="39"/>
        <v>7805858.8229554631</v>
      </c>
      <c r="DJ55" s="232">
        <f t="shared" si="40"/>
        <v>7814739.9376929458</v>
      </c>
      <c r="DK55" s="232">
        <f t="shared" si="41"/>
        <v>7419570.2593352543</v>
      </c>
      <c r="DL55" s="232">
        <f t="shared" si="42"/>
        <v>7827985.98590462</v>
      </c>
      <c r="DM55" s="232">
        <f t="shared" si="43"/>
        <v>7838733.3113703225</v>
      </c>
      <c r="DN55" s="232">
        <f t="shared" si="44"/>
        <v>7846559.5135130482</v>
      </c>
      <c r="DO55" s="694"/>
      <c r="DP55" s="692"/>
      <c r="DQ55" s="230">
        <f t="shared" si="19"/>
        <v>-2883422.3569885585</v>
      </c>
      <c r="DR55" s="230">
        <f t="shared" si="19"/>
        <v>-2374217.8434143262</v>
      </c>
      <c r="DS55" s="230">
        <f t="shared" si="19"/>
        <v>-1824753.4721873477</v>
      </c>
      <c r="DT55" s="230">
        <f t="shared" si="19"/>
        <v>-1680233.5141865062</v>
      </c>
      <c r="DU55" s="230">
        <f t="shared" si="19"/>
        <v>-1614918.2354414072</v>
      </c>
      <c r="DV55" s="230">
        <f t="shared" si="19"/>
        <v>-1464684.1841965094</v>
      </c>
      <c r="DW55" s="230">
        <f t="shared" si="19"/>
        <v>-1289795.8879819252</v>
      </c>
      <c r="DX55" s="230">
        <f t="shared" si="19"/>
        <v>-1162442.2349321255</v>
      </c>
      <c r="DY55" s="241"/>
      <c r="DZ55" s="696">
        <v>3</v>
      </c>
      <c r="EA55" s="257"/>
      <c r="EB55" s="269"/>
      <c r="EC55" s="235" t="e">
        <f>(DG55+#REF!/13)*1.1</f>
        <v>#REF!</v>
      </c>
      <c r="ED55" s="235" t="e">
        <f>(DH55+#REF!/17)*1.1</f>
        <v>#REF!</v>
      </c>
      <c r="EE55" s="236">
        <f t="shared" si="20"/>
        <v>8586444.7052510101</v>
      </c>
      <c r="EF55" s="209"/>
      <c r="EG55" s="697">
        <v>3</v>
      </c>
      <c r="EH55" s="164" t="s">
        <v>27</v>
      </c>
      <c r="EI55" s="270">
        <f t="shared" si="46"/>
        <v>0</v>
      </c>
      <c r="EJ55" s="270">
        <f t="shared" si="21"/>
        <v>0</v>
      </c>
      <c r="EK55" s="270">
        <f t="shared" si="21"/>
        <v>0</v>
      </c>
      <c r="EL55" s="270">
        <f t="shared" si="21"/>
        <v>0</v>
      </c>
      <c r="EM55" s="270">
        <f t="shared" si="21"/>
        <v>0</v>
      </c>
      <c r="EN55" s="270">
        <f t="shared" si="21"/>
        <v>0</v>
      </c>
      <c r="EO55" s="270">
        <f t="shared" si="21"/>
        <v>0</v>
      </c>
      <c r="EP55" s="270">
        <f t="shared" si="21"/>
        <v>0</v>
      </c>
      <c r="EQ55" s="271">
        <f t="shared" si="21"/>
        <v>-746784.65651513427</v>
      </c>
      <c r="ER55" s="271">
        <f t="shared" si="21"/>
        <v>-729498.61166980537</v>
      </c>
      <c r="ES55" s="271">
        <f t="shared" si="21"/>
        <v>-712212.56682447507</v>
      </c>
      <c r="ET55" s="271">
        <f t="shared" si="21"/>
        <v>-694926.52197914477</v>
      </c>
      <c r="EU55" s="271">
        <f t="shared" si="21"/>
        <v>-620816.45586668374</v>
      </c>
      <c r="EV55" s="271">
        <f t="shared" si="21"/>
        <v>-602641.79252461554</v>
      </c>
      <c r="EW55" s="271">
        <f t="shared" si="21"/>
        <v>-584467.12918254756</v>
      </c>
      <c r="EX55" s="271">
        <f t="shared" si="21"/>
        <v>-566292.46584047936</v>
      </c>
      <c r="EY55" s="271">
        <f t="shared" si="21"/>
        <v>-484851.81221984699</v>
      </c>
      <c r="EZ55" s="271">
        <f t="shared" si="22"/>
        <v>-465742.84943784052</v>
      </c>
      <c r="FA55" s="271">
        <f t="shared" si="22"/>
        <v>-446633.88665583334</v>
      </c>
      <c r="FB55" s="271">
        <f t="shared" si="22"/>
        <v>-427524.92387382663</v>
      </c>
      <c r="FC55" s="271">
        <f t="shared" si="22"/>
        <v>-424651.59789781552</v>
      </c>
      <c r="FD55" s="271">
        <f t="shared" si="22"/>
        <v>-421593.53112476505</v>
      </c>
      <c r="FE55" s="271">
        <f t="shared" si="22"/>
        <v>-418529.3482181679</v>
      </c>
      <c r="FF55" s="271">
        <f t="shared" si="22"/>
        <v>-415459.03694575769</v>
      </c>
      <c r="FG55" s="271">
        <f t="shared" si="22"/>
        <v>-412407.57165905111</v>
      </c>
      <c r="FH55" s="271">
        <f t="shared" si="22"/>
        <v>-406637.63168635196</v>
      </c>
      <c r="FI55" s="271">
        <f t="shared" si="22"/>
        <v>-400844.61195376213</v>
      </c>
      <c r="FJ55" s="271">
        <f t="shared" si="22"/>
        <v>-395028.42014224199</v>
      </c>
      <c r="FK55" s="271">
        <f t="shared" si="22"/>
        <v>-380417.10258759139</v>
      </c>
      <c r="FL55" s="271">
        <f t="shared" si="22"/>
        <v>-370957.62622426031</v>
      </c>
      <c r="FM55" s="271">
        <f t="shared" si="22"/>
        <v>-361441.39300274919</v>
      </c>
      <c r="FN55" s="271">
        <f t="shared" si="22"/>
        <v>-351868.06238190853</v>
      </c>
      <c r="FO55" s="271">
        <f t="shared" si="22"/>
        <v>-340510.61899315659</v>
      </c>
      <c r="FP55" s="271">
        <f t="shared" si="23"/>
        <v>-328528.74094767123</v>
      </c>
      <c r="FQ55" s="271">
        <f t="shared" si="23"/>
        <v>-316458.19700464932</v>
      </c>
      <c r="FR55" s="271">
        <f t="shared" si="23"/>
        <v>-304298.33103644848</v>
      </c>
      <c r="FS55" s="271">
        <f t="shared" si="23"/>
        <v>-290610.55873303139</v>
      </c>
      <c r="FT55" s="271">
        <f t="shared" si="23"/>
        <v>-290610.55873303139</v>
      </c>
      <c r="FU55" s="271">
        <f t="shared" si="23"/>
        <v>-290610.55873303139</v>
      </c>
      <c r="FV55" s="271">
        <f t="shared" si="23"/>
        <v>-290610.55873303139</v>
      </c>
      <c r="FW55" s="271"/>
      <c r="FX55" s="259"/>
      <c r="FY55" s="260"/>
      <c r="GB55" s="249">
        <f t="shared" si="25"/>
        <v>-720855.58924713987</v>
      </c>
      <c r="GC55" s="720">
        <f>SUM(GB55:GB58)</f>
        <v>-712969.66182301159</v>
      </c>
      <c r="GD55" s="249">
        <f t="shared" si="26"/>
        <v>-593554.46085358155</v>
      </c>
      <c r="GE55" s="720">
        <f>SUM(GD55:GD58)</f>
        <v>-320872.5016773449</v>
      </c>
      <c r="GF55" s="249">
        <f t="shared" si="27"/>
        <v>-456188.36804683687</v>
      </c>
      <c r="GG55" s="720">
        <f>SUM(GF55:GF58)</f>
        <v>102414.35002017056</v>
      </c>
      <c r="GH55" s="725">
        <f>GG55+GE55+GC55</f>
        <v>-931427.81348018593</v>
      </c>
      <c r="GI55" s="728">
        <f>SUM(EI55:FB58)</f>
        <v>-3725711.2539207456</v>
      </c>
    </row>
    <row r="56" spans="1:205" ht="15" customHeight="1" thickBot="1">
      <c r="A56" s="697"/>
      <c r="B56" s="160" t="s">
        <v>28</v>
      </c>
      <c r="C56" s="268">
        <v>0</v>
      </c>
      <c r="D56" s="268">
        <v>0</v>
      </c>
      <c r="E56" s="268">
        <v>0</v>
      </c>
      <c r="F56" s="268">
        <v>0</v>
      </c>
      <c r="G56" s="268">
        <v>0</v>
      </c>
      <c r="H56" s="268">
        <v>0</v>
      </c>
      <c r="I56" s="268">
        <v>0</v>
      </c>
      <c r="J56" s="268">
        <v>0</v>
      </c>
      <c r="K56" s="222">
        <f t="shared" ref="K56:AP56" si="63">(IF(BY14=1,IF(K14&lt;=$BJ$46,K14*1000*$BI14,$BJ$46*1000*$BI14),IF(BY14*$BJ$46&gt;=K14,K14*1000*$BI14,BY14*1000*$BJ$46*$BI14)))*K38/4*$C$26</f>
        <v>519673.03274363669</v>
      </c>
      <c r="L56" s="222">
        <f t="shared" si="63"/>
        <v>525612.15311784972</v>
      </c>
      <c r="M56" s="222">
        <f t="shared" si="63"/>
        <v>531551.2734920627</v>
      </c>
      <c r="N56" s="222">
        <f t="shared" si="63"/>
        <v>537490.3938662759</v>
      </c>
      <c r="O56" s="222">
        <f t="shared" si="63"/>
        <v>571365.43147015315</v>
      </c>
      <c r="P56" s="222">
        <f t="shared" si="63"/>
        <v>577609.86241518194</v>
      </c>
      <c r="Q56" s="222">
        <f t="shared" si="63"/>
        <v>583854.29336021107</v>
      </c>
      <c r="R56" s="222">
        <f t="shared" si="63"/>
        <v>590098.72430523986</v>
      </c>
      <c r="S56" s="222">
        <f t="shared" si="63"/>
        <v>626999.18807327817</v>
      </c>
      <c r="T56" s="222">
        <f t="shared" si="63"/>
        <v>633564.62459760578</v>
      </c>
      <c r="U56" s="222">
        <f t="shared" si="63"/>
        <v>640130.06112193305</v>
      </c>
      <c r="V56" s="222">
        <f t="shared" si="63"/>
        <v>646695.49764626077</v>
      </c>
      <c r="W56" s="222">
        <f t="shared" si="63"/>
        <v>648857.00772681483</v>
      </c>
      <c r="X56" s="222">
        <f t="shared" si="63"/>
        <v>650154.72174226842</v>
      </c>
      <c r="Y56" s="222">
        <f t="shared" si="63"/>
        <v>651455.03118575306</v>
      </c>
      <c r="Z56" s="222">
        <f t="shared" si="63"/>
        <v>652757.94124812447</v>
      </c>
      <c r="AA56" s="222">
        <f t="shared" si="63"/>
        <v>612129.53530668432</v>
      </c>
      <c r="AB56" s="222">
        <f t="shared" si="63"/>
        <v>614578.05344791105</v>
      </c>
      <c r="AC56" s="222">
        <f t="shared" si="63"/>
        <v>617036.36566170282</v>
      </c>
      <c r="AD56" s="222">
        <f t="shared" si="63"/>
        <v>619504.51112434955</v>
      </c>
      <c r="AE56" s="222">
        <f t="shared" si="63"/>
        <v>669033.51946218684</v>
      </c>
      <c r="AF56" s="222">
        <f t="shared" si="63"/>
        <v>673047.72057895979</v>
      </c>
      <c r="AG56" s="222">
        <f t="shared" si="63"/>
        <v>677086.0069024337</v>
      </c>
      <c r="AH56" s="222">
        <f t="shared" si="63"/>
        <v>681148.52294384828</v>
      </c>
      <c r="AI56" s="222">
        <f t="shared" si="63"/>
        <v>687108.31831106718</v>
      </c>
      <c r="AJ56" s="222">
        <f t="shared" si="63"/>
        <v>692192.91986656887</v>
      </c>
      <c r="AK56" s="222">
        <f t="shared" si="63"/>
        <v>697315.14747358137</v>
      </c>
      <c r="AL56" s="222">
        <f t="shared" si="63"/>
        <v>702475.27956488577</v>
      </c>
      <c r="AM56" s="222">
        <f t="shared" si="63"/>
        <v>709114.06756961148</v>
      </c>
      <c r="AN56" s="222">
        <f t="shared" si="63"/>
        <v>709114.06756961148</v>
      </c>
      <c r="AO56" s="222">
        <f t="shared" si="63"/>
        <v>709114.06756961148</v>
      </c>
      <c r="AP56" s="222">
        <f t="shared" si="63"/>
        <v>709114.06756961148</v>
      </c>
      <c r="AQ56" s="730"/>
      <c r="AR56" s="730"/>
      <c r="AS56" s="223">
        <f t="shared" si="15"/>
        <v>2114326.8532198248</v>
      </c>
      <c r="AT56" s="223">
        <f t="shared" si="16"/>
        <v>2322928.3115507863</v>
      </c>
      <c r="AU56" s="223">
        <f t="shared" si="17"/>
        <v>2547389.3714390779</v>
      </c>
      <c r="AV56" s="223">
        <f t="shared" si="29"/>
        <v>2603224.7019029609</v>
      </c>
      <c r="AW56" s="223">
        <f t="shared" si="30"/>
        <v>2463248.4655406475</v>
      </c>
      <c r="AX56" s="223">
        <f t="shared" si="31"/>
        <v>2700315.7698874287</v>
      </c>
      <c r="AY56" s="223">
        <f t="shared" si="32"/>
        <v>2779091.6652161032</v>
      </c>
      <c r="AZ56" s="223">
        <f t="shared" si="33"/>
        <v>2836456.2702784459</v>
      </c>
      <c r="BA56" s="224"/>
      <c r="BB56" s="224"/>
      <c r="BC56" s="224"/>
      <c r="BD56" s="224"/>
      <c r="BE56" s="224"/>
      <c r="BF56" s="225"/>
      <c r="BL56" s="227"/>
      <c r="BO56" s="697"/>
      <c r="BP56" s="164" t="s">
        <v>28</v>
      </c>
      <c r="BQ56" s="229">
        <f t="shared" si="62"/>
        <v>0</v>
      </c>
      <c r="BR56" s="229">
        <f t="shared" si="62"/>
        <v>0</v>
      </c>
      <c r="BS56" s="229">
        <f t="shared" si="62"/>
        <v>0</v>
      </c>
      <c r="BT56" s="229">
        <f t="shared" si="62"/>
        <v>0</v>
      </c>
      <c r="BU56" s="229">
        <f t="shared" si="62"/>
        <v>0</v>
      </c>
      <c r="BV56" s="229">
        <f t="shared" si="62"/>
        <v>0</v>
      </c>
      <c r="BW56" s="229">
        <f t="shared" si="62"/>
        <v>0</v>
      </c>
      <c r="BX56" s="229">
        <f t="shared" si="62"/>
        <v>0</v>
      </c>
      <c r="BY56" s="229">
        <f t="shared" ref="BY56:DD56" si="64">BY14*DR34*K38/4</f>
        <v>630273.32905935496</v>
      </c>
      <c r="BZ56" s="229">
        <f t="shared" si="64"/>
        <v>630273.32905935496</v>
      </c>
      <c r="CA56" s="229">
        <f t="shared" si="64"/>
        <v>630273.32905935496</v>
      </c>
      <c r="CB56" s="229">
        <f t="shared" si="64"/>
        <v>630273.32905935496</v>
      </c>
      <c r="CC56" s="229">
        <f t="shared" si="64"/>
        <v>640945.9618111715</v>
      </c>
      <c r="CD56" s="229">
        <f t="shared" si="64"/>
        <v>640945.9618111715</v>
      </c>
      <c r="CE56" s="229">
        <f t="shared" si="64"/>
        <v>640945.9618111715</v>
      </c>
      <c r="CF56" s="229">
        <f t="shared" si="64"/>
        <v>640945.9618111715</v>
      </c>
      <c r="CG56" s="229">
        <f t="shared" si="64"/>
        <v>652430.01603801444</v>
      </c>
      <c r="CH56" s="229">
        <f t="shared" si="64"/>
        <v>652430.01603801444</v>
      </c>
      <c r="CI56" s="229">
        <f t="shared" si="64"/>
        <v>652430.01603801444</v>
      </c>
      <c r="CJ56" s="229">
        <f t="shared" si="64"/>
        <v>652430.01603801444</v>
      </c>
      <c r="CK56" s="229">
        <f t="shared" si="64"/>
        <v>655286.70736407361</v>
      </c>
      <c r="CL56" s="229">
        <f t="shared" si="64"/>
        <v>655286.70736407361</v>
      </c>
      <c r="CM56" s="229">
        <f t="shared" si="64"/>
        <v>655286.70736407361</v>
      </c>
      <c r="CN56" s="229">
        <f t="shared" si="64"/>
        <v>655286.70736407361</v>
      </c>
      <c r="CO56" s="229">
        <f t="shared" si="64"/>
        <v>625853.69317502005</v>
      </c>
      <c r="CP56" s="229">
        <f t="shared" si="64"/>
        <v>625853.69317502005</v>
      </c>
      <c r="CQ56" s="229">
        <f t="shared" si="64"/>
        <v>625853.69317502005</v>
      </c>
      <c r="CR56" s="229">
        <f t="shared" si="64"/>
        <v>625853.69317502005</v>
      </c>
      <c r="CS56" s="229">
        <f t="shared" si="64"/>
        <v>660254.15735397663</v>
      </c>
      <c r="CT56" s="229">
        <f t="shared" si="64"/>
        <v>660254.15735397663</v>
      </c>
      <c r="CU56" s="229">
        <f t="shared" si="64"/>
        <v>660254.15735397663</v>
      </c>
      <c r="CV56" s="229">
        <f t="shared" si="64"/>
        <v>660254.15735397663</v>
      </c>
      <c r="CW56" s="229">
        <f t="shared" si="64"/>
        <v>664284.55199869943</v>
      </c>
      <c r="CX56" s="229">
        <f t="shared" si="64"/>
        <v>664284.55199869943</v>
      </c>
      <c r="CY56" s="229">
        <f t="shared" si="64"/>
        <v>664284.55199869943</v>
      </c>
      <c r="CZ56" s="229">
        <f t="shared" si="64"/>
        <v>664284.55199869943</v>
      </c>
      <c r="DA56" s="229">
        <f t="shared" si="64"/>
        <v>667219.48528095894</v>
      </c>
      <c r="DB56" s="229">
        <f t="shared" si="64"/>
        <v>667219.48528095894</v>
      </c>
      <c r="DC56" s="229">
        <f t="shared" si="64"/>
        <v>667219.48528095894</v>
      </c>
      <c r="DD56" s="229">
        <f t="shared" si="64"/>
        <v>667219.48528095894</v>
      </c>
      <c r="DE56" s="695"/>
      <c r="DF56" s="693"/>
      <c r="DG56" s="231">
        <f t="shared" si="37"/>
        <v>2521093.3162374198</v>
      </c>
      <c r="DH56" s="231">
        <f t="shared" si="38"/>
        <v>2563783.847244686</v>
      </c>
      <c r="DI56" s="232">
        <f t="shared" si="39"/>
        <v>2609720.0641520577</v>
      </c>
      <c r="DJ56" s="232">
        <f t="shared" si="40"/>
        <v>2621146.8294562944</v>
      </c>
      <c r="DK56" s="232">
        <f t="shared" si="41"/>
        <v>2503414.7727000802</v>
      </c>
      <c r="DL56" s="232">
        <f t="shared" si="42"/>
        <v>2641016.6294159065</v>
      </c>
      <c r="DM56" s="232">
        <f t="shared" si="43"/>
        <v>2657138.2079947977</v>
      </c>
      <c r="DN56" s="232">
        <f t="shared" si="44"/>
        <v>2668877.9411238357</v>
      </c>
      <c r="DO56" s="695"/>
      <c r="DP56" s="693"/>
      <c r="DQ56" s="230">
        <f t="shared" si="19"/>
        <v>-406766.463017595</v>
      </c>
      <c r="DR56" s="230">
        <f t="shared" si="19"/>
        <v>-240855.53569389973</v>
      </c>
      <c r="DS56" s="230">
        <f t="shared" si="19"/>
        <v>-62330.692712979857</v>
      </c>
      <c r="DT56" s="230">
        <f t="shared" si="19"/>
        <v>-17922.127553333528</v>
      </c>
      <c r="DU56" s="230">
        <f t="shared" si="19"/>
        <v>-40166.307159432676</v>
      </c>
      <c r="DV56" s="230">
        <f t="shared" si="19"/>
        <v>59299.140471522231</v>
      </c>
      <c r="DW56" s="230">
        <f t="shared" si="19"/>
        <v>121953.45722130546</v>
      </c>
      <c r="DX56" s="230">
        <f t="shared" si="19"/>
        <v>167578.32915461017</v>
      </c>
      <c r="DY56" s="241"/>
      <c r="DZ56" s="696"/>
      <c r="EA56" s="257"/>
      <c r="EB56" s="269"/>
      <c r="EC56" s="235" t="e">
        <f>(DG56+#REF!/13)*1.1</f>
        <v>#REF!</v>
      </c>
      <c r="ED56" s="235" t="e">
        <f>(DH56+#REF!/17)*1.1</f>
        <v>#REF!</v>
      </c>
      <c r="EE56" s="236">
        <f t="shared" si="20"/>
        <v>2870692.0705672638</v>
      </c>
      <c r="EF56" s="209"/>
      <c r="EG56" s="697"/>
      <c r="EH56" s="164" t="s">
        <v>28</v>
      </c>
      <c r="EI56" s="270">
        <f t="shared" si="46"/>
        <v>0</v>
      </c>
      <c r="EJ56" s="270">
        <f t="shared" si="21"/>
        <v>0</v>
      </c>
      <c r="EK56" s="270">
        <f t="shared" si="21"/>
        <v>0</v>
      </c>
      <c r="EL56" s="270">
        <f t="shared" si="21"/>
        <v>0</v>
      </c>
      <c r="EM56" s="270">
        <f t="shared" si="21"/>
        <v>0</v>
      </c>
      <c r="EN56" s="270">
        <f t="shared" si="21"/>
        <v>0</v>
      </c>
      <c r="EO56" s="270">
        <f t="shared" si="21"/>
        <v>0</v>
      </c>
      <c r="EP56" s="270">
        <f t="shared" si="21"/>
        <v>0</v>
      </c>
      <c r="EQ56" s="271">
        <f t="shared" si="21"/>
        <v>-110600.29631571827</v>
      </c>
      <c r="ER56" s="271">
        <f t="shared" si="21"/>
        <v>-104661.17594150524</v>
      </c>
      <c r="ES56" s="271">
        <f t="shared" si="21"/>
        <v>-98722.055567292264</v>
      </c>
      <c r="ET56" s="271">
        <f t="shared" si="21"/>
        <v>-92782.935193079058</v>
      </c>
      <c r="EU56" s="271">
        <f t="shared" si="21"/>
        <v>-69580.530341018341</v>
      </c>
      <c r="EV56" s="271">
        <f t="shared" si="21"/>
        <v>-63336.099395989557</v>
      </c>
      <c r="EW56" s="271">
        <f t="shared" si="21"/>
        <v>-57091.668450960424</v>
      </c>
      <c r="EX56" s="271">
        <f t="shared" si="21"/>
        <v>-50847.23750593164</v>
      </c>
      <c r="EY56" s="271">
        <f t="shared" si="21"/>
        <v>-25430.827964736265</v>
      </c>
      <c r="EZ56" s="271">
        <f t="shared" si="22"/>
        <v>-18865.391440408654</v>
      </c>
      <c r="FA56" s="271">
        <f t="shared" si="22"/>
        <v>-12299.954916081391</v>
      </c>
      <c r="FB56" s="271">
        <f t="shared" si="22"/>
        <v>-5734.5183917536633</v>
      </c>
      <c r="FC56" s="271">
        <f t="shared" si="22"/>
        <v>-6429.6996372587746</v>
      </c>
      <c r="FD56" s="271">
        <f t="shared" si="22"/>
        <v>-5131.9856218051864</v>
      </c>
      <c r="FE56" s="271">
        <f t="shared" si="22"/>
        <v>-3831.6761783205438</v>
      </c>
      <c r="FF56" s="271">
        <f t="shared" si="22"/>
        <v>-2528.7661159491399</v>
      </c>
      <c r="FG56" s="271">
        <f t="shared" si="22"/>
        <v>-13724.157868335722</v>
      </c>
      <c r="FH56" s="271">
        <f t="shared" si="22"/>
        <v>-11275.639727108995</v>
      </c>
      <c r="FI56" s="271">
        <f t="shared" si="22"/>
        <v>-8817.3275133172283</v>
      </c>
      <c r="FJ56" s="271">
        <f t="shared" si="22"/>
        <v>-6349.1820506704971</v>
      </c>
      <c r="FK56" s="271">
        <f t="shared" si="22"/>
        <v>8779.3621082102181</v>
      </c>
      <c r="FL56" s="271">
        <f t="shared" si="22"/>
        <v>12793.563224983169</v>
      </c>
      <c r="FM56" s="271">
        <f t="shared" si="22"/>
        <v>16831.849548457074</v>
      </c>
      <c r="FN56" s="271">
        <f t="shared" si="22"/>
        <v>20894.365589871653</v>
      </c>
      <c r="FO56" s="271">
        <f t="shared" si="22"/>
        <v>22823.766312367748</v>
      </c>
      <c r="FP56" s="271">
        <f t="shared" si="23"/>
        <v>27908.367867869441</v>
      </c>
      <c r="FQ56" s="271">
        <f t="shared" si="23"/>
        <v>33030.595474881935</v>
      </c>
      <c r="FR56" s="271">
        <f t="shared" si="23"/>
        <v>38190.727566186339</v>
      </c>
      <c r="FS56" s="271">
        <f t="shared" si="23"/>
        <v>41894.582288652542</v>
      </c>
      <c r="FT56" s="271">
        <f t="shared" si="23"/>
        <v>41894.582288652542</v>
      </c>
      <c r="FU56" s="271">
        <f t="shared" si="23"/>
        <v>41894.582288652542</v>
      </c>
      <c r="FV56" s="271">
        <f t="shared" si="23"/>
        <v>41894.582288652542</v>
      </c>
      <c r="FW56" s="271"/>
      <c r="FX56" s="259"/>
      <c r="FY56" s="260"/>
      <c r="GB56" s="249">
        <f t="shared" si="25"/>
        <v>-101691.61575439871</v>
      </c>
      <c r="GC56" s="720"/>
      <c r="GD56" s="249">
        <f t="shared" si="26"/>
        <v>-60213.88392347499</v>
      </c>
      <c r="GE56" s="720"/>
      <c r="GF56" s="249">
        <f t="shared" si="27"/>
        <v>-15582.673178244993</v>
      </c>
      <c r="GG56" s="720"/>
      <c r="GH56" s="726"/>
      <c r="GI56" s="728"/>
      <c r="GJ56" s="108"/>
      <c r="GL56" s="108"/>
      <c r="GN56" s="108"/>
    </row>
    <row r="57" spans="1:205" ht="15" customHeight="1" thickBot="1">
      <c r="A57" s="697"/>
      <c r="B57" s="160" t="s">
        <v>29</v>
      </c>
      <c r="C57" s="268">
        <v>0</v>
      </c>
      <c r="D57" s="268">
        <v>0</v>
      </c>
      <c r="E57" s="268">
        <v>0</v>
      </c>
      <c r="F57" s="268">
        <v>0</v>
      </c>
      <c r="G57" s="268">
        <v>0</v>
      </c>
      <c r="H57" s="268">
        <v>0</v>
      </c>
      <c r="I57" s="268">
        <v>0</v>
      </c>
      <c r="J57" s="268">
        <v>0</v>
      </c>
      <c r="K57" s="222">
        <f t="shared" ref="K57:AP57" si="65">(IF(BY15=1,IF(K15&lt;=$BJ$46,K15*1000*$BI15,$BJ$46*1000*$BI15),IF(BY15*$BJ$46&gt;=K15,K15*1000*$BI15,BY15*1000*$BJ$46*$BI15)))*K38/4*$C$26</f>
        <v>547428.36782495491</v>
      </c>
      <c r="L57" s="222">
        <f t="shared" si="65"/>
        <v>553684.69202866859</v>
      </c>
      <c r="M57" s="222">
        <f t="shared" si="65"/>
        <v>559941.01623238239</v>
      </c>
      <c r="N57" s="222">
        <f t="shared" si="65"/>
        <v>566197.34043609619</v>
      </c>
      <c r="O57" s="222">
        <f t="shared" si="65"/>
        <v>601881.61762014555</v>
      </c>
      <c r="P57" s="222">
        <f t="shared" si="65"/>
        <v>608459.55879632209</v>
      </c>
      <c r="Q57" s="222">
        <f t="shared" si="65"/>
        <v>615037.49997249851</v>
      </c>
      <c r="R57" s="222">
        <f t="shared" si="65"/>
        <v>621615.44114867505</v>
      </c>
      <c r="S57" s="222">
        <f t="shared" si="65"/>
        <v>660486.73017029744</v>
      </c>
      <c r="T57" s="222">
        <f t="shared" si="65"/>
        <v>667402.82158569328</v>
      </c>
      <c r="U57" s="222">
        <f t="shared" si="65"/>
        <v>674318.91300108901</v>
      </c>
      <c r="V57" s="222">
        <f t="shared" si="65"/>
        <v>681235.00441648497</v>
      </c>
      <c r="W57" s="222">
        <f t="shared" si="65"/>
        <v>683511.95908005047</v>
      </c>
      <c r="X57" s="222">
        <f t="shared" si="65"/>
        <v>684878.98299821035</v>
      </c>
      <c r="Y57" s="222">
        <f t="shared" si="65"/>
        <v>686248.74096420687</v>
      </c>
      <c r="Z57" s="222">
        <f t="shared" si="65"/>
        <v>687621.23844613507</v>
      </c>
      <c r="AA57" s="222">
        <f t="shared" si="65"/>
        <v>644822.90074054152</v>
      </c>
      <c r="AB57" s="222">
        <f t="shared" si="65"/>
        <v>647402.19234350359</v>
      </c>
      <c r="AC57" s="222">
        <f t="shared" si="65"/>
        <v>649991.80111287755</v>
      </c>
      <c r="AD57" s="222">
        <f t="shared" si="65"/>
        <v>652591.76831732912</v>
      </c>
      <c r="AE57" s="222">
        <f t="shared" si="65"/>
        <v>704766.08271502552</v>
      </c>
      <c r="AF57" s="222">
        <f t="shared" si="65"/>
        <v>708994.6792113157</v>
      </c>
      <c r="AG57" s="222">
        <f t="shared" si="65"/>
        <v>713248.64728658355</v>
      </c>
      <c r="AH57" s="222">
        <f t="shared" si="65"/>
        <v>717528.13917030301</v>
      </c>
      <c r="AI57" s="222">
        <f t="shared" si="65"/>
        <v>723806.24260242179</v>
      </c>
      <c r="AJ57" s="222">
        <f t="shared" si="65"/>
        <v>729162.40879767947</v>
      </c>
      <c r="AK57" s="222">
        <f t="shared" si="65"/>
        <v>734558.21062278224</v>
      </c>
      <c r="AL57" s="222">
        <f t="shared" si="65"/>
        <v>739993.94138139091</v>
      </c>
      <c r="AM57" s="222">
        <f t="shared" si="65"/>
        <v>746987.30192306754</v>
      </c>
      <c r="AN57" s="222">
        <f t="shared" si="65"/>
        <v>746987.30192306754</v>
      </c>
      <c r="AO57" s="222">
        <f t="shared" si="65"/>
        <v>746987.30192306754</v>
      </c>
      <c r="AP57" s="222">
        <f t="shared" si="65"/>
        <v>746987.30192306754</v>
      </c>
      <c r="AQ57" s="730"/>
      <c r="AR57" s="730"/>
      <c r="AS57" s="223">
        <f t="shared" si="15"/>
        <v>2227251.4165221024</v>
      </c>
      <c r="AT57" s="223">
        <f t="shared" si="16"/>
        <v>2446994.117537641</v>
      </c>
      <c r="AU57" s="223">
        <f t="shared" si="17"/>
        <v>2683443.4691735646</v>
      </c>
      <c r="AV57" s="223">
        <f t="shared" si="29"/>
        <v>2742260.9214886026</v>
      </c>
      <c r="AW57" s="223">
        <f t="shared" si="30"/>
        <v>2594808.6625142521</v>
      </c>
      <c r="AX57" s="223">
        <f t="shared" si="31"/>
        <v>2844537.548383228</v>
      </c>
      <c r="AY57" s="223">
        <f t="shared" si="32"/>
        <v>2927520.8034042744</v>
      </c>
      <c r="AZ57" s="223">
        <f t="shared" si="33"/>
        <v>2987949.2076922702</v>
      </c>
      <c r="BA57" s="224"/>
      <c r="BB57" s="224"/>
      <c r="BC57" s="224"/>
      <c r="BD57" s="224"/>
      <c r="BE57" s="224"/>
      <c r="BF57" s="225"/>
      <c r="BL57" s="227"/>
      <c r="BO57" s="697"/>
      <c r="BP57" s="164" t="s">
        <v>29</v>
      </c>
      <c r="BQ57" s="229">
        <f t="shared" si="62"/>
        <v>0</v>
      </c>
      <c r="BR57" s="229">
        <f t="shared" si="62"/>
        <v>0</v>
      </c>
      <c r="BS57" s="229">
        <f t="shared" si="62"/>
        <v>0</v>
      </c>
      <c r="BT57" s="229">
        <f t="shared" si="62"/>
        <v>0</v>
      </c>
      <c r="BU57" s="229">
        <f t="shared" si="62"/>
        <v>0</v>
      </c>
      <c r="BV57" s="229">
        <f t="shared" si="62"/>
        <v>0</v>
      </c>
      <c r="BW57" s="229">
        <f t="shared" si="62"/>
        <v>0</v>
      </c>
      <c r="BX57" s="229">
        <f t="shared" si="62"/>
        <v>0</v>
      </c>
      <c r="BY57" s="229">
        <f t="shared" ref="BY57:DD57" si="66">BY15*DR35*K38/4</f>
        <v>938683.1981404596</v>
      </c>
      <c r="BZ57" s="229">
        <f t="shared" si="66"/>
        <v>938683.1981404596</v>
      </c>
      <c r="CA57" s="229">
        <f t="shared" si="66"/>
        <v>938683.1981404596</v>
      </c>
      <c r="CB57" s="229">
        <f t="shared" si="66"/>
        <v>938683.1981404596</v>
      </c>
      <c r="CC57" s="229">
        <f t="shared" si="66"/>
        <v>950369.51451264974</v>
      </c>
      <c r="CD57" s="229">
        <f t="shared" si="66"/>
        <v>950369.51451264974</v>
      </c>
      <c r="CE57" s="229">
        <f t="shared" si="66"/>
        <v>950369.51451264974</v>
      </c>
      <c r="CF57" s="229">
        <f t="shared" si="66"/>
        <v>950369.51451264974</v>
      </c>
      <c r="CG57" s="229">
        <f t="shared" si="66"/>
        <v>962944.3209405602</v>
      </c>
      <c r="CH57" s="229">
        <f t="shared" si="66"/>
        <v>962944.3209405602</v>
      </c>
      <c r="CI57" s="229">
        <f t="shared" si="66"/>
        <v>962944.3209405602</v>
      </c>
      <c r="CJ57" s="229">
        <f t="shared" si="66"/>
        <v>962944.3209405602</v>
      </c>
      <c r="CK57" s="229">
        <f t="shared" si="66"/>
        <v>966072.33999549621</v>
      </c>
      <c r="CL57" s="229">
        <f t="shared" si="66"/>
        <v>966072.33999549621</v>
      </c>
      <c r="CM57" s="229">
        <f t="shared" si="66"/>
        <v>966072.33999549621</v>
      </c>
      <c r="CN57" s="229">
        <f t="shared" si="66"/>
        <v>966072.33999549621</v>
      </c>
      <c r="CO57" s="229">
        <f t="shared" si="66"/>
        <v>920038.89329263952</v>
      </c>
      <c r="CP57" s="229">
        <f t="shared" si="66"/>
        <v>920038.89329263952</v>
      </c>
      <c r="CQ57" s="229">
        <f t="shared" si="66"/>
        <v>920038.89329263952</v>
      </c>
      <c r="CR57" s="229">
        <f t="shared" si="66"/>
        <v>920038.89329263952</v>
      </c>
      <c r="CS57" s="229">
        <f t="shared" si="66"/>
        <v>971511.59697125596</v>
      </c>
      <c r="CT57" s="229">
        <f t="shared" si="66"/>
        <v>971511.59697125596</v>
      </c>
      <c r="CU57" s="229">
        <f t="shared" si="66"/>
        <v>971511.59697125596</v>
      </c>
      <c r="CV57" s="229">
        <f t="shared" si="66"/>
        <v>971511.59697125596</v>
      </c>
      <c r="CW57" s="229">
        <f t="shared" si="66"/>
        <v>975924.79735192074</v>
      </c>
      <c r="CX57" s="229">
        <f t="shared" si="66"/>
        <v>975924.79735192074</v>
      </c>
      <c r="CY57" s="229">
        <f t="shared" si="66"/>
        <v>975924.79735192074</v>
      </c>
      <c r="CZ57" s="229">
        <f t="shared" si="66"/>
        <v>975924.79735192074</v>
      </c>
      <c r="DA57" s="229">
        <f t="shared" si="66"/>
        <v>979138.48976178223</v>
      </c>
      <c r="DB57" s="229">
        <f t="shared" si="66"/>
        <v>979138.48976178223</v>
      </c>
      <c r="DC57" s="229">
        <f t="shared" si="66"/>
        <v>979138.48976178223</v>
      </c>
      <c r="DD57" s="229">
        <f t="shared" si="66"/>
        <v>979138.48976178223</v>
      </c>
      <c r="DE57" s="695"/>
      <c r="DF57" s="693"/>
      <c r="DG57" s="231">
        <f t="shared" si="37"/>
        <v>3754732.7925618384</v>
      </c>
      <c r="DH57" s="231">
        <f t="shared" si="38"/>
        <v>3801478.0580505989</v>
      </c>
      <c r="DI57" s="232">
        <f t="shared" si="39"/>
        <v>3851777.2837622408</v>
      </c>
      <c r="DJ57" s="232">
        <f t="shared" si="40"/>
        <v>3864289.3599819848</v>
      </c>
      <c r="DK57" s="232">
        <f t="shared" si="41"/>
        <v>3680155.5731705581</v>
      </c>
      <c r="DL57" s="232">
        <f t="shared" si="42"/>
        <v>3886046.3878850238</v>
      </c>
      <c r="DM57" s="232">
        <f t="shared" si="43"/>
        <v>3903699.189407683</v>
      </c>
      <c r="DN57" s="232">
        <f t="shared" si="44"/>
        <v>3916553.9590471289</v>
      </c>
      <c r="DO57" s="695"/>
      <c r="DP57" s="693"/>
      <c r="DQ57" s="230">
        <f t="shared" si="19"/>
        <v>-1527481.376039736</v>
      </c>
      <c r="DR57" s="230">
        <f t="shared" si="19"/>
        <v>-1354483.940512958</v>
      </c>
      <c r="DS57" s="230">
        <f t="shared" si="19"/>
        <v>-1168333.8145886762</v>
      </c>
      <c r="DT57" s="230">
        <f t="shared" si="19"/>
        <v>-1122028.4384933822</v>
      </c>
      <c r="DU57" s="230">
        <f t="shared" si="19"/>
        <v>-1085346.910656306</v>
      </c>
      <c r="DV57" s="230">
        <f t="shared" si="19"/>
        <v>-1041508.8395017958</v>
      </c>
      <c r="DW57" s="230">
        <f t="shared" si="19"/>
        <v>-976178.38600340858</v>
      </c>
      <c r="DX57" s="230">
        <f t="shared" si="19"/>
        <v>-928604.75135485874</v>
      </c>
      <c r="DY57" s="241"/>
      <c r="DZ57" s="696"/>
      <c r="EA57" s="257"/>
      <c r="EB57" s="269"/>
      <c r="EC57" s="235" t="e">
        <f>(DG57+#REF!/13)*1.1</f>
        <v>#REF!</v>
      </c>
      <c r="ED57" s="235" t="e">
        <f>(DH57+#REF!/17)*1.1</f>
        <v>#REF!</v>
      </c>
      <c r="EE57" s="236">
        <f t="shared" si="20"/>
        <v>4236955.0121384654</v>
      </c>
      <c r="EF57" s="209"/>
      <c r="EG57" s="697"/>
      <c r="EH57" s="164" t="s">
        <v>29</v>
      </c>
      <c r="EI57" s="270">
        <f t="shared" si="46"/>
        <v>0</v>
      </c>
      <c r="EJ57" s="270">
        <f t="shared" si="21"/>
        <v>0</v>
      </c>
      <c r="EK57" s="270">
        <f t="shared" si="21"/>
        <v>0</v>
      </c>
      <c r="EL57" s="270">
        <f t="shared" si="21"/>
        <v>0</v>
      </c>
      <c r="EM57" s="270">
        <f t="shared" si="21"/>
        <v>0</v>
      </c>
      <c r="EN57" s="270">
        <f t="shared" si="21"/>
        <v>0</v>
      </c>
      <c r="EO57" s="270">
        <f t="shared" si="21"/>
        <v>0</v>
      </c>
      <c r="EP57" s="270">
        <f t="shared" si="21"/>
        <v>0</v>
      </c>
      <c r="EQ57" s="271">
        <f t="shared" si="21"/>
        <v>-391254.83031550469</v>
      </c>
      <c r="ER57" s="271">
        <f t="shared" si="21"/>
        <v>-384998.50611179101</v>
      </c>
      <c r="ES57" s="271">
        <f t="shared" si="21"/>
        <v>-378742.18190807721</v>
      </c>
      <c r="ET57" s="271">
        <f t="shared" si="21"/>
        <v>-372485.85770436341</v>
      </c>
      <c r="EU57" s="271">
        <f t="shared" si="21"/>
        <v>-348487.89689250418</v>
      </c>
      <c r="EV57" s="271">
        <f t="shared" si="21"/>
        <v>-341909.95571632765</v>
      </c>
      <c r="EW57" s="271">
        <f t="shared" si="21"/>
        <v>-335332.01454015123</v>
      </c>
      <c r="EX57" s="271">
        <f t="shared" si="21"/>
        <v>-328754.07336397469</v>
      </c>
      <c r="EY57" s="271">
        <f t="shared" si="21"/>
        <v>-302457.59077026276</v>
      </c>
      <c r="EZ57" s="271">
        <f t="shared" si="22"/>
        <v>-295541.49935486692</v>
      </c>
      <c r="FA57" s="271">
        <f t="shared" si="22"/>
        <v>-288625.40793947119</v>
      </c>
      <c r="FB57" s="271">
        <f t="shared" si="22"/>
        <v>-281709.31652407523</v>
      </c>
      <c r="FC57" s="271">
        <f t="shared" si="22"/>
        <v>-282560.38091544574</v>
      </c>
      <c r="FD57" s="271">
        <f t="shared" si="22"/>
        <v>-281193.35699728585</v>
      </c>
      <c r="FE57" s="271">
        <f t="shared" si="22"/>
        <v>-279823.59903128934</v>
      </c>
      <c r="FF57" s="271">
        <f t="shared" si="22"/>
        <v>-278451.10154936113</v>
      </c>
      <c r="FG57" s="271">
        <f t="shared" si="22"/>
        <v>-275215.992552098</v>
      </c>
      <c r="FH57" s="271">
        <f t="shared" si="22"/>
        <v>-272636.70094913593</v>
      </c>
      <c r="FI57" s="271">
        <f t="shared" si="22"/>
        <v>-270047.09217976197</v>
      </c>
      <c r="FJ57" s="271">
        <f t="shared" si="22"/>
        <v>-267447.12497531041</v>
      </c>
      <c r="FK57" s="271">
        <f t="shared" si="22"/>
        <v>-266745.51425623044</v>
      </c>
      <c r="FL57" s="271">
        <f t="shared" si="22"/>
        <v>-262516.91775994026</v>
      </c>
      <c r="FM57" s="271">
        <f t="shared" si="22"/>
        <v>-258262.94968467241</v>
      </c>
      <c r="FN57" s="271">
        <f t="shared" si="22"/>
        <v>-253983.45780095295</v>
      </c>
      <c r="FO57" s="271">
        <f t="shared" si="22"/>
        <v>-252118.55474949896</v>
      </c>
      <c r="FP57" s="271">
        <f t="shared" si="23"/>
        <v>-246762.38855424128</v>
      </c>
      <c r="FQ57" s="271">
        <f t="shared" si="23"/>
        <v>-241366.58672913851</v>
      </c>
      <c r="FR57" s="271">
        <f t="shared" si="23"/>
        <v>-235930.85597052984</v>
      </c>
      <c r="FS57" s="271">
        <f t="shared" si="23"/>
        <v>-232151.18783871469</v>
      </c>
      <c r="FT57" s="271">
        <f t="shared" si="23"/>
        <v>-232151.18783871469</v>
      </c>
      <c r="FU57" s="271">
        <f t="shared" si="23"/>
        <v>-232151.18783871469</v>
      </c>
      <c r="FV57" s="271">
        <f t="shared" si="23"/>
        <v>-232151.18783871469</v>
      </c>
      <c r="FW57" s="271"/>
      <c r="FX57" s="259"/>
      <c r="FY57" s="260"/>
      <c r="GB57" s="249">
        <f t="shared" si="25"/>
        <v>-381870.34400993411</v>
      </c>
      <c r="GC57" s="720"/>
      <c r="GD57" s="249">
        <f t="shared" si="26"/>
        <v>-338620.98512823944</v>
      </c>
      <c r="GE57" s="720"/>
      <c r="GF57" s="249">
        <f t="shared" si="27"/>
        <v>-292083.45364716905</v>
      </c>
      <c r="GG57" s="720"/>
      <c r="GH57" s="726"/>
      <c r="GI57" s="728"/>
      <c r="GJ57" s="108"/>
      <c r="GL57" s="108"/>
      <c r="GN57" s="108"/>
    </row>
    <row r="58" spans="1:205" ht="15" customHeight="1" thickBot="1">
      <c r="A58" s="697"/>
      <c r="B58" s="160" t="s">
        <v>30</v>
      </c>
      <c r="C58" s="268">
        <v>0</v>
      </c>
      <c r="D58" s="268">
        <v>0</v>
      </c>
      <c r="E58" s="268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22">
        <f t="shared" ref="K58:AP59" si="67">(IF(BY16=1,IF(K16&lt;=$BJ$46,K16*1000*$BI16,$BJ$46*1000*$BI16),IF(BY16*$BJ$46&gt;=K16,K16*1000*$BI16,BY16*1000*$BJ$46*$BI16)))*K38/4*$C$26</f>
        <v>1474043.0882695324</v>
      </c>
      <c r="L58" s="222">
        <f t="shared" si="67"/>
        <v>1500248.2987276562</v>
      </c>
      <c r="M58" s="222">
        <f t="shared" si="67"/>
        <v>1526453.5091857812</v>
      </c>
      <c r="N58" s="222">
        <f t="shared" si="67"/>
        <v>1552658.7196439062</v>
      </c>
      <c r="O58" s="222">
        <f t="shared" si="67"/>
        <v>1660028.112231296</v>
      </c>
      <c r="P58" s="222">
        <f t="shared" si="67"/>
        <v>1687580.4460442637</v>
      </c>
      <c r="Q58" s="222">
        <f t="shared" si="67"/>
        <v>1715132.7798572313</v>
      </c>
      <c r="R58" s="222">
        <f t="shared" si="67"/>
        <v>1742685.1136701985</v>
      </c>
      <c r="S58" s="222">
        <f t="shared" si="67"/>
        <v>1861239.5103336885</v>
      </c>
      <c r="T58" s="222">
        <f t="shared" si="67"/>
        <v>1890208.2186657302</v>
      </c>
      <c r="U58" s="222">
        <f t="shared" si="67"/>
        <v>1919176.9269977722</v>
      </c>
      <c r="V58" s="222">
        <f t="shared" si="67"/>
        <v>1948145.6353298139</v>
      </c>
      <c r="W58" s="222">
        <f t="shared" si="67"/>
        <v>1954657.1023873067</v>
      </c>
      <c r="X58" s="222">
        <f t="shared" si="67"/>
        <v>1958566.4165920815</v>
      </c>
      <c r="Y58" s="222">
        <f t="shared" si="67"/>
        <v>1962483.5494252655</v>
      </c>
      <c r="Z58" s="222">
        <f t="shared" si="67"/>
        <v>1966408.5165241163</v>
      </c>
      <c r="AA58" s="222">
        <f t="shared" si="67"/>
        <v>1844016.9860537439</v>
      </c>
      <c r="AB58" s="222">
        <f t="shared" si="67"/>
        <v>1851393.053997959</v>
      </c>
      <c r="AC58" s="222">
        <f t="shared" si="67"/>
        <v>1858798.626213951</v>
      </c>
      <c r="AD58" s="222">
        <f t="shared" si="67"/>
        <v>1866233.8207188067</v>
      </c>
      <c r="AE58" s="222">
        <f t="shared" si="67"/>
        <v>2015438.0780033551</v>
      </c>
      <c r="AF58" s="222">
        <f t="shared" si="67"/>
        <v>2027530.7064713754</v>
      </c>
      <c r="AG58" s="222">
        <f t="shared" si="67"/>
        <v>2039695.8907102034</v>
      </c>
      <c r="AH58" s="222">
        <f t="shared" si="67"/>
        <v>2051934.0660544648</v>
      </c>
      <c r="AI58" s="222">
        <f t="shared" si="67"/>
        <v>2069887.7233388664</v>
      </c>
      <c r="AJ58" s="222">
        <f t="shared" si="67"/>
        <v>2085204.8924915735</v>
      </c>
      <c r="AK58" s="222">
        <f t="shared" si="67"/>
        <v>2100635.4086960112</v>
      </c>
      <c r="AL58" s="222">
        <f t="shared" si="67"/>
        <v>2116180.1107203611</v>
      </c>
      <c r="AM58" s="222">
        <f t="shared" si="67"/>
        <v>2136179.2075477839</v>
      </c>
      <c r="AN58" s="222">
        <f t="shared" si="67"/>
        <v>2136179.2075477839</v>
      </c>
      <c r="AO58" s="222">
        <f t="shared" si="67"/>
        <v>2136179.2075477839</v>
      </c>
      <c r="AP58" s="222">
        <f t="shared" si="67"/>
        <v>2136179.2075477839</v>
      </c>
      <c r="AQ58" s="730"/>
      <c r="AR58" s="730"/>
      <c r="AS58" s="223">
        <f t="shared" si="15"/>
        <v>6053403.615826875</v>
      </c>
      <c r="AT58" s="223">
        <f t="shared" si="16"/>
        <v>6805426.4518029895</v>
      </c>
      <c r="AU58" s="223">
        <f t="shared" si="17"/>
        <v>7618770.2913270043</v>
      </c>
      <c r="AV58" s="223">
        <f t="shared" si="29"/>
        <v>7842115.5849287705</v>
      </c>
      <c r="AW58" s="223">
        <f t="shared" si="30"/>
        <v>7420442.4869844597</v>
      </c>
      <c r="AX58" s="223">
        <f t="shared" si="31"/>
        <v>8134598.7412393987</v>
      </c>
      <c r="AY58" s="223">
        <f t="shared" si="32"/>
        <v>8371908.1352468114</v>
      </c>
      <c r="AZ58" s="223">
        <f t="shared" si="33"/>
        <v>8544716.8301911354</v>
      </c>
      <c r="BA58" s="224"/>
      <c r="BB58" s="224"/>
      <c r="BC58" s="224"/>
      <c r="BD58" s="224"/>
      <c r="BE58" s="224"/>
      <c r="BF58" s="225"/>
      <c r="BH58" t="s">
        <v>55</v>
      </c>
      <c r="BL58" s="227"/>
      <c r="BO58" s="697"/>
      <c r="BP58" s="164" t="s">
        <v>30</v>
      </c>
      <c r="BQ58" s="229">
        <f t="shared" si="62"/>
        <v>0</v>
      </c>
      <c r="BR58" s="229">
        <f t="shared" si="62"/>
        <v>0</v>
      </c>
      <c r="BS58" s="229">
        <f t="shared" si="62"/>
        <v>0</v>
      </c>
      <c r="BT58" s="229">
        <f t="shared" si="62"/>
        <v>0</v>
      </c>
      <c r="BU58" s="229">
        <f t="shared" si="62"/>
        <v>0</v>
      </c>
      <c r="BV58" s="229">
        <f t="shared" si="62"/>
        <v>0</v>
      </c>
      <c r="BW58" s="229">
        <f t="shared" si="62"/>
        <v>0</v>
      </c>
      <c r="BX58" s="229">
        <f t="shared" si="62"/>
        <v>0</v>
      </c>
      <c r="BY58" s="229">
        <f t="shared" ref="BY58:DD59" si="68">BY16*DR36*K38/4</f>
        <v>1021903.0167682579</v>
      </c>
      <c r="BZ58" s="229">
        <f t="shared" si="68"/>
        <v>1021903.0167682579</v>
      </c>
      <c r="CA58" s="229">
        <f t="shared" si="68"/>
        <v>1021903.0167682579</v>
      </c>
      <c r="CB58" s="229">
        <f t="shared" si="68"/>
        <v>1021903.0167682579</v>
      </c>
      <c r="CC58" s="229">
        <f t="shared" si="68"/>
        <v>1029839.7847227963</v>
      </c>
      <c r="CD58" s="229">
        <f t="shared" si="68"/>
        <v>1029839.7847227963</v>
      </c>
      <c r="CE58" s="229">
        <f t="shared" si="68"/>
        <v>1029839.7847227963</v>
      </c>
      <c r="CF58" s="229">
        <f t="shared" si="68"/>
        <v>1029839.7847227963</v>
      </c>
      <c r="CG58" s="229">
        <f t="shared" si="68"/>
        <v>1038423.7279393297</v>
      </c>
      <c r="CH58" s="229">
        <f t="shared" si="68"/>
        <v>1038423.7279393297</v>
      </c>
      <c r="CI58" s="229">
        <f t="shared" si="68"/>
        <v>1038423.7279393297</v>
      </c>
      <c r="CJ58" s="229">
        <f t="shared" si="68"/>
        <v>1038423.7279393297</v>
      </c>
      <c r="CK58" s="229">
        <f t="shared" si="68"/>
        <v>1040780.8900948573</v>
      </c>
      <c r="CL58" s="229">
        <f t="shared" si="68"/>
        <v>1040780.8900948573</v>
      </c>
      <c r="CM58" s="229">
        <f t="shared" si="68"/>
        <v>1040780.8900948573</v>
      </c>
      <c r="CN58" s="229">
        <f t="shared" si="68"/>
        <v>1040780.8900948573</v>
      </c>
      <c r="CO58" s="229">
        <f t="shared" si="68"/>
        <v>990781.61586396617</v>
      </c>
      <c r="CP58" s="229">
        <f t="shared" si="68"/>
        <v>990781.61586396617</v>
      </c>
      <c r="CQ58" s="229">
        <f t="shared" si="68"/>
        <v>990781.61586396617</v>
      </c>
      <c r="CR58" s="229">
        <f t="shared" si="68"/>
        <v>990781.61586396617</v>
      </c>
      <c r="CS58" s="229">
        <f t="shared" si="68"/>
        <v>1043867.7258014291</v>
      </c>
      <c r="CT58" s="229">
        <f t="shared" si="68"/>
        <v>1043867.7258014291</v>
      </c>
      <c r="CU58" s="229">
        <f t="shared" si="68"/>
        <v>1043867.7258014291</v>
      </c>
      <c r="CV58" s="229">
        <f t="shared" si="68"/>
        <v>1043867.7258014291</v>
      </c>
      <c r="CW58" s="229">
        <f t="shared" si="68"/>
        <v>1046372.2635675253</v>
      </c>
      <c r="CX58" s="229">
        <f t="shared" si="68"/>
        <v>1046372.2635675253</v>
      </c>
      <c r="CY58" s="229">
        <f t="shared" si="68"/>
        <v>1046372.2635675253</v>
      </c>
      <c r="CZ58" s="229">
        <f t="shared" si="68"/>
        <v>1046372.2635675253</v>
      </c>
      <c r="DA58" s="229">
        <f t="shared" si="68"/>
        <v>1048196.0679078809</v>
      </c>
      <c r="DB58" s="229">
        <f t="shared" si="68"/>
        <v>1048196.0679078809</v>
      </c>
      <c r="DC58" s="229">
        <f t="shared" si="68"/>
        <v>1048196.0679078809</v>
      </c>
      <c r="DD58" s="229">
        <f t="shared" si="68"/>
        <v>1048196.0679078809</v>
      </c>
      <c r="DE58" s="695"/>
      <c r="DF58" s="693"/>
      <c r="DG58" s="231">
        <f t="shared" si="37"/>
        <v>4087612.0670730318</v>
      </c>
      <c r="DH58" s="231">
        <f t="shared" si="38"/>
        <v>4119359.1388911852</v>
      </c>
      <c r="DI58" s="232">
        <f t="shared" si="39"/>
        <v>4153694.9117573188</v>
      </c>
      <c r="DJ58" s="232">
        <f t="shared" si="40"/>
        <v>4163123.5603794293</v>
      </c>
      <c r="DK58" s="232">
        <f t="shared" si="41"/>
        <v>3963126.4634558647</v>
      </c>
      <c r="DL58" s="232">
        <f t="shared" si="42"/>
        <v>4175470.9032057165</v>
      </c>
      <c r="DM58" s="232">
        <f t="shared" si="43"/>
        <v>4185489.0542701012</v>
      </c>
      <c r="DN58" s="232">
        <f t="shared" si="44"/>
        <v>4192784.2716315235</v>
      </c>
      <c r="DO58" s="695"/>
      <c r="DP58" s="693"/>
      <c r="DQ58" s="230">
        <f t="shared" si="19"/>
        <v>1965791.5487538432</v>
      </c>
      <c r="DR58" s="230">
        <f t="shared" si="19"/>
        <v>2686067.3129118043</v>
      </c>
      <c r="DS58" s="230">
        <f t="shared" si="19"/>
        <v>3465075.3795696856</v>
      </c>
      <c r="DT58" s="230">
        <f t="shared" si="19"/>
        <v>3678992.0245493413</v>
      </c>
      <c r="DU58" s="230">
        <f t="shared" si="19"/>
        <v>3457316.023528595</v>
      </c>
      <c r="DV58" s="230">
        <f t="shared" si="19"/>
        <v>3959127.8380336822</v>
      </c>
      <c r="DW58" s="230">
        <f t="shared" si="19"/>
        <v>4186419.0809767102</v>
      </c>
      <c r="DX58" s="230">
        <f t="shared" si="19"/>
        <v>4351932.5585596114</v>
      </c>
      <c r="DY58" s="241"/>
      <c r="DZ58" s="696"/>
      <c r="EA58" s="257"/>
      <c r="EB58" s="269"/>
      <c r="EC58" s="235" t="e">
        <f>(DG58+#REF!/13)*1.1</f>
        <v>#REF!</v>
      </c>
      <c r="ED58" s="235" t="e">
        <f>(DH58+#REF!/17)*1.1</f>
        <v>#REF!</v>
      </c>
      <c r="EE58" s="236">
        <f t="shared" si="20"/>
        <v>4569064.4029330509</v>
      </c>
      <c r="EF58" s="209"/>
      <c r="EG58" s="697"/>
      <c r="EH58" s="164" t="s">
        <v>30</v>
      </c>
      <c r="EI58" s="270">
        <f t="shared" si="46"/>
        <v>0</v>
      </c>
      <c r="EJ58" s="270">
        <f t="shared" si="21"/>
        <v>0</v>
      </c>
      <c r="EK58" s="270">
        <f t="shared" si="21"/>
        <v>0</v>
      </c>
      <c r="EL58" s="270">
        <f t="shared" si="21"/>
        <v>0</v>
      </c>
      <c r="EM58" s="270">
        <f t="shared" si="21"/>
        <v>0</v>
      </c>
      <c r="EN58" s="270">
        <f t="shared" si="21"/>
        <v>0</v>
      </c>
      <c r="EO58" s="270">
        <f t="shared" si="21"/>
        <v>0</v>
      </c>
      <c r="EP58" s="270">
        <f t="shared" si="21"/>
        <v>0</v>
      </c>
      <c r="EQ58" s="271">
        <f t="shared" si="21"/>
        <v>452140.07150127448</v>
      </c>
      <c r="ER58" s="271">
        <f t="shared" si="21"/>
        <v>478345.2819593983</v>
      </c>
      <c r="ES58" s="271">
        <f t="shared" si="21"/>
        <v>504550.49241752329</v>
      </c>
      <c r="ET58" s="271">
        <f t="shared" si="21"/>
        <v>530755.70287564828</v>
      </c>
      <c r="EU58" s="271">
        <f t="shared" si="21"/>
        <v>630188.32750849973</v>
      </c>
      <c r="EV58" s="271">
        <f t="shared" si="21"/>
        <v>657740.66132146737</v>
      </c>
      <c r="EW58" s="271">
        <f t="shared" si="21"/>
        <v>685292.99513443501</v>
      </c>
      <c r="EX58" s="271">
        <f t="shared" si="21"/>
        <v>712845.32894740219</v>
      </c>
      <c r="EY58" s="271">
        <f t="shared" si="21"/>
        <v>822815.78239435877</v>
      </c>
      <c r="EZ58" s="271">
        <f t="shared" si="22"/>
        <v>851784.49072640052</v>
      </c>
      <c r="FA58" s="271">
        <f t="shared" si="22"/>
        <v>880753.19905844249</v>
      </c>
      <c r="FB58" s="271">
        <f t="shared" si="22"/>
        <v>909721.90739048424</v>
      </c>
      <c r="FC58" s="271">
        <f t="shared" si="22"/>
        <v>913876.21229244943</v>
      </c>
      <c r="FD58" s="271">
        <f t="shared" si="22"/>
        <v>917785.52649722423</v>
      </c>
      <c r="FE58" s="271">
        <f t="shared" si="22"/>
        <v>921702.65933040821</v>
      </c>
      <c r="FF58" s="271">
        <f t="shared" si="22"/>
        <v>925627.62642925896</v>
      </c>
      <c r="FG58" s="271">
        <f t="shared" si="22"/>
        <v>853235.37018977769</v>
      </c>
      <c r="FH58" s="271">
        <f t="shared" si="22"/>
        <v>860611.43813399284</v>
      </c>
      <c r="FI58" s="271">
        <f t="shared" si="22"/>
        <v>868017.01034998486</v>
      </c>
      <c r="FJ58" s="271">
        <f t="shared" si="22"/>
        <v>875452.20485484053</v>
      </c>
      <c r="FK58" s="271">
        <f t="shared" si="22"/>
        <v>971570.35220192594</v>
      </c>
      <c r="FL58" s="271">
        <f t="shared" si="22"/>
        <v>983662.98066994629</v>
      </c>
      <c r="FM58" s="271">
        <f t="shared" si="22"/>
        <v>995828.16490877431</v>
      </c>
      <c r="FN58" s="271">
        <f t="shared" si="22"/>
        <v>1008066.3402530357</v>
      </c>
      <c r="FO58" s="271">
        <f t="shared" si="22"/>
        <v>1023515.4597713411</v>
      </c>
      <c r="FP58" s="271">
        <f t="shared" si="23"/>
        <v>1038832.6289240482</v>
      </c>
      <c r="FQ58" s="271">
        <f t="shared" si="23"/>
        <v>1054263.1451284857</v>
      </c>
      <c r="FR58" s="271">
        <f t="shared" si="23"/>
        <v>1069807.8471528357</v>
      </c>
      <c r="FS58" s="271">
        <f t="shared" si="23"/>
        <v>1087983.1396399029</v>
      </c>
      <c r="FT58" s="271">
        <f t="shared" si="23"/>
        <v>1087983.1396399029</v>
      </c>
      <c r="FU58" s="271">
        <f t="shared" si="23"/>
        <v>1087983.1396399029</v>
      </c>
      <c r="FV58" s="271">
        <f t="shared" si="23"/>
        <v>1087983.1396399029</v>
      </c>
      <c r="FW58" s="271"/>
      <c r="FX58" s="259"/>
      <c r="FY58" s="260"/>
      <c r="GB58" s="248">
        <f t="shared" si="25"/>
        <v>491447.88718846103</v>
      </c>
      <c r="GC58" s="720"/>
      <c r="GD58" s="249">
        <f t="shared" si="26"/>
        <v>671516.82822795107</v>
      </c>
      <c r="GE58" s="720"/>
      <c r="GF58" s="249">
        <f t="shared" si="27"/>
        <v>866268.8448924215</v>
      </c>
      <c r="GG58" s="720"/>
      <c r="GH58" s="726"/>
      <c r="GI58" s="728"/>
      <c r="GJ58" s="108"/>
      <c r="GL58" s="108"/>
      <c r="GN58" s="108"/>
    </row>
    <row r="59" spans="1:205" ht="15" customHeight="1" thickBot="1">
      <c r="A59" s="697">
        <v>4</v>
      </c>
      <c r="B59" s="171" t="s">
        <v>32</v>
      </c>
      <c r="C59" s="268">
        <v>0</v>
      </c>
      <c r="D59" s="268">
        <v>0</v>
      </c>
      <c r="E59" s="268">
        <v>0</v>
      </c>
      <c r="F59" s="268">
        <v>0</v>
      </c>
      <c r="G59" s="268">
        <v>0</v>
      </c>
      <c r="H59" s="268">
        <v>0</v>
      </c>
      <c r="I59" s="268">
        <v>0</v>
      </c>
      <c r="J59" s="268">
        <v>0</v>
      </c>
      <c r="K59" s="268">
        <v>0</v>
      </c>
      <c r="L59" s="268">
        <v>0</v>
      </c>
      <c r="M59" s="268">
        <v>0</v>
      </c>
      <c r="N59" s="268">
        <v>0</v>
      </c>
      <c r="O59" s="222">
        <f t="shared" si="67"/>
        <v>1824615.8334885901</v>
      </c>
      <c r="P59" s="222">
        <f t="shared" si="67"/>
        <v>1846014.1493951934</v>
      </c>
      <c r="Q59" s="222">
        <f t="shared" si="67"/>
        <v>1868458.0904212748</v>
      </c>
      <c r="R59" s="222">
        <f t="shared" si="67"/>
        <v>1890902.0314473563</v>
      </c>
      <c r="S59" s="222">
        <f t="shared" si="67"/>
        <v>2014012.4344264329</v>
      </c>
      <c r="T59" s="222">
        <f t="shared" si="67"/>
        <v>2035302.4820671694</v>
      </c>
      <c r="U59" s="222">
        <f t="shared" si="67"/>
        <v>2058900.1920041803</v>
      </c>
      <c r="V59" s="222">
        <f t="shared" si="67"/>
        <v>2082497.9019411912</v>
      </c>
      <c r="W59" s="222">
        <f t="shared" si="67"/>
        <v>2075416.6384423696</v>
      </c>
      <c r="X59" s="222">
        <f t="shared" si="67"/>
        <v>2079567.4717192547</v>
      </c>
      <c r="Y59" s="222">
        <f t="shared" si="67"/>
        <v>2083726.606662693</v>
      </c>
      <c r="Z59" s="222">
        <f t="shared" si="67"/>
        <v>2087894.0598760189</v>
      </c>
      <c r="AA59" s="222">
        <f t="shared" si="67"/>
        <v>2118106.8041276038</v>
      </c>
      <c r="AB59" s="222">
        <f t="shared" si="67"/>
        <v>2125360.5612974986</v>
      </c>
      <c r="AC59" s="222">
        <f t="shared" si="67"/>
        <v>2133862.0035426882</v>
      </c>
      <c r="AD59" s="222">
        <f t="shared" si="67"/>
        <v>2142397.4515568591</v>
      </c>
      <c r="AE59" s="222">
        <f t="shared" si="67"/>
        <v>2033162.8926616716</v>
      </c>
      <c r="AF59" s="222">
        <f t="shared" si="67"/>
        <v>2043018.2874314592</v>
      </c>
      <c r="AG59" s="222">
        <f t="shared" si="67"/>
        <v>2055276.3971560486</v>
      </c>
      <c r="AH59" s="222">
        <f t="shared" si="67"/>
        <v>2067608.0555389838</v>
      </c>
      <c r="AI59" s="222">
        <f t="shared" si="67"/>
        <v>2201548.9848993761</v>
      </c>
      <c r="AJ59" s="222">
        <f t="shared" si="67"/>
        <v>2215299.2382609625</v>
      </c>
      <c r="AK59" s="222">
        <f t="shared" si="67"/>
        <v>2231692.4526240933</v>
      </c>
      <c r="AL59" s="222">
        <f t="shared" si="67"/>
        <v>2248206.9767735121</v>
      </c>
      <c r="AM59" s="222">
        <f t="shared" si="67"/>
        <v>2292680.2571143904</v>
      </c>
      <c r="AN59" s="222">
        <f t="shared" si="67"/>
        <v>2290053.2962792339</v>
      </c>
      <c r="AO59" s="222">
        <f t="shared" si="67"/>
        <v>2290053.2962792339</v>
      </c>
      <c r="AP59" s="222">
        <f t="shared" si="67"/>
        <v>2290053.2962792339</v>
      </c>
      <c r="AQ59" s="730"/>
      <c r="AR59" s="730"/>
      <c r="AS59" s="732"/>
      <c r="AT59" s="223">
        <f t="shared" si="16"/>
        <v>7429990.1047524149</v>
      </c>
      <c r="AU59" s="223">
        <f t="shared" si="17"/>
        <v>8190713.010438974</v>
      </c>
      <c r="AV59" s="223">
        <f t="shared" si="29"/>
        <v>8326604.7767003365</v>
      </c>
      <c r="AW59" s="223">
        <f t="shared" si="30"/>
        <v>8519726.8205246497</v>
      </c>
      <c r="AX59" s="223">
        <f t="shared" si="31"/>
        <v>8199065.6327881636</v>
      </c>
      <c r="AY59" s="223">
        <f t="shared" si="32"/>
        <v>8896747.652557943</v>
      </c>
      <c r="AZ59" s="223">
        <f t="shared" si="33"/>
        <v>9162840.1459520925</v>
      </c>
      <c r="BA59" s="224"/>
      <c r="BB59" s="224"/>
      <c r="BC59" s="224"/>
      <c r="BD59" s="224"/>
      <c r="BE59" s="224"/>
      <c r="BF59" s="225"/>
      <c r="BL59" s="227"/>
      <c r="BO59" s="697">
        <v>4</v>
      </c>
      <c r="BP59" s="174" t="s">
        <v>32</v>
      </c>
      <c r="BQ59" s="229">
        <f t="shared" si="62"/>
        <v>0</v>
      </c>
      <c r="BR59" s="229">
        <f t="shared" si="62"/>
        <v>0</v>
      </c>
      <c r="BS59" s="229">
        <f t="shared" si="62"/>
        <v>0</v>
      </c>
      <c r="BT59" s="229">
        <f t="shared" si="62"/>
        <v>0</v>
      </c>
      <c r="BU59" s="229">
        <f t="shared" si="62"/>
        <v>0</v>
      </c>
      <c r="BV59" s="229">
        <f t="shared" si="62"/>
        <v>0</v>
      </c>
      <c r="BW59" s="229">
        <f t="shared" si="62"/>
        <v>0</v>
      </c>
      <c r="BX59" s="229">
        <f t="shared" si="62"/>
        <v>0</v>
      </c>
      <c r="BY59" s="229">
        <f t="shared" si="62"/>
        <v>0</v>
      </c>
      <c r="BZ59" s="229">
        <f t="shared" si="62"/>
        <v>0</v>
      </c>
      <c r="CA59" s="229">
        <f t="shared" si="62"/>
        <v>0</v>
      </c>
      <c r="CB59" s="229">
        <f t="shared" si="62"/>
        <v>0</v>
      </c>
      <c r="CC59" s="229">
        <f t="shared" si="68"/>
        <v>1485163.7660864608</v>
      </c>
      <c r="CD59" s="229">
        <f t="shared" si="68"/>
        <v>1485163.7660864608</v>
      </c>
      <c r="CE59" s="229">
        <f t="shared" si="68"/>
        <v>1485163.7660864608</v>
      </c>
      <c r="CF59" s="229">
        <f t="shared" si="68"/>
        <v>1485163.7660864608</v>
      </c>
      <c r="CG59" s="229">
        <f t="shared" si="68"/>
        <v>1493443.2618971888</v>
      </c>
      <c r="CH59" s="229">
        <f t="shared" si="68"/>
        <v>1493443.2618971888</v>
      </c>
      <c r="CI59" s="229">
        <f t="shared" si="68"/>
        <v>1493443.2618971888</v>
      </c>
      <c r="CJ59" s="229">
        <f t="shared" si="68"/>
        <v>1493443.2618971888</v>
      </c>
      <c r="CK59" s="229">
        <f t="shared" si="68"/>
        <v>1486001.8659402407</v>
      </c>
      <c r="CL59" s="229">
        <f t="shared" si="68"/>
        <v>1486001.8659402407</v>
      </c>
      <c r="CM59" s="229">
        <f t="shared" si="68"/>
        <v>1486001.8659402407</v>
      </c>
      <c r="CN59" s="229">
        <f t="shared" si="68"/>
        <v>1486001.8659402407</v>
      </c>
      <c r="CO59" s="229">
        <f t="shared" si="68"/>
        <v>1497024.1563883536</v>
      </c>
      <c r="CP59" s="229">
        <f t="shared" si="68"/>
        <v>1497024.1563883536</v>
      </c>
      <c r="CQ59" s="229">
        <f t="shared" si="68"/>
        <v>1497024.1563883536</v>
      </c>
      <c r="CR59" s="229">
        <f t="shared" si="68"/>
        <v>1497024.1563883536</v>
      </c>
      <c r="CS59" s="229">
        <f t="shared" si="68"/>
        <v>1431091.3413843003</v>
      </c>
      <c r="CT59" s="229">
        <f t="shared" si="68"/>
        <v>1431091.3413843003</v>
      </c>
      <c r="CU59" s="229">
        <f t="shared" si="68"/>
        <v>1431091.3413843003</v>
      </c>
      <c r="CV59" s="229">
        <f t="shared" si="68"/>
        <v>1431091.3413843003</v>
      </c>
      <c r="CW59" s="229">
        <f t="shared" si="68"/>
        <v>1492207.1418914353</v>
      </c>
      <c r="CX59" s="229">
        <f t="shared" si="68"/>
        <v>1492207.1418914353</v>
      </c>
      <c r="CY59" s="229">
        <f t="shared" si="68"/>
        <v>1492207.1418914353</v>
      </c>
      <c r="CZ59" s="229">
        <f t="shared" si="68"/>
        <v>1492207.1418914353</v>
      </c>
      <c r="DA59" s="229">
        <f t="shared" si="68"/>
        <v>1504023.6223488199</v>
      </c>
      <c r="DB59" s="229">
        <f t="shared" si="68"/>
        <v>1504023.6223488199</v>
      </c>
      <c r="DC59" s="229">
        <f t="shared" si="68"/>
        <v>1504023.6223488199</v>
      </c>
      <c r="DD59" s="229">
        <f t="shared" si="68"/>
        <v>1504023.6223488199</v>
      </c>
      <c r="DE59" s="695"/>
      <c r="DF59" s="693"/>
      <c r="DG59" s="739"/>
      <c r="DH59" s="231">
        <f t="shared" si="38"/>
        <v>5940655.0643458432</v>
      </c>
      <c r="DI59" s="232">
        <f t="shared" si="39"/>
        <v>5973773.0475887554</v>
      </c>
      <c r="DJ59" s="232">
        <f t="shared" si="40"/>
        <v>5944007.4637609627</v>
      </c>
      <c r="DK59" s="232">
        <f t="shared" si="41"/>
        <v>5988096.6255534142</v>
      </c>
      <c r="DL59" s="232">
        <f t="shared" si="42"/>
        <v>5724365.3655372011</v>
      </c>
      <c r="DM59" s="232">
        <f t="shared" si="43"/>
        <v>5968828.567565741</v>
      </c>
      <c r="DN59" s="232">
        <f t="shared" si="44"/>
        <v>6016094.4893952794</v>
      </c>
      <c r="DO59" s="695"/>
      <c r="DP59" s="693"/>
      <c r="DQ59" s="739"/>
      <c r="DR59" s="230">
        <f t="shared" si="19"/>
        <v>1489335.0404065717</v>
      </c>
      <c r="DS59" s="230">
        <f t="shared" si="19"/>
        <v>2216939.9628502186</v>
      </c>
      <c r="DT59" s="230">
        <f t="shared" si="19"/>
        <v>2382597.3129393738</v>
      </c>
      <c r="DU59" s="230">
        <f t="shared" si="19"/>
        <v>2531630.1949712355</v>
      </c>
      <c r="DV59" s="230">
        <f t="shared" si="19"/>
        <v>2474700.2672509626</v>
      </c>
      <c r="DW59" s="230">
        <f t="shared" si="19"/>
        <v>2927919.084992202</v>
      </c>
      <c r="DX59" s="230">
        <f t="shared" si="19"/>
        <v>3146745.656556813</v>
      </c>
      <c r="DY59" s="241"/>
      <c r="DZ59" s="696">
        <v>4</v>
      </c>
      <c r="EA59" s="257"/>
      <c r="EB59" s="269"/>
      <c r="EC59" s="269"/>
      <c r="ED59" s="235" t="e">
        <f>(DH59+#REF!/17)*1.1</f>
        <v>#REF!</v>
      </c>
      <c r="EE59" s="236">
        <f t="shared" si="20"/>
        <v>6571150.352347631</v>
      </c>
      <c r="EF59" s="209"/>
      <c r="EG59" s="697">
        <v>4</v>
      </c>
      <c r="EH59" s="272" t="s">
        <v>32</v>
      </c>
      <c r="EI59" s="270">
        <f t="shared" si="46"/>
        <v>0</v>
      </c>
      <c r="EJ59" s="270">
        <f t="shared" si="21"/>
        <v>0</v>
      </c>
      <c r="EK59" s="270">
        <f t="shared" si="21"/>
        <v>0</v>
      </c>
      <c r="EL59" s="270">
        <f t="shared" si="21"/>
        <v>0</v>
      </c>
      <c r="EM59" s="270">
        <f t="shared" si="21"/>
        <v>0</v>
      </c>
      <c r="EN59" s="270">
        <f t="shared" si="21"/>
        <v>0</v>
      </c>
      <c r="EO59" s="270">
        <f t="shared" si="21"/>
        <v>0</v>
      </c>
      <c r="EP59" s="270">
        <f t="shared" si="21"/>
        <v>0</v>
      </c>
      <c r="EQ59" s="270">
        <f t="shared" si="21"/>
        <v>0</v>
      </c>
      <c r="ER59" s="270">
        <f>L59-BZ59</f>
        <v>0</v>
      </c>
      <c r="ES59" s="270">
        <f>M59-CA59</f>
        <v>0</v>
      </c>
      <c r="ET59" s="270">
        <f>N59-CB59</f>
        <v>0</v>
      </c>
      <c r="EU59" s="273">
        <f>O59-CC59</f>
        <v>339452.06740212929</v>
      </c>
      <c r="EV59" s="273">
        <f t="shared" si="21"/>
        <v>360850.38330873265</v>
      </c>
      <c r="EW59" s="273">
        <f t="shared" si="21"/>
        <v>383294.32433481398</v>
      </c>
      <c r="EX59" s="273">
        <f t="shared" si="21"/>
        <v>405738.26536089554</v>
      </c>
      <c r="EY59" s="273">
        <f t="shared" si="21"/>
        <v>520569.1725292441</v>
      </c>
      <c r="EZ59" s="273">
        <f t="shared" si="22"/>
        <v>541859.22016998054</v>
      </c>
      <c r="FA59" s="273">
        <f t="shared" si="22"/>
        <v>565456.93010699144</v>
      </c>
      <c r="FB59" s="273">
        <f t="shared" si="22"/>
        <v>589054.64004400233</v>
      </c>
      <c r="FC59" s="273">
        <f t="shared" si="22"/>
        <v>589414.77250212897</v>
      </c>
      <c r="FD59" s="273">
        <f t="shared" si="22"/>
        <v>593565.60577901406</v>
      </c>
      <c r="FE59" s="273">
        <f t="shared" si="22"/>
        <v>597724.74072245229</v>
      </c>
      <c r="FF59" s="273">
        <f t="shared" si="22"/>
        <v>601892.19393577822</v>
      </c>
      <c r="FG59" s="273">
        <f t="shared" si="22"/>
        <v>621082.64773925021</v>
      </c>
      <c r="FH59" s="273">
        <f t="shared" si="22"/>
        <v>628336.40490914509</v>
      </c>
      <c r="FI59" s="273">
        <f t="shared" si="22"/>
        <v>636837.84715433465</v>
      </c>
      <c r="FJ59" s="273">
        <f t="shared" si="22"/>
        <v>645373.29516850552</v>
      </c>
      <c r="FK59" s="273">
        <f t="shared" si="22"/>
        <v>602071.55127737136</v>
      </c>
      <c r="FL59" s="273">
        <f t="shared" si="22"/>
        <v>611926.94604715891</v>
      </c>
      <c r="FM59" s="273">
        <f t="shared" si="22"/>
        <v>624185.0557717483</v>
      </c>
      <c r="FN59" s="273">
        <f t="shared" si="22"/>
        <v>636516.71415468352</v>
      </c>
      <c r="FO59" s="273">
        <f t="shared" si="22"/>
        <v>709341.8430079408</v>
      </c>
      <c r="FP59" s="273">
        <f t="shared" si="23"/>
        <v>723092.09636952728</v>
      </c>
      <c r="FQ59" s="273">
        <f t="shared" si="23"/>
        <v>739485.31073265802</v>
      </c>
      <c r="FR59" s="273">
        <f t="shared" si="23"/>
        <v>755999.83488207683</v>
      </c>
      <c r="FS59" s="273">
        <f t="shared" si="23"/>
        <v>788656.63476557052</v>
      </c>
      <c r="FT59" s="273">
        <f t="shared" si="23"/>
        <v>786029.67393041402</v>
      </c>
      <c r="FU59" s="273">
        <f t="shared" si="23"/>
        <v>786029.67393041402</v>
      </c>
      <c r="FV59" s="273">
        <f t="shared" si="23"/>
        <v>786029.67393041402</v>
      </c>
      <c r="FW59" s="273"/>
      <c r="FX59" s="259"/>
      <c r="FY59" s="260"/>
      <c r="GB59" s="274"/>
      <c r="GC59" s="275"/>
      <c r="GD59" s="249">
        <f t="shared" si="26"/>
        <v>372333.76010164287</v>
      </c>
      <c r="GE59" s="720">
        <f>AVERAGE(GD59:GD62)</f>
        <v>-153188.78613060317</v>
      </c>
      <c r="GF59" s="249">
        <f t="shared" si="27"/>
        <v>554234.99071255466</v>
      </c>
      <c r="GG59" s="720">
        <f>SUM(GF59:GF62)</f>
        <v>-70773.056081951014</v>
      </c>
      <c r="GH59" s="727"/>
      <c r="GI59" s="728"/>
      <c r="GJ59" s="108"/>
      <c r="GL59" s="108"/>
      <c r="GN59" s="108"/>
    </row>
    <row r="60" spans="1:205" ht="15" customHeight="1" thickBot="1">
      <c r="A60" s="697"/>
      <c r="B60" s="176" t="s">
        <v>34</v>
      </c>
      <c r="C60" s="268">
        <v>0</v>
      </c>
      <c r="D60" s="268">
        <v>0</v>
      </c>
      <c r="E60" s="268">
        <v>0</v>
      </c>
      <c r="F60" s="268">
        <v>0</v>
      </c>
      <c r="G60" s="268">
        <v>0</v>
      </c>
      <c r="H60" s="268">
        <v>0</v>
      </c>
      <c r="I60" s="268">
        <v>0</v>
      </c>
      <c r="J60" s="268">
        <v>0</v>
      </c>
      <c r="K60" s="268">
        <v>0</v>
      </c>
      <c r="L60" s="268">
        <v>0</v>
      </c>
      <c r="M60" s="268">
        <v>0</v>
      </c>
      <c r="N60" s="268">
        <v>0</v>
      </c>
      <c r="O60" s="222">
        <f t="shared" ref="O60:AP60" si="69">(IF(CC18=1,IF(O18&lt;=$BJ$46,O18*1000*$BI18,$BJ$46*1000*$BI18),IF(CC18*$BJ$46&gt;=O18,O18*1000*$BI18,CC18*1000*$BJ$46*$BI18)))*O39/4*$C$26</f>
        <v>1397918.1425316464</v>
      </c>
      <c r="P60" s="222">
        <f t="shared" si="69"/>
        <v>1415745.2705536929</v>
      </c>
      <c r="Q60" s="222">
        <f t="shared" si="69"/>
        <v>1434373.4977978203</v>
      </c>
      <c r="R60" s="222">
        <f t="shared" si="69"/>
        <v>1453001.725041948</v>
      </c>
      <c r="S60" s="222">
        <f t="shared" si="69"/>
        <v>1549056.5038517523</v>
      </c>
      <c r="T60" s="222">
        <f t="shared" si="69"/>
        <v>1566867.4325487316</v>
      </c>
      <c r="U60" s="222">
        <f t="shared" si="69"/>
        <v>1586453.2754555913</v>
      </c>
      <c r="V60" s="222">
        <f t="shared" si="69"/>
        <v>1606039.11836245</v>
      </c>
      <c r="W60" s="222">
        <f t="shared" si="69"/>
        <v>1600577.9910422554</v>
      </c>
      <c r="X60" s="222">
        <f t="shared" si="69"/>
        <v>1603779.1470243393</v>
      </c>
      <c r="Y60" s="222">
        <f t="shared" si="69"/>
        <v>1606986.7053183892</v>
      </c>
      <c r="Z60" s="222">
        <f t="shared" si="69"/>
        <v>1610200.6787290238</v>
      </c>
      <c r="AA60" s="222">
        <f t="shared" si="69"/>
        <v>1633500.98990624</v>
      </c>
      <c r="AB60" s="222">
        <f t="shared" si="69"/>
        <v>1639095.1457318445</v>
      </c>
      <c r="AC60" s="222">
        <f t="shared" si="69"/>
        <v>1645651.5263147713</v>
      </c>
      <c r="AD60" s="222">
        <f t="shared" si="69"/>
        <v>1652234.1324200304</v>
      </c>
      <c r="AE60" s="222">
        <f t="shared" si="69"/>
        <v>1567991.5627160196</v>
      </c>
      <c r="AF60" s="222">
        <f t="shared" si="69"/>
        <v>1575592.12236721</v>
      </c>
      <c r="AG60" s="222">
        <f t="shared" si="69"/>
        <v>1585045.6751014136</v>
      </c>
      <c r="AH60" s="222">
        <f t="shared" si="69"/>
        <v>1594555.9491520219</v>
      </c>
      <c r="AI60" s="222">
        <f t="shared" si="69"/>
        <v>1697852.2703161822</v>
      </c>
      <c r="AJ60" s="222">
        <f t="shared" si="69"/>
        <v>1708456.5762151328</v>
      </c>
      <c r="AK60" s="222">
        <f t="shared" si="69"/>
        <v>1721099.1548791239</v>
      </c>
      <c r="AL60" s="222">
        <f t="shared" si="69"/>
        <v>1733835.2886252287</v>
      </c>
      <c r="AM60" s="222">
        <f t="shared" si="69"/>
        <v>1768133.4398419817</v>
      </c>
      <c r="AN60" s="222">
        <f t="shared" si="69"/>
        <v>1769679.9145546784</v>
      </c>
      <c r="AO60" s="222">
        <f t="shared" si="69"/>
        <v>1780427.1003523637</v>
      </c>
      <c r="AP60" s="222">
        <f t="shared" si="69"/>
        <v>1789553.5150783213</v>
      </c>
      <c r="AQ60" s="730"/>
      <c r="AR60" s="730"/>
      <c r="AS60" s="734"/>
      <c r="AT60" s="223">
        <f t="shared" si="16"/>
        <v>5701038.6359251086</v>
      </c>
      <c r="AU60" s="223">
        <f t="shared" si="17"/>
        <v>6308416.3302185247</v>
      </c>
      <c r="AV60" s="223">
        <f t="shared" si="29"/>
        <v>6421544.5221140077</v>
      </c>
      <c r="AW60" s="223">
        <f t="shared" si="30"/>
        <v>6570481.7943728855</v>
      </c>
      <c r="AX60" s="223">
        <f t="shared" si="31"/>
        <v>6323185.3093366651</v>
      </c>
      <c r="AY60" s="223">
        <f t="shared" si="32"/>
        <v>6861243.2900356669</v>
      </c>
      <c r="AZ60" s="223">
        <f t="shared" si="33"/>
        <v>7107793.9698273446</v>
      </c>
      <c r="BA60" s="224"/>
      <c r="BB60" s="224"/>
      <c r="BC60" s="224"/>
      <c r="BD60" s="224"/>
      <c r="BE60" s="224"/>
      <c r="BF60" s="225"/>
      <c r="BH60" t="s">
        <v>67</v>
      </c>
      <c r="BI60" t="s">
        <v>68</v>
      </c>
      <c r="BJ60" t="s">
        <v>69</v>
      </c>
      <c r="BK60" t="s">
        <v>70</v>
      </c>
      <c r="BL60" s="227" t="s">
        <v>71</v>
      </c>
      <c r="BO60" s="697"/>
      <c r="BP60" s="178" t="s">
        <v>34</v>
      </c>
      <c r="BQ60" s="229">
        <f t="shared" si="62"/>
        <v>0</v>
      </c>
      <c r="BR60" s="229">
        <f t="shared" si="62"/>
        <v>0</v>
      </c>
      <c r="BS60" s="229">
        <f t="shared" si="62"/>
        <v>0</v>
      </c>
      <c r="BT60" s="229">
        <f t="shared" si="62"/>
        <v>0</v>
      </c>
      <c r="BU60" s="229">
        <f t="shared" si="62"/>
        <v>0</v>
      </c>
      <c r="BV60" s="229">
        <f t="shared" si="62"/>
        <v>0</v>
      </c>
      <c r="BW60" s="229">
        <f t="shared" si="62"/>
        <v>0</v>
      </c>
      <c r="BX60" s="229">
        <f t="shared" si="62"/>
        <v>0</v>
      </c>
      <c r="BY60" s="229">
        <f t="shared" si="62"/>
        <v>0</v>
      </c>
      <c r="BZ60" s="229">
        <f t="shared" si="62"/>
        <v>0</v>
      </c>
      <c r="CA60" s="229">
        <f t="shared" si="62"/>
        <v>0</v>
      </c>
      <c r="CB60" s="229">
        <f t="shared" si="62"/>
        <v>0</v>
      </c>
      <c r="CC60" s="229">
        <f t="shared" ref="CC60:DD60" si="70">CC18*DV38*O39/4</f>
        <v>827738.35025804839</v>
      </c>
      <c r="CD60" s="229">
        <f t="shared" si="70"/>
        <v>827738.35025804839</v>
      </c>
      <c r="CE60" s="229">
        <f t="shared" si="70"/>
        <v>827738.35025804839</v>
      </c>
      <c r="CF60" s="229">
        <f t="shared" si="70"/>
        <v>827738.35025804839</v>
      </c>
      <c r="CG60" s="229">
        <f t="shared" si="70"/>
        <v>835226.43328482262</v>
      </c>
      <c r="CH60" s="229">
        <f t="shared" si="70"/>
        <v>835226.43328482262</v>
      </c>
      <c r="CI60" s="229">
        <f t="shared" si="70"/>
        <v>835226.43328482262</v>
      </c>
      <c r="CJ60" s="229">
        <f t="shared" si="70"/>
        <v>835226.43328482262</v>
      </c>
      <c r="CK60" s="229">
        <f t="shared" si="70"/>
        <v>832114.18331312935</v>
      </c>
      <c r="CL60" s="229">
        <f t="shared" si="70"/>
        <v>832114.18331312935</v>
      </c>
      <c r="CM60" s="229">
        <f t="shared" si="70"/>
        <v>832114.18331312935</v>
      </c>
      <c r="CN60" s="229">
        <f t="shared" si="70"/>
        <v>832114.18331312935</v>
      </c>
      <c r="CO60" s="229">
        <f t="shared" si="70"/>
        <v>838457.3190622807</v>
      </c>
      <c r="CP60" s="229">
        <f t="shared" si="70"/>
        <v>838457.3190622807</v>
      </c>
      <c r="CQ60" s="229">
        <f t="shared" si="70"/>
        <v>838457.3190622807</v>
      </c>
      <c r="CR60" s="229">
        <f t="shared" si="70"/>
        <v>838457.3190622807</v>
      </c>
      <c r="CS60" s="229">
        <f t="shared" si="70"/>
        <v>803859.82174258691</v>
      </c>
      <c r="CT60" s="229">
        <f t="shared" si="70"/>
        <v>803859.82174258691</v>
      </c>
      <c r="CU60" s="229">
        <f t="shared" si="70"/>
        <v>803859.82174258691</v>
      </c>
      <c r="CV60" s="229">
        <f t="shared" si="70"/>
        <v>803859.82174258691</v>
      </c>
      <c r="CW60" s="229">
        <f t="shared" si="70"/>
        <v>837535.0292083642</v>
      </c>
      <c r="CX60" s="229">
        <f t="shared" si="70"/>
        <v>837535.0292083642</v>
      </c>
      <c r="CY60" s="229">
        <f t="shared" si="70"/>
        <v>837535.0292083642</v>
      </c>
      <c r="CZ60" s="229">
        <f t="shared" si="70"/>
        <v>837535.0292083642</v>
      </c>
      <c r="DA60" s="229">
        <f t="shared" si="70"/>
        <v>845081.59621124691</v>
      </c>
      <c r="DB60" s="229">
        <f t="shared" si="70"/>
        <v>845081.59621124691</v>
      </c>
      <c r="DC60" s="229">
        <f t="shared" si="70"/>
        <v>845081.59621124691</v>
      </c>
      <c r="DD60" s="229">
        <f t="shared" si="70"/>
        <v>845081.59621124691</v>
      </c>
      <c r="DE60" s="695"/>
      <c r="DF60" s="693"/>
      <c r="DG60" s="740"/>
      <c r="DH60" s="231">
        <f t="shared" si="38"/>
        <v>3310953.4010321936</v>
      </c>
      <c r="DI60" s="232">
        <f t="shared" si="39"/>
        <v>3340905.7331392905</v>
      </c>
      <c r="DJ60" s="232">
        <f t="shared" si="40"/>
        <v>3328456.7332525174</v>
      </c>
      <c r="DK60" s="232">
        <f t="shared" si="41"/>
        <v>3353829.2762491228</v>
      </c>
      <c r="DL60" s="232">
        <f t="shared" si="42"/>
        <v>3215439.2869703476</v>
      </c>
      <c r="DM60" s="232">
        <f t="shared" si="43"/>
        <v>3350140.1168334568</v>
      </c>
      <c r="DN60" s="232">
        <f t="shared" si="44"/>
        <v>3380326.3848449877</v>
      </c>
      <c r="DO60" s="695"/>
      <c r="DP60" s="693"/>
      <c r="DQ60" s="740"/>
      <c r="DR60" s="230">
        <f t="shared" si="19"/>
        <v>2390085.234892915</v>
      </c>
      <c r="DS60" s="230">
        <f t="shared" si="19"/>
        <v>2967510.5970792342</v>
      </c>
      <c r="DT60" s="230">
        <f t="shared" si="19"/>
        <v>3093087.7888614903</v>
      </c>
      <c r="DU60" s="230">
        <f t="shared" si="19"/>
        <v>3216652.5181237627</v>
      </c>
      <c r="DV60" s="230">
        <f t="shared" si="19"/>
        <v>3107746.0223663175</v>
      </c>
      <c r="DW60" s="230">
        <f t="shared" si="19"/>
        <v>3511103.1732022101</v>
      </c>
      <c r="DX60" s="230">
        <f t="shared" si="19"/>
        <v>3727467.584982357</v>
      </c>
      <c r="DY60" s="241"/>
      <c r="DZ60" s="696"/>
      <c r="EA60" s="257"/>
      <c r="EB60" s="269"/>
      <c r="EC60" s="269"/>
      <c r="ED60" s="235" t="e">
        <f>(DH60+#REF!/17)*1.1</f>
        <v>#REF!</v>
      </c>
      <c r="EE60" s="236">
        <f t="shared" si="20"/>
        <v>3674996.3064532196</v>
      </c>
      <c r="EF60" s="209"/>
      <c r="EG60" s="697"/>
      <c r="EH60" s="276" t="s">
        <v>34</v>
      </c>
      <c r="EI60" s="270">
        <f t="shared" si="46"/>
        <v>0</v>
      </c>
      <c r="EJ60" s="270">
        <f t="shared" si="21"/>
        <v>0</v>
      </c>
      <c r="EK60" s="270">
        <f t="shared" si="21"/>
        <v>0</v>
      </c>
      <c r="EL60" s="270">
        <f t="shared" si="21"/>
        <v>0</v>
      </c>
      <c r="EM60" s="270">
        <f t="shared" si="21"/>
        <v>0</v>
      </c>
      <c r="EN60" s="270">
        <f t="shared" si="21"/>
        <v>0</v>
      </c>
      <c r="EO60" s="270">
        <f t="shared" si="21"/>
        <v>0</v>
      </c>
      <c r="EP60" s="270">
        <f t="shared" si="21"/>
        <v>0</v>
      </c>
      <c r="EQ60" s="270">
        <f t="shared" si="21"/>
        <v>0</v>
      </c>
      <c r="ER60" s="270">
        <f t="shared" si="21"/>
        <v>0</v>
      </c>
      <c r="ES60" s="270">
        <f t="shared" si="21"/>
        <v>0</v>
      </c>
      <c r="ET60" s="270">
        <f t="shared" si="21"/>
        <v>0</v>
      </c>
      <c r="EU60" s="273">
        <f t="shared" si="21"/>
        <v>570179.79227359802</v>
      </c>
      <c r="EV60" s="273">
        <f t="shared" si="21"/>
        <v>588006.92029564455</v>
      </c>
      <c r="EW60" s="273">
        <f t="shared" si="21"/>
        <v>606635.14753977186</v>
      </c>
      <c r="EX60" s="273">
        <f t="shared" si="21"/>
        <v>625263.37478389964</v>
      </c>
      <c r="EY60" s="273">
        <f t="shared" si="21"/>
        <v>713830.07056692964</v>
      </c>
      <c r="EZ60" s="273">
        <f t="shared" si="22"/>
        <v>731640.99926390895</v>
      </c>
      <c r="FA60" s="273">
        <f t="shared" si="22"/>
        <v>751226.84217076865</v>
      </c>
      <c r="FB60" s="273">
        <f t="shared" si="22"/>
        <v>770812.68507762742</v>
      </c>
      <c r="FC60" s="273">
        <f t="shared" si="22"/>
        <v>768463.80772912607</v>
      </c>
      <c r="FD60" s="273">
        <f t="shared" si="22"/>
        <v>771664.96371120994</v>
      </c>
      <c r="FE60" s="273">
        <f t="shared" si="22"/>
        <v>774872.52200525987</v>
      </c>
      <c r="FF60" s="273">
        <f t="shared" si="22"/>
        <v>778086.49541589443</v>
      </c>
      <c r="FG60" s="273">
        <f t="shared" si="22"/>
        <v>795043.67084395932</v>
      </c>
      <c r="FH60" s="273">
        <f t="shared" si="22"/>
        <v>800637.82666956377</v>
      </c>
      <c r="FI60" s="273">
        <f t="shared" si="22"/>
        <v>807194.20725249057</v>
      </c>
      <c r="FJ60" s="273">
        <f t="shared" si="22"/>
        <v>813776.81335774972</v>
      </c>
      <c r="FK60" s="273">
        <f t="shared" si="22"/>
        <v>764131.74097343266</v>
      </c>
      <c r="FL60" s="273">
        <f t="shared" si="22"/>
        <v>771732.30062462308</v>
      </c>
      <c r="FM60" s="273">
        <f t="shared" si="22"/>
        <v>781185.85335882672</v>
      </c>
      <c r="FN60" s="273">
        <f t="shared" si="22"/>
        <v>790696.12740943499</v>
      </c>
      <c r="FO60" s="273">
        <f t="shared" si="22"/>
        <v>860317.24110781797</v>
      </c>
      <c r="FP60" s="273">
        <f t="shared" si="23"/>
        <v>870921.54700676864</v>
      </c>
      <c r="FQ60" s="273">
        <f t="shared" si="23"/>
        <v>883564.12567075971</v>
      </c>
      <c r="FR60" s="273">
        <f t="shared" si="23"/>
        <v>896300.25941686449</v>
      </c>
      <c r="FS60" s="273">
        <f t="shared" si="23"/>
        <v>923051.84363073483</v>
      </c>
      <c r="FT60" s="273">
        <f t="shared" si="23"/>
        <v>924598.31834343146</v>
      </c>
      <c r="FU60" s="273">
        <f t="shared" si="23"/>
        <v>935345.50414111675</v>
      </c>
      <c r="FV60" s="273">
        <f t="shared" si="23"/>
        <v>944471.91886707442</v>
      </c>
      <c r="FW60" s="273"/>
      <c r="FX60" s="259"/>
      <c r="FY60" s="260"/>
      <c r="GB60" s="274"/>
      <c r="GD60" s="249">
        <f t="shared" si="26"/>
        <v>597521.30872322852</v>
      </c>
      <c r="GE60" s="720"/>
      <c r="GF60" s="249">
        <f t="shared" si="27"/>
        <v>741877.64926980855</v>
      </c>
      <c r="GG60" s="720"/>
      <c r="GH60" s="725">
        <f>GG59+GE59</f>
        <v>-223961.84221255418</v>
      </c>
      <c r="GI60" s="728">
        <f>SUM(EI59:FB62)</f>
        <v>-2734112.8024174552</v>
      </c>
    </row>
    <row r="61" spans="1:205" ht="15" customHeight="1" thickBot="1">
      <c r="A61" s="697"/>
      <c r="B61" s="176" t="s">
        <v>24</v>
      </c>
      <c r="C61" s="268">
        <v>0</v>
      </c>
      <c r="D61" s="268">
        <v>0</v>
      </c>
      <c r="E61" s="268">
        <v>0</v>
      </c>
      <c r="F61" s="268">
        <v>0</v>
      </c>
      <c r="G61" s="268">
        <v>0</v>
      </c>
      <c r="H61" s="268">
        <v>0</v>
      </c>
      <c r="I61" s="268">
        <v>0</v>
      </c>
      <c r="J61" s="268">
        <v>0</v>
      </c>
      <c r="K61" s="268">
        <v>0</v>
      </c>
      <c r="L61" s="268">
        <v>0</v>
      </c>
      <c r="M61" s="268">
        <v>0</v>
      </c>
      <c r="N61" s="268">
        <v>0</v>
      </c>
      <c r="O61" s="222">
        <f t="shared" ref="O61:AP61" si="71">(IF(CC19=1,IF(O19&lt;=$BJ$46,O19*1000*$BI19,$BJ$46*1000*$BI19),IF(CC19*$BJ$46&gt;=O19,O19*1000*$BI19,CC19*1000*$BJ$46*$BI19)))*O39/4*$C$26</f>
        <v>389430.02712489059</v>
      </c>
      <c r="P61" s="222">
        <f t="shared" si="71"/>
        <v>415153.98192523193</v>
      </c>
      <c r="Q61" s="222">
        <f t="shared" si="71"/>
        <v>441101.10579555883</v>
      </c>
      <c r="R61" s="222">
        <f t="shared" si="71"/>
        <v>467048.22966588603</v>
      </c>
      <c r="S61" s="222">
        <f t="shared" si="71"/>
        <v>518933.21250878612</v>
      </c>
      <c r="T61" s="222">
        <f t="shared" si="71"/>
        <v>545619.59691494133</v>
      </c>
      <c r="U61" s="222">
        <f t="shared" si="71"/>
        <v>572900.57676068845</v>
      </c>
      <c r="V61" s="222">
        <f t="shared" si="71"/>
        <v>600181.55660643557</v>
      </c>
      <c r="W61" s="222">
        <f t="shared" si="71"/>
        <v>598140.7172156726</v>
      </c>
      <c r="X61" s="222">
        <f t="shared" si="71"/>
        <v>599336.99865010404</v>
      </c>
      <c r="Y61" s="222">
        <f t="shared" si="71"/>
        <v>600535.67264740414</v>
      </c>
      <c r="Z61" s="222">
        <f t="shared" si="71"/>
        <v>601736.74399269908</v>
      </c>
      <c r="AA61" s="222">
        <f t="shared" si="71"/>
        <v>610444.13901929941</v>
      </c>
      <c r="AB61" s="222">
        <f t="shared" si="71"/>
        <v>612534.69155498943</v>
      </c>
      <c r="AC61" s="222">
        <f t="shared" si="71"/>
        <v>614984.83032120939</v>
      </c>
      <c r="AD61" s="222">
        <f t="shared" si="71"/>
        <v>617444.76964249485</v>
      </c>
      <c r="AE61" s="222">
        <f t="shared" si="71"/>
        <v>585963.07281494001</v>
      </c>
      <c r="AF61" s="222">
        <f t="shared" si="71"/>
        <v>588803.42437946657</v>
      </c>
      <c r="AG61" s="222">
        <f t="shared" si="71"/>
        <v>592336.2449257432</v>
      </c>
      <c r="AH61" s="222">
        <f t="shared" si="71"/>
        <v>595890.26239529776</v>
      </c>
      <c r="AI61" s="222">
        <f t="shared" si="71"/>
        <v>634492.4023551502</v>
      </c>
      <c r="AJ61" s="222">
        <f t="shared" si="71"/>
        <v>638455.26275399921</v>
      </c>
      <c r="AK61" s="222">
        <f t="shared" si="71"/>
        <v>643179.83169837901</v>
      </c>
      <c r="AL61" s="222">
        <f t="shared" si="71"/>
        <v>647939.36245294672</v>
      </c>
      <c r="AM61" s="222">
        <f t="shared" si="71"/>
        <v>660756.6827477247</v>
      </c>
      <c r="AN61" s="222">
        <f t="shared" si="71"/>
        <v>665345.58213614253</v>
      </c>
      <c r="AO61" s="222">
        <f t="shared" si="71"/>
        <v>668738.84460503701</v>
      </c>
      <c r="AP61" s="222">
        <f t="shared" si="71"/>
        <v>672149.41271252267</v>
      </c>
      <c r="AQ61" s="730"/>
      <c r="AR61" s="730"/>
      <c r="AS61" s="734"/>
      <c r="AT61" s="223">
        <f t="shared" si="16"/>
        <v>1712733.3445115671</v>
      </c>
      <c r="AU61" s="223">
        <f t="shared" si="17"/>
        <v>2237634.9427908515</v>
      </c>
      <c r="AV61" s="223">
        <f t="shared" si="29"/>
        <v>2399750.1325058797</v>
      </c>
      <c r="AW61" s="223">
        <f t="shared" si="30"/>
        <v>2455408.4305379931</v>
      </c>
      <c r="AX61" s="223">
        <f t="shared" si="31"/>
        <v>2362993.0045154477</v>
      </c>
      <c r="AY61" s="223">
        <f t="shared" si="32"/>
        <v>2564066.8592604753</v>
      </c>
      <c r="AZ61" s="223">
        <f t="shared" si="33"/>
        <v>2666990.5222014268</v>
      </c>
      <c r="BA61" s="224"/>
      <c r="BB61" s="224"/>
      <c r="BC61" s="224"/>
      <c r="BD61" s="224"/>
      <c r="BE61" s="224"/>
      <c r="BF61" s="225"/>
      <c r="BH61">
        <v>10229395.091160875</v>
      </c>
      <c r="BI61">
        <v>10229395.091160875</v>
      </c>
      <c r="BJ61">
        <v>10229395.091160875</v>
      </c>
      <c r="BK61">
        <v>10229395.091160875</v>
      </c>
      <c r="BL61" s="227">
        <v>10229395.09</v>
      </c>
      <c r="BO61" s="697"/>
      <c r="BP61" s="178" t="s">
        <v>24</v>
      </c>
      <c r="BQ61" s="229">
        <f t="shared" si="62"/>
        <v>0</v>
      </c>
      <c r="BR61" s="229">
        <f t="shared" si="62"/>
        <v>0</v>
      </c>
      <c r="BS61" s="229">
        <f t="shared" si="62"/>
        <v>0</v>
      </c>
      <c r="BT61" s="229">
        <f t="shared" si="62"/>
        <v>0</v>
      </c>
      <c r="BU61" s="229">
        <f t="shared" si="62"/>
        <v>0</v>
      </c>
      <c r="BV61" s="229">
        <f t="shared" si="62"/>
        <v>0</v>
      </c>
      <c r="BW61" s="229">
        <f t="shared" si="62"/>
        <v>0</v>
      </c>
      <c r="BX61" s="229">
        <f t="shared" si="62"/>
        <v>0</v>
      </c>
      <c r="BY61" s="229">
        <f t="shared" si="62"/>
        <v>0</v>
      </c>
      <c r="BZ61" s="229">
        <f t="shared" si="62"/>
        <v>0</v>
      </c>
      <c r="CA61" s="229">
        <f t="shared" si="62"/>
        <v>0</v>
      </c>
      <c r="CB61" s="229">
        <f t="shared" si="62"/>
        <v>0</v>
      </c>
      <c r="CC61" s="229">
        <f t="shared" ref="CC61:DD61" si="72">CC19*DV39*O39/4</f>
        <v>1499758.7532208753</v>
      </c>
      <c r="CD61" s="229">
        <f t="shared" si="72"/>
        <v>1499758.7532208753</v>
      </c>
      <c r="CE61" s="229">
        <f t="shared" si="72"/>
        <v>1499758.7532208753</v>
      </c>
      <c r="CF61" s="229">
        <f t="shared" si="72"/>
        <v>1499758.7532208753</v>
      </c>
      <c r="CG61" s="229">
        <f t="shared" si="72"/>
        <v>1518941.6637931671</v>
      </c>
      <c r="CH61" s="229">
        <f t="shared" si="72"/>
        <v>1518941.6637931671</v>
      </c>
      <c r="CI61" s="229">
        <f t="shared" si="72"/>
        <v>1518941.6637931671</v>
      </c>
      <c r="CJ61" s="229">
        <f t="shared" si="72"/>
        <v>1518941.6637931671</v>
      </c>
      <c r="CK61" s="229">
        <f t="shared" si="72"/>
        <v>1515719.8461133067</v>
      </c>
      <c r="CL61" s="229">
        <f t="shared" si="72"/>
        <v>1515719.8461133067</v>
      </c>
      <c r="CM61" s="229">
        <f t="shared" si="72"/>
        <v>1515719.8461133067</v>
      </c>
      <c r="CN61" s="229">
        <f t="shared" si="72"/>
        <v>1515719.8461133067</v>
      </c>
      <c r="CO61" s="229">
        <f t="shared" si="72"/>
        <v>1526900.3542489863</v>
      </c>
      <c r="CP61" s="229">
        <f t="shared" si="72"/>
        <v>1526900.3542489863</v>
      </c>
      <c r="CQ61" s="229">
        <f t="shared" si="72"/>
        <v>1526900.3542489863</v>
      </c>
      <c r="CR61" s="229">
        <f t="shared" si="72"/>
        <v>1526900.3542489863</v>
      </c>
      <c r="CS61" s="229">
        <f t="shared" si="72"/>
        <v>1459497.9191591928</v>
      </c>
      <c r="CT61" s="229">
        <f t="shared" si="72"/>
        <v>1459497.9191591928</v>
      </c>
      <c r="CU61" s="229">
        <f t="shared" si="72"/>
        <v>1459497.9191591928</v>
      </c>
      <c r="CV61" s="229">
        <f t="shared" si="72"/>
        <v>1459497.9191591928</v>
      </c>
      <c r="CW61" s="229">
        <f t="shared" si="72"/>
        <v>1521724.9203695066</v>
      </c>
      <c r="CX61" s="229">
        <f t="shared" si="72"/>
        <v>1521724.9203695066</v>
      </c>
      <c r="CY61" s="229">
        <f t="shared" si="72"/>
        <v>1521724.9203695066</v>
      </c>
      <c r="CZ61" s="229">
        <f t="shared" si="72"/>
        <v>1521724.9203695066</v>
      </c>
      <c r="DA61" s="229">
        <f t="shared" si="72"/>
        <v>1534632.7756330771</v>
      </c>
      <c r="DB61" s="229">
        <f t="shared" si="72"/>
        <v>1534632.7756330771</v>
      </c>
      <c r="DC61" s="229">
        <f t="shared" si="72"/>
        <v>1534632.7756330771</v>
      </c>
      <c r="DD61" s="229">
        <f t="shared" si="72"/>
        <v>1534632.7756330771</v>
      </c>
      <c r="DE61" s="695"/>
      <c r="DF61" s="693"/>
      <c r="DG61" s="740"/>
      <c r="DH61" s="231">
        <f t="shared" si="38"/>
        <v>5999035.0128835011</v>
      </c>
      <c r="DI61" s="232">
        <f t="shared" si="39"/>
        <v>6075766.6551726684</v>
      </c>
      <c r="DJ61" s="232">
        <f t="shared" si="40"/>
        <v>6062879.3844532268</v>
      </c>
      <c r="DK61" s="232">
        <f t="shared" si="41"/>
        <v>6107601.4169959454</v>
      </c>
      <c r="DL61" s="232">
        <f t="shared" si="42"/>
        <v>5837991.6766367713</v>
      </c>
      <c r="DM61" s="232">
        <f t="shared" si="43"/>
        <v>6086899.6814780263</v>
      </c>
      <c r="DN61" s="232">
        <f t="shared" si="44"/>
        <v>6138531.1025323085</v>
      </c>
      <c r="DO61" s="695"/>
      <c r="DP61" s="693"/>
      <c r="DQ61" s="740"/>
      <c r="DR61" s="230">
        <f t="shared" si="19"/>
        <v>-4286301.6683719344</v>
      </c>
      <c r="DS61" s="230">
        <f t="shared" si="19"/>
        <v>-3838131.7123818169</v>
      </c>
      <c r="DT61" s="230">
        <f t="shared" si="19"/>
        <v>-3663129.2519473471</v>
      </c>
      <c r="DU61" s="230">
        <f t="shared" si="19"/>
        <v>-3652192.9864579523</v>
      </c>
      <c r="DV61" s="230">
        <f t="shared" si="19"/>
        <v>-3474998.6721213236</v>
      </c>
      <c r="DW61" s="230">
        <f t="shared" si="19"/>
        <v>-3522832.8222175511</v>
      </c>
      <c r="DX61" s="230">
        <f t="shared" si="19"/>
        <v>-3471540.5803308818</v>
      </c>
      <c r="DY61" s="241"/>
      <c r="DZ61" s="696"/>
      <c r="EA61" s="277"/>
      <c r="EB61" s="278"/>
      <c r="EC61" s="269"/>
      <c r="ED61" s="235" t="e">
        <f>(DH61+#REF!/17)*1.1</f>
        <v>#REF!</v>
      </c>
      <c r="EE61" s="236">
        <f t="shared" si="20"/>
        <v>6683343.3206899362</v>
      </c>
      <c r="EF61" s="209"/>
      <c r="EG61" s="697"/>
      <c r="EH61" s="276" t="s">
        <v>24</v>
      </c>
      <c r="EI61" s="270">
        <f t="shared" si="46"/>
        <v>0</v>
      </c>
      <c r="EJ61" s="270">
        <f t="shared" si="21"/>
        <v>0</v>
      </c>
      <c r="EK61" s="270">
        <f t="shared" si="21"/>
        <v>0</v>
      </c>
      <c r="EL61" s="270">
        <f t="shared" si="21"/>
        <v>0</v>
      </c>
      <c r="EM61" s="270">
        <f t="shared" si="21"/>
        <v>0</v>
      </c>
      <c r="EN61" s="270">
        <f t="shared" si="21"/>
        <v>0</v>
      </c>
      <c r="EO61" s="270">
        <f t="shared" si="21"/>
        <v>0</v>
      </c>
      <c r="EP61" s="270">
        <f t="shared" si="21"/>
        <v>0</v>
      </c>
      <c r="EQ61" s="270">
        <f t="shared" si="21"/>
        <v>0</v>
      </c>
      <c r="ER61" s="270">
        <f t="shared" si="21"/>
        <v>0</v>
      </c>
      <c r="ES61" s="270">
        <f t="shared" si="21"/>
        <v>0</v>
      </c>
      <c r="ET61" s="270">
        <f t="shared" si="21"/>
        <v>0</v>
      </c>
      <c r="EU61" s="273">
        <f t="shared" si="21"/>
        <v>-1110328.7260959847</v>
      </c>
      <c r="EV61" s="273">
        <f t="shared" si="21"/>
        <v>-1084604.7712956434</v>
      </c>
      <c r="EW61" s="273">
        <f t="shared" si="21"/>
        <v>-1058657.6474253165</v>
      </c>
      <c r="EX61" s="273">
        <f t="shared" si="21"/>
        <v>-1032710.5235549893</v>
      </c>
      <c r="EY61" s="273">
        <f t="shared" si="21"/>
        <v>-1000008.451284381</v>
      </c>
      <c r="EZ61" s="273">
        <f t="shared" si="22"/>
        <v>-973322.06687822577</v>
      </c>
      <c r="FA61" s="273">
        <f t="shared" si="22"/>
        <v>-946041.08703247865</v>
      </c>
      <c r="FB61" s="273">
        <f t="shared" si="22"/>
        <v>-918760.10718673153</v>
      </c>
      <c r="FC61" s="273">
        <f t="shared" si="22"/>
        <v>-917579.1288976341</v>
      </c>
      <c r="FD61" s="273">
        <f t="shared" si="22"/>
        <v>-916382.84746320266</v>
      </c>
      <c r="FE61" s="273">
        <f t="shared" si="22"/>
        <v>-915184.17346590257</v>
      </c>
      <c r="FF61" s="273">
        <f t="shared" si="22"/>
        <v>-913983.10212060763</v>
      </c>
      <c r="FG61" s="273">
        <f t="shared" si="22"/>
        <v>-916456.21522968693</v>
      </c>
      <c r="FH61" s="273">
        <f t="shared" si="22"/>
        <v>-914365.66269399691</v>
      </c>
      <c r="FI61" s="273">
        <f t="shared" si="22"/>
        <v>-911915.52392777696</v>
      </c>
      <c r="FJ61" s="273">
        <f t="shared" si="22"/>
        <v>-909455.58460649149</v>
      </c>
      <c r="FK61" s="273">
        <f t="shared" si="22"/>
        <v>-873534.84634425282</v>
      </c>
      <c r="FL61" s="273">
        <f t="shared" si="22"/>
        <v>-870694.49477972626</v>
      </c>
      <c r="FM61" s="273">
        <f t="shared" si="22"/>
        <v>-867161.67423344962</v>
      </c>
      <c r="FN61" s="273">
        <f t="shared" si="22"/>
        <v>-863607.65676389507</v>
      </c>
      <c r="FO61" s="273">
        <f t="shared" si="22"/>
        <v>-887232.51801435638</v>
      </c>
      <c r="FP61" s="273">
        <f t="shared" si="23"/>
        <v>-883269.65761550737</v>
      </c>
      <c r="FQ61" s="273">
        <f t="shared" si="23"/>
        <v>-878545.08867112757</v>
      </c>
      <c r="FR61" s="273">
        <f t="shared" si="23"/>
        <v>-873785.55791655986</v>
      </c>
      <c r="FS61" s="273">
        <f t="shared" si="23"/>
        <v>-873876.09288535244</v>
      </c>
      <c r="FT61" s="273">
        <f t="shared" si="23"/>
        <v>-869287.1934969346</v>
      </c>
      <c r="FU61" s="273">
        <f t="shared" si="23"/>
        <v>-865893.93102804013</v>
      </c>
      <c r="FV61" s="273">
        <f t="shared" si="23"/>
        <v>-862483.36292055447</v>
      </c>
      <c r="FW61" s="273"/>
      <c r="FX61" s="279"/>
      <c r="GD61" s="280">
        <f t="shared" si="26"/>
        <v>-1071575.4170929834</v>
      </c>
      <c r="GE61" s="720"/>
      <c r="GF61" s="249">
        <f t="shared" si="27"/>
        <v>-959532.92809545423</v>
      </c>
      <c r="GG61" s="720"/>
      <c r="GH61" s="726"/>
      <c r="GI61" s="728"/>
    </row>
    <row r="62" spans="1:205" ht="14.65" customHeight="1" thickBot="1">
      <c r="A62" s="698"/>
      <c r="B62" s="187" t="s">
        <v>36</v>
      </c>
      <c r="C62" s="268">
        <v>0</v>
      </c>
      <c r="D62" s="268">
        <v>0</v>
      </c>
      <c r="E62" s="268">
        <v>0</v>
      </c>
      <c r="F62" s="268">
        <v>0</v>
      </c>
      <c r="G62" s="268">
        <v>0</v>
      </c>
      <c r="H62" s="268">
        <v>0</v>
      </c>
      <c r="I62" s="268">
        <v>0</v>
      </c>
      <c r="J62" s="268">
        <v>0</v>
      </c>
      <c r="K62" s="268">
        <v>0</v>
      </c>
      <c r="L62" s="268">
        <v>0</v>
      </c>
      <c r="M62" s="268">
        <v>0</v>
      </c>
      <c r="N62" s="268">
        <v>0</v>
      </c>
      <c r="O62" s="222">
        <f t="shared" ref="O62:AP62" si="73">(IF(CC20=1,IF(O20&lt;=$BJ$46,O20*1000*$BI20,$BJ$46*1000*$BI20),IF(CC20*$BJ$46&gt;=O20,O20*1000*$BI20,CC20*1000*$BJ$46*$BI20)))*O39/4*$C$26</f>
        <v>286822.01287712133</v>
      </c>
      <c r="P62" s="222">
        <f t="shared" si="73"/>
        <v>308708.23303538887</v>
      </c>
      <c r="Q62" s="222">
        <f t="shared" si="73"/>
        <v>330758.82110934518</v>
      </c>
      <c r="R62" s="222">
        <f t="shared" si="73"/>
        <v>352809.40918330156</v>
      </c>
      <c r="S62" s="222">
        <f t="shared" si="73"/>
        <v>394582.42602575477</v>
      </c>
      <c r="T62" s="222">
        <f t="shared" si="73"/>
        <v>417314.44814843225</v>
      </c>
      <c r="U62" s="222">
        <f t="shared" si="73"/>
        <v>440498.58415667876</v>
      </c>
      <c r="V62" s="222">
        <f t="shared" si="73"/>
        <v>463682.72016492498</v>
      </c>
      <c r="W62" s="222">
        <f t="shared" si="73"/>
        <v>462106.0273297113</v>
      </c>
      <c r="X62" s="222">
        <f t="shared" si="73"/>
        <v>463030.23938437068</v>
      </c>
      <c r="Y62" s="222">
        <f t="shared" si="73"/>
        <v>463956.29986313888</v>
      </c>
      <c r="Z62" s="222">
        <f t="shared" si="73"/>
        <v>464884.21246286563</v>
      </c>
      <c r="AA62" s="222">
        <f t="shared" si="73"/>
        <v>471611.29123935022</v>
      </c>
      <c r="AB62" s="222">
        <f t="shared" si="73"/>
        <v>473226.3909966264</v>
      </c>
      <c r="AC62" s="222">
        <f t="shared" si="73"/>
        <v>475119.29656061245</v>
      </c>
      <c r="AD62" s="222">
        <f t="shared" si="73"/>
        <v>477019.77374685515</v>
      </c>
      <c r="AE62" s="222">
        <f t="shared" si="73"/>
        <v>452697.93536357384</v>
      </c>
      <c r="AF62" s="222">
        <f t="shared" si="73"/>
        <v>454892.30792495533</v>
      </c>
      <c r="AG62" s="222">
        <f t="shared" si="73"/>
        <v>457621.66177250497</v>
      </c>
      <c r="AH62" s="222">
        <f t="shared" si="73"/>
        <v>460367.39174313995</v>
      </c>
      <c r="AI62" s="222">
        <f t="shared" si="73"/>
        <v>490190.27627490932</v>
      </c>
      <c r="AJ62" s="222">
        <f t="shared" si="73"/>
        <v>493251.86633736</v>
      </c>
      <c r="AK62" s="222">
        <f t="shared" si="73"/>
        <v>496901.93014825648</v>
      </c>
      <c r="AL62" s="222">
        <f t="shared" si="73"/>
        <v>500579.00443135353</v>
      </c>
      <c r="AM62" s="222">
        <f t="shared" si="73"/>
        <v>510481.29128787015</v>
      </c>
      <c r="AN62" s="222">
        <f t="shared" si="73"/>
        <v>514026.5407670709</v>
      </c>
      <c r="AO62" s="222">
        <f t="shared" si="73"/>
        <v>516648.07612498291</v>
      </c>
      <c r="AP62" s="222">
        <f t="shared" si="73"/>
        <v>519282.98131322046</v>
      </c>
      <c r="AQ62" s="730"/>
      <c r="AR62" s="730"/>
      <c r="AS62" s="734"/>
      <c r="AT62" s="223">
        <f t="shared" si="16"/>
        <v>1279098.4762051569</v>
      </c>
      <c r="AU62" s="223">
        <f t="shared" si="17"/>
        <v>1716078.1784957908</v>
      </c>
      <c r="AV62" s="223">
        <f t="shared" si="29"/>
        <v>1853976.7790400865</v>
      </c>
      <c r="AW62" s="223">
        <f t="shared" si="30"/>
        <v>1896976.7525434443</v>
      </c>
      <c r="AX62" s="223">
        <f t="shared" si="31"/>
        <v>1825579.2968041738</v>
      </c>
      <c r="AY62" s="223">
        <f t="shared" si="32"/>
        <v>1980923.0771918795</v>
      </c>
      <c r="AZ62" s="223">
        <f t="shared" si="33"/>
        <v>2060438.8894931444</v>
      </c>
      <c r="BA62" s="224"/>
      <c r="BB62" s="224"/>
      <c r="BC62" s="224"/>
      <c r="BD62" s="224"/>
      <c r="BE62" s="224"/>
      <c r="BF62" s="225"/>
      <c r="BH62">
        <v>7963909.3270200118</v>
      </c>
      <c r="BI62">
        <v>7963909.3270200118</v>
      </c>
      <c r="BJ62">
        <v>7963909.3270200118</v>
      </c>
      <c r="BK62">
        <v>7963909.3270200118</v>
      </c>
      <c r="BL62" s="227">
        <v>7963909.3270200118</v>
      </c>
      <c r="BO62" s="706"/>
      <c r="BP62" s="186" t="s">
        <v>36</v>
      </c>
      <c r="BQ62" s="229">
        <f t="shared" si="62"/>
        <v>0</v>
      </c>
      <c r="BR62" s="229">
        <f t="shared" si="62"/>
        <v>0</v>
      </c>
      <c r="BS62" s="229">
        <f t="shared" si="62"/>
        <v>0</v>
      </c>
      <c r="BT62" s="229">
        <f t="shared" si="62"/>
        <v>0</v>
      </c>
      <c r="BU62" s="229">
        <f t="shared" si="62"/>
        <v>0</v>
      </c>
      <c r="BV62" s="229">
        <f t="shared" si="62"/>
        <v>0</v>
      </c>
      <c r="BW62" s="229">
        <f t="shared" si="62"/>
        <v>0</v>
      </c>
      <c r="BX62" s="229">
        <f t="shared" si="62"/>
        <v>0</v>
      </c>
      <c r="BY62" s="229">
        <f t="shared" si="62"/>
        <v>0</v>
      </c>
      <c r="BZ62" s="229">
        <f t="shared" si="62"/>
        <v>0</v>
      </c>
      <c r="CA62" s="229">
        <f t="shared" si="62"/>
        <v>0</v>
      </c>
      <c r="CB62" s="229">
        <f t="shared" si="62"/>
        <v>0</v>
      </c>
      <c r="CC62" s="229">
        <f t="shared" ref="CC62:DD62" si="74">CC20*DV40*O39/4</f>
        <v>830809.41530559002</v>
      </c>
      <c r="CD62" s="229">
        <f t="shared" si="74"/>
        <v>830809.41530559002</v>
      </c>
      <c r="CE62" s="229">
        <f t="shared" si="74"/>
        <v>830809.41530559002</v>
      </c>
      <c r="CF62" s="229">
        <f t="shared" si="74"/>
        <v>830809.41530559002</v>
      </c>
      <c r="CG62" s="229">
        <f t="shared" si="74"/>
        <v>836372.31259280769</v>
      </c>
      <c r="CH62" s="229">
        <f t="shared" si="74"/>
        <v>836372.31259280769</v>
      </c>
      <c r="CI62" s="229">
        <f t="shared" si="74"/>
        <v>836372.31259280769</v>
      </c>
      <c r="CJ62" s="229">
        <f t="shared" si="74"/>
        <v>836372.31259280769</v>
      </c>
      <c r="CK62" s="229">
        <f t="shared" si="74"/>
        <v>833231.83957519429</v>
      </c>
      <c r="CL62" s="229">
        <f t="shared" si="74"/>
        <v>833231.83957519429</v>
      </c>
      <c r="CM62" s="229">
        <f t="shared" si="74"/>
        <v>833231.83957519429</v>
      </c>
      <c r="CN62" s="229">
        <f t="shared" si="74"/>
        <v>833231.83957519429</v>
      </c>
      <c r="CO62" s="229">
        <f t="shared" si="74"/>
        <v>838675.21174706169</v>
      </c>
      <c r="CP62" s="229">
        <f t="shared" si="74"/>
        <v>838675.21174706169</v>
      </c>
      <c r="CQ62" s="229">
        <f t="shared" si="74"/>
        <v>838675.21174706169</v>
      </c>
      <c r="CR62" s="229">
        <f t="shared" si="74"/>
        <v>838675.21174706169</v>
      </c>
      <c r="CS62" s="229">
        <f t="shared" si="74"/>
        <v>803494.52111444634</v>
      </c>
      <c r="CT62" s="229">
        <f t="shared" si="74"/>
        <v>803494.52111444634</v>
      </c>
      <c r="CU62" s="229">
        <f t="shared" si="74"/>
        <v>803494.52111444634</v>
      </c>
      <c r="CV62" s="229">
        <f t="shared" si="74"/>
        <v>803494.52111444634</v>
      </c>
      <c r="CW62" s="229">
        <f t="shared" si="74"/>
        <v>834847.90827108349</v>
      </c>
      <c r="CX62" s="229">
        <f t="shared" si="74"/>
        <v>834847.90827108349</v>
      </c>
      <c r="CY62" s="229">
        <f t="shared" si="74"/>
        <v>834847.90827108349</v>
      </c>
      <c r="CZ62" s="229">
        <f t="shared" si="74"/>
        <v>834847.90827108349</v>
      </c>
      <c r="DA62" s="229">
        <f t="shared" si="74"/>
        <v>840756.13924422837</v>
      </c>
      <c r="DB62" s="229">
        <f t="shared" si="74"/>
        <v>840756.13924422837</v>
      </c>
      <c r="DC62" s="229">
        <f t="shared" si="74"/>
        <v>840756.13924422837</v>
      </c>
      <c r="DD62" s="229">
        <f t="shared" si="74"/>
        <v>840756.13924422837</v>
      </c>
      <c r="DE62" s="695"/>
      <c r="DF62" s="693"/>
      <c r="DG62" s="740"/>
      <c r="DH62" s="231">
        <f t="shared" si="38"/>
        <v>3323237.6612223601</v>
      </c>
      <c r="DI62" s="232">
        <f t="shared" si="39"/>
        <v>3345489.2503712308</v>
      </c>
      <c r="DJ62" s="232">
        <f t="shared" si="40"/>
        <v>3332927.3583007772</v>
      </c>
      <c r="DK62" s="232">
        <f t="shared" si="41"/>
        <v>3354700.8469882468</v>
      </c>
      <c r="DL62" s="232">
        <f t="shared" si="42"/>
        <v>3213978.0844577854</v>
      </c>
      <c r="DM62" s="232">
        <f t="shared" si="43"/>
        <v>3339391.633084334</v>
      </c>
      <c r="DN62" s="232">
        <f t="shared" si="44"/>
        <v>3363024.5569769135</v>
      </c>
      <c r="DO62" s="695"/>
      <c r="DP62" s="693"/>
      <c r="DQ62" s="740"/>
      <c r="DR62" s="230">
        <f t="shared" ref="DR62:DW62" si="75">AT62-DH62</f>
        <v>-2044139.1850172032</v>
      </c>
      <c r="DS62" s="230">
        <f t="shared" si="75"/>
        <v>-1629411.07187544</v>
      </c>
      <c r="DT62" s="230">
        <f t="shared" si="75"/>
        <v>-1478950.5792606906</v>
      </c>
      <c r="DU62" s="230">
        <f t="shared" si="75"/>
        <v>-1457724.0944448025</v>
      </c>
      <c r="DV62" s="230">
        <f t="shared" si="75"/>
        <v>-1388398.7876536115</v>
      </c>
      <c r="DW62" s="230">
        <f t="shared" si="75"/>
        <v>-1358468.5558924545</v>
      </c>
      <c r="DX62" s="230">
        <f>AZ62-DN62</f>
        <v>-1302585.6674837691</v>
      </c>
      <c r="DY62" s="281"/>
      <c r="DZ62" s="741"/>
      <c r="EA62" s="282"/>
      <c r="EB62" s="283"/>
      <c r="EC62" s="283"/>
      <c r="ED62" s="284" t="e">
        <f>(DH62+#REF!/17)*1.1</f>
        <v>#REF!</v>
      </c>
      <c r="EE62" s="236">
        <f t="shared" si="20"/>
        <v>3680038.175408354</v>
      </c>
      <c r="EF62" s="209"/>
      <c r="EG62" s="698"/>
      <c r="EH62" s="285" t="s">
        <v>36</v>
      </c>
      <c r="EI62" s="270">
        <f t="shared" si="46"/>
        <v>0</v>
      </c>
      <c r="EJ62" s="270">
        <f t="shared" si="46"/>
        <v>0</v>
      </c>
      <c r="EK62" s="270">
        <f t="shared" si="46"/>
        <v>0</v>
      </c>
      <c r="EL62" s="270">
        <f t="shared" si="46"/>
        <v>0</v>
      </c>
      <c r="EM62" s="270">
        <f t="shared" si="46"/>
        <v>0</v>
      </c>
      <c r="EN62" s="270">
        <f t="shared" si="46"/>
        <v>0</v>
      </c>
      <c r="EO62" s="270">
        <f t="shared" si="46"/>
        <v>0</v>
      </c>
      <c r="EP62" s="270">
        <f t="shared" si="46"/>
        <v>0</v>
      </c>
      <c r="EQ62" s="270">
        <f t="shared" si="46"/>
        <v>0</v>
      </c>
      <c r="ER62" s="270">
        <f t="shared" si="46"/>
        <v>0</v>
      </c>
      <c r="ES62" s="270">
        <f t="shared" si="46"/>
        <v>0</v>
      </c>
      <c r="ET62" s="270">
        <f t="shared" si="46"/>
        <v>0</v>
      </c>
      <c r="EU62" s="273">
        <f t="shared" si="46"/>
        <v>-543987.40242846869</v>
      </c>
      <c r="EV62" s="273">
        <f t="shared" si="46"/>
        <v>-522101.18227020116</v>
      </c>
      <c r="EW62" s="273">
        <f t="shared" si="46"/>
        <v>-500050.59419624484</v>
      </c>
      <c r="EX62" s="273">
        <f t="shared" si="46"/>
        <v>-478000.00612228847</v>
      </c>
      <c r="EY62" s="273">
        <f t="shared" ref="EY62:FN62" si="76">S62-CG62</f>
        <v>-441789.88656705292</v>
      </c>
      <c r="EZ62" s="273">
        <f t="shared" si="76"/>
        <v>-419057.86444437545</v>
      </c>
      <c r="FA62" s="273">
        <f t="shared" si="76"/>
        <v>-395873.72843612893</v>
      </c>
      <c r="FB62" s="273">
        <f t="shared" si="76"/>
        <v>-372689.59242788272</v>
      </c>
      <c r="FC62" s="273">
        <f t="shared" si="76"/>
        <v>-371125.81224548299</v>
      </c>
      <c r="FD62" s="273">
        <f t="shared" si="76"/>
        <v>-370201.60019082361</v>
      </c>
      <c r="FE62" s="273">
        <f t="shared" si="76"/>
        <v>-369275.53971205541</v>
      </c>
      <c r="FF62" s="273">
        <f t="shared" si="76"/>
        <v>-368347.62711232866</v>
      </c>
      <c r="FG62" s="273">
        <f t="shared" si="76"/>
        <v>-367063.92050771147</v>
      </c>
      <c r="FH62" s="273">
        <f t="shared" si="76"/>
        <v>-365448.82075043529</v>
      </c>
      <c r="FI62" s="273">
        <f t="shared" si="76"/>
        <v>-363555.91518644925</v>
      </c>
      <c r="FJ62" s="273">
        <f t="shared" si="76"/>
        <v>-361655.43800020654</v>
      </c>
      <c r="FK62" s="273">
        <f t="shared" si="76"/>
        <v>-350796.5857508725</v>
      </c>
      <c r="FL62" s="273">
        <f t="shared" si="76"/>
        <v>-348602.21318949101</v>
      </c>
      <c r="FM62" s="273">
        <f t="shared" si="76"/>
        <v>-345872.85934194137</v>
      </c>
      <c r="FN62" s="273">
        <f t="shared" si="76"/>
        <v>-343127.12937130639</v>
      </c>
      <c r="FO62" s="273">
        <f t="shared" ref="FO62:FV62" si="77">AI62-CW62</f>
        <v>-344657.63199617417</v>
      </c>
      <c r="FP62" s="273">
        <f t="shared" si="77"/>
        <v>-341596.04193372349</v>
      </c>
      <c r="FQ62" s="273">
        <f t="shared" si="77"/>
        <v>-337945.97812282701</v>
      </c>
      <c r="FR62" s="273">
        <f t="shared" si="77"/>
        <v>-334268.90383972996</v>
      </c>
      <c r="FS62" s="273">
        <f t="shared" si="77"/>
        <v>-330274.84795635822</v>
      </c>
      <c r="FT62" s="273">
        <f t="shared" si="77"/>
        <v>-326729.59847715747</v>
      </c>
      <c r="FU62" s="273">
        <f t="shared" si="77"/>
        <v>-324108.06311924546</v>
      </c>
      <c r="FV62" s="273">
        <f t="shared" si="77"/>
        <v>-321473.15793100791</v>
      </c>
      <c r="FW62" s="273"/>
      <c r="FX62" s="286"/>
      <c r="FY62" s="287"/>
      <c r="FZ62" s="287"/>
      <c r="GA62" s="287"/>
      <c r="GB62" s="287"/>
      <c r="GC62" s="287"/>
      <c r="GD62" s="280">
        <f t="shared" si="26"/>
        <v>-511034.7962543008</v>
      </c>
      <c r="GE62" s="724"/>
      <c r="GF62" s="249">
        <f t="shared" si="27"/>
        <v>-407352.76796885999</v>
      </c>
      <c r="GG62" s="724"/>
      <c r="GH62" s="726"/>
      <c r="GI62" s="728"/>
    </row>
    <row r="63" spans="1:205" ht="15" customHeight="1">
      <c r="A63" s="193"/>
      <c r="B63" s="98"/>
      <c r="C63" s="288"/>
      <c r="D63" s="288"/>
      <c r="E63" s="288"/>
      <c r="F63" s="288"/>
      <c r="G63" s="288"/>
      <c r="H63" s="288"/>
      <c r="I63" s="288"/>
      <c r="J63" s="288"/>
      <c r="K63" s="288"/>
      <c r="L63" s="288"/>
      <c r="M63" s="288"/>
      <c r="N63" s="288"/>
      <c r="O63" s="288"/>
      <c r="P63" s="288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730"/>
      <c r="AR63" s="730"/>
      <c r="AS63" s="734"/>
      <c r="AT63" s="731"/>
      <c r="AU63" s="732"/>
      <c r="AV63" s="224"/>
      <c r="AW63" s="224"/>
      <c r="AX63" s="224"/>
      <c r="AY63" s="224"/>
      <c r="AZ63" s="224"/>
      <c r="BA63" s="224"/>
      <c r="BB63" s="224"/>
      <c r="BC63" s="224"/>
      <c r="BD63" s="224"/>
      <c r="BE63" s="224"/>
      <c r="BF63" s="225"/>
      <c r="BH63">
        <v>9369159.1010171361</v>
      </c>
      <c r="BI63">
        <v>9369159.1010171361</v>
      </c>
      <c r="BJ63">
        <v>9369159.1010171361</v>
      </c>
      <c r="BK63">
        <v>9369159.1010171361</v>
      </c>
      <c r="BL63">
        <v>9369159.1010171361</v>
      </c>
      <c r="BO63" s="193"/>
      <c r="BP63" s="98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0"/>
      <c r="DB63" s="290"/>
      <c r="DC63" s="290"/>
      <c r="DD63" s="290"/>
      <c r="DE63" s="695"/>
      <c r="DF63" s="693"/>
      <c r="DG63" s="740"/>
      <c r="DH63" s="735"/>
      <c r="DI63" s="692"/>
      <c r="DJ63" s="692"/>
      <c r="DK63" s="692"/>
      <c r="DL63" s="692"/>
      <c r="DM63" s="692"/>
      <c r="DN63" s="736"/>
      <c r="DO63" s="695"/>
      <c r="DP63" s="693"/>
      <c r="DQ63" s="740"/>
      <c r="DR63" s="735"/>
      <c r="DS63" s="692"/>
      <c r="DT63" s="692"/>
      <c r="DU63" s="692"/>
      <c r="DV63" s="692"/>
      <c r="DW63" s="692"/>
      <c r="DX63" s="736"/>
      <c r="DY63" s="225"/>
      <c r="DZ63" s="209"/>
      <c r="EA63" s="209"/>
      <c r="EB63" s="209"/>
      <c r="EC63" s="209"/>
      <c r="ED63" s="291"/>
      <c r="EE63" s="209"/>
      <c r="EF63" s="209"/>
      <c r="EG63" s="193"/>
      <c r="EH63" s="98"/>
      <c r="EO63" s="108"/>
      <c r="EW63" s="290"/>
      <c r="EX63" s="290"/>
      <c r="EY63" s="290"/>
      <c r="EZ63" s="290"/>
      <c r="FA63" s="290"/>
      <c r="FB63" s="290"/>
      <c r="FC63" s="292"/>
      <c r="FD63" s="290"/>
      <c r="FE63" s="290"/>
      <c r="FF63" s="293"/>
      <c r="FG63" s="292"/>
      <c r="FH63" s="290"/>
      <c r="FI63" s="290"/>
      <c r="FJ63" s="293"/>
      <c r="FK63" s="292"/>
      <c r="FL63" s="290"/>
      <c r="FM63" s="290"/>
      <c r="FN63" s="293"/>
      <c r="FO63" s="292"/>
      <c r="FP63" s="290"/>
      <c r="FQ63" s="290"/>
      <c r="FR63" s="293"/>
      <c r="FS63" s="292"/>
      <c r="FT63" s="290"/>
      <c r="FU63" s="290"/>
      <c r="FV63" s="293"/>
      <c r="FW63" s="290"/>
      <c r="GD63" s="274"/>
      <c r="GE63" s="260"/>
      <c r="GF63" s="274"/>
      <c r="GG63" s="294"/>
      <c r="GH63" s="742"/>
      <c r="GI63" s="728"/>
      <c r="GJ63" s="108"/>
      <c r="GL63" s="108"/>
    </row>
    <row r="64" spans="1:205" ht="15" customHeight="1">
      <c r="A64" s="193"/>
      <c r="B64" s="98"/>
      <c r="C64" s="288"/>
      <c r="D64" s="28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  <c r="AD64" s="289"/>
      <c r="AE64" s="289"/>
      <c r="AF64" s="289"/>
      <c r="AG64" s="289"/>
      <c r="AH64" s="289"/>
      <c r="AI64" s="289"/>
      <c r="AJ64" s="289"/>
      <c r="AK64" s="289"/>
      <c r="AL64" s="289"/>
      <c r="AM64" s="289"/>
      <c r="AN64" s="289"/>
      <c r="AO64" s="289"/>
      <c r="AP64" s="289"/>
      <c r="AQ64" s="730"/>
      <c r="AR64" s="730"/>
      <c r="AS64" s="734"/>
      <c r="AT64" s="733"/>
      <c r="AU64" s="734"/>
      <c r="AV64" s="224"/>
      <c r="AW64" s="224"/>
      <c r="AX64" s="224"/>
      <c r="AY64" s="224"/>
      <c r="AZ64" s="224"/>
      <c r="BA64" s="224"/>
      <c r="BB64" s="224"/>
      <c r="BC64" s="224"/>
      <c r="BD64" s="224"/>
      <c r="BE64" s="224"/>
      <c r="BF64" s="225"/>
      <c r="BH64">
        <v>9504340.52050969</v>
      </c>
      <c r="BI64">
        <v>9504340.52050969</v>
      </c>
      <c r="BJ64">
        <v>9504340.52050969</v>
      </c>
      <c r="BK64">
        <v>9504340.52050969</v>
      </c>
      <c r="BL64">
        <v>9504340.52050969</v>
      </c>
      <c r="BO64" s="193"/>
      <c r="BP64" s="98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0"/>
      <c r="DB64" s="290"/>
      <c r="DC64" s="290"/>
      <c r="DD64" s="290"/>
      <c r="DE64" s="695"/>
      <c r="DF64" s="693"/>
      <c r="DG64" s="740"/>
      <c r="DH64" s="737"/>
      <c r="DI64" s="693"/>
      <c r="DJ64" s="693"/>
      <c r="DK64" s="693"/>
      <c r="DL64" s="693"/>
      <c r="DM64" s="693"/>
      <c r="DN64" s="738"/>
      <c r="DO64" s="695"/>
      <c r="DP64" s="693"/>
      <c r="DQ64" s="740"/>
      <c r="DR64" s="737"/>
      <c r="DS64" s="693"/>
      <c r="DT64" s="693"/>
      <c r="DU64" s="693"/>
      <c r="DV64" s="693"/>
      <c r="DW64" s="693"/>
      <c r="DX64" s="738"/>
      <c r="DY64" s="225"/>
      <c r="DZ64" s="209"/>
      <c r="EA64" s="209"/>
      <c r="EB64" s="209"/>
      <c r="EC64" s="209"/>
      <c r="ED64" s="291"/>
      <c r="EE64" s="209"/>
      <c r="EF64" s="209"/>
      <c r="EG64" s="193"/>
      <c r="EH64" s="98"/>
      <c r="EO64" s="108"/>
      <c r="EQ64" s="295"/>
      <c r="ER64" s="295"/>
      <c r="ES64" s="295"/>
      <c r="ET64" s="295"/>
      <c r="EU64" s="295"/>
      <c r="EW64" s="290"/>
      <c r="EX64" s="290"/>
      <c r="EY64" s="290"/>
      <c r="EZ64" s="290"/>
      <c r="FA64" s="290"/>
      <c r="FB64" s="290"/>
      <c r="FC64" s="292"/>
      <c r="FD64" s="290"/>
      <c r="FE64" s="290"/>
      <c r="FF64" s="293"/>
      <c r="FG64" s="292"/>
      <c r="FH64" s="290"/>
      <c r="FI64" s="290"/>
      <c r="FJ64" s="293"/>
      <c r="FK64" s="292"/>
      <c r="FL64" s="290"/>
      <c r="FM64" s="290"/>
      <c r="FN64" s="293"/>
      <c r="FO64" s="292"/>
      <c r="FP64" s="290"/>
      <c r="FQ64" s="290"/>
      <c r="FR64" s="293"/>
      <c r="FS64" s="292"/>
      <c r="FT64" s="290"/>
      <c r="FU64" s="290"/>
      <c r="FV64" s="293"/>
      <c r="FW64" s="290"/>
      <c r="GD64" s="274"/>
      <c r="GE64" s="260"/>
      <c r="GF64" s="274"/>
      <c r="GG64" s="294"/>
      <c r="GH64" s="742"/>
      <c r="GI64" s="728"/>
      <c r="GJ64" s="108"/>
      <c r="GL64" s="108"/>
    </row>
    <row r="65" spans="1:201" ht="15" customHeight="1" thickBot="1">
      <c r="A65" s="193"/>
      <c r="B65" s="104"/>
      <c r="C65" s="288"/>
      <c r="D65" s="28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/>
      <c r="AL65" s="289"/>
      <c r="AM65" s="289"/>
      <c r="AN65" s="289"/>
      <c r="AO65" s="289"/>
      <c r="AP65" s="289"/>
      <c r="AQ65" s="296"/>
      <c r="AR65" s="730"/>
      <c r="AS65" s="734"/>
      <c r="AT65" s="733"/>
      <c r="AU65" s="734"/>
      <c r="AV65" s="224"/>
      <c r="AW65" s="224"/>
      <c r="AX65" s="224"/>
      <c r="AY65" s="224"/>
      <c r="AZ65" s="224"/>
      <c r="BA65" s="224"/>
      <c r="BB65" s="224"/>
      <c r="BC65" s="224"/>
      <c r="BD65" s="224"/>
      <c r="BE65" s="224"/>
      <c r="BF65" s="225"/>
      <c r="BH65">
        <v>5851623.2669408582</v>
      </c>
      <c r="BI65">
        <v>5851623.2669408582</v>
      </c>
      <c r="BJ65">
        <v>5851623.2669408582</v>
      </c>
      <c r="BK65">
        <v>5851623.2669408582</v>
      </c>
      <c r="BL65">
        <v>5851623.2669408582</v>
      </c>
      <c r="BO65" s="193"/>
      <c r="BP65" s="104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0"/>
      <c r="DB65" s="290"/>
      <c r="DC65" s="290"/>
      <c r="DD65" s="290"/>
      <c r="DE65" s="695"/>
      <c r="DF65" s="693"/>
      <c r="DG65" s="740"/>
      <c r="DH65" s="737"/>
      <c r="DI65" s="693"/>
      <c r="DJ65" s="693"/>
      <c r="DK65" s="693"/>
      <c r="DL65" s="693"/>
      <c r="DM65" s="693"/>
      <c r="DN65" s="738"/>
      <c r="DO65" s="695"/>
      <c r="DP65" s="693"/>
      <c r="DQ65" s="740"/>
      <c r="DR65" s="737"/>
      <c r="DS65" s="693"/>
      <c r="DT65" s="693"/>
      <c r="DU65" s="693"/>
      <c r="DV65" s="693"/>
      <c r="DW65" s="693"/>
      <c r="DX65" s="738"/>
      <c r="DY65" s="225"/>
      <c r="DZ65" s="209"/>
      <c r="EA65" s="209"/>
      <c r="EB65" s="209"/>
      <c r="EC65" s="209"/>
      <c r="ED65" s="291"/>
      <c r="EE65" s="209"/>
      <c r="EF65" s="209"/>
      <c r="EG65" s="193"/>
      <c r="EH65" s="104"/>
      <c r="EO65" s="108"/>
      <c r="EW65" s="290"/>
      <c r="EX65" s="290"/>
      <c r="EY65" s="290"/>
      <c r="EZ65" s="290"/>
      <c r="FA65" s="290"/>
      <c r="FB65" s="290"/>
      <c r="FC65" s="292"/>
      <c r="FD65" s="290"/>
      <c r="FE65" s="290"/>
      <c r="FF65" s="293"/>
      <c r="FG65" s="292"/>
      <c r="FH65" s="290"/>
      <c r="FI65" s="290"/>
      <c r="FJ65" s="293"/>
      <c r="FK65" s="292"/>
      <c r="FL65" s="290"/>
      <c r="FM65" s="290"/>
      <c r="FN65" s="293"/>
      <c r="FO65" s="292"/>
      <c r="FP65" s="290"/>
      <c r="FQ65" s="290"/>
      <c r="FR65" s="293"/>
      <c r="FS65" s="292"/>
      <c r="FT65" s="290"/>
      <c r="FU65" s="290"/>
      <c r="FV65" s="293"/>
      <c r="FW65" s="290"/>
      <c r="GD65" s="274"/>
      <c r="GE65" s="260"/>
      <c r="GF65" s="274"/>
      <c r="GG65" s="294"/>
      <c r="GH65" s="743"/>
      <c r="GI65" s="728"/>
      <c r="GJ65" s="108"/>
      <c r="GL65" s="108"/>
    </row>
    <row r="66" spans="1:201" ht="15" customHeight="1" thickBot="1">
      <c r="A66" s="297"/>
      <c r="B66" s="104"/>
      <c r="C66" s="288"/>
      <c r="D66" s="288"/>
      <c r="E66" s="288"/>
      <c r="F66" s="288"/>
      <c r="G66" s="288"/>
      <c r="H66" s="288"/>
      <c r="I66" s="288"/>
      <c r="J66" s="288"/>
      <c r="K66" s="288"/>
      <c r="L66" s="288"/>
      <c r="M66" s="288"/>
      <c r="N66" s="288"/>
      <c r="O66" s="288"/>
      <c r="P66" s="288"/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/>
      <c r="AL66" s="289"/>
      <c r="AM66" s="289"/>
      <c r="AN66" s="289"/>
      <c r="AO66" s="289"/>
      <c r="AP66" s="289"/>
      <c r="AQ66" s="699" t="s">
        <v>79</v>
      </c>
      <c r="AR66" s="700"/>
      <c r="AS66" s="700"/>
      <c r="AT66" s="700"/>
      <c r="AU66" s="700"/>
      <c r="AV66" s="700"/>
      <c r="AW66" s="700"/>
      <c r="AX66" s="700"/>
      <c r="AY66" s="700"/>
      <c r="AZ66" s="701"/>
      <c r="BA66" s="288"/>
      <c r="BB66" s="288"/>
      <c r="BC66" s="288"/>
      <c r="BD66" s="288"/>
      <c r="BE66" s="288"/>
      <c r="BF66" s="104"/>
      <c r="BI66">
        <v>12793563.515197333</v>
      </c>
      <c r="BJ66">
        <v>12793563.515197333</v>
      </c>
      <c r="BK66">
        <v>12793563.515197333</v>
      </c>
      <c r="BL66">
        <v>12793563.515197333</v>
      </c>
      <c r="BO66" s="279"/>
      <c r="DE66" s="716" t="s">
        <v>80</v>
      </c>
      <c r="DF66" s="717"/>
      <c r="DG66" s="717"/>
      <c r="DH66" s="717"/>
      <c r="DI66" s="717"/>
      <c r="DJ66" s="717"/>
      <c r="DK66" s="717"/>
      <c r="DL66" s="717"/>
      <c r="DM66" s="717"/>
      <c r="DN66" s="718"/>
      <c r="DO66" s="716" t="s">
        <v>80</v>
      </c>
      <c r="DP66" s="717"/>
      <c r="DQ66" s="717"/>
      <c r="DR66" s="717"/>
      <c r="DS66" s="717"/>
      <c r="DT66" s="717"/>
      <c r="DU66" s="717"/>
      <c r="DV66" s="717"/>
      <c r="DW66" s="717"/>
      <c r="DX66" s="718"/>
      <c r="DY66" s="104"/>
      <c r="DZ66" s="209"/>
      <c r="EA66" s="209"/>
      <c r="EB66" s="209"/>
      <c r="EC66" s="209"/>
      <c r="ED66" s="291"/>
      <c r="EE66" s="209"/>
      <c r="EF66" s="209"/>
      <c r="EH66" t="s">
        <v>81</v>
      </c>
      <c r="EY66" s="108">
        <f>SUM(EY69:FB69)</f>
        <v>409657.40008068248</v>
      </c>
      <c r="FC66" s="298">
        <f>SUM(FC69:FF69)</f>
        <v>858807.94431611896</v>
      </c>
      <c r="FD66" s="104"/>
      <c r="FE66" s="104"/>
      <c r="FF66" s="299"/>
      <c r="FG66" s="297"/>
      <c r="FH66" s="104"/>
      <c r="FI66" s="104"/>
      <c r="FJ66" s="299"/>
      <c r="FK66" s="297"/>
      <c r="FL66" s="104"/>
      <c r="FM66" s="104"/>
      <c r="FN66" s="299"/>
      <c r="FO66" s="297"/>
      <c r="FP66" s="104"/>
      <c r="FQ66" s="104"/>
      <c r="FR66" s="299"/>
      <c r="FS66" s="297"/>
      <c r="FT66" s="104"/>
      <c r="FU66" s="104"/>
      <c r="FV66" s="299"/>
      <c r="FW66" s="104"/>
      <c r="GD66" s="274"/>
      <c r="GG66" s="300"/>
      <c r="GJ66" s="108"/>
      <c r="GL66" s="108"/>
    </row>
    <row r="67" spans="1:201" ht="15" customHeight="1" thickBot="1">
      <c r="A67" s="721" t="s">
        <v>82</v>
      </c>
      <c r="B67" s="722"/>
      <c r="C67" s="301">
        <f>SUM(C46:C65)</f>
        <v>6595788.2618868928</v>
      </c>
      <c r="D67" s="301">
        <f t="shared" ref="D67:V67" si="78">SUM(D46:D65)</f>
        <v>6694127.1246840646</v>
      </c>
      <c r="E67" s="301">
        <f t="shared" si="78"/>
        <v>6830486.4874812383</v>
      </c>
      <c r="F67" s="301">
        <f t="shared" si="78"/>
        <v>6966845.8502784101</v>
      </c>
      <c r="G67" s="301">
        <f t="shared" si="78"/>
        <v>7495774.0715229949</v>
      </c>
      <c r="H67" s="301">
        <f t="shared" si="78"/>
        <v>7660259.8873769213</v>
      </c>
      <c r="I67" s="301">
        <f t="shared" si="78"/>
        <v>7783942.9521432379</v>
      </c>
      <c r="J67" s="301">
        <f t="shared" si="78"/>
        <v>7928027.3924533604</v>
      </c>
      <c r="K67" s="301">
        <f t="shared" si="78"/>
        <v>12100904.60874851</v>
      </c>
      <c r="L67" s="301">
        <f t="shared" si="78"/>
        <v>12265966.481336737</v>
      </c>
      <c r="M67" s="301">
        <f t="shared" si="78"/>
        <v>12431028.353924969</v>
      </c>
      <c r="N67" s="301">
        <f t="shared" si="78"/>
        <v>12596090.226513201</v>
      </c>
      <c r="O67" s="301">
        <f t="shared" si="78"/>
        <v>17256424.910944156</v>
      </c>
      <c r="P67" s="301">
        <f t="shared" si="78"/>
        <v>17517351.84642062</v>
      </c>
      <c r="Q67" s="301">
        <f t="shared" si="78"/>
        <v>17780513.04322432</v>
      </c>
      <c r="R67" s="301">
        <f t="shared" si="78"/>
        <v>18043674.24002802</v>
      </c>
      <c r="S67" s="301">
        <f t="shared" si="78"/>
        <v>18835720.911091164</v>
      </c>
      <c r="T67" s="301">
        <f t="shared" si="78"/>
        <v>19088658.342244018</v>
      </c>
      <c r="U67" s="301">
        <f t="shared" si="78"/>
        <v>19346725.059228186</v>
      </c>
      <c r="V67" s="301">
        <f t="shared" si="78"/>
        <v>19595952.400608398</v>
      </c>
      <c r="W67" s="288"/>
      <c r="X67" s="288"/>
      <c r="Y67" s="288"/>
      <c r="Z67" s="288"/>
      <c r="AA67" s="288"/>
      <c r="AB67" s="288"/>
      <c r="AC67" s="288"/>
      <c r="AD67" s="288"/>
      <c r="AE67" s="288"/>
      <c r="AF67" s="288"/>
      <c r="AG67" s="288"/>
      <c r="AH67" s="288"/>
      <c r="AI67" s="288"/>
      <c r="AJ67" s="288"/>
      <c r="AK67" s="288"/>
      <c r="AL67" s="288"/>
      <c r="AM67" s="288"/>
      <c r="AN67" s="288"/>
      <c r="AO67" s="288"/>
      <c r="AP67" s="288"/>
      <c r="AQ67" s="302">
        <f>SUM(AQ46:AQ54)</f>
        <v>27087247.724330608</v>
      </c>
      <c r="AR67" s="303">
        <f>SUM(AR46:AR54)</f>
        <v>30868004.303496514</v>
      </c>
      <c r="AS67" s="303">
        <f>SUM(AS46:AS59)</f>
        <v>49393989.67052342</v>
      </c>
      <c r="AT67" s="303">
        <f>SUM(AT46:AT65)</f>
        <v>70597964.040617123</v>
      </c>
      <c r="AU67" s="303">
        <f>SUM(AU46:AU65)</f>
        <v>76867056.713171765</v>
      </c>
      <c r="AV67" s="303">
        <f t="shared" ref="AV67:AZ67" si="79">SUM(AV46:AV65)</f>
        <v>80295815.704145536</v>
      </c>
      <c r="AW67" s="303">
        <f t="shared" si="79"/>
        <v>78945530.397041723</v>
      </c>
      <c r="AX67" s="303">
        <f t="shared" si="79"/>
        <v>82109260.058357388</v>
      </c>
      <c r="AY67" s="303">
        <f t="shared" si="79"/>
        <v>85198316.092414185</v>
      </c>
      <c r="AZ67" s="303">
        <f t="shared" si="79"/>
        <v>86902651.085153505</v>
      </c>
      <c r="BA67" s="295"/>
      <c r="BB67" s="295"/>
      <c r="BC67" s="295"/>
      <c r="BD67" s="295"/>
      <c r="BE67" s="295"/>
      <c r="BF67" s="108"/>
      <c r="BI67">
        <v>9896562.789669428</v>
      </c>
      <c r="BJ67">
        <v>9896562.789669428</v>
      </c>
      <c r="BK67">
        <v>9896562.789669428</v>
      </c>
      <c r="BL67">
        <v>9896562.789669428</v>
      </c>
      <c r="BO67" s="711" t="s">
        <v>83</v>
      </c>
      <c r="BP67" s="712"/>
      <c r="BQ67" s="287">
        <f>SUM(BQ46:BQ65)</f>
        <v>8286640.7306425339</v>
      </c>
      <c r="BR67" s="287">
        <f t="shared" ref="BR67:CI67" si="80">SUM(BR46:BR65)</f>
        <v>8286640.7306425339</v>
      </c>
      <c r="BS67" s="287">
        <f t="shared" si="80"/>
        <v>8286640.7306425339</v>
      </c>
      <c r="BT67" s="287">
        <f t="shared" si="80"/>
        <v>8286640.7306425339</v>
      </c>
      <c r="BU67" s="287">
        <f t="shared" si="80"/>
        <v>8624430.8513632882</v>
      </c>
      <c r="BV67" s="287">
        <f t="shared" si="80"/>
        <v>8624430.8513632882</v>
      </c>
      <c r="BW67" s="287">
        <f t="shared" si="80"/>
        <v>8624430.8513632882</v>
      </c>
      <c r="BX67" s="287">
        <f t="shared" si="80"/>
        <v>8624430.8513632882</v>
      </c>
      <c r="BY67" s="287">
        <f t="shared" si="80"/>
        <v>13185678.696111757</v>
      </c>
      <c r="BZ67" s="287">
        <f t="shared" si="80"/>
        <v>13185678.696111757</v>
      </c>
      <c r="CA67" s="287">
        <f t="shared" si="80"/>
        <v>13185678.696111757</v>
      </c>
      <c r="CB67" s="287">
        <f t="shared" si="80"/>
        <v>13185678.696111757</v>
      </c>
      <c r="CC67" s="287">
        <f t="shared" si="80"/>
        <v>17960600.899246961</v>
      </c>
      <c r="CD67" s="287">
        <f t="shared" si="80"/>
        <v>17960600.899246961</v>
      </c>
      <c r="CE67" s="287">
        <f t="shared" si="80"/>
        <v>17960600.899246961</v>
      </c>
      <c r="CF67" s="287">
        <f t="shared" si="80"/>
        <v>17960600.899246961</v>
      </c>
      <c r="CG67" s="287">
        <f t="shared" si="80"/>
        <v>17903059.308309004</v>
      </c>
      <c r="CH67" s="287">
        <f t="shared" si="80"/>
        <v>17903059.308309004</v>
      </c>
      <c r="CI67" s="287">
        <f t="shared" si="80"/>
        <v>17903059.308309004</v>
      </c>
      <c r="CJ67" s="287">
        <f>SUM(CJ46:CJ65)</f>
        <v>17903059.308309004</v>
      </c>
      <c r="CK67" s="287"/>
      <c r="CL67" s="287"/>
      <c r="CM67" s="287"/>
      <c r="CN67" s="287"/>
      <c r="CO67" s="287"/>
      <c r="CP67" s="287"/>
      <c r="CQ67" s="287"/>
      <c r="CR67" s="287"/>
      <c r="CS67" s="287"/>
      <c r="CT67" s="287"/>
      <c r="CU67" s="287"/>
      <c r="CV67" s="287"/>
      <c r="CW67" s="287"/>
      <c r="CX67" s="287"/>
      <c r="CY67" s="287"/>
      <c r="CZ67" s="287"/>
      <c r="DA67" s="287"/>
      <c r="DB67" s="287"/>
      <c r="DC67" s="287"/>
      <c r="DD67" s="287"/>
      <c r="DE67" s="304">
        <f>SUM(DE46:DE65)</f>
        <v>33146562.922570135</v>
      </c>
      <c r="DF67" s="304">
        <f t="shared" ref="DF67:DN67" si="81">SUM(DF46:DF65)</f>
        <v>34497723.405453153</v>
      </c>
      <c r="DG67" s="304">
        <f t="shared" si="81"/>
        <v>52742714.784447029</v>
      </c>
      <c r="DH67" s="304">
        <f t="shared" si="81"/>
        <v>71842403.596987844</v>
      </c>
      <c r="DI67" s="304">
        <f t="shared" si="81"/>
        <v>71612237.233236015</v>
      </c>
      <c r="DJ67" s="304">
        <f t="shared" si="81"/>
        <v>72494221.131631956</v>
      </c>
      <c r="DK67" s="304">
        <f t="shared" si="81"/>
        <v>71220995.031870186</v>
      </c>
      <c r="DL67" s="304">
        <f t="shared" si="81"/>
        <v>71984110.418299258</v>
      </c>
      <c r="DM67" s="304">
        <f t="shared" si="81"/>
        <v>72856085.872979373</v>
      </c>
      <c r="DN67" s="298">
        <f t="shared" si="81"/>
        <v>72985397.250849068</v>
      </c>
      <c r="DO67" s="298">
        <f>SUM(DO46:DO54)</f>
        <v>-6059315.1982395323</v>
      </c>
      <c r="DP67" s="298">
        <f t="shared" ref="DP67" si="82">SUM(DP46:DP54)</f>
        <v>-3629719.1019566385</v>
      </c>
      <c r="DQ67" s="298">
        <f>SUM(DQ46:DQ65)</f>
        <v>-3348725.1139236079</v>
      </c>
      <c r="DR67" s="298">
        <f t="shared" ref="DR67:DX67" si="83">SUM(DR46:DR65)</f>
        <v>-1244439.556370727</v>
      </c>
      <c r="DS67" s="298">
        <f t="shared" si="83"/>
        <v>5254819.4799357541</v>
      </c>
      <c r="DT67" s="298">
        <f t="shared" si="83"/>
        <v>7801594.5725135691</v>
      </c>
      <c r="DU67" s="298">
        <f t="shared" si="83"/>
        <v>7724535.3651715275</v>
      </c>
      <c r="DV67" s="298">
        <f t="shared" si="83"/>
        <v>10125149.640058145</v>
      </c>
      <c r="DW67" s="298">
        <f t="shared" si="83"/>
        <v>12342230.219434822</v>
      </c>
      <c r="DX67" s="305">
        <f t="shared" si="83"/>
        <v>13917253.834304441</v>
      </c>
      <c r="DY67" s="194"/>
      <c r="DZ67" s="209"/>
      <c r="EA67" s="209"/>
      <c r="EB67" s="209"/>
      <c r="EC67" s="209"/>
      <c r="ED67" s="209"/>
      <c r="EE67" s="209"/>
      <c r="EF67" s="209"/>
      <c r="EG67" s="279">
        <v>1</v>
      </c>
      <c r="EH67" t="s">
        <v>84</v>
      </c>
      <c r="EI67" s="108">
        <f>SUM(EI46:EI50)</f>
        <v>-689883.20864373911</v>
      </c>
      <c r="EJ67" s="108">
        <f>SUM(EJ46:EJ50)</f>
        <v>-646945.64584656642</v>
      </c>
      <c r="EK67" s="108">
        <f>SUM(EK46:EK50)</f>
        <v>-565987.58304939407</v>
      </c>
      <c r="EL67" s="108">
        <f>SUM(EL46:EL50)</f>
        <v>-485029.52025222179</v>
      </c>
      <c r="EM67" s="108">
        <f t="shared" ref="EM67:FB67" si="84">SUM(EM46:EM50)</f>
        <v>-414633.73798544292</v>
      </c>
      <c r="EN67" s="108">
        <f t="shared" si="84"/>
        <v>-308397.22006070369</v>
      </c>
      <c r="EO67" s="108">
        <f t="shared" si="84"/>
        <v>-242963.45322357491</v>
      </c>
      <c r="EP67" s="108">
        <f t="shared" si="84"/>
        <v>-157128.31084263849</v>
      </c>
      <c r="EQ67" s="108">
        <f t="shared" si="84"/>
        <v>19351.316761921276</v>
      </c>
      <c r="ER67" s="108">
        <f t="shared" si="84"/>
        <v>68000.339850853547</v>
      </c>
      <c r="ES67" s="108">
        <f t="shared" si="84"/>
        <v>116649.36293978727</v>
      </c>
      <c r="ET67" s="108">
        <f t="shared" si="84"/>
        <v>165298.38602872181</v>
      </c>
      <c r="EU67" s="108">
        <f t="shared" si="84"/>
        <v>302570.79964774492</v>
      </c>
      <c r="EV67" s="108">
        <f t="shared" si="84"/>
        <v>353720.70840207249</v>
      </c>
      <c r="EW67" s="108">
        <f>SUM(EW46:EW50)</f>
        <v>404870.61715640145</v>
      </c>
      <c r="EX67" s="108">
        <f t="shared" si="84"/>
        <v>456020.52591072855</v>
      </c>
      <c r="EY67" s="108">
        <f>SUM(EY46:EY50)</f>
        <v>610354.07091412903</v>
      </c>
      <c r="EZ67" s="108">
        <f t="shared" si="84"/>
        <v>664133.42760939815</v>
      </c>
      <c r="FA67" s="108">
        <f t="shared" si="84"/>
        <v>717912.78430466866</v>
      </c>
      <c r="FB67" s="108">
        <f t="shared" si="84"/>
        <v>762852.76539597684</v>
      </c>
      <c r="FC67" s="306">
        <f>SUM(FC46:FC50)</f>
        <v>792888.92393330846</v>
      </c>
      <c r="FD67" s="108">
        <f t="shared" ref="FD67:FV67" si="85">SUM(FD46:FD50)</f>
        <v>793206.91521980066</v>
      </c>
      <c r="FE67" s="108">
        <f t="shared" si="85"/>
        <v>793524.90650629275</v>
      </c>
      <c r="FF67" s="307">
        <f>SUM(FF46:FF50)</f>
        <v>793842.89779278496</v>
      </c>
      <c r="FG67" s="306">
        <f>SUM(FG46:FG50)</f>
        <v>635741.76509619772</v>
      </c>
      <c r="FH67" s="108">
        <f>SUM(FH46:FH50)</f>
        <v>636054.93787943106</v>
      </c>
      <c r="FI67" s="108">
        <f t="shared" si="85"/>
        <v>636368.1106626644</v>
      </c>
      <c r="FJ67" s="307">
        <f t="shared" si="85"/>
        <v>636681.28344589763</v>
      </c>
      <c r="FK67" s="306">
        <f t="shared" si="85"/>
        <v>847666.60513155547</v>
      </c>
      <c r="FL67" s="108">
        <f t="shared" si="85"/>
        <v>848014.79063195433</v>
      </c>
      <c r="FM67" s="108">
        <f t="shared" si="85"/>
        <v>848362.97613235307</v>
      </c>
      <c r="FN67" s="307">
        <f t="shared" si="85"/>
        <v>848711.16163275193</v>
      </c>
      <c r="FO67" s="306">
        <f t="shared" si="85"/>
        <v>877063.73752530187</v>
      </c>
      <c r="FP67" s="108">
        <f t="shared" si="85"/>
        <v>877428.07883291913</v>
      </c>
      <c r="FQ67" s="108">
        <f t="shared" si="85"/>
        <v>877792.4201405365</v>
      </c>
      <c r="FR67" s="307">
        <f t="shared" si="85"/>
        <v>878156.76144815376</v>
      </c>
      <c r="FS67" s="306">
        <f t="shared" si="85"/>
        <v>907937.49756339297</v>
      </c>
      <c r="FT67" s="108">
        <f t="shared" si="85"/>
        <v>907937.49756339297</v>
      </c>
      <c r="FU67" s="108">
        <f t="shared" si="85"/>
        <v>907937.49756339297</v>
      </c>
      <c r="FV67" s="307">
        <f t="shared" si="85"/>
        <v>907937.49756339297</v>
      </c>
      <c r="FW67" s="108"/>
      <c r="FY67" s="108">
        <f>SUM(EI67:FB67)</f>
        <v>1130766.4250181229</v>
      </c>
      <c r="FZ67" s="108">
        <f>FY67*90</f>
        <v>101768978.25163107</v>
      </c>
      <c r="GG67" s="300"/>
    </row>
    <row r="68" spans="1:201" ht="15" customHeight="1">
      <c r="A68" s="723" t="s">
        <v>83</v>
      </c>
      <c r="B68" s="710"/>
      <c r="C68" s="288" cm="1">
        <f t="array" ref="C68:V68">BQ67:CJ67</f>
        <v>8286640.7306425339</v>
      </c>
      <c r="D68" s="288">
        <v>8286640.7306425339</v>
      </c>
      <c r="E68" s="194">
        <v>8286640.7306425339</v>
      </c>
      <c r="F68" s="194">
        <v>8286640.7306425339</v>
      </c>
      <c r="G68" s="194">
        <v>8624430.8513632882</v>
      </c>
      <c r="H68" s="194">
        <v>8624430.8513632882</v>
      </c>
      <c r="I68" s="194">
        <v>8624430.8513632882</v>
      </c>
      <c r="J68" s="194">
        <v>8624430.8513632882</v>
      </c>
      <c r="K68" s="194">
        <v>13185678.696111757</v>
      </c>
      <c r="L68" s="194">
        <v>13185678.696111757</v>
      </c>
      <c r="M68" s="194">
        <v>13185678.696111757</v>
      </c>
      <c r="N68" s="194">
        <v>13185678.696111757</v>
      </c>
      <c r="O68" s="194">
        <v>17960600.899246961</v>
      </c>
      <c r="P68" s="194">
        <v>17960600.899246961</v>
      </c>
      <c r="Q68" s="194">
        <v>17960600.899246961</v>
      </c>
      <c r="R68" s="194">
        <v>17960600.899246961</v>
      </c>
      <c r="S68" s="194">
        <v>17903059.308309004</v>
      </c>
      <c r="T68" s="194">
        <v>17903059.308309004</v>
      </c>
      <c r="U68" s="194">
        <v>17903059.308309004</v>
      </c>
      <c r="V68" s="308">
        <v>17903059.308309004</v>
      </c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 t="s">
        <v>85</v>
      </c>
      <c r="AQ68" s="108">
        <f>0.2%*AQ67/5</f>
        <v>10834.899089732244</v>
      </c>
      <c r="AR68" s="108">
        <f>0.1%*AR67/9</f>
        <v>3429.778255944057</v>
      </c>
      <c r="AS68" s="108">
        <f>0.1%*AS67/13</f>
        <v>3799.5376669633401</v>
      </c>
      <c r="AT68" s="108">
        <f>0.1%*AT67/17</f>
        <v>4152.8214141539484</v>
      </c>
      <c r="AU68" s="108">
        <f>0.1%*AU67/17</f>
        <v>4521.5915713630457</v>
      </c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t="s">
        <v>86</v>
      </c>
      <c r="BI68">
        <v>10723716.788109282</v>
      </c>
      <c r="BJ68">
        <v>10723716.788109282</v>
      </c>
      <c r="BK68">
        <v>10723716.788109282</v>
      </c>
      <c r="BL68">
        <v>10723716.788109282</v>
      </c>
      <c r="BO68" s="279"/>
      <c r="CJ68" s="300"/>
      <c r="DE68" s="209"/>
      <c r="DF68" s="209"/>
      <c r="DG68" s="209"/>
      <c r="DH68" s="209"/>
      <c r="DI68" s="209"/>
      <c r="DJ68" s="209"/>
      <c r="DK68" s="209"/>
      <c r="DL68" s="209"/>
      <c r="DM68" s="209"/>
      <c r="DN68" s="309" t="s">
        <v>87</v>
      </c>
      <c r="DO68" s="310">
        <f t="shared" ref="DO68:DX68" si="86">DO67/AQ67</f>
        <v>-0.22369623004543451</v>
      </c>
      <c r="DP68" s="310">
        <f t="shared" si="86"/>
        <v>-0.11758839561731851</v>
      </c>
      <c r="DQ68" s="310">
        <f t="shared" si="86"/>
        <v>-6.7796206304873735E-2</v>
      </c>
      <c r="DR68" s="310">
        <f t="shared" si="86"/>
        <v>-1.7627130941832311E-2</v>
      </c>
      <c r="DS68" s="310">
        <f t="shared" si="86"/>
        <v>6.8362439055576582E-2</v>
      </c>
      <c r="DT68" s="310">
        <f t="shared" si="86"/>
        <v>9.7160661537569831E-2</v>
      </c>
      <c r="DU68" s="310">
        <f t="shared" si="86"/>
        <v>9.7846392649747579E-2</v>
      </c>
      <c r="DV68" s="310">
        <f t="shared" si="86"/>
        <v>0.12331312732403035</v>
      </c>
      <c r="DW68" s="310">
        <f t="shared" si="86"/>
        <v>0.14486472016708954</v>
      </c>
      <c r="DX68" s="310">
        <f t="shared" si="86"/>
        <v>0.1601476325580368</v>
      </c>
      <c r="DY68" s="209"/>
      <c r="DZ68" s="209"/>
      <c r="EA68" s="209"/>
      <c r="EB68" s="209"/>
      <c r="EC68" s="209"/>
      <c r="ED68" s="209"/>
      <c r="EE68" s="209"/>
      <c r="EF68" s="209"/>
      <c r="EG68" s="279">
        <v>2</v>
      </c>
      <c r="EH68" t="s">
        <v>84</v>
      </c>
      <c r="EI68" s="108">
        <f>SUM(EI51:EI54)</f>
        <v>-1000969.2601119027</v>
      </c>
      <c r="EJ68" s="108">
        <f>SUM(EJ51:EJ54)</f>
        <v>-945567.96011190256</v>
      </c>
      <c r="EK68" s="108">
        <f t="shared" ref="EK68:FB68" si="87">SUM(EK51:EK54)</f>
        <v>-890166.66011190298</v>
      </c>
      <c r="EL68" s="108">
        <f t="shared" si="87"/>
        <v>-834765.3601119027</v>
      </c>
      <c r="EM68" s="108">
        <f t="shared" si="87"/>
        <v>-714023.0418548499</v>
      </c>
      <c r="EN68" s="108">
        <f t="shared" si="87"/>
        <v>-655773.74392566318</v>
      </c>
      <c r="EO68" s="108">
        <f t="shared" si="87"/>
        <v>-597524.44599647634</v>
      </c>
      <c r="EP68" s="108">
        <f t="shared" si="87"/>
        <v>-539275.14806728996</v>
      </c>
      <c r="EQ68" s="108">
        <f t="shared" si="87"/>
        <v>-307625.69248008437</v>
      </c>
      <c r="ER68" s="108">
        <f t="shared" si="87"/>
        <v>-246899.5428621691</v>
      </c>
      <c r="ES68" s="108">
        <f t="shared" si="87"/>
        <v>-186173.39324425405</v>
      </c>
      <c r="ET68" s="108">
        <f t="shared" si="87"/>
        <v>-125447.24362633901</v>
      </c>
      <c r="EU68" s="108">
        <f t="shared" si="87"/>
        <v>146634.03648988088</v>
      </c>
      <c r="EV68" s="108">
        <f t="shared" si="87"/>
        <v>211026.07504851976</v>
      </c>
      <c r="EW68" s="108">
        <f t="shared" si="87"/>
        <v>275418.11360715819</v>
      </c>
      <c r="EX68" s="108">
        <f t="shared" si="87"/>
        <v>339810.15216579614</v>
      </c>
      <c r="EY68" s="108">
        <f t="shared" si="87"/>
        <v>519631.07518377819</v>
      </c>
      <c r="EZ68" s="108">
        <f t="shared" si="87"/>
        <v>568710.56772104336</v>
      </c>
      <c r="FA68" s="108">
        <f t="shared" si="87"/>
        <v>617790.06025830784</v>
      </c>
      <c r="FB68" s="108">
        <f t="shared" si="87"/>
        <v>666869.55279557372</v>
      </c>
      <c r="FC68" s="306">
        <f>SUM(FC51:FC54)</f>
        <v>846478.36005735886</v>
      </c>
      <c r="FD68" s="108">
        <f t="shared" ref="FD68:FV68" si="88">SUM(FD51:FD54)</f>
        <v>854768.01397952694</v>
      </c>
      <c r="FE68" s="108">
        <f t="shared" si="88"/>
        <v>863074.2472095394</v>
      </c>
      <c r="FF68" s="307">
        <f t="shared" si="88"/>
        <v>871397.09290601173</v>
      </c>
      <c r="FG68" s="306">
        <f t="shared" si="88"/>
        <v>931103.54827450705</v>
      </c>
      <c r="FH68" s="108">
        <f t="shared" si="88"/>
        <v>947729.97887668898</v>
      </c>
      <c r="FI68" s="108">
        <f t="shared" si="88"/>
        <v>964422.91520128027</v>
      </c>
      <c r="FJ68" s="307">
        <f t="shared" si="88"/>
        <v>981182.62327116868</v>
      </c>
      <c r="FK68" s="306">
        <f t="shared" si="88"/>
        <v>1086660.3354237836</v>
      </c>
      <c r="FL68" s="108">
        <f t="shared" si="88"/>
        <v>1112302.6091726711</v>
      </c>
      <c r="FM68" s="108">
        <f t="shared" si="88"/>
        <v>1138098.7365640528</v>
      </c>
      <c r="FN68" s="307">
        <f t="shared" si="88"/>
        <v>1164049.6407197809</v>
      </c>
      <c r="FO68" s="306">
        <f t="shared" si="88"/>
        <v>1258956.913141377</v>
      </c>
      <c r="FP68" s="108">
        <f t="shared" si="88"/>
        <v>1291436.7867693841</v>
      </c>
      <c r="FQ68" s="108">
        <f t="shared" si="88"/>
        <v>1324157.0114622402</v>
      </c>
      <c r="FR68" s="307">
        <f t="shared" si="88"/>
        <v>1357119.3658178218</v>
      </c>
      <c r="FS68" s="306">
        <f t="shared" si="88"/>
        <v>1439238.2372247779</v>
      </c>
      <c r="FT68" s="108">
        <f t="shared" si="88"/>
        <v>1439238.2372247779</v>
      </c>
      <c r="FU68" s="108">
        <f t="shared" si="88"/>
        <v>1439238.2372247779</v>
      </c>
      <c r="FV68" s="307">
        <f t="shared" si="88"/>
        <v>1439238.2372247779</v>
      </c>
      <c r="FW68" s="108"/>
      <c r="GG68" s="300"/>
      <c r="GI68" s="311" t="s">
        <v>88</v>
      </c>
    </row>
    <row r="69" spans="1:201" ht="15" customHeight="1">
      <c r="A69" s="297"/>
      <c r="B69" s="104"/>
      <c r="C69" s="288"/>
      <c r="D69" s="288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308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08">
        <f>AQ68/12</f>
        <v>902.90825747768702</v>
      </c>
      <c r="AR69" s="108">
        <f t="shared" ref="AR69:AU69" si="89">AR68/12</f>
        <v>285.81485466200473</v>
      </c>
      <c r="AS69" s="108">
        <f t="shared" si="89"/>
        <v>316.62813891361168</v>
      </c>
      <c r="AT69" s="108">
        <f t="shared" si="89"/>
        <v>346.0684511794957</v>
      </c>
      <c r="AU69" s="108">
        <f t="shared" si="89"/>
        <v>376.79929761358716</v>
      </c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I69">
        <v>11849150.367833782</v>
      </c>
      <c r="BJ69">
        <v>11849150.367833782</v>
      </c>
      <c r="BK69">
        <v>11849150.367833782</v>
      </c>
      <c r="BL69">
        <v>11849150.367833782</v>
      </c>
      <c r="BO69" s="279"/>
      <c r="CJ69" s="300"/>
      <c r="DE69" s="209"/>
      <c r="DF69" s="209"/>
      <c r="DG69" s="209"/>
      <c r="DH69" s="209"/>
      <c r="DI69" s="209"/>
      <c r="DJ69" s="209"/>
      <c r="DK69" s="209"/>
      <c r="DL69" s="209"/>
      <c r="DM69" s="209"/>
      <c r="DN69" s="309" t="s">
        <v>89</v>
      </c>
      <c r="DO69" s="310">
        <f>DO67/DE67</f>
        <v>-0.18280372575563869</v>
      </c>
      <c r="DP69" s="310">
        <f t="shared" ref="DP69:DX69" si="90">DP67/DF67</f>
        <v>-0.10521619236424391</v>
      </c>
      <c r="DQ69" s="310">
        <f t="shared" si="90"/>
        <v>-6.349170928363157E-2</v>
      </c>
      <c r="DR69" s="310">
        <f t="shared" si="90"/>
        <v>-1.7321797351764871E-2</v>
      </c>
      <c r="DS69" s="310">
        <f t="shared" si="90"/>
        <v>7.3378792270114068E-2</v>
      </c>
      <c r="DT69" s="310">
        <f t="shared" si="90"/>
        <v>0.10761677897535808</v>
      </c>
      <c r="DU69" s="310">
        <f t="shared" si="90"/>
        <v>0.10845868359063124</v>
      </c>
      <c r="DV69" s="310">
        <f t="shared" si="90"/>
        <v>0.14065811998260391</v>
      </c>
      <c r="DW69" s="310">
        <f t="shared" si="90"/>
        <v>0.16940561754789887</v>
      </c>
      <c r="DX69" s="310">
        <f t="shared" si="90"/>
        <v>0.1906854570712436</v>
      </c>
      <c r="DY69" s="209"/>
      <c r="DZ69" s="209"/>
      <c r="EA69" s="209"/>
      <c r="EB69" s="209"/>
      <c r="EC69" s="209"/>
      <c r="ED69" s="209"/>
      <c r="EE69" s="209"/>
      <c r="EF69" s="209"/>
      <c r="EG69" s="279">
        <v>3</v>
      </c>
      <c r="EH69" t="s">
        <v>84</v>
      </c>
      <c r="EI69" s="108">
        <f>SUM(EI55:EI58)</f>
        <v>0</v>
      </c>
      <c r="EJ69" s="108">
        <f t="shared" ref="EJ69:EP69" si="91">SUM(EJ55:EJ59)</f>
        <v>0</v>
      </c>
      <c r="EK69" s="108">
        <f t="shared" si="91"/>
        <v>0</v>
      </c>
      <c r="EL69" s="108">
        <f t="shared" si="91"/>
        <v>0</v>
      </c>
      <c r="EM69" s="108">
        <f t="shared" si="91"/>
        <v>0</v>
      </c>
      <c r="EN69" s="108">
        <f t="shared" si="91"/>
        <v>0</v>
      </c>
      <c r="EO69" s="108">
        <f t="shared" si="91"/>
        <v>0</v>
      </c>
      <c r="EP69" s="108">
        <f t="shared" si="91"/>
        <v>0</v>
      </c>
      <c r="EQ69" s="108">
        <f>SUM(EQ55:EQ58)</f>
        <v>-796499.71164508269</v>
      </c>
      <c r="ER69" s="108">
        <f>SUM(ER55:ER58)</f>
        <v>-740813.01176370343</v>
      </c>
      <c r="ES69" s="108">
        <f t="shared" ref="ES69:FV69" si="92">SUM(ES55:ES58)</f>
        <v>-685126.31188232114</v>
      </c>
      <c r="ET69" s="108">
        <f>SUM(ET55:ET58)</f>
        <v>-629439.61200093885</v>
      </c>
      <c r="EU69" s="108">
        <f>SUM(EU55:EU58)</f>
        <v>-408696.55559170654</v>
      </c>
      <c r="EV69" s="108">
        <f t="shared" si="92"/>
        <v>-350147.18631546537</v>
      </c>
      <c r="EW69" s="108">
        <f t="shared" si="92"/>
        <v>-291597.8170392242</v>
      </c>
      <c r="EX69" s="108">
        <f t="shared" si="92"/>
        <v>-233048.4477629835</v>
      </c>
      <c r="EY69" s="108">
        <f t="shared" si="92"/>
        <v>10075.551439512754</v>
      </c>
      <c r="EZ69" s="108">
        <f t="shared" si="92"/>
        <v>71634.750493284431</v>
      </c>
      <c r="FA69" s="108">
        <f t="shared" si="92"/>
        <v>133193.94954705657</v>
      </c>
      <c r="FB69" s="108">
        <f t="shared" si="92"/>
        <v>194753.14860082872</v>
      </c>
      <c r="FC69" s="306">
        <f t="shared" si="92"/>
        <v>200234.5338419294</v>
      </c>
      <c r="FD69" s="108">
        <f t="shared" si="92"/>
        <v>209866.65275336814</v>
      </c>
      <c r="FE69" s="108">
        <f t="shared" si="92"/>
        <v>219518.03590263042</v>
      </c>
      <c r="FF69" s="307">
        <f t="shared" si="92"/>
        <v>229188.721818191</v>
      </c>
      <c r="FG69" s="306">
        <f t="shared" si="92"/>
        <v>151887.64811029285</v>
      </c>
      <c r="FH69" s="108">
        <f t="shared" si="92"/>
        <v>170061.46577139595</v>
      </c>
      <c r="FI69" s="108">
        <f t="shared" si="92"/>
        <v>188307.97870314354</v>
      </c>
      <c r="FJ69" s="307">
        <f t="shared" si="92"/>
        <v>206627.47768661764</v>
      </c>
      <c r="FK69" s="306">
        <f t="shared" si="92"/>
        <v>333187.09746631433</v>
      </c>
      <c r="FL69" s="108">
        <f t="shared" si="92"/>
        <v>362981.99991072889</v>
      </c>
      <c r="FM69" s="108">
        <f t="shared" si="92"/>
        <v>392955.67176980979</v>
      </c>
      <c r="FN69" s="307">
        <f t="shared" si="92"/>
        <v>423109.18566004583</v>
      </c>
      <c r="FO69" s="306">
        <f t="shared" si="92"/>
        <v>453710.05234105326</v>
      </c>
      <c r="FP69" s="108">
        <f t="shared" si="92"/>
        <v>491449.86729000509</v>
      </c>
      <c r="FQ69" s="108">
        <f t="shared" si="92"/>
        <v>529468.95686957985</v>
      </c>
      <c r="FR69" s="307">
        <f t="shared" si="92"/>
        <v>567769.38771204371</v>
      </c>
      <c r="FS69" s="306">
        <f t="shared" si="92"/>
        <v>607115.97535680933</v>
      </c>
      <c r="FT69" s="108">
        <f t="shared" si="92"/>
        <v>607115.97535680933</v>
      </c>
      <c r="FU69" s="108">
        <f t="shared" si="92"/>
        <v>607115.97535680933</v>
      </c>
      <c r="FV69" s="307">
        <f t="shared" si="92"/>
        <v>607115.97535680933</v>
      </c>
      <c r="FW69" s="108"/>
      <c r="GG69" s="300"/>
      <c r="GI69" s="311"/>
    </row>
    <row r="70" spans="1:201" ht="15" customHeight="1">
      <c r="A70" s="297"/>
      <c r="B70" s="104"/>
      <c r="C70" s="288"/>
      <c r="D70" s="288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308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R70" s="295"/>
      <c r="BJ70">
        <v>20637693.573480573</v>
      </c>
      <c r="BK70">
        <v>20637693.573480573</v>
      </c>
      <c r="BL70">
        <v>20637693.573480573</v>
      </c>
      <c r="BO70" s="279"/>
      <c r="CJ70" s="300"/>
      <c r="DE70" s="209"/>
      <c r="DF70" s="209"/>
      <c r="DG70" s="209"/>
      <c r="DH70" s="209"/>
      <c r="DI70" s="312"/>
      <c r="DJ70" s="312"/>
      <c r="DK70" s="312"/>
      <c r="DL70" s="312"/>
      <c r="DM70" s="312"/>
      <c r="DN70" s="313" t="s">
        <v>90</v>
      </c>
      <c r="DO70" s="260">
        <f>SUM(DO67:DX67)</f>
        <v>42883384.140927747</v>
      </c>
      <c r="DQ70" s="314"/>
      <c r="DR70" s="209"/>
      <c r="DS70" s="209"/>
      <c r="DT70" s="209"/>
      <c r="DU70" s="209"/>
      <c r="DV70" s="209"/>
      <c r="DW70" s="209"/>
      <c r="DX70" s="209"/>
      <c r="DY70" s="209"/>
      <c r="DZ70" s="209"/>
      <c r="EA70" s="209"/>
      <c r="EB70" s="209"/>
      <c r="EC70" s="209"/>
      <c r="ED70" s="209"/>
      <c r="EE70" s="209"/>
      <c r="EF70" s="209"/>
      <c r="EG70" s="279">
        <v>4</v>
      </c>
      <c r="EH70" t="s">
        <v>84</v>
      </c>
      <c r="EI70" s="108">
        <f>SUM(EI59:EI62)</f>
        <v>0</v>
      </c>
      <c r="EJ70" s="108">
        <f t="shared" ref="EJ70:FB70" si="93">SUM(EJ59:EJ62)</f>
        <v>0</v>
      </c>
      <c r="EK70" s="108">
        <f t="shared" si="93"/>
        <v>0</v>
      </c>
      <c r="EL70" s="108">
        <f t="shared" si="93"/>
        <v>0</v>
      </c>
      <c r="EM70" s="108">
        <f t="shared" si="93"/>
        <v>0</v>
      </c>
      <c r="EN70" s="108">
        <f t="shared" si="93"/>
        <v>0</v>
      </c>
      <c r="EO70" s="108">
        <f t="shared" si="93"/>
        <v>0</v>
      </c>
      <c r="EP70" s="108">
        <f t="shared" si="93"/>
        <v>0</v>
      </c>
      <c r="EQ70" s="108">
        <f t="shared" si="93"/>
        <v>0</v>
      </c>
      <c r="ER70" s="108">
        <f t="shared" si="93"/>
        <v>0</v>
      </c>
      <c r="ES70" s="108">
        <f t="shared" si="93"/>
        <v>0</v>
      </c>
      <c r="ET70" s="108">
        <f t="shared" si="93"/>
        <v>0</v>
      </c>
      <c r="EU70" s="108">
        <f t="shared" si="93"/>
        <v>-744684.26884872606</v>
      </c>
      <c r="EV70" s="108">
        <f t="shared" si="93"/>
        <v>-657848.64996146737</v>
      </c>
      <c r="EW70" s="108">
        <f t="shared" si="93"/>
        <v>-568778.76974697551</v>
      </c>
      <c r="EX70" s="108">
        <f t="shared" si="93"/>
        <v>-479708.88953248254</v>
      </c>
      <c r="EY70" s="108">
        <f t="shared" si="93"/>
        <v>-207399.09475526016</v>
      </c>
      <c r="EZ70" s="108">
        <f t="shared" si="93"/>
        <v>-118879.71188871172</v>
      </c>
      <c r="FA70" s="108">
        <f t="shared" si="93"/>
        <v>-25231.0431908475</v>
      </c>
      <c r="FB70" s="108">
        <f t="shared" si="93"/>
        <v>68417.625507015502</v>
      </c>
      <c r="FC70" s="306">
        <f>SUM(FC59:FC62)</f>
        <v>69173.639088137832</v>
      </c>
      <c r="FD70" s="108">
        <f t="shared" ref="FD70:FV70" si="94">SUM(FD59:FD62)</f>
        <v>78646.121836197854</v>
      </c>
      <c r="FE70" s="108">
        <f t="shared" si="94"/>
        <v>88137.549549754302</v>
      </c>
      <c r="FF70" s="307">
        <f t="shared" si="94"/>
        <v>97647.96011873649</v>
      </c>
      <c r="FG70" s="306">
        <f t="shared" si="94"/>
        <v>132606.18284581113</v>
      </c>
      <c r="FH70" s="108">
        <f t="shared" si="94"/>
        <v>149159.74813427666</v>
      </c>
      <c r="FI70" s="108">
        <f t="shared" si="94"/>
        <v>168560.61529259902</v>
      </c>
      <c r="FJ70" s="307">
        <f t="shared" si="94"/>
        <v>188039.0859195572</v>
      </c>
      <c r="FK70" s="306">
        <f t="shared" si="94"/>
        <v>141871.86015567882</v>
      </c>
      <c r="FL70" s="108">
        <f t="shared" si="94"/>
        <v>164362.53870256461</v>
      </c>
      <c r="FM70" s="108">
        <f t="shared" si="94"/>
        <v>192336.37555518415</v>
      </c>
      <c r="FN70" s="307">
        <f t="shared" si="94"/>
        <v>220478.05542891694</v>
      </c>
      <c r="FO70" s="306">
        <f t="shared" si="94"/>
        <v>337768.93410522823</v>
      </c>
      <c r="FP70" s="108">
        <f t="shared" si="94"/>
        <v>369147.94382706506</v>
      </c>
      <c r="FQ70" s="108">
        <f t="shared" si="94"/>
        <v>406558.36960946315</v>
      </c>
      <c r="FR70" s="307">
        <f t="shared" si="94"/>
        <v>444245.6325426515</v>
      </c>
      <c r="FS70" s="306">
        <f t="shared" si="94"/>
        <v>507557.53755459469</v>
      </c>
      <c r="FT70" s="108">
        <f t="shared" si="94"/>
        <v>514611.2002997534</v>
      </c>
      <c r="FU70" s="108">
        <f t="shared" si="94"/>
        <v>531373.18392424518</v>
      </c>
      <c r="FV70" s="307">
        <f t="shared" si="94"/>
        <v>546545.07194592606</v>
      </c>
      <c r="FW70" s="108"/>
      <c r="GG70" s="300"/>
      <c r="GI70" s="311"/>
    </row>
    <row r="71" spans="1:201" ht="15" customHeight="1">
      <c r="A71" s="297"/>
      <c r="B71" s="104"/>
      <c r="C71" s="288"/>
      <c r="D71" s="288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308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R71" s="295"/>
      <c r="BJ71">
        <v>5282827.5558933448</v>
      </c>
      <c r="BK71">
        <v>5282827.5558933448</v>
      </c>
      <c r="BL71">
        <v>5282827.5558933448</v>
      </c>
      <c r="BO71" s="279"/>
      <c r="CJ71" s="300"/>
      <c r="DE71" s="209"/>
      <c r="DF71" s="209"/>
      <c r="DG71" s="209"/>
      <c r="DH71" s="209"/>
      <c r="DI71" s="209"/>
      <c r="DJ71" s="209"/>
      <c r="DK71" s="209"/>
      <c r="DL71" s="209"/>
      <c r="DM71" s="209"/>
      <c r="DN71" s="209"/>
      <c r="DO71" s="314"/>
      <c r="DP71" s="209"/>
      <c r="DQ71" s="314"/>
      <c r="DR71" s="209"/>
      <c r="DS71" s="209"/>
      <c r="DT71" s="209"/>
      <c r="DU71" s="209"/>
      <c r="DV71" s="209"/>
      <c r="DW71" s="209"/>
      <c r="DX71" s="209"/>
      <c r="DY71" s="209"/>
      <c r="DZ71" s="209"/>
      <c r="EA71" s="209"/>
      <c r="EB71" s="209"/>
      <c r="EC71" s="209"/>
      <c r="ED71" s="209"/>
      <c r="EE71" s="209"/>
      <c r="EF71" s="209"/>
      <c r="EG71" s="710" t="s">
        <v>91</v>
      </c>
      <c r="EH71" s="710"/>
      <c r="EI71" s="710"/>
      <c r="EJ71" s="710"/>
      <c r="EK71" s="710"/>
      <c r="EL71" s="710"/>
      <c r="EM71" s="710"/>
      <c r="EN71" s="710"/>
      <c r="EO71" s="710"/>
      <c r="EP71" s="710"/>
      <c r="EQ71" s="710"/>
      <c r="ER71" s="710"/>
      <c r="ES71" s="710"/>
      <c r="ET71" s="710"/>
      <c r="EU71" s="710"/>
      <c r="EV71" s="710"/>
      <c r="EW71" s="710"/>
      <c r="EX71" s="710"/>
      <c r="EY71" s="710"/>
      <c r="EZ71" s="710"/>
      <c r="FA71" s="710"/>
      <c r="FB71" s="710"/>
      <c r="FC71" s="297"/>
      <c r="FD71" s="104"/>
      <c r="FE71" s="104"/>
      <c r="FF71" s="299"/>
      <c r="FG71" s="297"/>
      <c r="FH71" s="104"/>
      <c r="FI71" s="104"/>
      <c r="FJ71" s="299"/>
      <c r="FK71" s="297"/>
      <c r="FL71" s="104"/>
      <c r="FM71" s="104"/>
      <c r="FN71" s="299"/>
      <c r="FO71" s="297"/>
      <c r="FP71" s="104"/>
      <c r="FQ71" s="104"/>
      <c r="FR71" s="299"/>
      <c r="FS71" s="297"/>
      <c r="FT71" s="104"/>
      <c r="FU71" s="104"/>
      <c r="FV71" s="299"/>
      <c r="FW71" s="104"/>
      <c r="FY71" t="s">
        <v>92</v>
      </c>
      <c r="GA71" t="s">
        <v>93</v>
      </c>
      <c r="GG71" s="300"/>
      <c r="GI71" s="311"/>
    </row>
    <row r="72" spans="1:201" ht="15" customHeight="1" thickBot="1">
      <c r="A72" s="711" t="s">
        <v>94</v>
      </c>
      <c r="B72" s="712"/>
      <c r="C72" s="315">
        <f>C67-C68</f>
        <v>-1690852.468755641</v>
      </c>
      <c r="D72" s="315">
        <f t="shared" ref="D72:V72" si="95">D67-D68</f>
        <v>-1592513.6059584692</v>
      </c>
      <c r="E72" s="315">
        <f t="shared" si="95"/>
        <v>-1456154.2431612955</v>
      </c>
      <c r="F72" s="315">
        <f t="shared" si="95"/>
        <v>-1319794.8803641237</v>
      </c>
      <c r="G72" s="315">
        <f t="shared" si="95"/>
        <v>-1128656.7798402933</v>
      </c>
      <c r="H72" s="315">
        <f t="shared" si="95"/>
        <v>-964170.96398636699</v>
      </c>
      <c r="I72" s="315">
        <f t="shared" si="95"/>
        <v>-840487.89922005031</v>
      </c>
      <c r="J72" s="315">
        <f t="shared" si="95"/>
        <v>-696403.45890992787</v>
      </c>
      <c r="K72" s="315">
        <f t="shared" si="95"/>
        <v>-1084774.0873632468</v>
      </c>
      <c r="L72" s="315">
        <f t="shared" si="95"/>
        <v>-919712.21477502026</v>
      </c>
      <c r="M72" s="315">
        <f t="shared" si="95"/>
        <v>-754650.3421867881</v>
      </c>
      <c r="N72" s="315">
        <f t="shared" si="95"/>
        <v>-589588.46959855594</v>
      </c>
      <c r="O72" s="315">
        <f t="shared" si="95"/>
        <v>-704175.98830280453</v>
      </c>
      <c r="P72" s="315">
        <f t="shared" si="95"/>
        <v>-443249.05282634124</v>
      </c>
      <c r="Q72" s="315">
        <f t="shared" si="95"/>
        <v>-180087.85602264106</v>
      </c>
      <c r="R72" s="315">
        <f t="shared" si="95"/>
        <v>83073.340781059116</v>
      </c>
      <c r="S72" s="315">
        <f t="shared" si="95"/>
        <v>932661.60278216004</v>
      </c>
      <c r="T72" s="315">
        <f t="shared" si="95"/>
        <v>1185599.0339350142</v>
      </c>
      <c r="U72" s="315">
        <f t="shared" si="95"/>
        <v>1443665.7509191819</v>
      </c>
      <c r="V72" s="316">
        <f t="shared" si="95"/>
        <v>1692893.0922993943</v>
      </c>
      <c r="W72" s="288"/>
      <c r="X72" s="288"/>
      <c r="Y72" s="288"/>
      <c r="Z72" s="288"/>
      <c r="AA72" s="288"/>
      <c r="AB72" s="288"/>
      <c r="AC72" s="288"/>
      <c r="AD72" s="288"/>
      <c r="AE72" s="288"/>
      <c r="AF72" s="288"/>
      <c r="AG72" s="288"/>
      <c r="AH72" s="288"/>
      <c r="AI72" s="288"/>
      <c r="AJ72" s="288"/>
      <c r="AK72" s="288"/>
      <c r="AL72" s="288"/>
      <c r="AM72" s="288"/>
      <c r="AN72" s="288"/>
      <c r="AO72" s="288"/>
      <c r="AP72" s="288"/>
      <c r="AR72" s="295"/>
      <c r="BJ72">
        <v>8529089.1540058888</v>
      </c>
      <c r="BK72">
        <v>8529089.1540058888</v>
      </c>
      <c r="BL72">
        <v>8529089.1540058888</v>
      </c>
      <c r="BO72" s="279"/>
      <c r="CJ72" s="300"/>
      <c r="DE72" s="209"/>
      <c r="DF72" s="209"/>
      <c r="DG72" s="209"/>
      <c r="DH72" s="209"/>
      <c r="DI72" s="209"/>
      <c r="DJ72" s="209"/>
      <c r="DK72" s="209"/>
      <c r="DL72" s="209"/>
      <c r="DM72" s="209"/>
      <c r="DN72" s="209"/>
      <c r="DO72" s="209"/>
      <c r="DP72" s="209"/>
      <c r="DQ72" s="314"/>
      <c r="DR72" s="209"/>
      <c r="DS72" s="209"/>
      <c r="DT72" s="209"/>
      <c r="DU72" s="209"/>
      <c r="DV72" s="209"/>
      <c r="DW72" s="209"/>
      <c r="DX72" s="209"/>
      <c r="DY72" s="209"/>
      <c r="DZ72" s="209"/>
      <c r="EA72" s="209"/>
      <c r="EB72" s="209"/>
      <c r="EC72" s="209"/>
      <c r="ED72" s="209"/>
      <c r="EE72" s="209"/>
      <c r="EF72" s="209"/>
      <c r="EG72" s="279">
        <v>1</v>
      </c>
      <c r="EH72" t="s">
        <v>84</v>
      </c>
      <c r="EI72" s="108" cm="1">
        <f t="array" ref="EI72:FB75">EI67:FB70</f>
        <v>-689883.20864373911</v>
      </c>
      <c r="EJ72" s="108">
        <v>-646945.64584656642</v>
      </c>
      <c r="EK72" s="108">
        <v>-565987.58304939407</v>
      </c>
      <c r="EL72" s="108">
        <v>-485029.52025222179</v>
      </c>
      <c r="EM72" s="108">
        <v>-414633.73798544292</v>
      </c>
      <c r="EN72" s="108">
        <v>-308397.22006070369</v>
      </c>
      <c r="EO72" s="108">
        <v>-242963.45322357491</v>
      </c>
      <c r="EP72" s="108">
        <v>-157128.31084263849</v>
      </c>
      <c r="EQ72" s="108">
        <v>19351.316761921276</v>
      </c>
      <c r="ER72" s="108">
        <v>68000.339850853547</v>
      </c>
      <c r="ES72" s="108">
        <v>116649.36293978727</v>
      </c>
      <c r="ET72" s="108">
        <v>165298.38602872181</v>
      </c>
      <c r="EU72" s="108">
        <v>302570.79964774492</v>
      </c>
      <c r="EV72" s="108">
        <v>353720.70840207249</v>
      </c>
      <c r="EW72" s="108">
        <v>404870.61715640145</v>
      </c>
      <c r="EX72" s="108">
        <v>456020.52591072855</v>
      </c>
      <c r="EY72" s="108">
        <v>610354.07091412903</v>
      </c>
      <c r="EZ72" s="108">
        <v>664133.42760939815</v>
      </c>
      <c r="FA72" s="108">
        <v>717912.78430466866</v>
      </c>
      <c r="FB72" s="108">
        <v>762852.76539597684</v>
      </c>
      <c r="FC72" s="306" cm="1">
        <f t="array" ref="FC72:FV75">FC67:FV70</f>
        <v>792888.92393330846</v>
      </c>
      <c r="FD72" s="108">
        <v>793206.91521980066</v>
      </c>
      <c r="FE72" s="108">
        <v>793524.90650629275</v>
      </c>
      <c r="FF72" s="307">
        <v>793842.89779278496</v>
      </c>
      <c r="FG72" s="306">
        <v>635741.76509619772</v>
      </c>
      <c r="FH72" s="108">
        <v>636054.93787943106</v>
      </c>
      <c r="FI72" s="108">
        <v>636368.1106626644</v>
      </c>
      <c r="FJ72" s="307">
        <v>636681.28344589763</v>
      </c>
      <c r="FK72" s="306">
        <v>847666.60513155547</v>
      </c>
      <c r="FL72" s="108">
        <v>848014.79063195433</v>
      </c>
      <c r="FM72" s="108">
        <v>848362.97613235307</v>
      </c>
      <c r="FN72" s="307">
        <v>848711.16163275193</v>
      </c>
      <c r="FO72" s="306">
        <v>877063.73752530187</v>
      </c>
      <c r="FP72" s="108">
        <v>877428.07883291913</v>
      </c>
      <c r="FQ72" s="108">
        <v>877792.4201405365</v>
      </c>
      <c r="FR72" s="307">
        <v>878156.76144815376</v>
      </c>
      <c r="FS72" s="306">
        <v>907937.49756339297</v>
      </c>
      <c r="FT72" s="108">
        <v>907937.49756339297</v>
      </c>
      <c r="FU72" s="108">
        <v>907937.49756339297</v>
      </c>
      <c r="FV72" s="307">
        <v>907937.49756339297</v>
      </c>
      <c r="FW72" s="108"/>
      <c r="FY72" s="108">
        <f>SUM(EI67:FV67)</f>
        <v>17384022.687283602</v>
      </c>
      <c r="GA72" s="108">
        <f>SUM(FY72:FY75)</f>
        <v>42883384.140927754</v>
      </c>
      <c r="GG72" s="300"/>
      <c r="GI72" s="318" t="s">
        <v>74</v>
      </c>
      <c r="GJ72" s="319">
        <f>GJ42</f>
        <v>0</v>
      </c>
      <c r="GK72" s="319">
        <f>GL42</f>
        <v>0</v>
      </c>
      <c r="GL72" s="319">
        <f>GN42</f>
        <v>0</v>
      </c>
      <c r="GM72" s="319">
        <f>GP42</f>
        <v>0</v>
      </c>
      <c r="GN72" s="318">
        <f>GR42</f>
        <v>0</v>
      </c>
      <c r="GO72" s="320">
        <f>NPV($GO$53,GJ72:GN72)</f>
        <v>0</v>
      </c>
    </row>
    <row r="73" spans="1:201" ht="15" customHeight="1">
      <c r="A73" s="321"/>
      <c r="B73" s="322"/>
      <c r="C73" s="323"/>
      <c r="D73" s="323"/>
      <c r="E73" s="323"/>
      <c r="F73" s="323"/>
      <c r="G73" s="323"/>
      <c r="H73" s="323"/>
      <c r="I73" s="323"/>
      <c r="J73" s="323"/>
      <c r="K73" s="323"/>
      <c r="L73" s="323"/>
      <c r="M73" s="323"/>
      <c r="N73" s="323"/>
      <c r="O73" s="323"/>
      <c r="P73" s="323"/>
      <c r="Q73" s="323"/>
      <c r="R73" s="323"/>
      <c r="S73" s="323"/>
      <c r="T73" s="323"/>
      <c r="U73" s="323"/>
      <c r="V73" s="324"/>
      <c r="W73" s="323"/>
      <c r="X73" s="323"/>
      <c r="Y73" s="323"/>
      <c r="Z73" s="323"/>
      <c r="AA73" s="323"/>
      <c r="AB73" s="323"/>
      <c r="AC73" s="323"/>
      <c r="AD73" s="323"/>
      <c r="AE73" s="323"/>
      <c r="AF73" s="323"/>
      <c r="AG73" s="323"/>
      <c r="AH73" s="323"/>
      <c r="AI73" s="323"/>
      <c r="AJ73" s="323"/>
      <c r="AK73" s="323"/>
      <c r="AL73" s="323"/>
      <c r="AM73" s="323"/>
      <c r="AN73" s="323"/>
      <c r="AO73" s="323"/>
      <c r="AP73" s="323"/>
      <c r="AQ73" s="206"/>
      <c r="AR73" s="325"/>
      <c r="AS73" s="206"/>
      <c r="AT73" s="206"/>
      <c r="AU73" s="206"/>
      <c r="AV73" s="206"/>
      <c r="AW73" s="206"/>
      <c r="AX73" s="206"/>
      <c r="AY73" s="206"/>
      <c r="AZ73" s="206"/>
      <c r="BA73" s="206"/>
      <c r="BB73" s="206"/>
      <c r="BC73" s="206"/>
      <c r="BD73" s="206"/>
      <c r="BE73" s="206"/>
      <c r="BF73" s="206"/>
      <c r="BG73" s="206"/>
      <c r="BH73" s="206"/>
      <c r="BI73" s="206"/>
      <c r="BJ73" s="206">
        <v>10146939.523858313</v>
      </c>
      <c r="BK73" s="206">
        <v>10146939.523858313</v>
      </c>
      <c r="BL73" s="206">
        <v>10146939.523858313</v>
      </c>
      <c r="BM73" s="206"/>
      <c r="BN73" s="206"/>
      <c r="BO73" s="326"/>
      <c r="BP73" s="206"/>
      <c r="BQ73" s="206"/>
      <c r="BR73" s="206"/>
      <c r="BS73" s="206"/>
      <c r="BT73" s="206"/>
      <c r="BU73" s="206"/>
      <c r="BV73" s="206"/>
      <c r="BW73" s="206"/>
      <c r="BX73" s="206"/>
      <c r="BY73" s="206"/>
      <c r="BZ73" s="206"/>
      <c r="CA73" s="206"/>
      <c r="CB73" s="206"/>
      <c r="CC73" s="206"/>
      <c r="CD73" s="206"/>
      <c r="CE73" s="206"/>
      <c r="CF73" s="206"/>
      <c r="CG73" s="206"/>
      <c r="CH73" s="206"/>
      <c r="CI73" s="206"/>
      <c r="CJ73" s="327"/>
      <c r="CK73" s="206"/>
      <c r="CL73" s="206"/>
      <c r="CM73" s="206"/>
      <c r="CN73" s="206"/>
      <c r="CO73" s="206"/>
      <c r="CP73" s="206"/>
      <c r="CQ73" s="206"/>
      <c r="CR73" s="206"/>
      <c r="CS73" s="206"/>
      <c r="CT73" s="206"/>
      <c r="CU73" s="206"/>
      <c r="CV73" s="206"/>
      <c r="CW73" s="206"/>
      <c r="CX73" s="206"/>
      <c r="CY73" s="206"/>
      <c r="CZ73" s="206"/>
      <c r="DA73" s="206"/>
      <c r="DB73" s="206"/>
      <c r="DC73" s="206"/>
      <c r="DD73" s="206"/>
      <c r="DE73" s="328"/>
      <c r="DF73" s="328"/>
      <c r="DG73" s="328"/>
      <c r="DH73" s="328"/>
      <c r="DI73" s="328"/>
      <c r="DJ73" s="328"/>
      <c r="DK73" s="328"/>
      <c r="DL73" s="328"/>
      <c r="DM73" s="328"/>
      <c r="DN73" s="328"/>
      <c r="DO73" s="328"/>
      <c r="DP73" s="328"/>
      <c r="DQ73" s="329"/>
      <c r="DR73" s="328"/>
      <c r="DS73" s="328"/>
      <c r="DT73" s="328"/>
      <c r="DU73" s="328"/>
      <c r="DV73" s="328"/>
      <c r="DW73" s="328"/>
      <c r="DX73" s="328"/>
      <c r="DY73" s="328"/>
      <c r="DZ73" s="328"/>
      <c r="EA73" s="328"/>
      <c r="EB73" s="328"/>
      <c r="EC73" s="328"/>
      <c r="ED73" s="328"/>
      <c r="EE73" s="328"/>
      <c r="EF73" s="328"/>
      <c r="EG73" s="279">
        <v>2</v>
      </c>
      <c r="EH73" t="s">
        <v>84</v>
      </c>
      <c r="EI73" s="108">
        <v>-1000969.2601119027</v>
      </c>
      <c r="EJ73" s="108">
        <v>-945567.96011190256</v>
      </c>
      <c r="EK73" s="108">
        <v>-890166.66011190298</v>
      </c>
      <c r="EL73" s="108">
        <v>-834765.3601119027</v>
      </c>
      <c r="EM73" s="108">
        <v>-714023.0418548499</v>
      </c>
      <c r="EN73" s="108">
        <v>-655773.74392566318</v>
      </c>
      <c r="EO73" s="108">
        <v>-597524.44599647634</v>
      </c>
      <c r="EP73" s="108">
        <v>-539275.14806728996</v>
      </c>
      <c r="EQ73" s="108">
        <v>-307625.69248008437</v>
      </c>
      <c r="ER73" s="108">
        <v>-246899.5428621691</v>
      </c>
      <c r="ES73" s="108">
        <v>-186173.39324425405</v>
      </c>
      <c r="ET73" s="108">
        <v>-125447.24362633901</v>
      </c>
      <c r="EU73" s="108">
        <v>146634.03648988088</v>
      </c>
      <c r="EV73" s="108">
        <v>211026.07504851976</v>
      </c>
      <c r="EW73" s="108">
        <v>275418.11360715819</v>
      </c>
      <c r="EX73" s="108">
        <v>339810.15216579614</v>
      </c>
      <c r="EY73" s="108">
        <v>519631.07518377819</v>
      </c>
      <c r="EZ73" s="108">
        <v>568710.56772104336</v>
      </c>
      <c r="FA73" s="108">
        <v>617790.06025830784</v>
      </c>
      <c r="FB73" s="108">
        <v>666869.55279557372</v>
      </c>
      <c r="FC73" s="306">
        <v>846478.36005735886</v>
      </c>
      <c r="FD73" s="108">
        <v>854768.01397952694</v>
      </c>
      <c r="FE73" s="108">
        <v>863074.2472095394</v>
      </c>
      <c r="FF73" s="307">
        <v>871397.09290601173</v>
      </c>
      <c r="FG73" s="306">
        <v>931103.54827450705</v>
      </c>
      <c r="FH73" s="108">
        <v>947729.97887668898</v>
      </c>
      <c r="FI73" s="108">
        <v>964422.91520128027</v>
      </c>
      <c r="FJ73" s="307">
        <v>981182.62327116868</v>
      </c>
      <c r="FK73" s="306">
        <v>1086660.3354237836</v>
      </c>
      <c r="FL73" s="108">
        <v>1112302.6091726711</v>
      </c>
      <c r="FM73" s="108">
        <v>1138098.7365640528</v>
      </c>
      <c r="FN73" s="307">
        <v>1164049.6407197809</v>
      </c>
      <c r="FO73" s="306">
        <v>1258956.913141377</v>
      </c>
      <c r="FP73" s="108">
        <v>1291436.7867693841</v>
      </c>
      <c r="FQ73" s="108">
        <v>1324157.0114622402</v>
      </c>
      <c r="FR73" s="307">
        <v>1357119.3658178218</v>
      </c>
      <c r="FS73" s="306">
        <v>1439238.2372247779</v>
      </c>
      <c r="FT73" s="108">
        <v>1439238.2372247779</v>
      </c>
      <c r="FU73" s="108">
        <v>1439238.2372247779</v>
      </c>
      <c r="FV73" s="307">
        <v>1439238.2372247779</v>
      </c>
      <c r="FW73" s="108"/>
      <c r="FY73" s="108">
        <f t="shared" ref="FY73:FY75" si="96">SUM(EI68:FV68)</f>
        <v>19051569.268511623</v>
      </c>
      <c r="GG73" s="300"/>
      <c r="GH73" s="206"/>
      <c r="GI73" s="206"/>
      <c r="GJ73" s="330"/>
      <c r="GK73" s="330"/>
      <c r="GL73" s="330"/>
      <c r="GM73" s="330"/>
      <c r="GN73" s="206"/>
      <c r="GO73" s="331"/>
      <c r="GP73" s="206"/>
      <c r="GQ73" s="206"/>
      <c r="GR73" s="206"/>
      <c r="GS73" s="206"/>
    </row>
    <row r="74" spans="1:201" ht="15" customHeight="1">
      <c r="A74" s="321"/>
      <c r="B74" s="322"/>
      <c r="C74" s="323"/>
      <c r="D74" s="323"/>
      <c r="E74" s="323"/>
      <c r="F74" s="323"/>
      <c r="G74" s="323"/>
      <c r="H74" s="323"/>
      <c r="I74" s="323"/>
      <c r="J74" s="323"/>
      <c r="K74" s="323"/>
      <c r="L74" s="323"/>
      <c r="M74" s="323"/>
      <c r="N74" s="323"/>
      <c r="O74" s="323"/>
      <c r="P74" s="323"/>
      <c r="Q74" s="323"/>
      <c r="R74" s="323"/>
      <c r="S74" s="323"/>
      <c r="T74" s="323"/>
      <c r="U74" s="323"/>
      <c r="V74" s="324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206"/>
      <c r="AR74" s="325"/>
      <c r="AS74" s="206"/>
      <c r="AT74" s="206"/>
      <c r="AU74" s="206"/>
      <c r="AV74" s="206"/>
      <c r="AW74" s="206"/>
      <c r="AX74" s="206"/>
      <c r="AY74" s="206"/>
      <c r="AZ74" s="206"/>
      <c r="BA74" s="206"/>
      <c r="BB74" s="206"/>
      <c r="BC74" s="206"/>
      <c r="BD74" s="206"/>
      <c r="BE74" s="206"/>
      <c r="BF74" s="206"/>
      <c r="BG74" s="206"/>
      <c r="BH74" s="206"/>
      <c r="BI74" s="206"/>
      <c r="BJ74" s="206"/>
      <c r="BK74" s="206">
        <v>14756376.947594089</v>
      </c>
      <c r="BL74" s="206">
        <v>14756376.947594089</v>
      </c>
      <c r="BM74" s="206"/>
      <c r="BN74" s="206"/>
      <c r="BO74" s="326"/>
      <c r="BP74" s="206"/>
      <c r="BQ74" s="206"/>
      <c r="BR74" s="206"/>
      <c r="BS74" s="206"/>
      <c r="BT74" s="206"/>
      <c r="BU74" s="206"/>
      <c r="BV74" s="206"/>
      <c r="BW74" s="206"/>
      <c r="BX74" s="206"/>
      <c r="BY74" s="206"/>
      <c r="BZ74" s="206"/>
      <c r="CA74" s="206"/>
      <c r="CB74" s="206"/>
      <c r="CC74" s="206"/>
      <c r="CD74" s="206"/>
      <c r="CE74" s="206"/>
      <c r="CF74" s="206"/>
      <c r="CG74" s="206"/>
      <c r="CH74" s="206"/>
      <c r="CI74" s="206"/>
      <c r="CJ74" s="327"/>
      <c r="CK74" s="206"/>
      <c r="CL74" s="206"/>
      <c r="CM74" s="206"/>
      <c r="CN74" s="206"/>
      <c r="CO74" s="206"/>
      <c r="CP74" s="206"/>
      <c r="CQ74" s="206"/>
      <c r="CR74" s="206"/>
      <c r="CS74" s="206"/>
      <c r="CT74" s="206"/>
      <c r="CU74" s="206"/>
      <c r="CV74" s="206"/>
      <c r="CW74" s="206"/>
      <c r="CX74" s="206"/>
      <c r="CY74" s="206"/>
      <c r="CZ74" s="206"/>
      <c r="DA74" s="206"/>
      <c r="DB74" s="206"/>
      <c r="DC74" s="206"/>
      <c r="DD74" s="206"/>
      <c r="DE74" s="328"/>
      <c r="DF74" s="328"/>
      <c r="DG74" s="328"/>
      <c r="DH74" s="328"/>
      <c r="DI74" s="328"/>
      <c r="DJ74" s="328"/>
      <c r="DK74" s="328"/>
      <c r="DL74" s="328"/>
      <c r="DM74" s="328"/>
      <c r="DN74" s="328"/>
      <c r="DO74" s="328"/>
      <c r="DP74" s="328"/>
      <c r="DQ74" s="328"/>
      <c r="DR74" s="328"/>
      <c r="DS74" s="328"/>
      <c r="DT74" s="328"/>
      <c r="DU74" s="328"/>
      <c r="DV74" s="328"/>
      <c r="DW74" s="328"/>
      <c r="DX74" s="328"/>
      <c r="DY74" s="328"/>
      <c r="DZ74" s="328"/>
      <c r="EA74" s="328"/>
      <c r="EB74" s="328"/>
      <c r="EC74" s="328"/>
      <c r="ED74" s="328"/>
      <c r="EE74" s="328"/>
      <c r="EF74" s="328"/>
      <c r="EG74" s="279">
        <v>3</v>
      </c>
      <c r="EH74" t="s">
        <v>84</v>
      </c>
      <c r="EI74" s="108">
        <v>0</v>
      </c>
      <c r="EJ74" s="108">
        <v>0</v>
      </c>
      <c r="EK74" s="108">
        <v>0</v>
      </c>
      <c r="EL74" s="108">
        <v>0</v>
      </c>
      <c r="EM74" s="108">
        <v>0</v>
      </c>
      <c r="EN74" s="108">
        <v>0</v>
      </c>
      <c r="EO74" s="108">
        <v>0</v>
      </c>
      <c r="EP74" s="108">
        <v>0</v>
      </c>
      <c r="EQ74" s="108">
        <v>-796499.71164508269</v>
      </c>
      <c r="ER74" s="108">
        <v>-740813.01176370343</v>
      </c>
      <c r="ES74" s="108">
        <v>-685126.31188232114</v>
      </c>
      <c r="ET74" s="108">
        <v>-629439.61200093885</v>
      </c>
      <c r="EU74" s="108">
        <v>-408696.55559170654</v>
      </c>
      <c r="EV74" s="108">
        <v>-350147.18631546537</v>
      </c>
      <c r="EW74" s="108">
        <v>-291597.8170392242</v>
      </c>
      <c r="EX74" s="108">
        <v>-233048.4477629835</v>
      </c>
      <c r="EY74" s="108">
        <v>10075.551439512754</v>
      </c>
      <c r="EZ74" s="108">
        <v>71634.750493284431</v>
      </c>
      <c r="FA74" s="108">
        <v>133193.94954705657</v>
      </c>
      <c r="FB74" s="108">
        <v>194753.14860082872</v>
      </c>
      <c r="FC74" s="306">
        <v>200234.5338419294</v>
      </c>
      <c r="FD74" s="108">
        <v>209866.65275336814</v>
      </c>
      <c r="FE74" s="108">
        <v>219518.03590263042</v>
      </c>
      <c r="FF74" s="307">
        <v>229188.721818191</v>
      </c>
      <c r="FG74" s="306">
        <v>151887.64811029285</v>
      </c>
      <c r="FH74" s="108">
        <v>170061.46577139595</v>
      </c>
      <c r="FI74" s="108">
        <v>188307.97870314354</v>
      </c>
      <c r="FJ74" s="307">
        <v>206627.47768661764</v>
      </c>
      <c r="FK74" s="306">
        <v>333187.09746631433</v>
      </c>
      <c r="FL74" s="108">
        <v>362981.99991072889</v>
      </c>
      <c r="FM74" s="108">
        <v>392955.67176980979</v>
      </c>
      <c r="FN74" s="307">
        <v>423109.18566004583</v>
      </c>
      <c r="FO74" s="306">
        <v>453710.05234105326</v>
      </c>
      <c r="FP74" s="108">
        <v>491449.86729000509</v>
      </c>
      <c r="FQ74" s="108">
        <v>529468.95686957985</v>
      </c>
      <c r="FR74" s="307">
        <v>567769.38771204371</v>
      </c>
      <c r="FS74" s="306">
        <v>607115.97535680933</v>
      </c>
      <c r="FT74" s="108">
        <v>607115.97535680933</v>
      </c>
      <c r="FU74" s="108">
        <v>607115.97535680933</v>
      </c>
      <c r="FV74" s="307">
        <v>607115.97535680933</v>
      </c>
      <c r="FW74" s="108"/>
      <c r="FY74" s="108">
        <f t="shared" si="96"/>
        <v>3833077.3811136438</v>
      </c>
      <c r="GG74" s="300"/>
      <c r="GH74" s="206"/>
      <c r="GI74" s="206" t="s">
        <v>95</v>
      </c>
      <c r="GJ74" s="330">
        <f>GJ43</f>
        <v>0</v>
      </c>
      <c r="GK74" s="330">
        <f>GL43</f>
        <v>0</v>
      </c>
      <c r="GL74" s="330">
        <f>GN43</f>
        <v>0</v>
      </c>
      <c r="GM74" s="330">
        <f>GP43</f>
        <v>0</v>
      </c>
      <c r="GN74" s="206">
        <f>GR43</f>
        <v>0</v>
      </c>
      <c r="GO74" s="331">
        <f>NPV($GO$53,GJ74:GN74)</f>
        <v>0</v>
      </c>
      <c r="GP74" s="206"/>
      <c r="GQ74" s="206"/>
      <c r="GR74" s="206"/>
      <c r="GS74" s="206"/>
    </row>
    <row r="75" spans="1:201" ht="15" customHeight="1" thickBot="1">
      <c r="A75" s="321"/>
      <c r="B75" s="322"/>
      <c r="C75" s="323"/>
      <c r="D75" s="323"/>
      <c r="E75" s="323"/>
      <c r="F75" s="323"/>
      <c r="G75" s="323"/>
      <c r="H75" s="323"/>
      <c r="I75" s="323"/>
      <c r="J75" s="323"/>
      <c r="K75" s="323"/>
      <c r="L75" s="323"/>
      <c r="M75" s="323"/>
      <c r="N75" s="323"/>
      <c r="O75" s="323"/>
      <c r="P75" s="323"/>
      <c r="Q75" s="323"/>
      <c r="R75" s="323"/>
      <c r="S75" s="323"/>
      <c r="T75" s="323"/>
      <c r="U75" s="323"/>
      <c r="V75" s="324"/>
      <c r="W75" s="323"/>
      <c r="X75" s="323"/>
      <c r="Y75" s="323"/>
      <c r="Z75" s="323"/>
      <c r="AA75" s="323"/>
      <c r="AB75" s="323"/>
      <c r="AC75" s="323"/>
      <c r="AD75" s="323"/>
      <c r="AE75" s="323"/>
      <c r="AF75" s="323"/>
      <c r="AG75" s="323"/>
      <c r="AH75" s="323"/>
      <c r="AI75" s="323"/>
      <c r="AJ75" s="323"/>
      <c r="AK75" s="323"/>
      <c r="AL75" s="323"/>
      <c r="AM75" s="323"/>
      <c r="AN75" s="323"/>
      <c r="AO75" s="323"/>
      <c r="AP75" s="323"/>
      <c r="AQ75" s="206"/>
      <c r="AR75" s="325"/>
      <c r="AS75" s="206"/>
      <c r="AT75" s="206"/>
      <c r="AU75" s="206"/>
      <c r="AV75" s="206"/>
      <c r="AW75" s="206"/>
      <c r="AX75" s="206"/>
      <c r="AY75" s="206"/>
      <c r="AZ75" s="206"/>
      <c r="BA75" s="206"/>
      <c r="BB75" s="206"/>
      <c r="BC75" s="206"/>
      <c r="BD75" s="206"/>
      <c r="BE75" s="206"/>
      <c r="BF75" s="206"/>
      <c r="BG75" s="206"/>
      <c r="BH75" s="206"/>
      <c r="BI75" s="206"/>
      <c r="BJ75" s="206"/>
      <c r="BK75" s="206">
        <v>7646247.3233314259</v>
      </c>
      <c r="BL75" s="206">
        <v>7646247.3233314259</v>
      </c>
      <c r="BM75" s="206"/>
      <c r="BN75" s="206"/>
      <c r="BO75" s="326"/>
      <c r="BP75" s="206"/>
      <c r="BQ75" s="206"/>
      <c r="BR75" s="206"/>
      <c r="BS75" s="206"/>
      <c r="BT75" s="206"/>
      <c r="BU75" s="206"/>
      <c r="BV75" s="206"/>
      <c r="BW75" s="206"/>
      <c r="BX75" s="206"/>
      <c r="BY75" s="206"/>
      <c r="BZ75" s="206"/>
      <c r="CA75" s="206"/>
      <c r="CB75" s="206"/>
      <c r="CC75" s="206"/>
      <c r="CD75" s="206"/>
      <c r="CE75" s="206"/>
      <c r="CF75" s="206"/>
      <c r="CG75" s="206"/>
      <c r="CH75" s="206"/>
      <c r="CI75" s="206"/>
      <c r="CJ75" s="327"/>
      <c r="CK75" s="206"/>
      <c r="CL75" s="206"/>
      <c r="CM75" s="206"/>
      <c r="CN75" s="206"/>
      <c r="CO75" s="206"/>
      <c r="CP75" s="206"/>
      <c r="CQ75" s="206"/>
      <c r="CR75" s="206"/>
      <c r="CS75" s="206"/>
      <c r="CT75" s="206"/>
      <c r="CU75" s="206"/>
      <c r="CV75" s="206"/>
      <c r="CW75" s="206"/>
      <c r="CX75" s="206"/>
      <c r="CY75" s="206"/>
      <c r="CZ75" s="206"/>
      <c r="DA75" s="206"/>
      <c r="DB75" s="206"/>
      <c r="DC75" s="206"/>
      <c r="DD75" s="206"/>
      <c r="DE75" s="328"/>
      <c r="DF75" s="328"/>
      <c r="DG75" s="328"/>
      <c r="DH75" s="328"/>
      <c r="DI75" s="328"/>
      <c r="DJ75" s="328"/>
      <c r="DK75" s="328"/>
      <c r="DL75" s="328"/>
      <c r="DM75" s="328"/>
      <c r="DN75" s="328"/>
      <c r="DO75" s="328"/>
      <c r="DP75" s="328"/>
      <c r="DQ75" s="328"/>
      <c r="DR75" s="328"/>
      <c r="DS75" s="328"/>
      <c r="DT75" s="328"/>
      <c r="DU75" s="328"/>
      <c r="DV75" s="328"/>
      <c r="DW75" s="328"/>
      <c r="DX75" s="328"/>
      <c r="DY75" s="328"/>
      <c r="DZ75" s="328"/>
      <c r="EA75" s="328"/>
      <c r="EB75" s="328"/>
      <c r="EC75" s="328"/>
      <c r="ED75" s="328"/>
      <c r="EE75" s="328"/>
      <c r="EF75" s="328"/>
      <c r="EG75" s="279">
        <v>4</v>
      </c>
      <c r="EH75" t="s">
        <v>84</v>
      </c>
      <c r="EI75" s="108">
        <v>0</v>
      </c>
      <c r="EJ75" s="108">
        <v>0</v>
      </c>
      <c r="EK75" s="108">
        <v>0</v>
      </c>
      <c r="EL75" s="108">
        <v>0</v>
      </c>
      <c r="EM75" s="108">
        <v>0</v>
      </c>
      <c r="EN75" s="108">
        <v>0</v>
      </c>
      <c r="EO75" s="108">
        <v>0</v>
      </c>
      <c r="EP75" s="108">
        <v>0</v>
      </c>
      <c r="EQ75" s="108">
        <v>0</v>
      </c>
      <c r="ER75" s="108">
        <v>0</v>
      </c>
      <c r="ES75" s="108">
        <v>0</v>
      </c>
      <c r="ET75" s="108">
        <v>0</v>
      </c>
      <c r="EU75" s="108">
        <v>-744684.26884872606</v>
      </c>
      <c r="EV75" s="108">
        <v>-657848.64996146737</v>
      </c>
      <c r="EW75" s="108">
        <v>-568778.76974697551</v>
      </c>
      <c r="EX75" s="108">
        <v>-479708.88953248254</v>
      </c>
      <c r="EY75" s="108">
        <v>-207399.09475526016</v>
      </c>
      <c r="EZ75" s="108">
        <v>-118879.71188871172</v>
      </c>
      <c r="FA75" s="108">
        <v>-25231.0431908475</v>
      </c>
      <c r="FB75" s="108">
        <v>68417.625507015502</v>
      </c>
      <c r="FC75" s="286">
        <v>69173.639088137832</v>
      </c>
      <c r="FD75" s="287">
        <v>78646.121836197854</v>
      </c>
      <c r="FE75" s="287">
        <v>88137.549549754302</v>
      </c>
      <c r="FF75" s="317">
        <v>97647.96011873649</v>
      </c>
      <c r="FG75" s="286">
        <v>132606.18284581113</v>
      </c>
      <c r="FH75" s="287">
        <v>149159.74813427666</v>
      </c>
      <c r="FI75" s="287">
        <v>168560.61529259902</v>
      </c>
      <c r="FJ75" s="317">
        <v>188039.0859195572</v>
      </c>
      <c r="FK75" s="286">
        <v>141871.86015567882</v>
      </c>
      <c r="FL75" s="287">
        <v>164362.53870256461</v>
      </c>
      <c r="FM75" s="287">
        <v>192336.37555518415</v>
      </c>
      <c r="FN75" s="317">
        <v>220478.05542891694</v>
      </c>
      <c r="FO75" s="286">
        <v>337768.93410522823</v>
      </c>
      <c r="FP75" s="287">
        <v>369147.94382706506</v>
      </c>
      <c r="FQ75" s="287">
        <v>406558.36960946315</v>
      </c>
      <c r="FR75" s="317">
        <v>444245.6325426515</v>
      </c>
      <c r="FS75" s="286">
        <v>507557.53755459469</v>
      </c>
      <c r="FT75" s="287">
        <v>514611.2002997534</v>
      </c>
      <c r="FU75" s="287">
        <v>531373.18392424518</v>
      </c>
      <c r="FV75" s="317">
        <v>546545.07194592606</v>
      </c>
      <c r="FW75" s="108"/>
      <c r="FY75" s="108">
        <f t="shared" si="96"/>
        <v>2614714.8040188863</v>
      </c>
      <c r="GG75" s="300"/>
      <c r="GH75" s="206"/>
      <c r="GI75" s="206" t="s">
        <v>76</v>
      </c>
      <c r="GJ75" s="330">
        <f>GJ44</f>
        <v>0</v>
      </c>
      <c r="GK75" s="330">
        <f>GL44</f>
        <v>0</v>
      </c>
      <c r="GL75" s="330">
        <f>GN44</f>
        <v>0</v>
      </c>
      <c r="GM75" s="330">
        <f>GP44</f>
        <v>0</v>
      </c>
      <c r="GN75" s="206">
        <f>GR44</f>
        <v>0</v>
      </c>
      <c r="GO75" s="331">
        <f>NPV($GO$53,GJ75:GN75)</f>
        <v>0</v>
      </c>
      <c r="GP75" s="206"/>
      <c r="GQ75" s="206"/>
      <c r="GR75" s="206"/>
      <c r="GS75" s="206"/>
    </row>
    <row r="76" spans="1:201" ht="15" customHeight="1" thickBot="1">
      <c r="A76" s="332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4"/>
      <c r="W76" s="322"/>
      <c r="X76" s="322"/>
      <c r="Y76" s="322"/>
      <c r="Z76" s="322"/>
      <c r="AA76" s="322"/>
      <c r="AB76" s="322"/>
      <c r="AC76" s="322"/>
      <c r="AD76" s="322"/>
      <c r="AE76" s="322"/>
      <c r="AF76" s="322"/>
      <c r="AG76" s="322"/>
      <c r="AH76" s="322"/>
      <c r="AI76" s="322"/>
      <c r="AJ76" s="322"/>
      <c r="AK76" s="322"/>
      <c r="AL76" s="322"/>
      <c r="AM76" s="322"/>
      <c r="AN76" s="322"/>
      <c r="AO76" s="322"/>
      <c r="AP76" s="322"/>
      <c r="AQ76" s="206"/>
      <c r="AR76" s="206"/>
      <c r="AS76" s="206"/>
      <c r="AT76" s="206"/>
      <c r="AU76" s="206"/>
      <c r="AV76" s="206"/>
      <c r="AW76" s="206"/>
      <c r="AX76" s="206"/>
      <c r="AY76" s="206"/>
      <c r="AZ76" s="206"/>
      <c r="BA76" s="206"/>
      <c r="BB76" s="206"/>
      <c r="BC76" s="206"/>
      <c r="BD76" s="206"/>
      <c r="BE76" s="206"/>
      <c r="BF76" s="206"/>
      <c r="BG76" s="206"/>
      <c r="BH76" s="206"/>
      <c r="BI76" s="206"/>
      <c r="BJ76" s="206"/>
      <c r="BK76" s="206">
        <v>15180541.686983306</v>
      </c>
      <c r="BL76" s="206">
        <v>15180541.686983306</v>
      </c>
      <c r="BM76" s="206"/>
      <c r="BN76" s="206"/>
      <c r="BO76" s="326"/>
      <c r="BP76" s="206"/>
      <c r="BQ76" s="206"/>
      <c r="BR76" s="206"/>
      <c r="BS76" s="206"/>
      <c r="BT76" s="206"/>
      <c r="BU76" s="206"/>
      <c r="BV76" s="206"/>
      <c r="BW76" s="206"/>
      <c r="BX76" s="206"/>
      <c r="BY76" s="206"/>
      <c r="BZ76" s="206"/>
      <c r="CA76" s="206"/>
      <c r="CB76" s="206"/>
      <c r="CC76" s="206"/>
      <c r="CD76" s="206"/>
      <c r="CE76" s="206"/>
      <c r="CF76" s="206"/>
      <c r="CG76" s="206"/>
      <c r="CH76" s="206"/>
      <c r="CI76" s="206"/>
      <c r="CJ76" s="327"/>
      <c r="CK76" s="206"/>
      <c r="CL76" s="206"/>
      <c r="CM76" s="206"/>
      <c r="CN76" s="206"/>
      <c r="CO76" s="206"/>
      <c r="CP76" s="206"/>
      <c r="CQ76" s="206"/>
      <c r="CR76" s="206"/>
      <c r="CS76" s="206"/>
      <c r="CT76" s="206"/>
      <c r="CU76" s="206"/>
      <c r="CV76" s="206"/>
      <c r="CW76" s="206"/>
      <c r="CX76" s="206"/>
      <c r="CY76" s="206"/>
      <c r="CZ76" s="206"/>
      <c r="DA76" s="206"/>
      <c r="DB76" s="206"/>
      <c r="DC76" s="206"/>
      <c r="DD76" s="206"/>
      <c r="DE76" s="328"/>
      <c r="DF76" s="328"/>
      <c r="DG76" s="328"/>
      <c r="DH76" s="328"/>
      <c r="DI76" s="328"/>
      <c r="DJ76" s="328"/>
      <c r="DK76" s="328"/>
      <c r="DL76" s="328"/>
      <c r="DM76" s="328"/>
      <c r="DN76" s="328"/>
      <c r="DO76" s="328"/>
      <c r="DP76" s="328"/>
      <c r="DQ76" s="328"/>
      <c r="DR76" s="328"/>
      <c r="DS76" s="328"/>
      <c r="DT76" s="328"/>
      <c r="DU76" s="328"/>
      <c r="DV76" s="328"/>
      <c r="DW76" s="328"/>
      <c r="DX76" s="328"/>
      <c r="DY76" s="328"/>
      <c r="DZ76" s="328"/>
      <c r="EA76" s="328"/>
      <c r="EB76" s="328"/>
      <c r="EC76" s="328"/>
      <c r="ED76" s="328"/>
      <c r="EE76" s="328"/>
      <c r="EF76" s="328"/>
      <c r="EG76" s="279"/>
      <c r="EQ76" s="108">
        <f>SUM(EQ72:ET75)</f>
        <v>-3348725.1139236088</v>
      </c>
      <c r="GG76" s="300"/>
      <c r="GH76" s="206"/>
      <c r="GI76" s="206" t="s">
        <v>96</v>
      </c>
      <c r="GJ76" s="330">
        <f>GJ45</f>
        <v>0</v>
      </c>
      <c r="GK76" s="330">
        <f>GL45</f>
        <v>0</v>
      </c>
      <c r="GL76" s="330">
        <f>GN45</f>
        <v>0</v>
      </c>
      <c r="GM76" s="330">
        <f>GP45</f>
        <v>0</v>
      </c>
      <c r="GN76" s="206">
        <f>GR45</f>
        <v>0</v>
      </c>
      <c r="GO76" s="331">
        <f>NPV($GO$53,GJ76:GN76)</f>
        <v>0</v>
      </c>
      <c r="GP76" s="206"/>
      <c r="GQ76" s="206"/>
      <c r="GR76" s="206"/>
      <c r="GS76" s="206"/>
    </row>
    <row r="77" spans="1:201" ht="15" customHeight="1" thickBot="1">
      <c r="A77" s="669" t="s">
        <v>97</v>
      </c>
      <c r="B77" s="670"/>
      <c r="C77" s="670"/>
      <c r="D77" s="670"/>
      <c r="E77" s="670"/>
      <c r="F77" s="670"/>
      <c r="G77" s="670"/>
      <c r="H77" s="670"/>
      <c r="I77" s="670"/>
      <c r="J77" s="670"/>
      <c r="K77" s="670"/>
      <c r="L77" s="670"/>
      <c r="M77" s="670"/>
      <c r="N77" s="670"/>
      <c r="O77" s="670"/>
      <c r="P77" s="670"/>
      <c r="Q77" s="670"/>
      <c r="R77" s="670"/>
      <c r="S77" s="670"/>
      <c r="T77" s="670"/>
      <c r="U77" s="670"/>
      <c r="V77" s="671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5"/>
      <c r="AI77" s="335"/>
      <c r="AJ77" s="335"/>
      <c r="AK77" s="335"/>
      <c r="AL77" s="335"/>
      <c r="AM77" s="335"/>
      <c r="AN77" s="335"/>
      <c r="AO77" s="335"/>
      <c r="AP77" s="335"/>
      <c r="AQ77" s="672" t="s">
        <v>51</v>
      </c>
      <c r="AR77" s="672"/>
      <c r="AS77" s="672"/>
      <c r="AT77" s="672"/>
      <c r="AU77" s="673"/>
      <c r="AV77" s="336"/>
      <c r="AW77" s="336"/>
      <c r="AX77" s="336"/>
      <c r="AY77" s="336"/>
      <c r="AZ77" s="336"/>
      <c r="BA77" s="336"/>
      <c r="BB77" s="336"/>
      <c r="BC77" s="336"/>
      <c r="BD77" s="336"/>
      <c r="BE77" s="336"/>
      <c r="BF77" s="336"/>
      <c r="BG77" s="206"/>
      <c r="BH77" s="206"/>
      <c r="BI77" s="206"/>
      <c r="BJ77" s="206"/>
      <c r="BK77" s="206">
        <v>8264576.7998082032</v>
      </c>
      <c r="BL77" s="206">
        <v>8264576.7998082032</v>
      </c>
      <c r="BM77" s="206"/>
      <c r="BN77" s="206"/>
      <c r="BO77" s="675" t="s">
        <v>98</v>
      </c>
      <c r="BP77" s="676"/>
      <c r="BQ77" s="676"/>
      <c r="BR77" s="676"/>
      <c r="BS77" s="676"/>
      <c r="BT77" s="676"/>
      <c r="BU77" s="676"/>
      <c r="BV77" s="676"/>
      <c r="BW77" s="676"/>
      <c r="BX77" s="676"/>
      <c r="BY77" s="676"/>
      <c r="BZ77" s="676"/>
      <c r="CA77" s="676"/>
      <c r="CB77" s="676"/>
      <c r="CC77" s="676"/>
      <c r="CD77" s="676"/>
      <c r="CE77" s="676"/>
      <c r="CF77" s="676"/>
      <c r="CG77" s="676"/>
      <c r="CH77" s="676"/>
      <c r="CI77" s="676"/>
      <c r="CJ77" s="677"/>
      <c r="CK77" s="337"/>
      <c r="CL77" s="337"/>
      <c r="CM77" s="337"/>
      <c r="CN77" s="337"/>
      <c r="CO77" s="337"/>
      <c r="CP77" s="337"/>
      <c r="CQ77" s="337"/>
      <c r="CR77" s="337"/>
      <c r="CS77" s="337"/>
      <c r="CT77" s="337"/>
      <c r="CU77" s="337"/>
      <c r="CV77" s="337"/>
      <c r="CW77" s="337"/>
      <c r="CX77" s="337"/>
      <c r="CY77" s="337"/>
      <c r="CZ77" s="337"/>
      <c r="DA77" s="337"/>
      <c r="DB77" s="337"/>
      <c r="DC77" s="337"/>
      <c r="DD77" s="337"/>
      <c r="DE77" s="678" t="s">
        <v>53</v>
      </c>
      <c r="DF77" s="672"/>
      <c r="DG77" s="672"/>
      <c r="DH77" s="672"/>
      <c r="DI77" s="673"/>
      <c r="DJ77" s="338"/>
      <c r="DK77" s="338"/>
      <c r="DL77" s="338"/>
      <c r="DM77" s="338"/>
      <c r="DN77" s="338"/>
      <c r="DO77" s="678" t="s">
        <v>99</v>
      </c>
      <c r="DP77" s="672"/>
      <c r="DQ77" s="672"/>
      <c r="DR77" s="672"/>
      <c r="DS77" s="673"/>
      <c r="DT77" s="336"/>
      <c r="DU77" s="336"/>
      <c r="DV77" s="336"/>
      <c r="DW77" s="336"/>
      <c r="DX77" s="336"/>
      <c r="DY77" s="336"/>
      <c r="DZ77" s="328"/>
      <c r="EA77" s="678" t="s">
        <v>55</v>
      </c>
      <c r="EB77" s="672"/>
      <c r="EC77" s="672"/>
      <c r="ED77" s="672"/>
      <c r="EE77" s="673"/>
      <c r="EF77" s="328"/>
      <c r="EG77" s="713" t="s">
        <v>100</v>
      </c>
      <c r="EH77" s="714"/>
      <c r="EI77" s="714"/>
      <c r="EJ77" s="714"/>
      <c r="EK77" s="714"/>
      <c r="EL77" s="714"/>
      <c r="EM77" s="714"/>
      <c r="EN77" s="714"/>
      <c r="EO77" s="714"/>
      <c r="EP77" s="714"/>
      <c r="EQ77" s="714"/>
      <c r="ER77" s="714"/>
      <c r="ES77" s="714"/>
      <c r="ET77" s="714"/>
      <c r="EU77" s="714"/>
      <c r="EV77" s="714"/>
      <c r="EW77" s="714"/>
      <c r="EX77" s="714"/>
      <c r="EY77" s="714"/>
      <c r="EZ77" s="714"/>
      <c r="FA77" s="714"/>
      <c r="FB77" s="714"/>
      <c r="FC77" s="714"/>
      <c r="FD77" s="714"/>
      <c r="FE77" s="714"/>
      <c r="FF77" s="714"/>
      <c r="FG77" s="714"/>
      <c r="FH77" s="714"/>
      <c r="FI77" s="714"/>
      <c r="FJ77" s="714"/>
      <c r="FK77" s="714"/>
      <c r="FL77" s="714"/>
      <c r="FM77" s="714"/>
      <c r="FN77" s="714"/>
      <c r="FO77" s="714"/>
      <c r="FP77" s="714"/>
      <c r="FQ77" s="714"/>
      <c r="FR77" s="714"/>
      <c r="FS77" s="714"/>
      <c r="FT77" s="714"/>
      <c r="FU77" s="714"/>
      <c r="FV77" s="714"/>
      <c r="FW77" s="714"/>
      <c r="FX77" s="714"/>
      <c r="FY77" s="714"/>
      <c r="FZ77" s="714"/>
      <c r="GA77" s="714"/>
      <c r="GB77" s="714"/>
      <c r="GC77" s="714"/>
      <c r="GD77" s="714"/>
      <c r="GE77" s="714"/>
      <c r="GF77" s="714"/>
      <c r="GG77" s="715"/>
      <c r="GH77" s="206"/>
      <c r="GI77" s="206"/>
      <c r="GJ77" s="206"/>
      <c r="GK77" s="206"/>
      <c r="GL77" s="206"/>
      <c r="GM77" s="206"/>
      <c r="GN77" s="206"/>
      <c r="GO77" s="206"/>
      <c r="GP77" s="206"/>
      <c r="GQ77" s="206"/>
      <c r="GR77" s="206"/>
      <c r="GS77" s="206"/>
    </row>
    <row r="78" spans="1:201" ht="14.65" customHeight="1" thickBot="1">
      <c r="A78" s="339"/>
      <c r="B78" s="340"/>
      <c r="C78" s="681">
        <v>2023</v>
      </c>
      <c r="D78" s="682"/>
      <c r="E78" s="682"/>
      <c r="F78" s="683"/>
      <c r="G78" s="681">
        <v>2024</v>
      </c>
      <c r="H78" s="682"/>
      <c r="I78" s="682"/>
      <c r="J78" s="683"/>
      <c r="K78" s="681">
        <v>2025</v>
      </c>
      <c r="L78" s="682"/>
      <c r="M78" s="682"/>
      <c r="N78" s="683"/>
      <c r="O78" s="681">
        <v>2026</v>
      </c>
      <c r="P78" s="682"/>
      <c r="Q78" s="682"/>
      <c r="R78" s="683"/>
      <c r="S78" s="684">
        <v>2027</v>
      </c>
      <c r="T78" s="685"/>
      <c r="U78" s="685"/>
      <c r="V78" s="686"/>
      <c r="W78" s="341"/>
      <c r="X78" s="341"/>
      <c r="Y78" s="341"/>
      <c r="Z78" s="341"/>
      <c r="AA78" s="341"/>
      <c r="AB78" s="341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674"/>
      <c r="AR78" s="674"/>
      <c r="AS78" s="674"/>
      <c r="AT78" s="674"/>
      <c r="AU78" s="674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6"/>
      <c r="BG78" s="206"/>
      <c r="BH78" s="206"/>
      <c r="BI78" s="206"/>
      <c r="BJ78" s="206"/>
      <c r="BK78" s="206"/>
      <c r="BL78" s="206"/>
      <c r="BM78" s="206"/>
      <c r="BN78" s="206"/>
      <c r="BO78" s="342"/>
      <c r="BP78" s="343"/>
      <c r="BQ78" s="668">
        <v>2022</v>
      </c>
      <c r="BR78" s="668"/>
      <c r="BS78" s="668"/>
      <c r="BT78" s="668"/>
      <c r="BU78" s="668">
        <v>2023</v>
      </c>
      <c r="BV78" s="668"/>
      <c r="BW78" s="668"/>
      <c r="BX78" s="668"/>
      <c r="BY78" s="668">
        <v>2024</v>
      </c>
      <c r="BZ78" s="668"/>
      <c r="CA78" s="668"/>
      <c r="CB78" s="668"/>
      <c r="CC78" s="668">
        <v>2025</v>
      </c>
      <c r="CD78" s="668"/>
      <c r="CE78" s="668"/>
      <c r="CF78" s="668"/>
      <c r="CG78" s="666">
        <v>2026</v>
      </c>
      <c r="CH78" s="666"/>
      <c r="CI78" s="666"/>
      <c r="CJ78" s="667"/>
      <c r="CK78" s="341"/>
      <c r="CL78" s="341"/>
      <c r="CM78" s="341"/>
      <c r="CN78" s="341"/>
      <c r="CO78" s="341"/>
      <c r="CP78" s="341"/>
      <c r="CQ78" s="341"/>
      <c r="CR78" s="341"/>
      <c r="CS78" s="341"/>
      <c r="CT78" s="341"/>
      <c r="CU78" s="341"/>
      <c r="CV78" s="341"/>
      <c r="CW78" s="341"/>
      <c r="CX78" s="341"/>
      <c r="CY78" s="341"/>
      <c r="CZ78" s="341"/>
      <c r="DA78" s="341"/>
      <c r="DB78" s="341"/>
      <c r="DC78" s="341"/>
      <c r="DD78" s="341"/>
      <c r="DE78" s="679"/>
      <c r="DF78" s="674"/>
      <c r="DG78" s="674"/>
      <c r="DH78" s="674"/>
      <c r="DI78" s="680"/>
      <c r="DJ78" s="344"/>
      <c r="DK78" s="344"/>
      <c r="DL78" s="344"/>
      <c r="DM78" s="344"/>
      <c r="DN78" s="344"/>
      <c r="DO78" s="679"/>
      <c r="DP78" s="674"/>
      <c r="DQ78" s="674"/>
      <c r="DR78" s="674"/>
      <c r="DS78" s="680"/>
      <c r="DT78" s="336"/>
      <c r="DU78" s="336"/>
      <c r="DV78" s="336"/>
      <c r="DW78" s="336"/>
      <c r="DX78" s="336"/>
      <c r="DY78" s="336"/>
      <c r="DZ78" s="328"/>
      <c r="EA78" s="679"/>
      <c r="EB78" s="674"/>
      <c r="EC78" s="674"/>
      <c r="ED78" s="674"/>
      <c r="EE78" s="680"/>
      <c r="EF78" s="328"/>
      <c r="EG78" s="107"/>
      <c r="EH78" s="99"/>
      <c r="EI78" s="702">
        <v>2022</v>
      </c>
      <c r="EJ78" s="702"/>
      <c r="EK78" s="702"/>
      <c r="EL78" s="702"/>
      <c r="EM78" s="702">
        <v>2023</v>
      </c>
      <c r="EN78" s="702"/>
      <c r="EO78" s="702"/>
      <c r="EP78" s="702"/>
      <c r="EQ78" s="702">
        <v>2024</v>
      </c>
      <c r="ER78" s="702"/>
      <c r="ES78" s="702"/>
      <c r="ET78" s="702"/>
      <c r="EU78" s="702">
        <v>2025</v>
      </c>
      <c r="EV78" s="702"/>
      <c r="EW78" s="702"/>
      <c r="EX78" s="702"/>
      <c r="EY78" s="703">
        <v>2026</v>
      </c>
      <c r="EZ78" s="703"/>
      <c r="FA78" s="703"/>
      <c r="FB78" s="703"/>
      <c r="FC78" s="345"/>
      <c r="FD78" s="345"/>
      <c r="FE78" s="345"/>
      <c r="FF78" s="345"/>
      <c r="FG78" s="345"/>
      <c r="FH78" s="345"/>
      <c r="FI78" s="345"/>
      <c r="FJ78" s="345"/>
      <c r="FK78" s="345"/>
      <c r="FL78" s="345"/>
      <c r="FM78" s="345"/>
      <c r="FN78" s="345"/>
      <c r="FO78" s="345"/>
      <c r="FP78" s="345"/>
      <c r="FQ78" s="345"/>
      <c r="FR78" s="345"/>
      <c r="FS78" s="345"/>
      <c r="FT78" s="345"/>
      <c r="FU78" s="345"/>
      <c r="FV78" s="345"/>
      <c r="FW78" s="345"/>
      <c r="FX78" s="704" t="s">
        <v>58</v>
      </c>
      <c r="FY78" s="705"/>
      <c r="FZ78" s="704" t="s">
        <v>59</v>
      </c>
      <c r="GA78" s="708"/>
      <c r="GB78" s="704" t="s">
        <v>60</v>
      </c>
      <c r="GC78" s="708"/>
      <c r="GD78" s="704" t="s">
        <v>61</v>
      </c>
      <c r="GE78" s="708"/>
      <c r="GF78" s="704" t="s">
        <v>62</v>
      </c>
      <c r="GG78" s="708"/>
      <c r="GH78" s="665" t="s">
        <v>63</v>
      </c>
      <c r="GI78" s="206"/>
      <c r="GJ78" s="206"/>
      <c r="GK78" s="206"/>
      <c r="GL78" s="206"/>
      <c r="GM78" s="206"/>
      <c r="GN78" s="206"/>
      <c r="GO78" s="206"/>
      <c r="GP78" s="655" t="s">
        <v>64</v>
      </c>
      <c r="GQ78" s="206"/>
      <c r="GR78" s="206"/>
      <c r="GS78" s="206"/>
    </row>
    <row r="79" spans="1:201" ht="15" customHeight="1" thickBot="1">
      <c r="A79" s="339"/>
      <c r="B79" s="340"/>
      <c r="C79" s="340">
        <v>1</v>
      </c>
      <c r="D79" s="340">
        <v>2</v>
      </c>
      <c r="E79" s="340">
        <v>3</v>
      </c>
      <c r="F79" s="340">
        <v>4</v>
      </c>
      <c r="G79" s="340">
        <v>1</v>
      </c>
      <c r="H79" s="340">
        <v>2</v>
      </c>
      <c r="I79" s="340">
        <v>3</v>
      </c>
      <c r="J79" s="340">
        <v>4</v>
      </c>
      <c r="K79" s="340">
        <v>1</v>
      </c>
      <c r="L79" s="340">
        <v>2</v>
      </c>
      <c r="M79" s="340">
        <v>3</v>
      </c>
      <c r="N79" s="340">
        <v>4</v>
      </c>
      <c r="O79" s="340">
        <v>1</v>
      </c>
      <c r="P79" s="340">
        <v>2</v>
      </c>
      <c r="Q79" s="340">
        <v>3</v>
      </c>
      <c r="R79" s="340">
        <v>4</v>
      </c>
      <c r="S79" s="340">
        <v>1</v>
      </c>
      <c r="T79" s="340">
        <v>2</v>
      </c>
      <c r="U79" s="340">
        <v>3</v>
      </c>
      <c r="V79" s="346">
        <v>4</v>
      </c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6"/>
      <c r="AI79" s="346"/>
      <c r="AJ79" s="346"/>
      <c r="AK79" s="346"/>
      <c r="AL79" s="346"/>
      <c r="AM79" s="346"/>
      <c r="AN79" s="346"/>
      <c r="AO79" s="346"/>
      <c r="AP79" s="346"/>
      <c r="AQ79" s="347" t="s">
        <v>101</v>
      </c>
      <c r="AR79" s="220" t="s">
        <v>102</v>
      </c>
      <c r="AS79" s="220" t="s">
        <v>103</v>
      </c>
      <c r="AT79" s="220" t="s">
        <v>104</v>
      </c>
      <c r="AU79" s="348" t="s">
        <v>105</v>
      </c>
      <c r="AV79" s="336"/>
      <c r="AW79" s="336"/>
      <c r="AX79" s="336"/>
      <c r="AY79" s="336"/>
      <c r="AZ79" s="336"/>
      <c r="BA79" s="336"/>
      <c r="BB79" s="336"/>
      <c r="BC79" s="336"/>
      <c r="BD79" s="336"/>
      <c r="BE79" s="336"/>
      <c r="BF79" s="336"/>
      <c r="BG79" s="206"/>
      <c r="BH79" s="330">
        <f t="shared" ref="BH79:BH84" si="97">BH61-AQ46</f>
        <v>5993110.2831608756</v>
      </c>
      <c r="BI79" s="206"/>
      <c r="BJ79" s="206"/>
      <c r="BK79" s="330">
        <f t="shared" ref="BK79:BL94" si="98">BK61-AT46</f>
        <v>4908667.0911608757</v>
      </c>
      <c r="BL79" s="330">
        <f t="shared" si="98"/>
        <v>4908667.0900000008</v>
      </c>
      <c r="BM79" s="206"/>
      <c r="BN79" s="206"/>
      <c r="BO79" s="342"/>
      <c r="BP79" s="343"/>
      <c r="BQ79" s="343">
        <v>1</v>
      </c>
      <c r="BR79" s="343">
        <v>2</v>
      </c>
      <c r="BS79" s="343">
        <v>3</v>
      </c>
      <c r="BT79" s="343">
        <v>4</v>
      </c>
      <c r="BU79" s="343">
        <v>1</v>
      </c>
      <c r="BV79" s="343">
        <v>2</v>
      </c>
      <c r="BW79" s="343">
        <v>3</v>
      </c>
      <c r="BX79" s="343">
        <v>4</v>
      </c>
      <c r="BY79" s="343">
        <v>1</v>
      </c>
      <c r="BZ79" s="343">
        <v>2</v>
      </c>
      <c r="CA79" s="343">
        <v>3</v>
      </c>
      <c r="CB79" s="343">
        <v>4</v>
      </c>
      <c r="CC79" s="343">
        <v>1</v>
      </c>
      <c r="CD79" s="343">
        <v>2</v>
      </c>
      <c r="CE79" s="343">
        <v>3</v>
      </c>
      <c r="CF79" s="343">
        <v>4</v>
      </c>
      <c r="CG79" s="343">
        <v>1</v>
      </c>
      <c r="CH79" s="343">
        <v>2</v>
      </c>
      <c r="CI79" s="343">
        <v>3</v>
      </c>
      <c r="CJ79" s="349">
        <v>4</v>
      </c>
      <c r="CK79" s="349"/>
      <c r="CL79" s="349"/>
      <c r="CM79" s="349"/>
      <c r="CN79" s="349"/>
      <c r="CO79" s="349"/>
      <c r="CP79" s="349"/>
      <c r="CQ79" s="349"/>
      <c r="CR79" s="349"/>
      <c r="CS79" s="349"/>
      <c r="CT79" s="349"/>
      <c r="CU79" s="349"/>
      <c r="CV79" s="349"/>
      <c r="CW79" s="349"/>
      <c r="CX79" s="349"/>
      <c r="CY79" s="349"/>
      <c r="CZ79" s="349"/>
      <c r="DA79" s="349"/>
      <c r="DB79" s="349"/>
      <c r="DC79" s="349"/>
      <c r="DD79" s="349"/>
      <c r="DE79" s="220" t="s">
        <v>101</v>
      </c>
      <c r="DF79" s="220" t="s">
        <v>102</v>
      </c>
      <c r="DG79" s="220" t="s">
        <v>103</v>
      </c>
      <c r="DH79" s="220" t="s">
        <v>104</v>
      </c>
      <c r="DI79" s="220" t="s">
        <v>105</v>
      </c>
      <c r="DJ79" s="220"/>
      <c r="DK79" s="220"/>
      <c r="DL79" s="220"/>
      <c r="DM79" s="220"/>
      <c r="DN79" s="220"/>
      <c r="DO79" s="220" t="s">
        <v>101</v>
      </c>
      <c r="DP79" s="220" t="s">
        <v>102</v>
      </c>
      <c r="DQ79" s="220" t="s">
        <v>103</v>
      </c>
      <c r="DR79" s="220" t="s">
        <v>104</v>
      </c>
      <c r="DS79" s="220" t="s">
        <v>105</v>
      </c>
      <c r="DT79" s="336"/>
      <c r="DU79" s="336"/>
      <c r="DV79" s="336"/>
      <c r="DW79" s="336"/>
      <c r="DX79" s="336"/>
      <c r="DY79" s="336"/>
      <c r="DZ79" s="328"/>
      <c r="EA79" s="350" t="s">
        <v>67</v>
      </c>
      <c r="EB79" s="350" t="s">
        <v>68</v>
      </c>
      <c r="EC79" s="350" t="s">
        <v>69</v>
      </c>
      <c r="ED79" s="350" t="s">
        <v>70</v>
      </c>
      <c r="EE79" s="350" t="s">
        <v>71</v>
      </c>
      <c r="EF79" s="351"/>
      <c r="EG79" s="107"/>
      <c r="EH79" s="99"/>
      <c r="EI79" s="99">
        <v>1</v>
      </c>
      <c r="EJ79" s="99">
        <v>2</v>
      </c>
      <c r="EK79" s="99">
        <v>3</v>
      </c>
      <c r="EL79" s="99">
        <v>4</v>
      </c>
      <c r="EM79" s="99">
        <v>1</v>
      </c>
      <c r="EN79" s="99">
        <v>2</v>
      </c>
      <c r="EO79" s="99">
        <v>3</v>
      </c>
      <c r="EP79" s="99">
        <v>4</v>
      </c>
      <c r="EQ79" s="99">
        <v>1</v>
      </c>
      <c r="ER79" s="99">
        <v>2</v>
      </c>
      <c r="ES79" s="99">
        <v>3</v>
      </c>
      <c r="ET79" s="99">
        <v>4</v>
      </c>
      <c r="EU79" s="99">
        <v>1</v>
      </c>
      <c r="EV79" s="99">
        <v>2</v>
      </c>
      <c r="EW79" s="99">
        <v>3</v>
      </c>
      <c r="EX79" s="99">
        <v>4</v>
      </c>
      <c r="EY79" s="99">
        <v>1</v>
      </c>
      <c r="EZ79" s="99">
        <v>2</v>
      </c>
      <c r="FA79" s="99">
        <v>3</v>
      </c>
      <c r="FB79" s="99">
        <v>4</v>
      </c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706"/>
      <c r="FY79" s="707"/>
      <c r="FZ79" s="706"/>
      <c r="GA79" s="709"/>
      <c r="GB79" s="706"/>
      <c r="GC79" s="709"/>
      <c r="GD79" s="706"/>
      <c r="GE79" s="709"/>
      <c r="GF79" s="706"/>
      <c r="GG79" s="709"/>
      <c r="GH79" s="665"/>
      <c r="GI79" s="352" t="s">
        <v>106</v>
      </c>
      <c r="GJ79" s="206">
        <v>2023</v>
      </c>
      <c r="GK79" s="206">
        <f>GJ79+1</f>
        <v>2024</v>
      </c>
      <c r="GL79" s="206">
        <f>GK79+1</f>
        <v>2025</v>
      </c>
      <c r="GM79" s="206">
        <f>GL79+1</f>
        <v>2026</v>
      </c>
      <c r="GN79" s="206" t="s">
        <v>107</v>
      </c>
      <c r="GO79" s="206"/>
      <c r="GP79" s="655"/>
      <c r="GQ79" s="206"/>
      <c r="GR79" s="206"/>
      <c r="GS79" s="206"/>
    </row>
    <row r="80" spans="1:201" ht="14.65" customHeight="1" thickBot="1">
      <c r="A80" s="636">
        <v>1</v>
      </c>
      <c r="B80" s="208" t="s">
        <v>15</v>
      </c>
      <c r="C80" s="353">
        <f t="shared" ref="C80:V92" si="99">(IF(EB4=1,IF(C4&lt;=$BJ$47,C4*1000*$BI4,$BJ$47*1000*$BI4),IF(EB4*$BJ$47&gt;=C4,C4*1000*$BI4,EB4*1000*$BJ$47*$BI4)))*90*$C$26</f>
        <v>0</v>
      </c>
      <c r="D80" s="353">
        <f t="shared" si="99"/>
        <v>0</v>
      </c>
      <c r="E80" s="353">
        <f t="shared" si="99"/>
        <v>0</v>
      </c>
      <c r="F80" s="353">
        <f t="shared" si="99"/>
        <v>0</v>
      </c>
      <c r="G80" s="353">
        <f t="shared" si="99"/>
        <v>0</v>
      </c>
      <c r="H80" s="353">
        <f t="shared" si="99"/>
        <v>0</v>
      </c>
      <c r="I80" s="353">
        <f t="shared" si="99"/>
        <v>0</v>
      </c>
      <c r="J80" s="353">
        <f t="shared" si="99"/>
        <v>0</v>
      </c>
      <c r="K80" s="353">
        <f t="shared" si="99"/>
        <v>0</v>
      </c>
      <c r="L80" s="353">
        <f t="shared" si="99"/>
        <v>0</v>
      </c>
      <c r="M80" s="353">
        <f t="shared" si="99"/>
        <v>0</v>
      </c>
      <c r="N80" s="353">
        <f t="shared" si="99"/>
        <v>0</v>
      </c>
      <c r="O80" s="353">
        <f t="shared" si="99"/>
        <v>0</v>
      </c>
      <c r="P80" s="353">
        <f t="shared" si="99"/>
        <v>0</v>
      </c>
      <c r="Q80" s="353">
        <f t="shared" si="99"/>
        <v>0</v>
      </c>
      <c r="R80" s="353">
        <f t="shared" si="99"/>
        <v>0</v>
      </c>
      <c r="S80" s="353">
        <f t="shared" si="99"/>
        <v>0</v>
      </c>
      <c r="T80" s="353">
        <f t="shared" si="99"/>
        <v>0</v>
      </c>
      <c r="U80" s="353">
        <f t="shared" si="99"/>
        <v>0</v>
      </c>
      <c r="V80" s="353">
        <f t="shared" si="99"/>
        <v>0</v>
      </c>
      <c r="W80" s="353"/>
      <c r="X80" s="353"/>
      <c r="Y80" s="353"/>
      <c r="Z80" s="353"/>
      <c r="AA80" s="353"/>
      <c r="AB80" s="353"/>
      <c r="AC80" s="353"/>
      <c r="AD80" s="353"/>
      <c r="AE80" s="353"/>
      <c r="AF80" s="353"/>
      <c r="AG80" s="353"/>
      <c r="AH80" s="353"/>
      <c r="AI80" s="353"/>
      <c r="AJ80" s="353"/>
      <c r="AK80" s="353"/>
      <c r="AL80" s="353"/>
      <c r="AM80" s="353"/>
      <c r="AN80" s="353"/>
      <c r="AO80" s="353"/>
      <c r="AP80" s="353"/>
      <c r="AQ80" s="235">
        <f>SUM(C80:F80)</f>
        <v>0</v>
      </c>
      <c r="AR80" s="235">
        <f t="shared" ref="AR80:AR88" si="100">SUM(G80:J80)</f>
        <v>0</v>
      </c>
      <c r="AS80" s="235">
        <f t="shared" ref="AS80:AS93" si="101">SUM(K80:N80)</f>
        <v>0</v>
      </c>
      <c r="AT80" s="235">
        <f t="shared" ref="AT80:AT99" si="102">SUM(O80:R80)</f>
        <v>0</v>
      </c>
      <c r="AU80" s="235">
        <f t="shared" ref="AU80:AU99" si="103">SUM(S80:V80)</f>
        <v>0</v>
      </c>
      <c r="AV80" s="354"/>
      <c r="AW80" s="354"/>
      <c r="AX80" s="354"/>
      <c r="AY80" s="354"/>
      <c r="AZ80" s="354"/>
      <c r="BA80" s="354"/>
      <c r="BB80" s="354"/>
      <c r="BC80" s="354"/>
      <c r="BD80" s="354"/>
      <c r="BE80" s="354"/>
      <c r="BF80" s="354"/>
      <c r="BG80" s="206"/>
      <c r="BH80" s="330">
        <f t="shared" si="97"/>
        <v>6066500.7432160676</v>
      </c>
      <c r="BI80" s="206"/>
      <c r="BJ80" s="206"/>
      <c r="BK80" s="330">
        <f t="shared" si="98"/>
        <v>5621483.1473393226</v>
      </c>
      <c r="BL80" s="330">
        <f t="shared" si="98"/>
        <v>5621483.1473393226</v>
      </c>
      <c r="BM80" s="206"/>
      <c r="BN80" s="206"/>
      <c r="BO80" s="636">
        <v>1</v>
      </c>
      <c r="BP80" s="208" t="s">
        <v>15</v>
      </c>
      <c r="BQ80" s="355">
        <f t="shared" ref="BQ80:CJ92" si="104">EB4*$DP4*90</f>
        <v>0</v>
      </c>
      <c r="BR80" s="355">
        <f t="shared" si="104"/>
        <v>0</v>
      </c>
      <c r="BS80" s="355">
        <f t="shared" si="104"/>
        <v>0</v>
      </c>
      <c r="BT80" s="355">
        <f t="shared" si="104"/>
        <v>0</v>
      </c>
      <c r="BU80" s="355">
        <f t="shared" si="104"/>
        <v>0</v>
      </c>
      <c r="BV80" s="355">
        <f t="shared" si="104"/>
        <v>0</v>
      </c>
      <c r="BW80" s="355">
        <f t="shared" si="104"/>
        <v>0</v>
      </c>
      <c r="BX80" s="355">
        <f t="shared" si="104"/>
        <v>0</v>
      </c>
      <c r="BY80" s="355">
        <f t="shared" si="104"/>
        <v>0</v>
      </c>
      <c r="BZ80" s="355">
        <f t="shared" si="104"/>
        <v>0</v>
      </c>
      <c r="CA80" s="355">
        <f t="shared" si="104"/>
        <v>0</v>
      </c>
      <c r="CB80" s="355">
        <f t="shared" si="104"/>
        <v>0</v>
      </c>
      <c r="CC80" s="355">
        <f t="shared" si="104"/>
        <v>0</v>
      </c>
      <c r="CD80" s="355">
        <f t="shared" si="104"/>
        <v>0</v>
      </c>
      <c r="CE80" s="355">
        <f t="shared" si="104"/>
        <v>0</v>
      </c>
      <c r="CF80" s="355">
        <f t="shared" si="104"/>
        <v>0</v>
      </c>
      <c r="CG80" s="355">
        <f t="shared" si="104"/>
        <v>0</v>
      </c>
      <c r="CH80" s="355">
        <f t="shared" si="104"/>
        <v>0</v>
      </c>
      <c r="CI80" s="355">
        <f t="shared" si="104"/>
        <v>0</v>
      </c>
      <c r="CJ80" s="355">
        <f t="shared" si="104"/>
        <v>0</v>
      </c>
      <c r="CK80" s="355"/>
      <c r="CL80" s="355"/>
      <c r="CM80" s="355"/>
      <c r="CN80" s="355"/>
      <c r="CO80" s="355"/>
      <c r="CP80" s="355"/>
      <c r="CQ80" s="355"/>
      <c r="CR80" s="355"/>
      <c r="CS80" s="355"/>
      <c r="CT80" s="355"/>
      <c r="CU80" s="355"/>
      <c r="CV80" s="355"/>
      <c r="CW80" s="355"/>
      <c r="CX80" s="355"/>
      <c r="CY80" s="355"/>
      <c r="CZ80" s="355"/>
      <c r="DA80" s="355"/>
      <c r="DB80" s="355"/>
      <c r="DC80" s="355"/>
      <c r="DD80" s="355"/>
      <c r="DE80" s="234">
        <f>SUM(BQ80:BT80)</f>
        <v>0</v>
      </c>
      <c r="DF80" s="235">
        <f>SUM(BU80:BX80)</f>
        <v>0</v>
      </c>
      <c r="DG80" s="235">
        <f>SUM(BY80:CB80)</f>
        <v>0</v>
      </c>
      <c r="DH80" s="235">
        <f>SUM(CC80:CF80)</f>
        <v>0</v>
      </c>
      <c r="DI80" s="236">
        <f>SUM(CG80:CJ80)</f>
        <v>0</v>
      </c>
      <c r="DJ80" s="356"/>
      <c r="DK80" s="356"/>
      <c r="DL80" s="356"/>
      <c r="DM80" s="356"/>
      <c r="DN80" s="356"/>
      <c r="DO80" s="234">
        <f t="shared" ref="DO80:DS95" si="105">AQ80-DE80</f>
        <v>0</v>
      </c>
      <c r="DP80" s="235">
        <f t="shared" si="105"/>
        <v>0</v>
      </c>
      <c r="DQ80" s="235">
        <f t="shared" si="105"/>
        <v>0</v>
      </c>
      <c r="DR80" s="235">
        <f t="shared" si="105"/>
        <v>0</v>
      </c>
      <c r="DS80" s="236">
        <f t="shared" si="105"/>
        <v>0</v>
      </c>
      <c r="DT80" s="357"/>
      <c r="DU80" s="357"/>
      <c r="DV80" s="357"/>
      <c r="DW80" s="357"/>
      <c r="DX80" s="357"/>
      <c r="DY80" s="357"/>
      <c r="DZ80" s="689">
        <v>1</v>
      </c>
      <c r="EA80" s="358">
        <f>1.1*DE80</f>
        <v>0</v>
      </c>
      <c r="EB80" s="358">
        <f>1.1*DG80</f>
        <v>0</v>
      </c>
      <c r="EC80" s="358">
        <f>1.1*DI80</f>
        <v>0</v>
      </c>
      <c r="ED80" s="358">
        <f>1.1*DP80</f>
        <v>0</v>
      </c>
      <c r="EE80" s="358">
        <f>1.1*DR80</f>
        <v>0</v>
      </c>
      <c r="EF80" s="328"/>
      <c r="EG80" s="656">
        <v>1</v>
      </c>
      <c r="EH80" s="359" t="s">
        <v>15</v>
      </c>
      <c r="EI80" s="355">
        <f t="shared" ref="EI80:EX95" si="106">C80-BQ80</f>
        <v>0</v>
      </c>
      <c r="EJ80" s="355">
        <f t="shared" si="106"/>
        <v>0</v>
      </c>
      <c r="EK80" s="355">
        <f t="shared" si="106"/>
        <v>0</v>
      </c>
      <c r="EL80" s="355">
        <f t="shared" si="106"/>
        <v>0</v>
      </c>
      <c r="EM80" s="355">
        <f t="shared" si="106"/>
        <v>0</v>
      </c>
      <c r="EN80" s="355">
        <f t="shared" si="106"/>
        <v>0</v>
      </c>
      <c r="EO80" s="355">
        <f t="shared" si="106"/>
        <v>0</v>
      </c>
      <c r="EP80" s="355">
        <f t="shared" si="106"/>
        <v>0</v>
      </c>
      <c r="EQ80" s="355">
        <f t="shared" si="106"/>
        <v>0</v>
      </c>
      <c r="ER80" s="355">
        <f t="shared" si="106"/>
        <v>0</v>
      </c>
      <c r="ES80" s="355">
        <f t="shared" si="106"/>
        <v>0</v>
      </c>
      <c r="ET80" s="355">
        <f t="shared" si="106"/>
        <v>0</v>
      </c>
      <c r="EU80" s="355">
        <f t="shared" si="106"/>
        <v>0</v>
      </c>
      <c r="EV80" s="355">
        <f t="shared" si="106"/>
        <v>0</v>
      </c>
      <c r="EW80" s="355">
        <f t="shared" si="106"/>
        <v>0</v>
      </c>
      <c r="EX80" s="355">
        <f t="shared" si="106"/>
        <v>0</v>
      </c>
      <c r="EY80" s="355">
        <f t="shared" ref="EY80:FB96" si="107">S80-CG80</f>
        <v>0</v>
      </c>
      <c r="EZ80" s="355">
        <f t="shared" si="107"/>
        <v>0</v>
      </c>
      <c r="FA80" s="355">
        <f t="shared" si="107"/>
        <v>0</v>
      </c>
      <c r="FB80" s="355">
        <f t="shared" si="107"/>
        <v>0</v>
      </c>
      <c r="FC80" s="355"/>
      <c r="FD80" s="355"/>
      <c r="FE80" s="355"/>
      <c r="FF80" s="355"/>
      <c r="FG80" s="355"/>
      <c r="FH80" s="355"/>
      <c r="FI80" s="355"/>
      <c r="FJ80" s="355"/>
      <c r="FK80" s="355"/>
      <c r="FL80" s="355"/>
      <c r="FM80" s="355"/>
      <c r="FN80" s="355"/>
      <c r="FO80" s="355"/>
      <c r="FP80" s="355"/>
      <c r="FQ80" s="355"/>
      <c r="FR80" s="355"/>
      <c r="FS80" s="355"/>
      <c r="FT80" s="355"/>
      <c r="FU80" s="355"/>
      <c r="FV80" s="355"/>
      <c r="FW80" s="355"/>
      <c r="FX80" s="360">
        <f>AVERAGE(EI80:EL80)</f>
        <v>0</v>
      </c>
      <c r="FY80" s="657">
        <f>SUM(FX80:FX84)</f>
        <v>0</v>
      </c>
      <c r="FZ80" s="360">
        <f t="shared" ref="FZ80:FZ88" si="108">AVERAGE(EM80:EP80)</f>
        <v>0</v>
      </c>
      <c r="GA80" s="657">
        <f>SUM(FZ80:FZ84)</f>
        <v>0</v>
      </c>
      <c r="GB80" s="360">
        <f t="shared" ref="GB80:GB92" si="109">AVERAGE(EQ80:ET80)</f>
        <v>0</v>
      </c>
      <c r="GC80" s="657">
        <f>SUM(GB80:GB84)</f>
        <v>0</v>
      </c>
      <c r="GD80" s="360">
        <f t="shared" ref="GD80:GD96" si="110">AVERAGE(EU80:EX80)</f>
        <v>0</v>
      </c>
      <c r="GE80" s="657">
        <f>SUM(GD80:GD84)</f>
        <v>0</v>
      </c>
      <c r="GF80" s="360">
        <f t="shared" ref="GF80:GF96" si="111">AVERAGE(EY80:FB80)</f>
        <v>0</v>
      </c>
      <c r="GG80" s="657">
        <f>SUM(GF80:GF84)</f>
        <v>0</v>
      </c>
      <c r="GH80" s="639">
        <f>GG80+GE80+GC80+GA80+FY80</f>
        <v>0</v>
      </c>
      <c r="GI80" s="206" t="s">
        <v>74</v>
      </c>
      <c r="GJ80" s="330">
        <f>GJ49</f>
        <v>0</v>
      </c>
      <c r="GK80" s="330">
        <f>GL49</f>
        <v>0</v>
      </c>
      <c r="GL80" s="330">
        <f>GN49</f>
        <v>0</v>
      </c>
      <c r="GM80" s="330">
        <f>GP49</f>
        <v>0</v>
      </c>
      <c r="GN80" s="331">
        <f>NPV($GO$53,GJ80:GM80)</f>
        <v>0</v>
      </c>
      <c r="GO80" s="331"/>
      <c r="GP80" s="635">
        <f>SUM(EI80:FB84)</f>
        <v>0</v>
      </c>
      <c r="GQ80" s="206"/>
      <c r="GR80" s="206"/>
      <c r="GS80" s="206"/>
    </row>
    <row r="81" spans="1:201" ht="14.65" customHeight="1" thickBot="1">
      <c r="A81" s="636"/>
      <c r="B81" s="208" t="s">
        <v>16</v>
      </c>
      <c r="C81" s="353">
        <f t="shared" si="99"/>
        <v>0</v>
      </c>
      <c r="D81" s="353">
        <f t="shared" si="99"/>
        <v>0</v>
      </c>
      <c r="E81" s="353">
        <f t="shared" si="99"/>
        <v>0</v>
      </c>
      <c r="F81" s="353">
        <f t="shared" si="99"/>
        <v>0</v>
      </c>
      <c r="G81" s="353">
        <f t="shared" si="99"/>
        <v>0</v>
      </c>
      <c r="H81" s="353">
        <f t="shared" si="99"/>
        <v>0</v>
      </c>
      <c r="I81" s="353">
        <f t="shared" si="99"/>
        <v>0</v>
      </c>
      <c r="J81" s="353">
        <f t="shared" si="99"/>
        <v>0</v>
      </c>
      <c r="K81" s="353">
        <f t="shared" si="99"/>
        <v>0</v>
      </c>
      <c r="L81" s="353">
        <f t="shared" si="99"/>
        <v>0</v>
      </c>
      <c r="M81" s="353">
        <f t="shared" si="99"/>
        <v>0</v>
      </c>
      <c r="N81" s="353">
        <f t="shared" si="99"/>
        <v>0</v>
      </c>
      <c r="O81" s="353">
        <f t="shared" si="99"/>
        <v>0</v>
      </c>
      <c r="P81" s="353">
        <f t="shared" si="99"/>
        <v>0</v>
      </c>
      <c r="Q81" s="353">
        <f t="shared" si="99"/>
        <v>0</v>
      </c>
      <c r="R81" s="353">
        <f t="shared" si="99"/>
        <v>0</v>
      </c>
      <c r="S81" s="353">
        <f t="shared" si="99"/>
        <v>0</v>
      </c>
      <c r="T81" s="353">
        <f t="shared" si="99"/>
        <v>0</v>
      </c>
      <c r="U81" s="353">
        <f t="shared" si="99"/>
        <v>0</v>
      </c>
      <c r="V81" s="353">
        <f t="shared" si="99"/>
        <v>0</v>
      </c>
      <c r="W81" s="353"/>
      <c r="X81" s="353"/>
      <c r="Y81" s="353"/>
      <c r="Z81" s="353"/>
      <c r="AA81" s="353"/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353"/>
      <c r="AN81" s="353"/>
      <c r="AO81" s="353"/>
      <c r="AP81" s="353"/>
      <c r="AQ81" s="235">
        <f>SUM(C81:F81)</f>
        <v>0</v>
      </c>
      <c r="AR81" s="235">
        <f t="shared" si="100"/>
        <v>0</v>
      </c>
      <c r="AS81" s="235">
        <f t="shared" si="101"/>
        <v>0</v>
      </c>
      <c r="AT81" s="235">
        <f t="shared" si="102"/>
        <v>0</v>
      </c>
      <c r="AU81" s="235">
        <f t="shared" si="103"/>
        <v>0</v>
      </c>
      <c r="AV81" s="354"/>
      <c r="AW81" s="354"/>
      <c r="AX81" s="354"/>
      <c r="AY81" s="354"/>
      <c r="AZ81" s="354"/>
      <c r="BA81" s="354"/>
      <c r="BB81" s="354"/>
      <c r="BC81" s="354"/>
      <c r="BD81" s="354"/>
      <c r="BE81" s="354"/>
      <c r="BF81" s="354"/>
      <c r="BG81" s="206"/>
      <c r="BH81" s="330">
        <f t="shared" si="97"/>
        <v>5169261.1610171376</v>
      </c>
      <c r="BI81" s="206"/>
      <c r="BJ81" s="206"/>
      <c r="BK81" s="330">
        <f t="shared" si="98"/>
        <v>3090808.2354832562</v>
      </c>
      <c r="BL81" s="330">
        <f t="shared" si="98"/>
        <v>2278448.1842688797</v>
      </c>
      <c r="BM81" s="206"/>
      <c r="BN81" s="206"/>
      <c r="BO81" s="636"/>
      <c r="BP81" s="208" t="s">
        <v>16</v>
      </c>
      <c r="BQ81" s="355">
        <f t="shared" si="104"/>
        <v>0</v>
      </c>
      <c r="BR81" s="355">
        <f t="shared" si="104"/>
        <v>0</v>
      </c>
      <c r="BS81" s="355">
        <f t="shared" si="104"/>
        <v>0</v>
      </c>
      <c r="BT81" s="355">
        <f t="shared" si="104"/>
        <v>0</v>
      </c>
      <c r="BU81" s="355">
        <f t="shared" si="104"/>
        <v>0</v>
      </c>
      <c r="BV81" s="355">
        <f t="shared" si="104"/>
        <v>0</v>
      </c>
      <c r="BW81" s="355">
        <f t="shared" si="104"/>
        <v>0</v>
      </c>
      <c r="BX81" s="355">
        <f t="shared" si="104"/>
        <v>0</v>
      </c>
      <c r="BY81" s="355">
        <f t="shared" si="104"/>
        <v>0</v>
      </c>
      <c r="BZ81" s="355">
        <f t="shared" si="104"/>
        <v>0</v>
      </c>
      <c r="CA81" s="355">
        <f t="shared" si="104"/>
        <v>0</v>
      </c>
      <c r="CB81" s="355">
        <f t="shared" si="104"/>
        <v>0</v>
      </c>
      <c r="CC81" s="355">
        <f t="shared" si="104"/>
        <v>0</v>
      </c>
      <c r="CD81" s="355">
        <f t="shared" si="104"/>
        <v>0</v>
      </c>
      <c r="CE81" s="355">
        <f t="shared" si="104"/>
        <v>0</v>
      </c>
      <c r="CF81" s="355">
        <f t="shared" si="104"/>
        <v>0</v>
      </c>
      <c r="CG81" s="355">
        <f t="shared" si="104"/>
        <v>0</v>
      </c>
      <c r="CH81" s="355">
        <f t="shared" si="104"/>
        <v>0</v>
      </c>
      <c r="CI81" s="355">
        <f t="shared" si="104"/>
        <v>0</v>
      </c>
      <c r="CJ81" s="355">
        <f t="shared" si="104"/>
        <v>0</v>
      </c>
      <c r="CK81" s="355"/>
      <c r="CL81" s="355"/>
      <c r="CM81" s="355"/>
      <c r="CN81" s="355"/>
      <c r="CO81" s="355"/>
      <c r="CP81" s="355"/>
      <c r="CQ81" s="355"/>
      <c r="CR81" s="355"/>
      <c r="CS81" s="355"/>
      <c r="CT81" s="355"/>
      <c r="CU81" s="355"/>
      <c r="CV81" s="355"/>
      <c r="CW81" s="355"/>
      <c r="CX81" s="355"/>
      <c r="CY81" s="355"/>
      <c r="CZ81" s="355"/>
      <c r="DA81" s="355"/>
      <c r="DB81" s="355"/>
      <c r="DC81" s="355"/>
      <c r="DD81" s="355"/>
      <c r="DE81" s="234">
        <f t="shared" ref="DE81:DE84" si="112">SUM(BQ81:BT81)</f>
        <v>0</v>
      </c>
      <c r="DF81" s="235">
        <f t="shared" ref="DF81:DF88" si="113">SUM(BU81:BX81)</f>
        <v>0</v>
      </c>
      <c r="DG81" s="235">
        <f t="shared" ref="DG81:DG92" si="114">SUM(BY81:CB81)</f>
        <v>0</v>
      </c>
      <c r="DH81" s="235">
        <f t="shared" ref="DH81:DH96" si="115">SUM(CC81:CF81)</f>
        <v>0</v>
      </c>
      <c r="DI81" s="236">
        <f t="shared" ref="DI81:DI96" si="116">SUM(CG81:CJ81)</f>
        <v>0</v>
      </c>
      <c r="DJ81" s="356"/>
      <c r="DK81" s="356"/>
      <c r="DL81" s="356"/>
      <c r="DM81" s="356"/>
      <c r="DN81" s="356"/>
      <c r="DO81" s="234">
        <f t="shared" si="105"/>
        <v>0</v>
      </c>
      <c r="DP81" s="235">
        <f t="shared" si="105"/>
        <v>0</v>
      </c>
      <c r="DQ81" s="235">
        <f t="shared" si="105"/>
        <v>0</v>
      </c>
      <c r="DR81" s="235">
        <f t="shared" si="105"/>
        <v>0</v>
      </c>
      <c r="DS81" s="236">
        <f t="shared" si="105"/>
        <v>0</v>
      </c>
      <c r="DT81" s="357"/>
      <c r="DU81" s="357"/>
      <c r="DV81" s="357"/>
      <c r="DW81" s="357"/>
      <c r="DX81" s="357"/>
      <c r="DY81" s="357"/>
      <c r="DZ81" s="687"/>
      <c r="EA81" s="358">
        <f t="shared" ref="EA81:EA83" si="117">1.1*DE81</f>
        <v>0</v>
      </c>
      <c r="EB81" s="358">
        <f t="shared" ref="EB81:EB87" si="118">1.1*DG81</f>
        <v>0</v>
      </c>
      <c r="EC81" s="358">
        <f t="shared" ref="EC81:EC90" si="119">1.1*DI81</f>
        <v>0</v>
      </c>
      <c r="ED81" s="358">
        <f t="shared" ref="ED81:ED94" si="120">1.1*DP81</f>
        <v>0</v>
      </c>
      <c r="EE81" s="358">
        <f t="shared" ref="EE81:EE94" si="121">1.1*DR81</f>
        <v>0</v>
      </c>
      <c r="EF81" s="328"/>
      <c r="EG81" s="636"/>
      <c r="EH81" s="361" t="s">
        <v>16</v>
      </c>
      <c r="EI81" s="355">
        <f t="shared" si="106"/>
        <v>0</v>
      </c>
      <c r="EJ81" s="355">
        <f t="shared" si="106"/>
        <v>0</v>
      </c>
      <c r="EK81" s="355">
        <f t="shared" si="106"/>
        <v>0</v>
      </c>
      <c r="EL81" s="355">
        <f t="shared" si="106"/>
        <v>0</v>
      </c>
      <c r="EM81" s="355">
        <f t="shared" si="106"/>
        <v>0</v>
      </c>
      <c r="EN81" s="355">
        <f t="shared" si="106"/>
        <v>0</v>
      </c>
      <c r="EO81" s="355">
        <f t="shared" si="106"/>
        <v>0</v>
      </c>
      <c r="EP81" s="355">
        <f t="shared" si="106"/>
        <v>0</v>
      </c>
      <c r="EQ81" s="355">
        <f t="shared" si="106"/>
        <v>0</v>
      </c>
      <c r="ER81" s="355">
        <f t="shared" si="106"/>
        <v>0</v>
      </c>
      <c r="ES81" s="355">
        <f t="shared" si="106"/>
        <v>0</v>
      </c>
      <c r="ET81" s="355">
        <f t="shared" si="106"/>
        <v>0</v>
      </c>
      <c r="EU81" s="355">
        <f t="shared" si="106"/>
        <v>0</v>
      </c>
      <c r="EV81" s="355">
        <f t="shared" si="106"/>
        <v>0</v>
      </c>
      <c r="EW81" s="355">
        <f t="shared" si="106"/>
        <v>0</v>
      </c>
      <c r="EX81" s="355">
        <f t="shared" si="106"/>
        <v>0</v>
      </c>
      <c r="EY81" s="355">
        <f t="shared" si="107"/>
        <v>0</v>
      </c>
      <c r="EZ81" s="355">
        <f t="shared" si="107"/>
        <v>0</v>
      </c>
      <c r="FA81" s="355">
        <f t="shared" si="107"/>
        <v>0</v>
      </c>
      <c r="FB81" s="355">
        <f t="shared" si="107"/>
        <v>0</v>
      </c>
      <c r="FC81" s="355"/>
      <c r="FD81" s="355"/>
      <c r="FE81" s="355"/>
      <c r="FF81" s="355"/>
      <c r="FG81" s="355"/>
      <c r="FH81" s="355"/>
      <c r="FI81" s="355"/>
      <c r="FJ81" s="355"/>
      <c r="FK81" s="355"/>
      <c r="FL81" s="355"/>
      <c r="FM81" s="355"/>
      <c r="FN81" s="355"/>
      <c r="FO81" s="355"/>
      <c r="FP81" s="355"/>
      <c r="FQ81" s="355"/>
      <c r="FR81" s="355"/>
      <c r="FS81" s="355"/>
      <c r="FT81" s="355"/>
      <c r="FU81" s="355"/>
      <c r="FV81" s="355"/>
      <c r="FW81" s="355"/>
      <c r="FX81" s="360">
        <f>AVERAGE(EI81:EL81)</f>
        <v>0</v>
      </c>
      <c r="FY81" s="637"/>
      <c r="FZ81" s="360">
        <f t="shared" si="108"/>
        <v>0</v>
      </c>
      <c r="GA81" s="637"/>
      <c r="GB81" s="360">
        <f t="shared" si="109"/>
        <v>0</v>
      </c>
      <c r="GC81" s="637"/>
      <c r="GD81" s="360">
        <f t="shared" si="110"/>
        <v>0</v>
      </c>
      <c r="GE81" s="637"/>
      <c r="GF81" s="360">
        <f t="shared" si="111"/>
        <v>0</v>
      </c>
      <c r="GG81" s="637"/>
      <c r="GH81" s="640"/>
      <c r="GI81" s="206" t="s">
        <v>95</v>
      </c>
      <c r="GJ81" s="330">
        <f>GJ50</f>
        <v>0</v>
      </c>
      <c r="GK81" s="330">
        <f>GL50</f>
        <v>0</v>
      </c>
      <c r="GL81" s="330">
        <f>GN50</f>
        <v>0</v>
      </c>
      <c r="GM81" s="330">
        <f>GP50</f>
        <v>0</v>
      </c>
      <c r="GN81" s="331">
        <f>NPV($GO$53,GJ81:GM81)</f>
        <v>0</v>
      </c>
      <c r="GO81" s="331"/>
      <c r="GP81" s="635"/>
      <c r="GQ81" s="206"/>
      <c r="GR81" s="206"/>
      <c r="GS81" s="206"/>
    </row>
    <row r="82" spans="1:201" ht="14.65" customHeight="1" thickBot="1">
      <c r="A82" s="636"/>
      <c r="B82" s="208" t="s">
        <v>17</v>
      </c>
      <c r="C82" s="353">
        <f t="shared" si="99"/>
        <v>0</v>
      </c>
      <c r="D82" s="353">
        <f t="shared" si="99"/>
        <v>0</v>
      </c>
      <c r="E82" s="353">
        <f t="shared" si="99"/>
        <v>0</v>
      </c>
      <c r="F82" s="353">
        <f t="shared" si="99"/>
        <v>0</v>
      </c>
      <c r="G82" s="353">
        <f t="shared" si="99"/>
        <v>0</v>
      </c>
      <c r="H82" s="353">
        <f t="shared" si="99"/>
        <v>0</v>
      </c>
      <c r="I82" s="353">
        <f t="shared" si="99"/>
        <v>0</v>
      </c>
      <c r="J82" s="353">
        <f t="shared" si="99"/>
        <v>0</v>
      </c>
      <c r="K82" s="353">
        <f t="shared" si="99"/>
        <v>0</v>
      </c>
      <c r="L82" s="353">
        <f t="shared" si="99"/>
        <v>0</v>
      </c>
      <c r="M82" s="353">
        <f t="shared" si="99"/>
        <v>0</v>
      </c>
      <c r="N82" s="353">
        <f t="shared" si="99"/>
        <v>0</v>
      </c>
      <c r="O82" s="353">
        <f t="shared" si="99"/>
        <v>0</v>
      </c>
      <c r="P82" s="353">
        <f t="shared" si="99"/>
        <v>0</v>
      </c>
      <c r="Q82" s="353">
        <f t="shared" si="99"/>
        <v>0</v>
      </c>
      <c r="R82" s="353">
        <f t="shared" si="99"/>
        <v>0</v>
      </c>
      <c r="S82" s="353">
        <f t="shared" si="99"/>
        <v>0</v>
      </c>
      <c r="T82" s="353">
        <f t="shared" si="99"/>
        <v>0</v>
      </c>
      <c r="U82" s="353">
        <f t="shared" si="99"/>
        <v>0</v>
      </c>
      <c r="V82" s="353">
        <f t="shared" si="99"/>
        <v>0</v>
      </c>
      <c r="W82" s="353"/>
      <c r="X82" s="353"/>
      <c r="Y82" s="353"/>
      <c r="Z82" s="353"/>
      <c r="AA82" s="353"/>
      <c r="AB82" s="353"/>
      <c r="AC82" s="353"/>
      <c r="AD82" s="353"/>
      <c r="AE82" s="353"/>
      <c r="AF82" s="353"/>
      <c r="AG82" s="353"/>
      <c r="AH82" s="353"/>
      <c r="AI82" s="353"/>
      <c r="AJ82" s="353"/>
      <c r="AK82" s="353"/>
      <c r="AL82" s="353"/>
      <c r="AM82" s="353"/>
      <c r="AN82" s="353"/>
      <c r="AO82" s="353"/>
      <c r="AP82" s="353"/>
      <c r="AQ82" s="235">
        <f>SUM(C82:F82)</f>
        <v>0</v>
      </c>
      <c r="AR82" s="235">
        <f t="shared" si="100"/>
        <v>0</v>
      </c>
      <c r="AS82" s="235">
        <f t="shared" si="101"/>
        <v>0</v>
      </c>
      <c r="AT82" s="235">
        <f t="shared" si="102"/>
        <v>0</v>
      </c>
      <c r="AU82" s="235">
        <f t="shared" si="103"/>
        <v>0</v>
      </c>
      <c r="AV82" s="354"/>
      <c r="AW82" s="354"/>
      <c r="AX82" s="354"/>
      <c r="AY82" s="354"/>
      <c r="AZ82" s="354"/>
      <c r="BA82" s="354"/>
      <c r="BB82" s="354"/>
      <c r="BC82" s="354"/>
      <c r="BD82" s="354"/>
      <c r="BE82" s="354"/>
      <c r="BF82" s="354"/>
      <c r="BG82" s="206"/>
      <c r="BH82" s="330">
        <f t="shared" si="97"/>
        <v>8081934.2279830258</v>
      </c>
      <c r="BI82" s="206"/>
      <c r="BJ82" s="206"/>
      <c r="BK82" s="330">
        <f t="shared" si="98"/>
        <v>7378011.2845602995</v>
      </c>
      <c r="BL82" s="330">
        <f t="shared" si="98"/>
        <v>7111723.4868014185</v>
      </c>
      <c r="BM82" s="206"/>
      <c r="BN82" s="206"/>
      <c r="BO82" s="636"/>
      <c r="BP82" s="208" t="s">
        <v>17</v>
      </c>
      <c r="BQ82" s="355">
        <f t="shared" si="104"/>
        <v>0</v>
      </c>
      <c r="BR82" s="355">
        <f t="shared" si="104"/>
        <v>0</v>
      </c>
      <c r="BS82" s="355">
        <f t="shared" si="104"/>
        <v>0</v>
      </c>
      <c r="BT82" s="355">
        <f t="shared" si="104"/>
        <v>0</v>
      </c>
      <c r="BU82" s="355">
        <f t="shared" si="104"/>
        <v>0</v>
      </c>
      <c r="BV82" s="355">
        <f t="shared" si="104"/>
        <v>0</v>
      </c>
      <c r="BW82" s="355">
        <f t="shared" si="104"/>
        <v>0</v>
      </c>
      <c r="BX82" s="355">
        <f t="shared" si="104"/>
        <v>0</v>
      </c>
      <c r="BY82" s="355">
        <f t="shared" si="104"/>
        <v>0</v>
      </c>
      <c r="BZ82" s="355">
        <f t="shared" si="104"/>
        <v>0</v>
      </c>
      <c r="CA82" s="355">
        <f t="shared" si="104"/>
        <v>0</v>
      </c>
      <c r="CB82" s="355">
        <f t="shared" si="104"/>
        <v>0</v>
      </c>
      <c r="CC82" s="355">
        <f t="shared" si="104"/>
        <v>0</v>
      </c>
      <c r="CD82" s="355">
        <f t="shared" si="104"/>
        <v>0</v>
      </c>
      <c r="CE82" s="355">
        <f t="shared" si="104"/>
        <v>0</v>
      </c>
      <c r="CF82" s="355">
        <f t="shared" si="104"/>
        <v>0</v>
      </c>
      <c r="CG82" s="355">
        <f t="shared" si="104"/>
        <v>0</v>
      </c>
      <c r="CH82" s="355">
        <f t="shared" si="104"/>
        <v>0</v>
      </c>
      <c r="CI82" s="355">
        <f t="shared" si="104"/>
        <v>0</v>
      </c>
      <c r="CJ82" s="355">
        <f t="shared" si="104"/>
        <v>0</v>
      </c>
      <c r="CK82" s="355"/>
      <c r="CL82" s="355"/>
      <c r="CM82" s="355"/>
      <c r="CN82" s="355"/>
      <c r="CO82" s="355"/>
      <c r="CP82" s="355"/>
      <c r="CQ82" s="355"/>
      <c r="CR82" s="355"/>
      <c r="CS82" s="355"/>
      <c r="CT82" s="355"/>
      <c r="CU82" s="355"/>
      <c r="CV82" s="355"/>
      <c r="CW82" s="355"/>
      <c r="CX82" s="355"/>
      <c r="CY82" s="355"/>
      <c r="CZ82" s="355"/>
      <c r="DA82" s="355"/>
      <c r="DB82" s="355"/>
      <c r="DC82" s="355"/>
      <c r="DD82" s="355"/>
      <c r="DE82" s="234">
        <f t="shared" si="112"/>
        <v>0</v>
      </c>
      <c r="DF82" s="235">
        <f t="shared" si="113"/>
        <v>0</v>
      </c>
      <c r="DG82" s="235">
        <f t="shared" si="114"/>
        <v>0</v>
      </c>
      <c r="DH82" s="235">
        <f t="shared" si="115"/>
        <v>0</v>
      </c>
      <c r="DI82" s="236">
        <f t="shared" si="116"/>
        <v>0</v>
      </c>
      <c r="DJ82" s="356"/>
      <c r="DK82" s="356"/>
      <c r="DL82" s="356"/>
      <c r="DM82" s="356"/>
      <c r="DN82" s="356"/>
      <c r="DO82" s="234">
        <f t="shared" si="105"/>
        <v>0</v>
      </c>
      <c r="DP82" s="235">
        <f t="shared" si="105"/>
        <v>0</v>
      </c>
      <c r="DQ82" s="235">
        <f t="shared" si="105"/>
        <v>0</v>
      </c>
      <c r="DR82" s="235">
        <f t="shared" si="105"/>
        <v>0</v>
      </c>
      <c r="DS82" s="236">
        <f t="shared" si="105"/>
        <v>0</v>
      </c>
      <c r="DT82" s="357"/>
      <c r="DU82" s="357"/>
      <c r="DV82" s="357"/>
      <c r="DW82" s="357"/>
      <c r="DX82" s="357"/>
      <c r="DY82" s="357"/>
      <c r="DZ82" s="687"/>
      <c r="EA82" s="358">
        <f t="shared" si="117"/>
        <v>0</v>
      </c>
      <c r="EB82" s="358">
        <f t="shared" si="118"/>
        <v>0</v>
      </c>
      <c r="EC82" s="358">
        <f t="shared" si="119"/>
        <v>0</v>
      </c>
      <c r="ED82" s="358">
        <f t="shared" si="120"/>
        <v>0</v>
      </c>
      <c r="EE82" s="358">
        <f t="shared" si="121"/>
        <v>0</v>
      </c>
      <c r="EF82" s="328"/>
      <c r="EG82" s="636"/>
      <c r="EH82" s="361" t="s">
        <v>17</v>
      </c>
      <c r="EI82" s="355">
        <f t="shared" si="106"/>
        <v>0</v>
      </c>
      <c r="EJ82" s="355">
        <f t="shared" si="106"/>
        <v>0</v>
      </c>
      <c r="EK82" s="355">
        <f t="shared" si="106"/>
        <v>0</v>
      </c>
      <c r="EL82" s="355">
        <f t="shared" si="106"/>
        <v>0</v>
      </c>
      <c r="EM82" s="355">
        <f t="shared" si="106"/>
        <v>0</v>
      </c>
      <c r="EN82" s="355">
        <f t="shared" si="106"/>
        <v>0</v>
      </c>
      <c r="EO82" s="355">
        <f t="shared" si="106"/>
        <v>0</v>
      </c>
      <c r="EP82" s="355">
        <f t="shared" si="106"/>
        <v>0</v>
      </c>
      <c r="EQ82" s="355">
        <f t="shared" si="106"/>
        <v>0</v>
      </c>
      <c r="ER82" s="355">
        <f t="shared" si="106"/>
        <v>0</v>
      </c>
      <c r="ES82" s="355">
        <f t="shared" si="106"/>
        <v>0</v>
      </c>
      <c r="ET82" s="355">
        <f t="shared" si="106"/>
        <v>0</v>
      </c>
      <c r="EU82" s="355">
        <f t="shared" si="106"/>
        <v>0</v>
      </c>
      <c r="EV82" s="355">
        <f t="shared" si="106"/>
        <v>0</v>
      </c>
      <c r="EW82" s="355">
        <f t="shared" si="106"/>
        <v>0</v>
      </c>
      <c r="EX82" s="355">
        <f t="shared" si="106"/>
        <v>0</v>
      </c>
      <c r="EY82" s="355">
        <f t="shared" si="107"/>
        <v>0</v>
      </c>
      <c r="EZ82" s="355">
        <f t="shared" si="107"/>
        <v>0</v>
      </c>
      <c r="FA82" s="355">
        <f t="shared" si="107"/>
        <v>0</v>
      </c>
      <c r="FB82" s="355">
        <f t="shared" si="107"/>
        <v>0</v>
      </c>
      <c r="FC82" s="355"/>
      <c r="FD82" s="355"/>
      <c r="FE82" s="355"/>
      <c r="FF82" s="355"/>
      <c r="FG82" s="355"/>
      <c r="FH82" s="355"/>
      <c r="FI82" s="355"/>
      <c r="FJ82" s="355"/>
      <c r="FK82" s="355"/>
      <c r="FL82" s="355"/>
      <c r="FM82" s="355"/>
      <c r="FN82" s="355"/>
      <c r="FO82" s="355"/>
      <c r="FP82" s="355"/>
      <c r="FQ82" s="355"/>
      <c r="FR82" s="355"/>
      <c r="FS82" s="355"/>
      <c r="FT82" s="355"/>
      <c r="FU82" s="355"/>
      <c r="FV82" s="355"/>
      <c r="FW82" s="355"/>
      <c r="FX82" s="360">
        <f>AVERAGE(EI82:EL82)</f>
        <v>0</v>
      </c>
      <c r="FY82" s="637"/>
      <c r="FZ82" s="360">
        <f t="shared" si="108"/>
        <v>0</v>
      </c>
      <c r="GA82" s="637"/>
      <c r="GB82" s="360">
        <f t="shared" si="109"/>
        <v>0</v>
      </c>
      <c r="GC82" s="637"/>
      <c r="GD82" s="360">
        <f t="shared" si="110"/>
        <v>0</v>
      </c>
      <c r="GE82" s="637"/>
      <c r="GF82" s="360">
        <f t="shared" si="111"/>
        <v>0</v>
      </c>
      <c r="GG82" s="637"/>
      <c r="GH82" s="640"/>
      <c r="GI82" s="206" t="s">
        <v>76</v>
      </c>
      <c r="GJ82" s="330">
        <f>GJ51</f>
        <v>0</v>
      </c>
      <c r="GK82" s="330">
        <f>GL51</f>
        <v>0</v>
      </c>
      <c r="GL82" s="330">
        <f>GN51</f>
        <v>0</v>
      </c>
      <c r="GM82" s="330">
        <f>GP51</f>
        <v>0</v>
      </c>
      <c r="GN82" s="331">
        <f>NPV($GO$53,GJ82:GM82)</f>
        <v>0</v>
      </c>
      <c r="GO82" s="331"/>
      <c r="GP82" s="635"/>
      <c r="GQ82" s="206"/>
      <c r="GR82" s="206"/>
      <c r="GS82" s="206"/>
    </row>
    <row r="83" spans="1:201" ht="15" customHeight="1" thickBot="1">
      <c r="A83" s="636"/>
      <c r="B83" s="208" t="s">
        <v>18</v>
      </c>
      <c r="C83" s="353">
        <f t="shared" si="99"/>
        <v>0</v>
      </c>
      <c r="D83" s="353">
        <f t="shared" si="99"/>
        <v>0</v>
      </c>
      <c r="E83" s="353">
        <f t="shared" si="99"/>
        <v>0</v>
      </c>
      <c r="F83" s="353">
        <f t="shared" si="99"/>
        <v>0</v>
      </c>
      <c r="G83" s="353">
        <f t="shared" si="99"/>
        <v>0</v>
      </c>
      <c r="H83" s="353">
        <f t="shared" si="99"/>
        <v>0</v>
      </c>
      <c r="I83" s="353">
        <f t="shared" si="99"/>
        <v>0</v>
      </c>
      <c r="J83" s="353">
        <f t="shared" si="99"/>
        <v>0</v>
      </c>
      <c r="K83" s="353">
        <f t="shared" si="99"/>
        <v>0</v>
      </c>
      <c r="L83" s="353">
        <f t="shared" si="99"/>
        <v>0</v>
      </c>
      <c r="M83" s="353">
        <f t="shared" si="99"/>
        <v>0</v>
      </c>
      <c r="N83" s="353">
        <f t="shared" si="99"/>
        <v>0</v>
      </c>
      <c r="O83" s="353">
        <f t="shared" si="99"/>
        <v>0</v>
      </c>
      <c r="P83" s="353">
        <f t="shared" si="99"/>
        <v>0</v>
      </c>
      <c r="Q83" s="353">
        <f t="shared" si="99"/>
        <v>0</v>
      </c>
      <c r="R83" s="353">
        <f t="shared" si="99"/>
        <v>0</v>
      </c>
      <c r="S83" s="353">
        <f t="shared" si="99"/>
        <v>0</v>
      </c>
      <c r="T83" s="353">
        <f t="shared" si="99"/>
        <v>0</v>
      </c>
      <c r="U83" s="353">
        <f t="shared" si="99"/>
        <v>0</v>
      </c>
      <c r="V83" s="353">
        <f t="shared" si="99"/>
        <v>0</v>
      </c>
      <c r="W83" s="353"/>
      <c r="X83" s="353"/>
      <c r="Y83" s="353"/>
      <c r="Z83" s="353"/>
      <c r="AA83" s="353"/>
      <c r="AB83" s="353"/>
      <c r="AC83" s="353"/>
      <c r="AD83" s="353"/>
      <c r="AE83" s="353"/>
      <c r="AF83" s="353"/>
      <c r="AG83" s="353"/>
      <c r="AH83" s="353"/>
      <c r="AI83" s="353"/>
      <c r="AJ83" s="353"/>
      <c r="AK83" s="353"/>
      <c r="AL83" s="353"/>
      <c r="AM83" s="353"/>
      <c r="AN83" s="353"/>
      <c r="AO83" s="353"/>
      <c r="AP83" s="353"/>
      <c r="AQ83" s="235">
        <f>SUM(C83:F83)</f>
        <v>0</v>
      </c>
      <c r="AR83" s="235">
        <f t="shared" si="100"/>
        <v>0</v>
      </c>
      <c r="AS83" s="235">
        <f t="shared" si="101"/>
        <v>0</v>
      </c>
      <c r="AT83" s="235">
        <f t="shared" si="102"/>
        <v>0</v>
      </c>
      <c r="AU83" s="235">
        <f t="shared" si="103"/>
        <v>0</v>
      </c>
      <c r="AV83" s="354"/>
      <c r="AW83" s="354"/>
      <c r="AX83" s="354"/>
      <c r="AY83" s="354"/>
      <c r="AZ83" s="354"/>
      <c r="BA83" s="354"/>
      <c r="BB83" s="354"/>
      <c r="BC83" s="354"/>
      <c r="BD83" s="354"/>
      <c r="BE83" s="354"/>
      <c r="BF83" s="354"/>
      <c r="BG83" s="206"/>
      <c r="BH83" s="330">
        <f t="shared" si="97"/>
        <v>4637501.9669408584</v>
      </c>
      <c r="BI83" s="206"/>
      <c r="BJ83" s="206"/>
      <c r="BK83" s="330">
        <f t="shared" si="98"/>
        <v>3916507.2117750896</v>
      </c>
      <c r="BL83" s="330">
        <f t="shared" si="98"/>
        <v>3617917.6882811477</v>
      </c>
      <c r="BM83" s="206"/>
      <c r="BN83" s="206"/>
      <c r="BO83" s="636"/>
      <c r="BP83" s="208" t="s">
        <v>18</v>
      </c>
      <c r="BQ83" s="355">
        <f t="shared" si="104"/>
        <v>0</v>
      </c>
      <c r="BR83" s="355">
        <f t="shared" si="104"/>
        <v>0</v>
      </c>
      <c r="BS83" s="355">
        <f t="shared" si="104"/>
        <v>0</v>
      </c>
      <c r="BT83" s="355">
        <f t="shared" si="104"/>
        <v>0</v>
      </c>
      <c r="BU83" s="355">
        <f t="shared" si="104"/>
        <v>0</v>
      </c>
      <c r="BV83" s="355">
        <f t="shared" si="104"/>
        <v>0</v>
      </c>
      <c r="BW83" s="355">
        <f t="shared" si="104"/>
        <v>0</v>
      </c>
      <c r="BX83" s="355">
        <f t="shared" si="104"/>
        <v>0</v>
      </c>
      <c r="BY83" s="355">
        <f t="shared" si="104"/>
        <v>0</v>
      </c>
      <c r="BZ83" s="355">
        <f t="shared" si="104"/>
        <v>0</v>
      </c>
      <c r="CA83" s="355">
        <f t="shared" si="104"/>
        <v>0</v>
      </c>
      <c r="CB83" s="355">
        <f t="shared" si="104"/>
        <v>0</v>
      </c>
      <c r="CC83" s="355">
        <f t="shared" si="104"/>
        <v>0</v>
      </c>
      <c r="CD83" s="355">
        <f t="shared" si="104"/>
        <v>0</v>
      </c>
      <c r="CE83" s="355">
        <f t="shared" si="104"/>
        <v>0</v>
      </c>
      <c r="CF83" s="355">
        <f t="shared" si="104"/>
        <v>0</v>
      </c>
      <c r="CG83" s="355">
        <f t="shared" si="104"/>
        <v>0</v>
      </c>
      <c r="CH83" s="355">
        <f t="shared" si="104"/>
        <v>0</v>
      </c>
      <c r="CI83" s="355">
        <f t="shared" si="104"/>
        <v>0</v>
      </c>
      <c r="CJ83" s="355">
        <f t="shared" si="104"/>
        <v>0</v>
      </c>
      <c r="CK83" s="355"/>
      <c r="CL83" s="355"/>
      <c r="CM83" s="355"/>
      <c r="CN83" s="355"/>
      <c r="CO83" s="355"/>
      <c r="CP83" s="355"/>
      <c r="CQ83" s="355"/>
      <c r="CR83" s="355"/>
      <c r="CS83" s="355"/>
      <c r="CT83" s="355"/>
      <c r="CU83" s="355"/>
      <c r="CV83" s="355"/>
      <c r="CW83" s="355"/>
      <c r="CX83" s="355"/>
      <c r="CY83" s="355"/>
      <c r="CZ83" s="355"/>
      <c r="DA83" s="355"/>
      <c r="DB83" s="355"/>
      <c r="DC83" s="355"/>
      <c r="DD83" s="355"/>
      <c r="DE83" s="234">
        <f t="shared" si="112"/>
        <v>0</v>
      </c>
      <c r="DF83" s="235">
        <f t="shared" si="113"/>
        <v>0</v>
      </c>
      <c r="DG83" s="235">
        <f t="shared" si="114"/>
        <v>0</v>
      </c>
      <c r="DH83" s="235">
        <f t="shared" si="115"/>
        <v>0</v>
      </c>
      <c r="DI83" s="236">
        <f t="shared" si="116"/>
        <v>0</v>
      </c>
      <c r="DJ83" s="356"/>
      <c r="DK83" s="356"/>
      <c r="DL83" s="356"/>
      <c r="DM83" s="356"/>
      <c r="DN83" s="356"/>
      <c r="DO83" s="234">
        <f t="shared" si="105"/>
        <v>0</v>
      </c>
      <c r="DP83" s="235">
        <f t="shared" si="105"/>
        <v>0</v>
      </c>
      <c r="DQ83" s="235">
        <f t="shared" si="105"/>
        <v>0</v>
      </c>
      <c r="DR83" s="235">
        <f t="shared" si="105"/>
        <v>0</v>
      </c>
      <c r="DS83" s="236">
        <f t="shared" si="105"/>
        <v>0</v>
      </c>
      <c r="DT83" s="357"/>
      <c r="DU83" s="357"/>
      <c r="DV83" s="357"/>
      <c r="DW83" s="357"/>
      <c r="DX83" s="357"/>
      <c r="DY83" s="357"/>
      <c r="DZ83" s="688"/>
      <c r="EA83" s="362">
        <f t="shared" si="117"/>
        <v>0</v>
      </c>
      <c r="EB83" s="358">
        <f t="shared" si="118"/>
        <v>0</v>
      </c>
      <c r="EC83" s="358">
        <f t="shared" si="119"/>
        <v>0</v>
      </c>
      <c r="ED83" s="358">
        <f t="shared" si="120"/>
        <v>0</v>
      </c>
      <c r="EE83" s="358">
        <f t="shared" si="121"/>
        <v>0</v>
      </c>
      <c r="EF83" s="328"/>
      <c r="EG83" s="636"/>
      <c r="EH83" s="361" t="s">
        <v>18</v>
      </c>
      <c r="EI83" s="355">
        <f t="shared" si="106"/>
        <v>0</v>
      </c>
      <c r="EJ83" s="355">
        <f t="shared" si="106"/>
        <v>0</v>
      </c>
      <c r="EK83" s="355">
        <f t="shared" si="106"/>
        <v>0</v>
      </c>
      <c r="EL83" s="355">
        <f t="shared" si="106"/>
        <v>0</v>
      </c>
      <c r="EM83" s="355">
        <f t="shared" si="106"/>
        <v>0</v>
      </c>
      <c r="EN83" s="355">
        <f t="shared" si="106"/>
        <v>0</v>
      </c>
      <c r="EO83" s="355">
        <f t="shared" si="106"/>
        <v>0</v>
      </c>
      <c r="EP83" s="355">
        <f t="shared" si="106"/>
        <v>0</v>
      </c>
      <c r="EQ83" s="355">
        <f t="shared" si="106"/>
        <v>0</v>
      </c>
      <c r="ER83" s="355">
        <f t="shared" si="106"/>
        <v>0</v>
      </c>
      <c r="ES83" s="355">
        <f t="shared" si="106"/>
        <v>0</v>
      </c>
      <c r="ET83" s="355">
        <f t="shared" si="106"/>
        <v>0</v>
      </c>
      <c r="EU83" s="355">
        <f t="shared" si="106"/>
        <v>0</v>
      </c>
      <c r="EV83" s="355">
        <f t="shared" si="106"/>
        <v>0</v>
      </c>
      <c r="EW83" s="355">
        <f t="shared" si="106"/>
        <v>0</v>
      </c>
      <c r="EX83" s="355">
        <f t="shared" si="106"/>
        <v>0</v>
      </c>
      <c r="EY83" s="355">
        <f t="shared" si="107"/>
        <v>0</v>
      </c>
      <c r="EZ83" s="355">
        <f t="shared" si="107"/>
        <v>0</v>
      </c>
      <c r="FA83" s="355">
        <f t="shared" si="107"/>
        <v>0</v>
      </c>
      <c r="FB83" s="355">
        <f t="shared" si="107"/>
        <v>0</v>
      </c>
      <c r="FC83" s="355"/>
      <c r="FD83" s="355"/>
      <c r="FE83" s="355"/>
      <c r="FF83" s="355"/>
      <c r="FG83" s="355"/>
      <c r="FH83" s="355"/>
      <c r="FI83" s="355"/>
      <c r="FJ83" s="355"/>
      <c r="FK83" s="355"/>
      <c r="FL83" s="355"/>
      <c r="FM83" s="355"/>
      <c r="FN83" s="355"/>
      <c r="FO83" s="355"/>
      <c r="FP83" s="355"/>
      <c r="FQ83" s="355"/>
      <c r="FR83" s="355"/>
      <c r="FS83" s="355"/>
      <c r="FT83" s="355"/>
      <c r="FU83" s="355"/>
      <c r="FV83" s="355"/>
      <c r="FW83" s="355"/>
      <c r="FX83" s="360">
        <f>AVERAGE(EI83:EL83)</f>
        <v>0</v>
      </c>
      <c r="FY83" s="637"/>
      <c r="FZ83" s="363">
        <f t="shared" si="108"/>
        <v>0</v>
      </c>
      <c r="GA83" s="637"/>
      <c r="GB83" s="364">
        <f t="shared" si="109"/>
        <v>0</v>
      </c>
      <c r="GC83" s="637"/>
      <c r="GD83" s="364">
        <f t="shared" si="110"/>
        <v>0</v>
      </c>
      <c r="GE83" s="637"/>
      <c r="GF83" s="364">
        <f t="shared" si="111"/>
        <v>0</v>
      </c>
      <c r="GG83" s="637"/>
      <c r="GH83" s="640"/>
      <c r="GI83" s="206" t="s">
        <v>96</v>
      </c>
      <c r="GJ83" s="330">
        <f>GJ52</f>
        <v>0</v>
      </c>
      <c r="GK83" s="330">
        <f>GL52</f>
        <v>0</v>
      </c>
      <c r="GL83" s="330">
        <f>GN52</f>
        <v>0</v>
      </c>
      <c r="GM83" s="330">
        <f>GP52</f>
        <v>0</v>
      </c>
      <c r="GN83" s="331">
        <f>NPV($GO$53,GJ83:GM83)</f>
        <v>0</v>
      </c>
      <c r="GO83" s="331"/>
      <c r="GP83" s="635"/>
      <c r="GQ83" s="206"/>
      <c r="GR83" s="206"/>
      <c r="GS83" s="206"/>
    </row>
    <row r="84" spans="1:201" ht="15" customHeight="1" thickBot="1">
      <c r="A84" s="636"/>
      <c r="B84" s="208" t="s">
        <v>19</v>
      </c>
      <c r="C84" s="353">
        <f t="shared" si="99"/>
        <v>0</v>
      </c>
      <c r="D84" s="353">
        <f t="shared" si="99"/>
        <v>0</v>
      </c>
      <c r="E84" s="353">
        <f t="shared" si="99"/>
        <v>0</v>
      </c>
      <c r="F84" s="353">
        <f t="shared" si="99"/>
        <v>0</v>
      </c>
      <c r="G84" s="353">
        <f t="shared" si="99"/>
        <v>0</v>
      </c>
      <c r="H84" s="353">
        <f t="shared" si="99"/>
        <v>0</v>
      </c>
      <c r="I84" s="353">
        <f t="shared" si="99"/>
        <v>0</v>
      </c>
      <c r="J84" s="353">
        <f t="shared" si="99"/>
        <v>0</v>
      </c>
      <c r="K84" s="353">
        <f t="shared" si="99"/>
        <v>0</v>
      </c>
      <c r="L84" s="353">
        <f t="shared" si="99"/>
        <v>0</v>
      </c>
      <c r="M84" s="353">
        <f t="shared" si="99"/>
        <v>0</v>
      </c>
      <c r="N84" s="353">
        <f t="shared" si="99"/>
        <v>0</v>
      </c>
      <c r="O84" s="353">
        <f t="shared" si="99"/>
        <v>0</v>
      </c>
      <c r="P84" s="353">
        <f t="shared" si="99"/>
        <v>0</v>
      </c>
      <c r="Q84" s="353">
        <f t="shared" si="99"/>
        <v>0</v>
      </c>
      <c r="R84" s="353">
        <f t="shared" si="99"/>
        <v>0</v>
      </c>
      <c r="S84" s="353">
        <f t="shared" si="99"/>
        <v>0</v>
      </c>
      <c r="T84" s="353">
        <f t="shared" si="99"/>
        <v>0</v>
      </c>
      <c r="U84" s="353">
        <f t="shared" si="99"/>
        <v>0</v>
      </c>
      <c r="V84" s="353">
        <f t="shared" si="99"/>
        <v>0</v>
      </c>
      <c r="W84" s="353"/>
      <c r="X84" s="353"/>
      <c r="Y84" s="353"/>
      <c r="Z84" s="353"/>
      <c r="AA84" s="353"/>
      <c r="AB84" s="353"/>
      <c r="AC84" s="353"/>
      <c r="AD84" s="353"/>
      <c r="AE84" s="353"/>
      <c r="AF84" s="353"/>
      <c r="AG84" s="353"/>
      <c r="AH84" s="353"/>
      <c r="AI84" s="353"/>
      <c r="AJ84" s="353"/>
      <c r="AK84" s="353"/>
      <c r="AL84" s="353"/>
      <c r="AM84" s="353"/>
      <c r="AN84" s="353"/>
      <c r="AO84" s="353"/>
      <c r="AP84" s="353"/>
      <c r="AQ84" s="235">
        <f>SUM(C84:F84)</f>
        <v>0</v>
      </c>
      <c r="AR84" s="235">
        <f t="shared" si="100"/>
        <v>0</v>
      </c>
      <c r="AS84" s="235">
        <f t="shared" si="101"/>
        <v>0</v>
      </c>
      <c r="AT84" s="235">
        <f t="shared" si="102"/>
        <v>0</v>
      </c>
      <c r="AU84" s="235">
        <f t="shared" si="103"/>
        <v>0</v>
      </c>
      <c r="AV84" s="354"/>
      <c r="AW84" s="354"/>
      <c r="AX84" s="354"/>
      <c r="AY84" s="354"/>
      <c r="AZ84" s="354"/>
      <c r="BA84" s="354"/>
      <c r="BB84" s="354"/>
      <c r="BC84" s="354"/>
      <c r="BD84" s="354"/>
      <c r="BE84" s="354"/>
      <c r="BF84" s="354"/>
      <c r="BG84" s="206"/>
      <c r="BH84" s="330">
        <f t="shared" si="97"/>
        <v>-3447532.7999999993</v>
      </c>
      <c r="BI84" s="206"/>
      <c r="BJ84" s="206"/>
      <c r="BK84" s="330">
        <f t="shared" si="98"/>
        <v>8102079.9031188302</v>
      </c>
      <c r="BL84" s="330">
        <f t="shared" si="98"/>
        <v>7927001.5886441162</v>
      </c>
      <c r="BM84" s="206"/>
      <c r="BN84" s="206"/>
      <c r="BO84" s="636"/>
      <c r="BP84" s="208" t="s">
        <v>19</v>
      </c>
      <c r="BQ84" s="355">
        <f t="shared" si="104"/>
        <v>0</v>
      </c>
      <c r="BR84" s="355">
        <f t="shared" si="104"/>
        <v>0</v>
      </c>
      <c r="BS84" s="355">
        <f t="shared" si="104"/>
        <v>0</v>
      </c>
      <c r="BT84" s="355">
        <f t="shared" si="104"/>
        <v>0</v>
      </c>
      <c r="BU84" s="355">
        <f t="shared" si="104"/>
        <v>0</v>
      </c>
      <c r="BV84" s="355">
        <f t="shared" si="104"/>
        <v>0</v>
      </c>
      <c r="BW84" s="355">
        <f t="shared" si="104"/>
        <v>0</v>
      </c>
      <c r="BX84" s="355">
        <f t="shared" si="104"/>
        <v>0</v>
      </c>
      <c r="BY84" s="355">
        <f t="shared" si="104"/>
        <v>0</v>
      </c>
      <c r="BZ84" s="355">
        <f t="shared" si="104"/>
        <v>0</v>
      </c>
      <c r="CA84" s="355">
        <f t="shared" si="104"/>
        <v>0</v>
      </c>
      <c r="CB84" s="355">
        <f t="shared" si="104"/>
        <v>0</v>
      </c>
      <c r="CC84" s="355">
        <f t="shared" si="104"/>
        <v>0</v>
      </c>
      <c r="CD84" s="355">
        <f t="shared" si="104"/>
        <v>0</v>
      </c>
      <c r="CE84" s="355">
        <f t="shared" si="104"/>
        <v>0</v>
      </c>
      <c r="CF84" s="355">
        <f t="shared" si="104"/>
        <v>0</v>
      </c>
      <c r="CG84" s="355">
        <f t="shared" si="104"/>
        <v>0</v>
      </c>
      <c r="CH84" s="355">
        <f t="shared" si="104"/>
        <v>0</v>
      </c>
      <c r="CI84" s="355">
        <f t="shared" si="104"/>
        <v>0</v>
      </c>
      <c r="CJ84" s="355">
        <f t="shared" si="104"/>
        <v>0</v>
      </c>
      <c r="CK84" s="355"/>
      <c r="CL84" s="355"/>
      <c r="CM84" s="355"/>
      <c r="CN84" s="355"/>
      <c r="CO84" s="355"/>
      <c r="CP84" s="355"/>
      <c r="CQ84" s="355"/>
      <c r="CR84" s="355"/>
      <c r="CS84" s="355"/>
      <c r="CT84" s="355"/>
      <c r="CU84" s="355"/>
      <c r="CV84" s="355"/>
      <c r="CW84" s="355"/>
      <c r="CX84" s="355"/>
      <c r="CY84" s="355"/>
      <c r="CZ84" s="355"/>
      <c r="DA84" s="355"/>
      <c r="DB84" s="355"/>
      <c r="DC84" s="355"/>
      <c r="DD84" s="355"/>
      <c r="DE84" s="234">
        <f t="shared" si="112"/>
        <v>0</v>
      </c>
      <c r="DF84" s="235">
        <f t="shared" si="113"/>
        <v>0</v>
      </c>
      <c r="DG84" s="235">
        <f t="shared" si="114"/>
        <v>0</v>
      </c>
      <c r="DH84" s="235">
        <f t="shared" si="115"/>
        <v>0</v>
      </c>
      <c r="DI84" s="236">
        <f t="shared" si="116"/>
        <v>0</v>
      </c>
      <c r="DJ84" s="356"/>
      <c r="DK84" s="356"/>
      <c r="DL84" s="356"/>
      <c r="DM84" s="356"/>
      <c r="DN84" s="356"/>
      <c r="DO84" s="234">
        <f t="shared" si="105"/>
        <v>0</v>
      </c>
      <c r="DP84" s="235">
        <f t="shared" si="105"/>
        <v>0</v>
      </c>
      <c r="DQ84" s="235">
        <f t="shared" si="105"/>
        <v>0</v>
      </c>
      <c r="DR84" s="235">
        <f t="shared" si="105"/>
        <v>0</v>
      </c>
      <c r="DS84" s="236">
        <f t="shared" si="105"/>
        <v>0</v>
      </c>
      <c r="DT84" s="357"/>
      <c r="DU84" s="357"/>
      <c r="DV84" s="357"/>
      <c r="DW84" s="357"/>
      <c r="DX84" s="357"/>
      <c r="DY84" s="357"/>
      <c r="DZ84" s="689">
        <v>2</v>
      </c>
      <c r="EA84" s="365"/>
      <c r="EB84" s="358">
        <f t="shared" si="118"/>
        <v>0</v>
      </c>
      <c r="EC84" s="358">
        <f t="shared" si="119"/>
        <v>0</v>
      </c>
      <c r="ED84" s="358">
        <f t="shared" si="120"/>
        <v>0</v>
      </c>
      <c r="EE84" s="358">
        <f t="shared" si="121"/>
        <v>0</v>
      </c>
      <c r="EF84" s="328"/>
      <c r="EG84" s="636"/>
      <c r="EH84" s="361" t="s">
        <v>19</v>
      </c>
      <c r="EI84" s="355">
        <f t="shared" si="106"/>
        <v>0</v>
      </c>
      <c r="EJ84" s="355">
        <f t="shared" si="106"/>
        <v>0</v>
      </c>
      <c r="EK84" s="355">
        <f t="shared" si="106"/>
        <v>0</v>
      </c>
      <c r="EL84" s="355">
        <f t="shared" si="106"/>
        <v>0</v>
      </c>
      <c r="EM84" s="355">
        <f t="shared" si="106"/>
        <v>0</v>
      </c>
      <c r="EN84" s="355">
        <f t="shared" si="106"/>
        <v>0</v>
      </c>
      <c r="EO84" s="355">
        <f t="shared" si="106"/>
        <v>0</v>
      </c>
      <c r="EP84" s="355">
        <f t="shared" si="106"/>
        <v>0</v>
      </c>
      <c r="EQ84" s="355">
        <f t="shared" si="106"/>
        <v>0</v>
      </c>
      <c r="ER84" s="355">
        <f t="shared" si="106"/>
        <v>0</v>
      </c>
      <c r="ES84" s="355">
        <f t="shared" si="106"/>
        <v>0</v>
      </c>
      <c r="ET84" s="355">
        <f t="shared" si="106"/>
        <v>0</v>
      </c>
      <c r="EU84" s="355">
        <f t="shared" si="106"/>
        <v>0</v>
      </c>
      <c r="EV84" s="355">
        <f t="shared" si="106"/>
        <v>0</v>
      </c>
      <c r="EW84" s="355">
        <f t="shared" si="106"/>
        <v>0</v>
      </c>
      <c r="EX84" s="355">
        <f t="shared" si="106"/>
        <v>0</v>
      </c>
      <c r="EY84" s="355">
        <f t="shared" si="107"/>
        <v>0</v>
      </c>
      <c r="EZ84" s="355">
        <f t="shared" si="107"/>
        <v>0</v>
      </c>
      <c r="FA84" s="355">
        <f t="shared" si="107"/>
        <v>0</v>
      </c>
      <c r="FB84" s="355">
        <f t="shared" si="107"/>
        <v>0</v>
      </c>
      <c r="FC84" s="355"/>
      <c r="FD84" s="355"/>
      <c r="FE84" s="355"/>
      <c r="FF84" s="355"/>
      <c r="FG84" s="355"/>
      <c r="FH84" s="355"/>
      <c r="FI84" s="355"/>
      <c r="FJ84" s="355"/>
      <c r="FK84" s="355"/>
      <c r="FL84" s="355"/>
      <c r="FM84" s="355"/>
      <c r="FN84" s="355"/>
      <c r="FO84" s="355"/>
      <c r="FP84" s="355"/>
      <c r="FQ84" s="355"/>
      <c r="FR84" s="355"/>
      <c r="FS84" s="355"/>
      <c r="FT84" s="355"/>
      <c r="FU84" s="355"/>
      <c r="FV84" s="355"/>
      <c r="FW84" s="355"/>
      <c r="FX84" s="360">
        <f>AVERAGE(EI84:EL84)</f>
        <v>0</v>
      </c>
      <c r="FY84" s="637"/>
      <c r="FZ84" s="366">
        <f t="shared" si="108"/>
        <v>0</v>
      </c>
      <c r="GA84" s="658"/>
      <c r="GB84" s="367">
        <f t="shared" si="109"/>
        <v>0</v>
      </c>
      <c r="GC84" s="658"/>
      <c r="GD84" s="367">
        <f t="shared" si="110"/>
        <v>0</v>
      </c>
      <c r="GE84" s="658"/>
      <c r="GF84" s="367">
        <f t="shared" si="111"/>
        <v>0</v>
      </c>
      <c r="GG84" s="658"/>
      <c r="GH84" s="641"/>
      <c r="GI84" s="206"/>
      <c r="GJ84" s="206"/>
      <c r="GK84" s="206"/>
      <c r="GL84" s="206"/>
      <c r="GM84" s="206"/>
      <c r="GN84" s="206"/>
      <c r="GO84" s="206"/>
      <c r="GP84" s="635"/>
      <c r="GQ84" s="206"/>
      <c r="GR84" s="206"/>
      <c r="GS84" s="206"/>
    </row>
    <row r="85" spans="1:201" ht="15" customHeight="1" thickBot="1">
      <c r="A85" s="636">
        <v>2</v>
      </c>
      <c r="B85" s="208" t="s">
        <v>20</v>
      </c>
      <c r="C85" s="353">
        <f t="shared" si="99"/>
        <v>0</v>
      </c>
      <c r="D85" s="353">
        <f t="shared" si="99"/>
        <v>0</v>
      </c>
      <c r="E85" s="353">
        <f t="shared" si="99"/>
        <v>0</v>
      </c>
      <c r="F85" s="353">
        <f t="shared" si="99"/>
        <v>0</v>
      </c>
      <c r="G85" s="353">
        <f t="shared" si="99"/>
        <v>0</v>
      </c>
      <c r="H85" s="353">
        <f t="shared" si="99"/>
        <v>0</v>
      </c>
      <c r="I85" s="353">
        <f t="shared" si="99"/>
        <v>0</v>
      </c>
      <c r="J85" s="353">
        <f t="shared" si="99"/>
        <v>0</v>
      </c>
      <c r="K85" s="353">
        <f t="shared" si="99"/>
        <v>0</v>
      </c>
      <c r="L85" s="353">
        <f t="shared" si="99"/>
        <v>0</v>
      </c>
      <c r="M85" s="353">
        <f t="shared" si="99"/>
        <v>0</v>
      </c>
      <c r="N85" s="353">
        <f t="shared" si="99"/>
        <v>0</v>
      </c>
      <c r="O85" s="353">
        <f t="shared" si="99"/>
        <v>0</v>
      </c>
      <c r="P85" s="353">
        <f t="shared" si="99"/>
        <v>0</v>
      </c>
      <c r="Q85" s="353">
        <f t="shared" si="99"/>
        <v>0</v>
      </c>
      <c r="R85" s="353">
        <f t="shared" si="99"/>
        <v>0</v>
      </c>
      <c r="S85" s="353">
        <f t="shared" si="99"/>
        <v>0</v>
      </c>
      <c r="T85" s="353">
        <f t="shared" si="99"/>
        <v>0</v>
      </c>
      <c r="U85" s="353">
        <f t="shared" si="99"/>
        <v>0</v>
      </c>
      <c r="V85" s="353">
        <f t="shared" si="99"/>
        <v>0</v>
      </c>
      <c r="W85" s="353"/>
      <c r="X85" s="353"/>
      <c r="Y85" s="353"/>
      <c r="Z85" s="353"/>
      <c r="AA85" s="353"/>
      <c r="AB85" s="353"/>
      <c r="AC85" s="353"/>
      <c r="AD85" s="353"/>
      <c r="AE85" s="353"/>
      <c r="AF85" s="353"/>
      <c r="AG85" s="353"/>
      <c r="AH85" s="353"/>
      <c r="AI85" s="353"/>
      <c r="AJ85" s="353"/>
      <c r="AK85" s="353"/>
      <c r="AL85" s="353"/>
      <c r="AM85" s="353"/>
      <c r="AN85" s="353"/>
      <c r="AO85" s="353"/>
      <c r="AP85" s="353"/>
      <c r="AQ85" s="642"/>
      <c r="AR85" s="235">
        <f t="shared" si="100"/>
        <v>0</v>
      </c>
      <c r="AS85" s="235">
        <f t="shared" si="101"/>
        <v>0</v>
      </c>
      <c r="AT85" s="235">
        <f t="shared" si="102"/>
        <v>0</v>
      </c>
      <c r="AU85" s="235">
        <f t="shared" si="103"/>
        <v>0</v>
      </c>
      <c r="AV85" s="354"/>
      <c r="AW85" s="354"/>
      <c r="AX85" s="354"/>
      <c r="AY85" s="354"/>
      <c r="AZ85" s="354"/>
      <c r="BA85" s="354"/>
      <c r="BB85" s="354"/>
      <c r="BC85" s="354"/>
      <c r="BD85" s="354"/>
      <c r="BE85" s="354"/>
      <c r="BF85" s="354"/>
      <c r="BG85" s="206"/>
      <c r="BH85" s="330"/>
      <c r="BI85" s="206"/>
      <c r="BJ85" s="206"/>
      <c r="BK85" s="330">
        <f t="shared" si="98"/>
        <v>4410846.334752474</v>
      </c>
      <c r="BL85" s="330">
        <f t="shared" si="98"/>
        <v>4184425.9325605072</v>
      </c>
      <c r="BM85" s="206"/>
      <c r="BN85" s="206"/>
      <c r="BO85" s="636">
        <v>2</v>
      </c>
      <c r="BP85" s="208" t="s">
        <v>20</v>
      </c>
      <c r="BQ85" s="355">
        <f t="shared" si="104"/>
        <v>0</v>
      </c>
      <c r="BR85" s="355">
        <f t="shared" si="104"/>
        <v>0</v>
      </c>
      <c r="BS85" s="355">
        <f t="shared" si="104"/>
        <v>0</v>
      </c>
      <c r="BT85" s="355">
        <f t="shared" si="104"/>
        <v>0</v>
      </c>
      <c r="BU85" s="355">
        <f t="shared" si="104"/>
        <v>0</v>
      </c>
      <c r="BV85" s="355">
        <f t="shared" si="104"/>
        <v>0</v>
      </c>
      <c r="BW85" s="355">
        <f t="shared" si="104"/>
        <v>0</v>
      </c>
      <c r="BX85" s="355">
        <f t="shared" si="104"/>
        <v>0</v>
      </c>
      <c r="BY85" s="355">
        <f t="shared" si="104"/>
        <v>0</v>
      </c>
      <c r="BZ85" s="355">
        <f t="shared" si="104"/>
        <v>0</v>
      </c>
      <c r="CA85" s="355">
        <f t="shared" si="104"/>
        <v>0</v>
      </c>
      <c r="CB85" s="355">
        <f t="shared" si="104"/>
        <v>0</v>
      </c>
      <c r="CC85" s="355">
        <f t="shared" si="104"/>
        <v>0</v>
      </c>
      <c r="CD85" s="355">
        <f t="shared" si="104"/>
        <v>0</v>
      </c>
      <c r="CE85" s="355">
        <f t="shared" si="104"/>
        <v>0</v>
      </c>
      <c r="CF85" s="355">
        <f t="shared" si="104"/>
        <v>0</v>
      </c>
      <c r="CG85" s="355">
        <f t="shared" si="104"/>
        <v>0</v>
      </c>
      <c r="CH85" s="355">
        <f t="shared" si="104"/>
        <v>0</v>
      </c>
      <c r="CI85" s="355">
        <f t="shared" si="104"/>
        <v>0</v>
      </c>
      <c r="CJ85" s="355">
        <f t="shared" si="104"/>
        <v>0</v>
      </c>
      <c r="CK85" s="355"/>
      <c r="CL85" s="355"/>
      <c r="CM85" s="355"/>
      <c r="CN85" s="355"/>
      <c r="CO85" s="355"/>
      <c r="CP85" s="355"/>
      <c r="CQ85" s="355"/>
      <c r="CR85" s="355"/>
      <c r="CS85" s="355"/>
      <c r="CT85" s="355"/>
      <c r="CU85" s="355"/>
      <c r="CV85" s="355"/>
      <c r="CW85" s="355"/>
      <c r="CX85" s="355"/>
      <c r="CY85" s="355"/>
      <c r="CZ85" s="355"/>
      <c r="DA85" s="355"/>
      <c r="DB85" s="355"/>
      <c r="DC85" s="355"/>
      <c r="DD85" s="355"/>
      <c r="DE85" s="653"/>
      <c r="DF85" s="235">
        <f t="shared" si="113"/>
        <v>0</v>
      </c>
      <c r="DG85" s="235">
        <f t="shared" si="114"/>
        <v>0</v>
      </c>
      <c r="DH85" s="235">
        <f t="shared" si="115"/>
        <v>0</v>
      </c>
      <c r="DI85" s="236">
        <f t="shared" si="116"/>
        <v>0</v>
      </c>
      <c r="DJ85" s="368"/>
      <c r="DK85" s="368"/>
      <c r="DL85" s="368"/>
      <c r="DM85" s="368"/>
      <c r="DN85" s="368"/>
      <c r="DO85" s="653"/>
      <c r="DP85" s="235">
        <f t="shared" si="105"/>
        <v>0</v>
      </c>
      <c r="DQ85" s="235">
        <f t="shared" si="105"/>
        <v>0</v>
      </c>
      <c r="DR85" s="235">
        <f t="shared" si="105"/>
        <v>0</v>
      </c>
      <c r="DS85" s="236">
        <f t="shared" si="105"/>
        <v>0</v>
      </c>
      <c r="DT85" s="357"/>
      <c r="DU85" s="357"/>
      <c r="DV85" s="357"/>
      <c r="DW85" s="357"/>
      <c r="DX85" s="357"/>
      <c r="DY85" s="357"/>
      <c r="DZ85" s="687"/>
      <c r="EA85" s="365"/>
      <c r="EB85" s="358">
        <f t="shared" si="118"/>
        <v>0</v>
      </c>
      <c r="EC85" s="358">
        <f t="shared" si="119"/>
        <v>0</v>
      </c>
      <c r="ED85" s="358">
        <f t="shared" si="120"/>
        <v>0</v>
      </c>
      <c r="EE85" s="358">
        <f t="shared" si="121"/>
        <v>0</v>
      </c>
      <c r="EF85" s="328"/>
      <c r="EG85" s="636">
        <v>2</v>
      </c>
      <c r="EH85" s="361" t="s">
        <v>20</v>
      </c>
      <c r="EI85" s="355">
        <f t="shared" si="106"/>
        <v>0</v>
      </c>
      <c r="EJ85" s="355">
        <f t="shared" si="106"/>
        <v>0</v>
      </c>
      <c r="EK85" s="355">
        <f t="shared" si="106"/>
        <v>0</v>
      </c>
      <c r="EL85" s="355">
        <f t="shared" si="106"/>
        <v>0</v>
      </c>
      <c r="EM85" s="355">
        <f t="shared" si="106"/>
        <v>0</v>
      </c>
      <c r="EN85" s="355">
        <f t="shared" si="106"/>
        <v>0</v>
      </c>
      <c r="EO85" s="355">
        <f t="shared" si="106"/>
        <v>0</v>
      </c>
      <c r="EP85" s="355">
        <f t="shared" si="106"/>
        <v>0</v>
      </c>
      <c r="EQ85" s="355">
        <f t="shared" si="106"/>
        <v>0</v>
      </c>
      <c r="ER85" s="355">
        <f t="shared" si="106"/>
        <v>0</v>
      </c>
      <c r="ES85" s="355">
        <f t="shared" si="106"/>
        <v>0</v>
      </c>
      <c r="ET85" s="355">
        <f t="shared" si="106"/>
        <v>0</v>
      </c>
      <c r="EU85" s="355">
        <f t="shared" si="106"/>
        <v>0</v>
      </c>
      <c r="EV85" s="355">
        <f t="shared" si="106"/>
        <v>0</v>
      </c>
      <c r="EW85" s="355">
        <f t="shared" si="106"/>
        <v>0</v>
      </c>
      <c r="EX85" s="355">
        <f t="shared" si="106"/>
        <v>0</v>
      </c>
      <c r="EY85" s="355">
        <f t="shared" si="107"/>
        <v>0</v>
      </c>
      <c r="EZ85" s="355">
        <f t="shared" si="107"/>
        <v>0</v>
      </c>
      <c r="FA85" s="355">
        <f t="shared" si="107"/>
        <v>0</v>
      </c>
      <c r="FB85" s="355">
        <f t="shared" si="107"/>
        <v>0</v>
      </c>
      <c r="FC85" s="355"/>
      <c r="FD85" s="355"/>
      <c r="FE85" s="355"/>
      <c r="FF85" s="355"/>
      <c r="FG85" s="355"/>
      <c r="FH85" s="355"/>
      <c r="FI85" s="355"/>
      <c r="FJ85" s="355"/>
      <c r="FK85" s="355"/>
      <c r="FL85" s="355"/>
      <c r="FM85" s="355"/>
      <c r="FN85" s="355"/>
      <c r="FO85" s="355"/>
      <c r="FP85" s="355"/>
      <c r="FQ85" s="355"/>
      <c r="FR85" s="355"/>
      <c r="FS85" s="355"/>
      <c r="FT85" s="355"/>
      <c r="FU85" s="355"/>
      <c r="FV85" s="355"/>
      <c r="FW85" s="355"/>
      <c r="FX85" s="369"/>
      <c r="FY85" s="370"/>
      <c r="FZ85" s="366">
        <f t="shared" si="108"/>
        <v>0</v>
      </c>
      <c r="GA85" s="638">
        <f>SUM(FZ85:FZ88)</f>
        <v>0</v>
      </c>
      <c r="GB85" s="364">
        <f t="shared" si="109"/>
        <v>0</v>
      </c>
      <c r="GC85" s="638">
        <f>SUM(GB85:GB88)</f>
        <v>0</v>
      </c>
      <c r="GD85" s="364">
        <f t="shared" si="110"/>
        <v>0</v>
      </c>
      <c r="GE85" s="638">
        <f>SUM(GD85:GD88)</f>
        <v>0</v>
      </c>
      <c r="GF85" s="364">
        <f t="shared" si="111"/>
        <v>0</v>
      </c>
      <c r="GG85" s="638">
        <f>SUM(GF85:GF88)</f>
        <v>0</v>
      </c>
      <c r="GH85" s="639">
        <f>GG85+GE85+GC85+GA85</f>
        <v>0</v>
      </c>
      <c r="GI85" s="206"/>
      <c r="GJ85" s="206"/>
      <c r="GK85" s="206"/>
      <c r="GL85" s="206"/>
      <c r="GM85" s="206"/>
      <c r="GN85" s="206"/>
      <c r="GO85" s="206"/>
      <c r="GP85" s="635">
        <f>SUM(EI85:FB88)</f>
        <v>0</v>
      </c>
      <c r="GQ85" s="206"/>
      <c r="GR85" s="206"/>
      <c r="GS85" s="206"/>
    </row>
    <row r="86" spans="1:201" ht="15" customHeight="1" thickBot="1">
      <c r="A86" s="636"/>
      <c r="B86" s="208" t="s">
        <v>21</v>
      </c>
      <c r="C86" s="353">
        <f t="shared" si="99"/>
        <v>0</v>
      </c>
      <c r="D86" s="353">
        <f t="shared" si="99"/>
        <v>0</v>
      </c>
      <c r="E86" s="353">
        <f t="shared" si="99"/>
        <v>0</v>
      </c>
      <c r="F86" s="353">
        <f t="shared" si="99"/>
        <v>0</v>
      </c>
      <c r="G86" s="353">
        <f t="shared" si="99"/>
        <v>0</v>
      </c>
      <c r="H86" s="353">
        <f t="shared" si="99"/>
        <v>0</v>
      </c>
      <c r="I86" s="353">
        <f t="shared" si="99"/>
        <v>0</v>
      </c>
      <c r="J86" s="353">
        <f t="shared" si="99"/>
        <v>0</v>
      </c>
      <c r="K86" s="353">
        <f t="shared" si="99"/>
        <v>0</v>
      </c>
      <c r="L86" s="353">
        <f t="shared" si="99"/>
        <v>0</v>
      </c>
      <c r="M86" s="353">
        <f t="shared" si="99"/>
        <v>0</v>
      </c>
      <c r="N86" s="353">
        <f t="shared" si="99"/>
        <v>0</v>
      </c>
      <c r="O86" s="353">
        <f t="shared" si="99"/>
        <v>0</v>
      </c>
      <c r="P86" s="353">
        <f t="shared" si="99"/>
        <v>0</v>
      </c>
      <c r="Q86" s="353">
        <f t="shared" si="99"/>
        <v>0</v>
      </c>
      <c r="R86" s="353">
        <f t="shared" si="99"/>
        <v>0</v>
      </c>
      <c r="S86" s="353">
        <f t="shared" si="99"/>
        <v>0</v>
      </c>
      <c r="T86" s="353">
        <f t="shared" si="99"/>
        <v>0</v>
      </c>
      <c r="U86" s="353">
        <f t="shared" si="99"/>
        <v>0</v>
      </c>
      <c r="V86" s="353">
        <f t="shared" si="99"/>
        <v>0</v>
      </c>
      <c r="W86" s="353"/>
      <c r="X86" s="353"/>
      <c r="Y86" s="353"/>
      <c r="Z86" s="353"/>
      <c r="AA86" s="353"/>
      <c r="AB86" s="353"/>
      <c r="AC86" s="353"/>
      <c r="AD86" s="353"/>
      <c r="AE86" s="353"/>
      <c r="AF86" s="353"/>
      <c r="AG86" s="353"/>
      <c r="AH86" s="353"/>
      <c r="AI86" s="353"/>
      <c r="AJ86" s="353"/>
      <c r="AK86" s="353"/>
      <c r="AL86" s="353"/>
      <c r="AM86" s="353"/>
      <c r="AN86" s="353"/>
      <c r="AO86" s="353"/>
      <c r="AP86" s="353"/>
      <c r="AQ86" s="643"/>
      <c r="AR86" s="235">
        <f t="shared" si="100"/>
        <v>0</v>
      </c>
      <c r="AS86" s="235">
        <f t="shared" si="101"/>
        <v>0</v>
      </c>
      <c r="AT86" s="235">
        <f t="shared" si="102"/>
        <v>0</v>
      </c>
      <c r="AU86" s="235">
        <f t="shared" si="103"/>
        <v>0</v>
      </c>
      <c r="AV86" s="354"/>
      <c r="AW86" s="354"/>
      <c r="AX86" s="354"/>
      <c r="AY86" s="354"/>
      <c r="AZ86" s="354"/>
      <c r="BA86" s="354"/>
      <c r="BB86" s="354"/>
      <c r="BC86" s="354"/>
      <c r="BD86" s="354"/>
      <c r="BE86" s="354"/>
      <c r="BF86" s="354"/>
      <c r="BG86" s="206"/>
      <c r="BH86" s="330"/>
      <c r="BI86" s="206"/>
      <c r="BJ86" s="206"/>
      <c r="BK86" s="330">
        <f t="shared" si="98"/>
        <v>6231435.0595595092</v>
      </c>
      <c r="BL86" s="330">
        <f t="shared" si="98"/>
        <v>6150408.5487764059</v>
      </c>
      <c r="BM86" s="206"/>
      <c r="BN86" s="206"/>
      <c r="BO86" s="636"/>
      <c r="BP86" s="208" t="s">
        <v>21</v>
      </c>
      <c r="BQ86" s="355">
        <f t="shared" si="104"/>
        <v>0</v>
      </c>
      <c r="BR86" s="355">
        <f t="shared" si="104"/>
        <v>0</v>
      </c>
      <c r="BS86" s="355">
        <f t="shared" si="104"/>
        <v>0</v>
      </c>
      <c r="BT86" s="355">
        <f t="shared" si="104"/>
        <v>0</v>
      </c>
      <c r="BU86" s="355">
        <f t="shared" si="104"/>
        <v>0</v>
      </c>
      <c r="BV86" s="355">
        <f t="shared" si="104"/>
        <v>0</v>
      </c>
      <c r="BW86" s="355">
        <f t="shared" si="104"/>
        <v>0</v>
      </c>
      <c r="BX86" s="355">
        <f t="shared" si="104"/>
        <v>0</v>
      </c>
      <c r="BY86" s="355">
        <f t="shared" si="104"/>
        <v>0</v>
      </c>
      <c r="BZ86" s="355">
        <f t="shared" si="104"/>
        <v>0</v>
      </c>
      <c r="CA86" s="355">
        <f t="shared" si="104"/>
        <v>0</v>
      </c>
      <c r="CB86" s="355">
        <f t="shared" si="104"/>
        <v>0</v>
      </c>
      <c r="CC86" s="355">
        <f t="shared" si="104"/>
        <v>0</v>
      </c>
      <c r="CD86" s="355">
        <f t="shared" si="104"/>
        <v>0</v>
      </c>
      <c r="CE86" s="355">
        <f t="shared" si="104"/>
        <v>0</v>
      </c>
      <c r="CF86" s="355">
        <f t="shared" si="104"/>
        <v>0</v>
      </c>
      <c r="CG86" s="355">
        <f t="shared" si="104"/>
        <v>0</v>
      </c>
      <c r="CH86" s="355">
        <f t="shared" si="104"/>
        <v>0</v>
      </c>
      <c r="CI86" s="355">
        <f t="shared" si="104"/>
        <v>0</v>
      </c>
      <c r="CJ86" s="355">
        <f t="shared" si="104"/>
        <v>0</v>
      </c>
      <c r="CK86" s="355"/>
      <c r="CL86" s="355"/>
      <c r="CM86" s="355"/>
      <c r="CN86" s="355"/>
      <c r="CO86" s="355"/>
      <c r="CP86" s="355"/>
      <c r="CQ86" s="355"/>
      <c r="CR86" s="355"/>
      <c r="CS86" s="355"/>
      <c r="CT86" s="355"/>
      <c r="CU86" s="355"/>
      <c r="CV86" s="355"/>
      <c r="CW86" s="355"/>
      <c r="CX86" s="355"/>
      <c r="CY86" s="355"/>
      <c r="CZ86" s="355"/>
      <c r="DA86" s="355"/>
      <c r="DB86" s="355"/>
      <c r="DC86" s="355"/>
      <c r="DD86" s="355"/>
      <c r="DE86" s="654"/>
      <c r="DF86" s="235">
        <f t="shared" si="113"/>
        <v>0</v>
      </c>
      <c r="DG86" s="235">
        <f t="shared" si="114"/>
        <v>0</v>
      </c>
      <c r="DH86" s="235">
        <f t="shared" si="115"/>
        <v>0</v>
      </c>
      <c r="DI86" s="236">
        <f t="shared" si="116"/>
        <v>0</v>
      </c>
      <c r="DJ86" s="354"/>
      <c r="DK86" s="354"/>
      <c r="DL86" s="354"/>
      <c r="DM86" s="354"/>
      <c r="DN86" s="354"/>
      <c r="DO86" s="654"/>
      <c r="DP86" s="235">
        <f t="shared" si="105"/>
        <v>0</v>
      </c>
      <c r="DQ86" s="235">
        <f t="shared" si="105"/>
        <v>0</v>
      </c>
      <c r="DR86" s="235">
        <f t="shared" si="105"/>
        <v>0</v>
      </c>
      <c r="DS86" s="236">
        <f t="shared" si="105"/>
        <v>0</v>
      </c>
      <c r="DT86" s="357"/>
      <c r="DU86" s="357"/>
      <c r="DV86" s="357"/>
      <c r="DW86" s="357"/>
      <c r="DX86" s="357"/>
      <c r="DY86" s="357"/>
      <c r="DZ86" s="687"/>
      <c r="EA86" s="365"/>
      <c r="EB86" s="358">
        <f t="shared" si="118"/>
        <v>0</v>
      </c>
      <c r="EC86" s="358">
        <f t="shared" si="119"/>
        <v>0</v>
      </c>
      <c r="ED86" s="358">
        <f t="shared" si="120"/>
        <v>0</v>
      </c>
      <c r="EE86" s="358">
        <f t="shared" si="121"/>
        <v>0</v>
      </c>
      <c r="EF86" s="328"/>
      <c r="EG86" s="636"/>
      <c r="EH86" s="361" t="s">
        <v>21</v>
      </c>
      <c r="EI86" s="355">
        <f t="shared" si="106"/>
        <v>0</v>
      </c>
      <c r="EJ86" s="355">
        <f t="shared" si="106"/>
        <v>0</v>
      </c>
      <c r="EK86" s="355">
        <f t="shared" si="106"/>
        <v>0</v>
      </c>
      <c r="EL86" s="355">
        <f t="shared" si="106"/>
        <v>0</v>
      </c>
      <c r="EM86" s="355">
        <f t="shared" si="106"/>
        <v>0</v>
      </c>
      <c r="EN86" s="355">
        <f t="shared" si="106"/>
        <v>0</v>
      </c>
      <c r="EO86" s="355">
        <f t="shared" si="106"/>
        <v>0</v>
      </c>
      <c r="EP86" s="355">
        <f t="shared" si="106"/>
        <v>0</v>
      </c>
      <c r="EQ86" s="355">
        <f t="shared" si="106"/>
        <v>0</v>
      </c>
      <c r="ER86" s="355">
        <f t="shared" si="106"/>
        <v>0</v>
      </c>
      <c r="ES86" s="355">
        <f t="shared" si="106"/>
        <v>0</v>
      </c>
      <c r="ET86" s="355">
        <f t="shared" si="106"/>
        <v>0</v>
      </c>
      <c r="EU86" s="355">
        <f t="shared" si="106"/>
        <v>0</v>
      </c>
      <c r="EV86" s="355">
        <f t="shared" si="106"/>
        <v>0</v>
      </c>
      <c r="EW86" s="355">
        <f t="shared" si="106"/>
        <v>0</v>
      </c>
      <c r="EX86" s="355">
        <f t="shared" si="106"/>
        <v>0</v>
      </c>
      <c r="EY86" s="355">
        <f t="shared" si="107"/>
        <v>0</v>
      </c>
      <c r="EZ86" s="355">
        <f t="shared" si="107"/>
        <v>0</v>
      </c>
      <c r="FA86" s="355">
        <f t="shared" si="107"/>
        <v>0</v>
      </c>
      <c r="FB86" s="355">
        <f t="shared" si="107"/>
        <v>0</v>
      </c>
      <c r="FC86" s="355"/>
      <c r="FD86" s="355"/>
      <c r="FE86" s="355"/>
      <c r="FF86" s="355"/>
      <c r="FG86" s="355"/>
      <c r="FH86" s="355"/>
      <c r="FI86" s="355"/>
      <c r="FJ86" s="355"/>
      <c r="FK86" s="355"/>
      <c r="FL86" s="355"/>
      <c r="FM86" s="355"/>
      <c r="FN86" s="355"/>
      <c r="FO86" s="355"/>
      <c r="FP86" s="355"/>
      <c r="FQ86" s="355"/>
      <c r="FR86" s="355"/>
      <c r="FS86" s="355"/>
      <c r="FT86" s="355"/>
      <c r="FU86" s="355"/>
      <c r="FV86" s="355"/>
      <c r="FW86" s="355"/>
      <c r="FX86" s="369"/>
      <c r="FY86" s="370"/>
      <c r="FZ86" s="366">
        <f t="shared" si="108"/>
        <v>0</v>
      </c>
      <c r="GA86" s="637"/>
      <c r="GB86" s="364">
        <f t="shared" si="109"/>
        <v>0</v>
      </c>
      <c r="GC86" s="637"/>
      <c r="GD86" s="364">
        <f t="shared" si="110"/>
        <v>0</v>
      </c>
      <c r="GE86" s="637"/>
      <c r="GF86" s="364">
        <f t="shared" si="111"/>
        <v>0</v>
      </c>
      <c r="GG86" s="637"/>
      <c r="GH86" s="640"/>
      <c r="GI86" s="352" t="s">
        <v>108</v>
      </c>
      <c r="GJ86" s="206">
        <v>2024</v>
      </c>
      <c r="GK86" s="206">
        <f>GJ86+1</f>
        <v>2025</v>
      </c>
      <c r="GL86" s="206">
        <f>GK86+1</f>
        <v>2026</v>
      </c>
      <c r="GM86" s="206" t="s">
        <v>107</v>
      </c>
      <c r="GN86" s="206"/>
      <c r="GO86" s="206"/>
      <c r="GP86" s="635"/>
      <c r="GQ86" s="206"/>
      <c r="GR86" s="206"/>
      <c r="GS86" s="206"/>
    </row>
    <row r="87" spans="1:201" ht="15" customHeight="1" thickBot="1">
      <c r="A87" s="636"/>
      <c r="B87" s="208" t="s">
        <v>23</v>
      </c>
      <c r="C87" s="353">
        <f t="shared" si="99"/>
        <v>0</v>
      </c>
      <c r="D87" s="353">
        <f t="shared" si="99"/>
        <v>0</v>
      </c>
      <c r="E87" s="353">
        <f t="shared" si="99"/>
        <v>0</v>
      </c>
      <c r="F87" s="353">
        <f t="shared" si="99"/>
        <v>0</v>
      </c>
      <c r="G87" s="353">
        <f t="shared" si="99"/>
        <v>0</v>
      </c>
      <c r="H87" s="353">
        <f t="shared" si="99"/>
        <v>0</v>
      </c>
      <c r="I87" s="353">
        <f t="shared" si="99"/>
        <v>0</v>
      </c>
      <c r="J87" s="353">
        <f t="shared" si="99"/>
        <v>0</v>
      </c>
      <c r="K87" s="353">
        <f t="shared" si="99"/>
        <v>0</v>
      </c>
      <c r="L87" s="353">
        <f t="shared" si="99"/>
        <v>0</v>
      </c>
      <c r="M87" s="353">
        <f t="shared" si="99"/>
        <v>0</v>
      </c>
      <c r="N87" s="353">
        <f t="shared" si="99"/>
        <v>0</v>
      </c>
      <c r="O87" s="353">
        <f t="shared" si="99"/>
        <v>0</v>
      </c>
      <c r="P87" s="353">
        <f t="shared" si="99"/>
        <v>0</v>
      </c>
      <c r="Q87" s="353">
        <f t="shared" si="99"/>
        <v>0</v>
      </c>
      <c r="R87" s="353">
        <f t="shared" si="99"/>
        <v>0</v>
      </c>
      <c r="S87" s="353">
        <f t="shared" si="99"/>
        <v>0</v>
      </c>
      <c r="T87" s="353">
        <f t="shared" si="99"/>
        <v>0</v>
      </c>
      <c r="U87" s="353">
        <f t="shared" si="99"/>
        <v>0</v>
      </c>
      <c r="V87" s="353">
        <f t="shared" si="99"/>
        <v>0</v>
      </c>
      <c r="W87" s="353"/>
      <c r="X87" s="353"/>
      <c r="Y87" s="353"/>
      <c r="Z87" s="353"/>
      <c r="AA87" s="353"/>
      <c r="AB87" s="353"/>
      <c r="AC87" s="353"/>
      <c r="AD87" s="353"/>
      <c r="AE87" s="353"/>
      <c r="AF87" s="353"/>
      <c r="AG87" s="353"/>
      <c r="AH87" s="353"/>
      <c r="AI87" s="353"/>
      <c r="AJ87" s="353"/>
      <c r="AK87" s="353"/>
      <c r="AL87" s="353"/>
      <c r="AM87" s="353"/>
      <c r="AN87" s="353"/>
      <c r="AO87" s="353"/>
      <c r="AP87" s="353"/>
      <c r="AQ87" s="643"/>
      <c r="AR87" s="235">
        <f t="shared" si="100"/>
        <v>0</v>
      </c>
      <c r="AS87" s="235">
        <f t="shared" si="101"/>
        <v>0</v>
      </c>
      <c r="AT87" s="235">
        <f t="shared" si="102"/>
        <v>0</v>
      </c>
      <c r="AU87" s="235">
        <f t="shared" si="103"/>
        <v>0</v>
      </c>
      <c r="AV87" s="354"/>
      <c r="AW87" s="354"/>
      <c r="AX87" s="354"/>
      <c r="AY87" s="354"/>
      <c r="AZ87" s="354"/>
      <c r="BA87" s="354"/>
      <c r="BB87" s="354"/>
      <c r="BC87" s="354"/>
      <c r="BD87" s="354"/>
      <c r="BE87" s="354"/>
      <c r="BF87" s="354"/>
      <c r="BG87" s="206"/>
      <c r="BH87" s="330"/>
      <c r="BI87" s="206"/>
      <c r="BJ87" s="206"/>
      <c r="BK87" s="330">
        <f t="shared" si="98"/>
        <v>7019702.9139715116</v>
      </c>
      <c r="BL87" s="330">
        <f t="shared" si="98"/>
        <v>6797839.331105859</v>
      </c>
      <c r="BM87" s="206"/>
      <c r="BN87" s="206"/>
      <c r="BO87" s="636"/>
      <c r="BP87" s="208" t="s">
        <v>23</v>
      </c>
      <c r="BQ87" s="355">
        <f t="shared" si="104"/>
        <v>0</v>
      </c>
      <c r="BR87" s="355">
        <f t="shared" si="104"/>
        <v>0</v>
      </c>
      <c r="BS87" s="355">
        <f t="shared" si="104"/>
        <v>0</v>
      </c>
      <c r="BT87" s="355">
        <f t="shared" si="104"/>
        <v>0</v>
      </c>
      <c r="BU87" s="355">
        <f t="shared" si="104"/>
        <v>0</v>
      </c>
      <c r="BV87" s="355">
        <f t="shared" si="104"/>
        <v>0</v>
      </c>
      <c r="BW87" s="355">
        <f t="shared" si="104"/>
        <v>0</v>
      </c>
      <c r="BX87" s="355">
        <f t="shared" si="104"/>
        <v>0</v>
      </c>
      <c r="BY87" s="355">
        <f t="shared" si="104"/>
        <v>0</v>
      </c>
      <c r="BZ87" s="355">
        <f t="shared" si="104"/>
        <v>0</v>
      </c>
      <c r="CA87" s="355">
        <f t="shared" si="104"/>
        <v>0</v>
      </c>
      <c r="CB87" s="355">
        <f t="shared" si="104"/>
        <v>0</v>
      </c>
      <c r="CC87" s="355">
        <f t="shared" si="104"/>
        <v>0</v>
      </c>
      <c r="CD87" s="355">
        <f t="shared" si="104"/>
        <v>0</v>
      </c>
      <c r="CE87" s="355">
        <f t="shared" si="104"/>
        <v>0</v>
      </c>
      <c r="CF87" s="355">
        <f t="shared" si="104"/>
        <v>0</v>
      </c>
      <c r="CG87" s="355">
        <f t="shared" si="104"/>
        <v>0</v>
      </c>
      <c r="CH87" s="355">
        <f t="shared" si="104"/>
        <v>0</v>
      </c>
      <c r="CI87" s="355">
        <f t="shared" si="104"/>
        <v>0</v>
      </c>
      <c r="CJ87" s="355">
        <f t="shared" si="104"/>
        <v>0</v>
      </c>
      <c r="CK87" s="355"/>
      <c r="CL87" s="355"/>
      <c r="CM87" s="355"/>
      <c r="CN87" s="355"/>
      <c r="CO87" s="355"/>
      <c r="CP87" s="355"/>
      <c r="CQ87" s="355"/>
      <c r="CR87" s="355"/>
      <c r="CS87" s="355"/>
      <c r="CT87" s="355"/>
      <c r="CU87" s="355"/>
      <c r="CV87" s="355"/>
      <c r="CW87" s="355"/>
      <c r="CX87" s="355"/>
      <c r="CY87" s="355"/>
      <c r="CZ87" s="355"/>
      <c r="DA87" s="355"/>
      <c r="DB87" s="355"/>
      <c r="DC87" s="355"/>
      <c r="DD87" s="355"/>
      <c r="DE87" s="654"/>
      <c r="DF87" s="235">
        <f t="shared" si="113"/>
        <v>0</v>
      </c>
      <c r="DG87" s="235">
        <f t="shared" si="114"/>
        <v>0</v>
      </c>
      <c r="DH87" s="235">
        <f t="shared" si="115"/>
        <v>0</v>
      </c>
      <c r="DI87" s="236">
        <f t="shared" si="116"/>
        <v>0</v>
      </c>
      <c r="DJ87" s="354"/>
      <c r="DK87" s="354"/>
      <c r="DL87" s="354"/>
      <c r="DM87" s="354"/>
      <c r="DN87" s="354"/>
      <c r="DO87" s="654"/>
      <c r="DP87" s="235">
        <f t="shared" si="105"/>
        <v>0</v>
      </c>
      <c r="DQ87" s="235">
        <f t="shared" si="105"/>
        <v>0</v>
      </c>
      <c r="DR87" s="235">
        <f t="shared" si="105"/>
        <v>0</v>
      </c>
      <c r="DS87" s="236">
        <f t="shared" si="105"/>
        <v>0</v>
      </c>
      <c r="DT87" s="357"/>
      <c r="DU87" s="357"/>
      <c r="DV87" s="357"/>
      <c r="DW87" s="357"/>
      <c r="DX87" s="357"/>
      <c r="DY87" s="357"/>
      <c r="DZ87" s="688"/>
      <c r="EA87" s="365"/>
      <c r="EB87" s="362">
        <f t="shared" si="118"/>
        <v>0</v>
      </c>
      <c r="EC87" s="358">
        <f t="shared" si="119"/>
        <v>0</v>
      </c>
      <c r="ED87" s="358">
        <f t="shared" si="120"/>
        <v>0</v>
      </c>
      <c r="EE87" s="358">
        <f t="shared" si="121"/>
        <v>0</v>
      </c>
      <c r="EF87" s="328"/>
      <c r="EG87" s="636"/>
      <c r="EH87" s="361" t="s">
        <v>23</v>
      </c>
      <c r="EI87" s="355">
        <f t="shared" si="106"/>
        <v>0</v>
      </c>
      <c r="EJ87" s="355">
        <f t="shared" si="106"/>
        <v>0</v>
      </c>
      <c r="EK87" s="355">
        <f t="shared" si="106"/>
        <v>0</v>
      </c>
      <c r="EL87" s="355">
        <f t="shared" si="106"/>
        <v>0</v>
      </c>
      <c r="EM87" s="355">
        <f t="shared" si="106"/>
        <v>0</v>
      </c>
      <c r="EN87" s="355">
        <f t="shared" si="106"/>
        <v>0</v>
      </c>
      <c r="EO87" s="355">
        <f t="shared" si="106"/>
        <v>0</v>
      </c>
      <c r="EP87" s="355">
        <f t="shared" si="106"/>
        <v>0</v>
      </c>
      <c r="EQ87" s="355">
        <f t="shared" si="106"/>
        <v>0</v>
      </c>
      <c r="ER87" s="355">
        <f t="shared" si="106"/>
        <v>0</v>
      </c>
      <c r="ES87" s="355">
        <f t="shared" si="106"/>
        <v>0</v>
      </c>
      <c r="ET87" s="355">
        <f t="shared" si="106"/>
        <v>0</v>
      </c>
      <c r="EU87" s="355">
        <f t="shared" si="106"/>
        <v>0</v>
      </c>
      <c r="EV87" s="355">
        <f t="shared" si="106"/>
        <v>0</v>
      </c>
      <c r="EW87" s="355">
        <f t="shared" si="106"/>
        <v>0</v>
      </c>
      <c r="EX87" s="355">
        <f t="shared" si="106"/>
        <v>0</v>
      </c>
      <c r="EY87" s="355">
        <f t="shared" si="107"/>
        <v>0</v>
      </c>
      <c r="EZ87" s="355">
        <f t="shared" si="107"/>
        <v>0</v>
      </c>
      <c r="FA87" s="355">
        <f t="shared" si="107"/>
        <v>0</v>
      </c>
      <c r="FB87" s="355">
        <f t="shared" si="107"/>
        <v>0</v>
      </c>
      <c r="FC87" s="355"/>
      <c r="FD87" s="355"/>
      <c r="FE87" s="355"/>
      <c r="FF87" s="355"/>
      <c r="FG87" s="355"/>
      <c r="FH87" s="355"/>
      <c r="FI87" s="355"/>
      <c r="FJ87" s="355"/>
      <c r="FK87" s="355"/>
      <c r="FL87" s="355"/>
      <c r="FM87" s="355"/>
      <c r="FN87" s="355"/>
      <c r="FO87" s="355"/>
      <c r="FP87" s="355"/>
      <c r="FQ87" s="355"/>
      <c r="FR87" s="355"/>
      <c r="FS87" s="355"/>
      <c r="FT87" s="355"/>
      <c r="FU87" s="355"/>
      <c r="FV87" s="355"/>
      <c r="FW87" s="355"/>
      <c r="FX87" s="369"/>
      <c r="FY87" s="370"/>
      <c r="FZ87" s="371">
        <f t="shared" si="108"/>
        <v>0</v>
      </c>
      <c r="GA87" s="637"/>
      <c r="GB87" s="364">
        <f t="shared" si="109"/>
        <v>0</v>
      </c>
      <c r="GC87" s="637"/>
      <c r="GD87" s="364">
        <f t="shared" si="110"/>
        <v>0</v>
      </c>
      <c r="GE87" s="637"/>
      <c r="GF87" s="364">
        <f t="shared" si="111"/>
        <v>0</v>
      </c>
      <c r="GG87" s="637"/>
      <c r="GH87" s="640"/>
      <c r="GI87" s="206" t="s">
        <v>74</v>
      </c>
      <c r="GJ87" s="330">
        <f>GJ56</f>
        <v>0</v>
      </c>
      <c r="GK87" s="330">
        <f>GL56</f>
        <v>0</v>
      </c>
      <c r="GL87" s="330">
        <f>GN56</f>
        <v>0</v>
      </c>
      <c r="GM87" s="331">
        <f>NPV($GO$53,GJ87:GL87)</f>
        <v>0</v>
      </c>
      <c r="GN87" s="206"/>
      <c r="GO87" s="206"/>
      <c r="GP87" s="635"/>
      <c r="GQ87" s="206"/>
      <c r="GR87" s="206"/>
      <c r="GS87" s="206"/>
    </row>
    <row r="88" spans="1:201" ht="15" customHeight="1" thickBot="1">
      <c r="A88" s="636"/>
      <c r="B88" s="372" t="s">
        <v>25</v>
      </c>
      <c r="C88" s="353">
        <f t="shared" si="99"/>
        <v>0</v>
      </c>
      <c r="D88" s="353">
        <f t="shared" si="99"/>
        <v>0</v>
      </c>
      <c r="E88" s="353">
        <f t="shared" si="99"/>
        <v>0</v>
      </c>
      <c r="F88" s="353">
        <f t="shared" si="99"/>
        <v>0</v>
      </c>
      <c r="G88" s="353">
        <f t="shared" si="99"/>
        <v>0</v>
      </c>
      <c r="H88" s="353">
        <f t="shared" si="99"/>
        <v>0</v>
      </c>
      <c r="I88" s="353">
        <f t="shared" si="99"/>
        <v>0</v>
      </c>
      <c r="J88" s="353">
        <f t="shared" si="99"/>
        <v>0</v>
      </c>
      <c r="K88" s="353">
        <f t="shared" si="99"/>
        <v>0</v>
      </c>
      <c r="L88" s="353">
        <f t="shared" si="99"/>
        <v>0</v>
      </c>
      <c r="M88" s="353">
        <f t="shared" si="99"/>
        <v>0</v>
      </c>
      <c r="N88" s="353">
        <f t="shared" si="99"/>
        <v>0</v>
      </c>
      <c r="O88" s="353">
        <f t="shared" si="99"/>
        <v>0</v>
      </c>
      <c r="P88" s="353">
        <f t="shared" si="99"/>
        <v>0</v>
      </c>
      <c r="Q88" s="353">
        <f t="shared" si="99"/>
        <v>0</v>
      </c>
      <c r="R88" s="353">
        <f t="shared" si="99"/>
        <v>0</v>
      </c>
      <c r="S88" s="353">
        <f t="shared" si="99"/>
        <v>0</v>
      </c>
      <c r="T88" s="353">
        <f t="shared" si="99"/>
        <v>0</v>
      </c>
      <c r="U88" s="353">
        <f t="shared" si="99"/>
        <v>0</v>
      </c>
      <c r="V88" s="353">
        <f t="shared" si="99"/>
        <v>0</v>
      </c>
      <c r="W88" s="353"/>
      <c r="X88" s="353"/>
      <c r="Y88" s="353"/>
      <c r="Z88" s="353"/>
      <c r="AA88" s="353"/>
      <c r="AB88" s="353"/>
      <c r="AC88" s="353"/>
      <c r="AD88" s="353"/>
      <c r="AE88" s="353"/>
      <c r="AF88" s="353"/>
      <c r="AG88" s="353"/>
      <c r="AH88" s="353"/>
      <c r="AI88" s="353"/>
      <c r="AJ88" s="353"/>
      <c r="AK88" s="353"/>
      <c r="AL88" s="353"/>
      <c r="AM88" s="353"/>
      <c r="AN88" s="353"/>
      <c r="AO88" s="353"/>
      <c r="AP88" s="353"/>
      <c r="AQ88" s="643"/>
      <c r="AR88" s="235">
        <f t="shared" si="100"/>
        <v>0</v>
      </c>
      <c r="AS88" s="235">
        <f t="shared" si="101"/>
        <v>0</v>
      </c>
      <c r="AT88" s="235">
        <f t="shared" si="102"/>
        <v>0</v>
      </c>
      <c r="AU88" s="235">
        <f t="shared" si="103"/>
        <v>0</v>
      </c>
      <c r="AV88" s="354"/>
      <c r="AW88" s="354"/>
      <c r="AX88" s="354"/>
      <c r="AY88" s="354"/>
      <c r="AZ88" s="354"/>
      <c r="BA88" s="354"/>
      <c r="BB88" s="354"/>
      <c r="BC88" s="354"/>
      <c r="BD88" s="354"/>
      <c r="BE88" s="354"/>
      <c r="BF88" s="354"/>
      <c r="BG88" s="206"/>
      <c r="BH88" s="206"/>
      <c r="BI88" s="206"/>
      <c r="BJ88" s="206"/>
      <c r="BK88" s="330">
        <f t="shared" si="98"/>
        <v>15239818.560886346</v>
      </c>
      <c r="BL88" s="330">
        <f t="shared" si="98"/>
        <v>14656588.222712457</v>
      </c>
      <c r="BM88" s="206"/>
      <c r="BN88" s="206"/>
      <c r="BO88" s="636"/>
      <c r="BP88" s="372" t="s">
        <v>25</v>
      </c>
      <c r="BQ88" s="355">
        <f t="shared" si="104"/>
        <v>0</v>
      </c>
      <c r="BR88" s="355">
        <f t="shared" si="104"/>
        <v>0</v>
      </c>
      <c r="BS88" s="355">
        <f t="shared" si="104"/>
        <v>0</v>
      </c>
      <c r="BT88" s="355">
        <f t="shared" si="104"/>
        <v>0</v>
      </c>
      <c r="BU88" s="355">
        <f t="shared" si="104"/>
        <v>0</v>
      </c>
      <c r="BV88" s="355">
        <f t="shared" si="104"/>
        <v>0</v>
      </c>
      <c r="BW88" s="355">
        <f t="shared" si="104"/>
        <v>0</v>
      </c>
      <c r="BX88" s="355">
        <f t="shared" si="104"/>
        <v>0</v>
      </c>
      <c r="BY88" s="355">
        <f t="shared" si="104"/>
        <v>0</v>
      </c>
      <c r="BZ88" s="355">
        <f t="shared" si="104"/>
        <v>0</v>
      </c>
      <c r="CA88" s="355">
        <f t="shared" si="104"/>
        <v>0</v>
      </c>
      <c r="CB88" s="355">
        <f t="shared" si="104"/>
        <v>0</v>
      </c>
      <c r="CC88" s="355">
        <f t="shared" si="104"/>
        <v>0</v>
      </c>
      <c r="CD88" s="355">
        <f t="shared" si="104"/>
        <v>0</v>
      </c>
      <c r="CE88" s="355">
        <f t="shared" si="104"/>
        <v>0</v>
      </c>
      <c r="CF88" s="355">
        <f t="shared" si="104"/>
        <v>0</v>
      </c>
      <c r="CG88" s="355">
        <f t="shared" si="104"/>
        <v>0</v>
      </c>
      <c r="CH88" s="355">
        <f t="shared" si="104"/>
        <v>0</v>
      </c>
      <c r="CI88" s="355">
        <f t="shared" si="104"/>
        <v>0</v>
      </c>
      <c r="CJ88" s="355">
        <f t="shared" si="104"/>
        <v>0</v>
      </c>
      <c r="CK88" s="355"/>
      <c r="CL88" s="355"/>
      <c r="CM88" s="355"/>
      <c r="CN88" s="355"/>
      <c r="CO88" s="355"/>
      <c r="CP88" s="355"/>
      <c r="CQ88" s="355"/>
      <c r="CR88" s="355"/>
      <c r="CS88" s="355"/>
      <c r="CT88" s="355"/>
      <c r="CU88" s="355"/>
      <c r="CV88" s="355"/>
      <c r="CW88" s="355"/>
      <c r="CX88" s="355"/>
      <c r="CY88" s="355"/>
      <c r="CZ88" s="355"/>
      <c r="DA88" s="355"/>
      <c r="DB88" s="355"/>
      <c r="DC88" s="355"/>
      <c r="DD88" s="355"/>
      <c r="DE88" s="654"/>
      <c r="DF88" s="235">
        <f t="shared" si="113"/>
        <v>0</v>
      </c>
      <c r="DG88" s="235">
        <f t="shared" si="114"/>
        <v>0</v>
      </c>
      <c r="DH88" s="235">
        <f t="shared" si="115"/>
        <v>0</v>
      </c>
      <c r="DI88" s="236">
        <f t="shared" si="116"/>
        <v>0</v>
      </c>
      <c r="DJ88" s="354"/>
      <c r="DK88" s="354"/>
      <c r="DL88" s="354"/>
      <c r="DM88" s="354"/>
      <c r="DN88" s="354"/>
      <c r="DO88" s="654"/>
      <c r="DP88" s="235">
        <f t="shared" si="105"/>
        <v>0</v>
      </c>
      <c r="DQ88" s="235">
        <f t="shared" si="105"/>
        <v>0</v>
      </c>
      <c r="DR88" s="235">
        <f t="shared" si="105"/>
        <v>0</v>
      </c>
      <c r="DS88" s="236">
        <f t="shared" si="105"/>
        <v>0</v>
      </c>
      <c r="DT88" s="357"/>
      <c r="DU88" s="357"/>
      <c r="DV88" s="357"/>
      <c r="DW88" s="357"/>
      <c r="DX88" s="357"/>
      <c r="DY88" s="357"/>
      <c r="DZ88" s="689">
        <v>3</v>
      </c>
      <c r="EA88" s="365"/>
      <c r="EB88" s="365"/>
      <c r="EC88" s="358">
        <f t="shared" si="119"/>
        <v>0</v>
      </c>
      <c r="ED88" s="358">
        <f t="shared" si="120"/>
        <v>0</v>
      </c>
      <c r="EE88" s="358">
        <f t="shared" si="121"/>
        <v>0</v>
      </c>
      <c r="EF88" s="328"/>
      <c r="EG88" s="636"/>
      <c r="EH88" s="373" t="s">
        <v>25</v>
      </c>
      <c r="EI88" s="355">
        <f t="shared" si="106"/>
        <v>0</v>
      </c>
      <c r="EJ88" s="355">
        <f t="shared" si="106"/>
        <v>0</v>
      </c>
      <c r="EK88" s="355">
        <f t="shared" si="106"/>
        <v>0</v>
      </c>
      <c r="EL88" s="355">
        <f t="shared" si="106"/>
        <v>0</v>
      </c>
      <c r="EM88" s="355">
        <f t="shared" si="106"/>
        <v>0</v>
      </c>
      <c r="EN88" s="355">
        <f t="shared" si="106"/>
        <v>0</v>
      </c>
      <c r="EO88" s="355">
        <f t="shared" si="106"/>
        <v>0</v>
      </c>
      <c r="EP88" s="355">
        <f t="shared" si="106"/>
        <v>0</v>
      </c>
      <c r="EQ88" s="355">
        <f t="shared" si="106"/>
        <v>0</v>
      </c>
      <c r="ER88" s="355">
        <f t="shared" si="106"/>
        <v>0</v>
      </c>
      <c r="ES88" s="355">
        <f t="shared" si="106"/>
        <v>0</v>
      </c>
      <c r="ET88" s="355">
        <f t="shared" si="106"/>
        <v>0</v>
      </c>
      <c r="EU88" s="355">
        <f t="shared" si="106"/>
        <v>0</v>
      </c>
      <c r="EV88" s="355">
        <f t="shared" si="106"/>
        <v>0</v>
      </c>
      <c r="EW88" s="355">
        <f t="shared" si="106"/>
        <v>0</v>
      </c>
      <c r="EX88" s="355">
        <f t="shared" si="106"/>
        <v>0</v>
      </c>
      <c r="EY88" s="355">
        <f t="shared" si="107"/>
        <v>0</v>
      </c>
      <c r="EZ88" s="355">
        <f t="shared" si="107"/>
        <v>0</v>
      </c>
      <c r="FA88" s="355">
        <f t="shared" si="107"/>
        <v>0</v>
      </c>
      <c r="FB88" s="355">
        <f t="shared" si="107"/>
        <v>0</v>
      </c>
      <c r="FC88" s="355"/>
      <c r="FD88" s="355"/>
      <c r="FE88" s="355"/>
      <c r="FF88" s="355"/>
      <c r="FG88" s="355"/>
      <c r="FH88" s="355"/>
      <c r="FI88" s="355"/>
      <c r="FJ88" s="355"/>
      <c r="FK88" s="355"/>
      <c r="FL88" s="355"/>
      <c r="FM88" s="355"/>
      <c r="FN88" s="355"/>
      <c r="FO88" s="355"/>
      <c r="FP88" s="355"/>
      <c r="FQ88" s="355"/>
      <c r="FR88" s="355"/>
      <c r="FS88" s="355"/>
      <c r="FT88" s="355"/>
      <c r="FU88" s="355"/>
      <c r="FV88" s="355"/>
      <c r="FW88" s="355"/>
      <c r="FX88" s="369"/>
      <c r="FY88" s="370"/>
      <c r="FZ88" s="371">
        <f t="shared" si="108"/>
        <v>0</v>
      </c>
      <c r="GA88" s="637"/>
      <c r="GB88" s="364">
        <f t="shared" si="109"/>
        <v>0</v>
      </c>
      <c r="GC88" s="637"/>
      <c r="GD88" s="364">
        <f t="shared" si="110"/>
        <v>0</v>
      </c>
      <c r="GE88" s="637"/>
      <c r="GF88" s="364">
        <f t="shared" si="111"/>
        <v>0</v>
      </c>
      <c r="GG88" s="637"/>
      <c r="GH88" s="641"/>
      <c r="GI88" s="206" t="s">
        <v>95</v>
      </c>
      <c r="GJ88" s="330">
        <f>GJ57</f>
        <v>0</v>
      </c>
      <c r="GK88" s="330">
        <f>GL57</f>
        <v>0</v>
      </c>
      <c r="GL88" s="330">
        <f>GN57</f>
        <v>0</v>
      </c>
      <c r="GM88" s="331">
        <f>NPV($GO$53,GJ88:GL88)</f>
        <v>0</v>
      </c>
      <c r="GN88" s="206"/>
      <c r="GO88" s="206"/>
      <c r="GP88" s="635"/>
      <c r="GQ88" s="206"/>
      <c r="GR88" s="206"/>
      <c r="GS88" s="206"/>
    </row>
    <row r="89" spans="1:201" ht="15" customHeight="1" thickBot="1">
      <c r="A89" s="636">
        <v>3</v>
      </c>
      <c r="B89" s="372" t="s">
        <v>27</v>
      </c>
      <c r="C89" s="353">
        <f t="shared" si="99"/>
        <v>0</v>
      </c>
      <c r="D89" s="353">
        <f t="shared" si="99"/>
        <v>0</v>
      </c>
      <c r="E89" s="353">
        <f t="shared" si="99"/>
        <v>0</v>
      </c>
      <c r="F89" s="353">
        <f t="shared" si="99"/>
        <v>0</v>
      </c>
      <c r="G89" s="353">
        <f t="shared" si="99"/>
        <v>0</v>
      </c>
      <c r="H89" s="353">
        <f t="shared" si="99"/>
        <v>0</v>
      </c>
      <c r="I89" s="353">
        <f t="shared" si="99"/>
        <v>0</v>
      </c>
      <c r="J89" s="353">
        <f t="shared" si="99"/>
        <v>0</v>
      </c>
      <c r="K89" s="353">
        <f t="shared" si="99"/>
        <v>0</v>
      </c>
      <c r="L89" s="353">
        <f t="shared" si="99"/>
        <v>0</v>
      </c>
      <c r="M89" s="353">
        <f t="shared" si="99"/>
        <v>0</v>
      </c>
      <c r="N89" s="353">
        <f t="shared" si="99"/>
        <v>0</v>
      </c>
      <c r="O89" s="353">
        <f t="shared" si="99"/>
        <v>0</v>
      </c>
      <c r="P89" s="353">
        <f t="shared" si="99"/>
        <v>0</v>
      </c>
      <c r="Q89" s="353">
        <f t="shared" si="99"/>
        <v>0</v>
      </c>
      <c r="R89" s="353">
        <f t="shared" si="99"/>
        <v>0</v>
      </c>
      <c r="S89" s="353">
        <f t="shared" si="99"/>
        <v>0</v>
      </c>
      <c r="T89" s="353">
        <f t="shared" si="99"/>
        <v>0</v>
      </c>
      <c r="U89" s="353">
        <f t="shared" si="99"/>
        <v>0</v>
      </c>
      <c r="V89" s="353">
        <f t="shared" si="99"/>
        <v>0</v>
      </c>
      <c r="W89" s="353"/>
      <c r="X89" s="353"/>
      <c r="Y89" s="353"/>
      <c r="Z89" s="353"/>
      <c r="AA89" s="353"/>
      <c r="AB89" s="353"/>
      <c r="AC89" s="353"/>
      <c r="AD89" s="353"/>
      <c r="AE89" s="353"/>
      <c r="AF89" s="353"/>
      <c r="AG89" s="353"/>
      <c r="AH89" s="353"/>
      <c r="AI89" s="353"/>
      <c r="AJ89" s="353"/>
      <c r="AK89" s="353"/>
      <c r="AL89" s="353"/>
      <c r="AM89" s="353"/>
      <c r="AN89" s="353"/>
      <c r="AO89" s="353"/>
      <c r="AP89" s="353"/>
      <c r="AQ89" s="643"/>
      <c r="AR89" s="642"/>
      <c r="AS89" s="235">
        <f t="shared" si="101"/>
        <v>0</v>
      </c>
      <c r="AT89" s="235">
        <f t="shared" si="102"/>
        <v>0</v>
      </c>
      <c r="AU89" s="235">
        <f t="shared" si="103"/>
        <v>0</v>
      </c>
      <c r="AV89" s="354"/>
      <c r="AW89" s="354"/>
      <c r="AX89" s="354"/>
      <c r="AY89" s="354"/>
      <c r="AZ89" s="354"/>
      <c r="BA89" s="354"/>
      <c r="BB89" s="354"/>
      <c r="BC89" s="354"/>
      <c r="BD89" s="354"/>
      <c r="BE89" s="354"/>
      <c r="BF89" s="354"/>
      <c r="BG89" s="206"/>
      <c r="BH89" s="206"/>
      <c r="BI89" s="330"/>
      <c r="BJ89" s="206"/>
      <c r="BK89" s="330">
        <f t="shared" si="98"/>
        <v>2959899.2443425586</v>
      </c>
      <c r="BL89" s="330">
        <f t="shared" si="98"/>
        <v>2735438.1844542669</v>
      </c>
      <c r="BM89" s="206"/>
      <c r="BN89" s="206"/>
      <c r="BO89" s="636">
        <v>3</v>
      </c>
      <c r="BP89" s="372" t="s">
        <v>27</v>
      </c>
      <c r="BQ89" s="355">
        <f t="shared" si="104"/>
        <v>0</v>
      </c>
      <c r="BR89" s="355">
        <f t="shared" si="104"/>
        <v>0</v>
      </c>
      <c r="BS89" s="355">
        <f t="shared" si="104"/>
        <v>0</v>
      </c>
      <c r="BT89" s="355">
        <f t="shared" si="104"/>
        <v>0</v>
      </c>
      <c r="BU89" s="355">
        <f t="shared" si="104"/>
        <v>0</v>
      </c>
      <c r="BV89" s="355">
        <f t="shared" si="104"/>
        <v>0</v>
      </c>
      <c r="BW89" s="355">
        <f t="shared" si="104"/>
        <v>0</v>
      </c>
      <c r="BX89" s="355">
        <f t="shared" si="104"/>
        <v>0</v>
      </c>
      <c r="BY89" s="355">
        <f t="shared" si="104"/>
        <v>0</v>
      </c>
      <c r="BZ89" s="355">
        <f t="shared" si="104"/>
        <v>0</v>
      </c>
      <c r="CA89" s="355">
        <f t="shared" si="104"/>
        <v>0</v>
      </c>
      <c r="CB89" s="355">
        <f t="shared" si="104"/>
        <v>0</v>
      </c>
      <c r="CC89" s="355">
        <f t="shared" si="104"/>
        <v>0</v>
      </c>
      <c r="CD89" s="355">
        <f t="shared" si="104"/>
        <v>0</v>
      </c>
      <c r="CE89" s="355">
        <f t="shared" si="104"/>
        <v>0</v>
      </c>
      <c r="CF89" s="355">
        <f t="shared" si="104"/>
        <v>0</v>
      </c>
      <c r="CG89" s="355">
        <f t="shared" si="104"/>
        <v>0</v>
      </c>
      <c r="CH89" s="355">
        <f t="shared" si="104"/>
        <v>0</v>
      </c>
      <c r="CI89" s="355">
        <f t="shared" si="104"/>
        <v>0</v>
      </c>
      <c r="CJ89" s="355">
        <f t="shared" si="104"/>
        <v>0</v>
      </c>
      <c r="CK89" s="355"/>
      <c r="CL89" s="355"/>
      <c r="CM89" s="355"/>
      <c r="CN89" s="355"/>
      <c r="CO89" s="355"/>
      <c r="CP89" s="355"/>
      <c r="CQ89" s="355"/>
      <c r="CR89" s="355"/>
      <c r="CS89" s="355"/>
      <c r="CT89" s="355"/>
      <c r="CU89" s="355"/>
      <c r="CV89" s="355"/>
      <c r="CW89" s="355"/>
      <c r="CX89" s="355"/>
      <c r="CY89" s="355"/>
      <c r="CZ89" s="355"/>
      <c r="DA89" s="355"/>
      <c r="DB89" s="355"/>
      <c r="DC89" s="355"/>
      <c r="DD89" s="355"/>
      <c r="DE89" s="654"/>
      <c r="DF89" s="642"/>
      <c r="DG89" s="235">
        <f t="shared" si="114"/>
        <v>0</v>
      </c>
      <c r="DH89" s="235">
        <f t="shared" si="115"/>
        <v>0</v>
      </c>
      <c r="DI89" s="236">
        <f t="shared" si="116"/>
        <v>0</v>
      </c>
      <c r="DJ89" s="354"/>
      <c r="DK89" s="354"/>
      <c r="DL89" s="354"/>
      <c r="DM89" s="354"/>
      <c r="DN89" s="354"/>
      <c r="DO89" s="654"/>
      <c r="DP89" s="642"/>
      <c r="DQ89" s="235">
        <f t="shared" si="105"/>
        <v>0</v>
      </c>
      <c r="DR89" s="235">
        <f t="shared" si="105"/>
        <v>0</v>
      </c>
      <c r="DS89" s="236">
        <f t="shared" si="105"/>
        <v>0</v>
      </c>
      <c r="DT89" s="357"/>
      <c r="DU89" s="357"/>
      <c r="DV89" s="357"/>
      <c r="DW89" s="357"/>
      <c r="DX89" s="357"/>
      <c r="DY89" s="357"/>
      <c r="DZ89" s="687"/>
      <c r="EA89" s="365"/>
      <c r="EB89" s="365"/>
      <c r="EC89" s="358">
        <f t="shared" si="119"/>
        <v>0</v>
      </c>
      <c r="ED89" s="358">
        <f t="shared" si="120"/>
        <v>0</v>
      </c>
      <c r="EE89" s="358">
        <f t="shared" si="121"/>
        <v>0</v>
      </c>
      <c r="EF89" s="328"/>
      <c r="EG89" s="636">
        <v>3</v>
      </c>
      <c r="EH89" s="373" t="s">
        <v>27</v>
      </c>
      <c r="EI89" s="355">
        <f t="shared" si="106"/>
        <v>0</v>
      </c>
      <c r="EJ89" s="355">
        <f t="shared" si="106"/>
        <v>0</v>
      </c>
      <c r="EK89" s="355">
        <f t="shared" si="106"/>
        <v>0</v>
      </c>
      <c r="EL89" s="355">
        <f t="shared" si="106"/>
        <v>0</v>
      </c>
      <c r="EM89" s="355">
        <f t="shared" si="106"/>
        <v>0</v>
      </c>
      <c r="EN89" s="355">
        <f t="shared" si="106"/>
        <v>0</v>
      </c>
      <c r="EO89" s="355">
        <f t="shared" si="106"/>
        <v>0</v>
      </c>
      <c r="EP89" s="355">
        <f t="shared" si="106"/>
        <v>0</v>
      </c>
      <c r="EQ89" s="355">
        <f t="shared" si="106"/>
        <v>0</v>
      </c>
      <c r="ER89" s="355">
        <f t="shared" si="106"/>
        <v>0</v>
      </c>
      <c r="ES89" s="355">
        <f t="shared" si="106"/>
        <v>0</v>
      </c>
      <c r="ET89" s="355">
        <f t="shared" si="106"/>
        <v>0</v>
      </c>
      <c r="EU89" s="355">
        <f t="shared" si="106"/>
        <v>0</v>
      </c>
      <c r="EV89" s="355">
        <f t="shared" si="106"/>
        <v>0</v>
      </c>
      <c r="EW89" s="355">
        <f t="shared" si="106"/>
        <v>0</v>
      </c>
      <c r="EX89" s="355">
        <f t="shared" si="106"/>
        <v>0</v>
      </c>
      <c r="EY89" s="355">
        <f t="shared" si="107"/>
        <v>0</v>
      </c>
      <c r="EZ89" s="355">
        <f t="shared" si="107"/>
        <v>0</v>
      </c>
      <c r="FA89" s="355">
        <f t="shared" si="107"/>
        <v>0</v>
      </c>
      <c r="FB89" s="355">
        <f t="shared" si="107"/>
        <v>0</v>
      </c>
      <c r="FC89" s="355"/>
      <c r="FD89" s="355"/>
      <c r="FE89" s="355"/>
      <c r="FF89" s="355"/>
      <c r="FG89" s="355"/>
      <c r="FH89" s="355"/>
      <c r="FI89" s="355"/>
      <c r="FJ89" s="355"/>
      <c r="FK89" s="355"/>
      <c r="FL89" s="355"/>
      <c r="FM89" s="355"/>
      <c r="FN89" s="355"/>
      <c r="FO89" s="355"/>
      <c r="FP89" s="355"/>
      <c r="FQ89" s="355"/>
      <c r="FR89" s="355"/>
      <c r="FS89" s="355"/>
      <c r="FT89" s="355"/>
      <c r="FU89" s="355"/>
      <c r="FV89" s="355"/>
      <c r="FW89" s="355"/>
      <c r="FX89" s="369"/>
      <c r="FY89" s="370"/>
      <c r="FZ89" s="206"/>
      <c r="GA89" s="206"/>
      <c r="GB89" s="364">
        <f t="shared" si="109"/>
        <v>0</v>
      </c>
      <c r="GC89" s="637">
        <f>SUM(GB89:GB92)</f>
        <v>0</v>
      </c>
      <c r="GD89" s="364">
        <f t="shared" si="110"/>
        <v>0</v>
      </c>
      <c r="GE89" s="637">
        <f>SUM(GD89:GD92)</f>
        <v>0</v>
      </c>
      <c r="GF89" s="364">
        <f t="shared" si="111"/>
        <v>0</v>
      </c>
      <c r="GG89" s="637">
        <f>SUM(GF89:GF92)</f>
        <v>0</v>
      </c>
      <c r="GH89" s="639">
        <f>GG89+GE89+GC89</f>
        <v>0</v>
      </c>
      <c r="GI89" s="206" t="s">
        <v>76</v>
      </c>
      <c r="GJ89" s="330">
        <f>GJ58</f>
        <v>0</v>
      </c>
      <c r="GK89" s="330">
        <f>GL58</f>
        <v>0</v>
      </c>
      <c r="GL89" s="330">
        <f>GN58</f>
        <v>0</v>
      </c>
      <c r="GM89" s="331">
        <f>NPV($GO$53,GJ89:GL89)</f>
        <v>0</v>
      </c>
      <c r="GN89" s="206"/>
      <c r="GO89" s="206"/>
      <c r="GP89" s="635">
        <f>SUM(EI89:FB92)</f>
        <v>0</v>
      </c>
      <c r="GQ89" s="206"/>
      <c r="GR89" s="206"/>
      <c r="GS89" s="206"/>
    </row>
    <row r="90" spans="1:201" ht="15" customHeight="1" thickBot="1">
      <c r="A90" s="636"/>
      <c r="B90" s="372" t="s">
        <v>28</v>
      </c>
      <c r="C90" s="353">
        <f t="shared" si="99"/>
        <v>0</v>
      </c>
      <c r="D90" s="353">
        <f t="shared" si="99"/>
        <v>0</v>
      </c>
      <c r="E90" s="353">
        <f t="shared" si="99"/>
        <v>0</v>
      </c>
      <c r="F90" s="353">
        <f t="shared" si="99"/>
        <v>0</v>
      </c>
      <c r="G90" s="353">
        <f t="shared" si="99"/>
        <v>0</v>
      </c>
      <c r="H90" s="353">
        <f t="shared" si="99"/>
        <v>0</v>
      </c>
      <c r="I90" s="353">
        <f t="shared" si="99"/>
        <v>0</v>
      </c>
      <c r="J90" s="353">
        <f t="shared" si="99"/>
        <v>0</v>
      </c>
      <c r="K90" s="353">
        <f t="shared" si="99"/>
        <v>0</v>
      </c>
      <c r="L90" s="353">
        <f t="shared" si="99"/>
        <v>0</v>
      </c>
      <c r="M90" s="353">
        <f t="shared" si="99"/>
        <v>0</v>
      </c>
      <c r="N90" s="353">
        <f t="shared" si="99"/>
        <v>0</v>
      </c>
      <c r="O90" s="353">
        <f t="shared" si="99"/>
        <v>0</v>
      </c>
      <c r="P90" s="353">
        <f t="shared" si="99"/>
        <v>0</v>
      </c>
      <c r="Q90" s="353">
        <f t="shared" si="99"/>
        <v>0</v>
      </c>
      <c r="R90" s="353">
        <f t="shared" si="99"/>
        <v>0</v>
      </c>
      <c r="S90" s="353">
        <f t="shared" si="99"/>
        <v>0</v>
      </c>
      <c r="T90" s="353">
        <f t="shared" si="99"/>
        <v>0</v>
      </c>
      <c r="U90" s="353">
        <f t="shared" si="99"/>
        <v>0</v>
      </c>
      <c r="V90" s="353">
        <f t="shared" si="99"/>
        <v>0</v>
      </c>
      <c r="W90" s="353"/>
      <c r="X90" s="353"/>
      <c r="Y90" s="353"/>
      <c r="Z90" s="353"/>
      <c r="AA90" s="353"/>
      <c r="AB90" s="353"/>
      <c r="AC90" s="353"/>
      <c r="AD90" s="353"/>
      <c r="AE90" s="353"/>
      <c r="AF90" s="353"/>
      <c r="AG90" s="353"/>
      <c r="AH90" s="353"/>
      <c r="AI90" s="353"/>
      <c r="AJ90" s="353"/>
      <c r="AK90" s="353"/>
      <c r="AL90" s="353"/>
      <c r="AM90" s="353"/>
      <c r="AN90" s="353"/>
      <c r="AO90" s="353"/>
      <c r="AP90" s="353"/>
      <c r="AQ90" s="643"/>
      <c r="AR90" s="643"/>
      <c r="AS90" s="235">
        <f t="shared" si="101"/>
        <v>0</v>
      </c>
      <c r="AT90" s="235">
        <f t="shared" si="102"/>
        <v>0</v>
      </c>
      <c r="AU90" s="235">
        <f t="shared" si="103"/>
        <v>0</v>
      </c>
      <c r="AV90" s="354"/>
      <c r="AW90" s="354"/>
      <c r="AX90" s="354"/>
      <c r="AY90" s="354"/>
      <c r="AZ90" s="354"/>
      <c r="BA90" s="354"/>
      <c r="BB90" s="354"/>
      <c r="BC90" s="354"/>
      <c r="BD90" s="354"/>
      <c r="BE90" s="354"/>
      <c r="BF90" s="354"/>
      <c r="BG90" s="206"/>
      <c r="BH90" s="206"/>
      <c r="BI90" s="330"/>
      <c r="BJ90" s="206"/>
      <c r="BK90" s="330">
        <f t="shared" si="98"/>
        <v>6082095.0364682479</v>
      </c>
      <c r="BL90" s="330">
        <f t="shared" si="98"/>
        <v>5845645.6848323243</v>
      </c>
      <c r="BM90" s="206"/>
      <c r="BN90" s="206"/>
      <c r="BO90" s="636"/>
      <c r="BP90" s="372" t="s">
        <v>28</v>
      </c>
      <c r="BQ90" s="355">
        <f t="shared" si="104"/>
        <v>0</v>
      </c>
      <c r="BR90" s="355">
        <f t="shared" si="104"/>
        <v>0</v>
      </c>
      <c r="BS90" s="355">
        <f t="shared" si="104"/>
        <v>0</v>
      </c>
      <c r="BT90" s="355">
        <f t="shared" si="104"/>
        <v>0</v>
      </c>
      <c r="BU90" s="355">
        <f t="shared" si="104"/>
        <v>0</v>
      </c>
      <c r="BV90" s="355">
        <f t="shared" si="104"/>
        <v>0</v>
      </c>
      <c r="BW90" s="355">
        <f t="shared" si="104"/>
        <v>0</v>
      </c>
      <c r="BX90" s="355">
        <f t="shared" si="104"/>
        <v>0</v>
      </c>
      <c r="BY90" s="355">
        <f t="shared" si="104"/>
        <v>0</v>
      </c>
      <c r="BZ90" s="355">
        <f t="shared" si="104"/>
        <v>0</v>
      </c>
      <c r="CA90" s="355">
        <f t="shared" si="104"/>
        <v>0</v>
      </c>
      <c r="CB90" s="355">
        <f t="shared" si="104"/>
        <v>0</v>
      </c>
      <c r="CC90" s="355">
        <f t="shared" si="104"/>
        <v>0</v>
      </c>
      <c r="CD90" s="355">
        <f t="shared" si="104"/>
        <v>0</v>
      </c>
      <c r="CE90" s="355">
        <f t="shared" si="104"/>
        <v>0</v>
      </c>
      <c r="CF90" s="355">
        <f t="shared" si="104"/>
        <v>0</v>
      </c>
      <c r="CG90" s="355">
        <f t="shared" si="104"/>
        <v>0</v>
      </c>
      <c r="CH90" s="355">
        <f t="shared" si="104"/>
        <v>0</v>
      </c>
      <c r="CI90" s="355">
        <f t="shared" si="104"/>
        <v>0</v>
      </c>
      <c r="CJ90" s="355">
        <f t="shared" si="104"/>
        <v>0</v>
      </c>
      <c r="CK90" s="355"/>
      <c r="CL90" s="355"/>
      <c r="CM90" s="355"/>
      <c r="CN90" s="355"/>
      <c r="CO90" s="355"/>
      <c r="CP90" s="355"/>
      <c r="CQ90" s="355"/>
      <c r="CR90" s="355"/>
      <c r="CS90" s="355"/>
      <c r="CT90" s="355"/>
      <c r="CU90" s="355"/>
      <c r="CV90" s="355"/>
      <c r="CW90" s="355"/>
      <c r="CX90" s="355"/>
      <c r="CY90" s="355"/>
      <c r="CZ90" s="355"/>
      <c r="DA90" s="355"/>
      <c r="DB90" s="355"/>
      <c r="DC90" s="355"/>
      <c r="DD90" s="355"/>
      <c r="DE90" s="654"/>
      <c r="DF90" s="643"/>
      <c r="DG90" s="235">
        <f t="shared" si="114"/>
        <v>0</v>
      </c>
      <c r="DH90" s="235">
        <f t="shared" si="115"/>
        <v>0</v>
      </c>
      <c r="DI90" s="236">
        <f t="shared" si="116"/>
        <v>0</v>
      </c>
      <c r="DJ90" s="354"/>
      <c r="DK90" s="354"/>
      <c r="DL90" s="354"/>
      <c r="DM90" s="354"/>
      <c r="DN90" s="354"/>
      <c r="DO90" s="654"/>
      <c r="DP90" s="643"/>
      <c r="DQ90" s="235">
        <f t="shared" si="105"/>
        <v>0</v>
      </c>
      <c r="DR90" s="235">
        <f t="shared" si="105"/>
        <v>0</v>
      </c>
      <c r="DS90" s="236">
        <f t="shared" si="105"/>
        <v>0</v>
      </c>
      <c r="DT90" s="357"/>
      <c r="DU90" s="357"/>
      <c r="DV90" s="357"/>
      <c r="DW90" s="357"/>
      <c r="DX90" s="357"/>
      <c r="DY90" s="357"/>
      <c r="DZ90" s="688"/>
      <c r="EA90" s="365"/>
      <c r="EB90" s="365"/>
      <c r="EC90" s="362">
        <f t="shared" si="119"/>
        <v>0</v>
      </c>
      <c r="ED90" s="358">
        <f t="shared" si="120"/>
        <v>0</v>
      </c>
      <c r="EE90" s="358">
        <f t="shared" si="121"/>
        <v>0</v>
      </c>
      <c r="EF90" s="328"/>
      <c r="EG90" s="636"/>
      <c r="EH90" s="373" t="s">
        <v>28</v>
      </c>
      <c r="EI90" s="355">
        <f t="shared" si="106"/>
        <v>0</v>
      </c>
      <c r="EJ90" s="355">
        <f t="shared" si="106"/>
        <v>0</v>
      </c>
      <c r="EK90" s="355">
        <f t="shared" si="106"/>
        <v>0</v>
      </c>
      <c r="EL90" s="355">
        <f t="shared" si="106"/>
        <v>0</v>
      </c>
      <c r="EM90" s="355">
        <f t="shared" si="106"/>
        <v>0</v>
      </c>
      <c r="EN90" s="355">
        <f t="shared" si="106"/>
        <v>0</v>
      </c>
      <c r="EO90" s="355">
        <f t="shared" si="106"/>
        <v>0</v>
      </c>
      <c r="EP90" s="355">
        <f t="shared" si="106"/>
        <v>0</v>
      </c>
      <c r="EQ90" s="355">
        <f t="shared" si="106"/>
        <v>0</v>
      </c>
      <c r="ER90" s="355">
        <f t="shared" si="106"/>
        <v>0</v>
      </c>
      <c r="ES90" s="355">
        <f t="shared" si="106"/>
        <v>0</v>
      </c>
      <c r="ET90" s="355">
        <f t="shared" si="106"/>
        <v>0</v>
      </c>
      <c r="EU90" s="355">
        <f t="shared" si="106"/>
        <v>0</v>
      </c>
      <c r="EV90" s="355">
        <f t="shared" si="106"/>
        <v>0</v>
      </c>
      <c r="EW90" s="355">
        <f t="shared" si="106"/>
        <v>0</v>
      </c>
      <c r="EX90" s="355">
        <f t="shared" si="106"/>
        <v>0</v>
      </c>
      <c r="EY90" s="355">
        <f t="shared" si="107"/>
        <v>0</v>
      </c>
      <c r="EZ90" s="355">
        <f t="shared" si="107"/>
        <v>0</v>
      </c>
      <c r="FA90" s="355">
        <f t="shared" si="107"/>
        <v>0</v>
      </c>
      <c r="FB90" s="355">
        <f t="shared" si="107"/>
        <v>0</v>
      </c>
      <c r="FC90" s="355"/>
      <c r="FD90" s="355"/>
      <c r="FE90" s="355"/>
      <c r="FF90" s="355"/>
      <c r="FG90" s="355"/>
      <c r="FH90" s="355"/>
      <c r="FI90" s="355"/>
      <c r="FJ90" s="355"/>
      <c r="FK90" s="355"/>
      <c r="FL90" s="355"/>
      <c r="FM90" s="355"/>
      <c r="FN90" s="355"/>
      <c r="FO90" s="355"/>
      <c r="FP90" s="355"/>
      <c r="FQ90" s="355"/>
      <c r="FR90" s="355"/>
      <c r="FS90" s="355"/>
      <c r="FT90" s="355"/>
      <c r="FU90" s="355"/>
      <c r="FV90" s="355"/>
      <c r="FW90" s="355"/>
      <c r="FX90" s="369"/>
      <c r="FY90" s="370"/>
      <c r="FZ90" s="206"/>
      <c r="GA90" s="206"/>
      <c r="GB90" s="364">
        <f t="shared" si="109"/>
        <v>0</v>
      </c>
      <c r="GC90" s="637"/>
      <c r="GD90" s="364">
        <f t="shared" si="110"/>
        <v>0</v>
      </c>
      <c r="GE90" s="637"/>
      <c r="GF90" s="364">
        <f t="shared" si="111"/>
        <v>0</v>
      </c>
      <c r="GG90" s="637"/>
      <c r="GH90" s="640"/>
      <c r="GI90" s="206" t="s">
        <v>96</v>
      </c>
      <c r="GJ90" s="330">
        <f>GJ59</f>
        <v>0</v>
      </c>
      <c r="GK90" s="330">
        <f>GL59</f>
        <v>0</v>
      </c>
      <c r="GL90" s="330">
        <f>GN59</f>
        <v>0</v>
      </c>
      <c r="GM90" s="331">
        <f>NPV($GO$53,GJ90:GL90)</f>
        <v>0</v>
      </c>
      <c r="GN90" s="206"/>
      <c r="GO90" s="206"/>
      <c r="GP90" s="635"/>
      <c r="GQ90" s="206"/>
      <c r="GR90" s="206"/>
      <c r="GS90" s="206"/>
    </row>
    <row r="91" spans="1:201" ht="15" customHeight="1" thickBot="1">
      <c r="A91" s="636"/>
      <c r="B91" s="372" t="s">
        <v>29</v>
      </c>
      <c r="C91" s="353">
        <f t="shared" si="99"/>
        <v>0</v>
      </c>
      <c r="D91" s="353">
        <f t="shared" si="99"/>
        <v>0</v>
      </c>
      <c r="E91" s="353">
        <f t="shared" si="99"/>
        <v>0</v>
      </c>
      <c r="F91" s="353">
        <f t="shared" si="99"/>
        <v>0</v>
      </c>
      <c r="G91" s="353">
        <f t="shared" si="99"/>
        <v>0</v>
      </c>
      <c r="H91" s="353">
        <f t="shared" si="99"/>
        <v>0</v>
      </c>
      <c r="I91" s="353">
        <f t="shared" si="99"/>
        <v>0</v>
      </c>
      <c r="J91" s="353">
        <f t="shared" si="99"/>
        <v>0</v>
      </c>
      <c r="K91" s="353">
        <f t="shared" si="99"/>
        <v>0</v>
      </c>
      <c r="L91" s="353">
        <f t="shared" si="99"/>
        <v>0</v>
      </c>
      <c r="M91" s="353">
        <f t="shared" si="99"/>
        <v>0</v>
      </c>
      <c r="N91" s="353">
        <f t="shared" si="99"/>
        <v>0</v>
      </c>
      <c r="O91" s="353">
        <f t="shared" si="99"/>
        <v>0</v>
      </c>
      <c r="P91" s="353">
        <f t="shared" si="99"/>
        <v>0</v>
      </c>
      <c r="Q91" s="353">
        <f t="shared" si="99"/>
        <v>0</v>
      </c>
      <c r="R91" s="353">
        <f t="shared" si="99"/>
        <v>0</v>
      </c>
      <c r="S91" s="353">
        <f t="shared" si="99"/>
        <v>0</v>
      </c>
      <c r="T91" s="353">
        <f t="shared" si="99"/>
        <v>0</v>
      </c>
      <c r="U91" s="353">
        <f t="shared" si="99"/>
        <v>0</v>
      </c>
      <c r="V91" s="353">
        <f t="shared" si="99"/>
        <v>0</v>
      </c>
      <c r="W91" s="353"/>
      <c r="X91" s="353"/>
      <c r="Y91" s="353"/>
      <c r="Z91" s="353"/>
      <c r="AA91" s="353"/>
      <c r="AB91" s="353"/>
      <c r="AC91" s="353"/>
      <c r="AD91" s="353"/>
      <c r="AE91" s="353"/>
      <c r="AF91" s="353"/>
      <c r="AG91" s="353"/>
      <c r="AH91" s="353"/>
      <c r="AI91" s="353"/>
      <c r="AJ91" s="353"/>
      <c r="AK91" s="353"/>
      <c r="AL91" s="353"/>
      <c r="AM91" s="353"/>
      <c r="AN91" s="353"/>
      <c r="AO91" s="353"/>
      <c r="AP91" s="353"/>
      <c r="AQ91" s="643"/>
      <c r="AR91" s="643"/>
      <c r="AS91" s="235">
        <f t="shared" si="101"/>
        <v>0</v>
      </c>
      <c r="AT91" s="235">
        <f t="shared" si="102"/>
        <v>0</v>
      </c>
      <c r="AU91" s="235">
        <f t="shared" si="103"/>
        <v>0</v>
      </c>
      <c r="AV91" s="354"/>
      <c r="AW91" s="354"/>
      <c r="AX91" s="354"/>
      <c r="AY91" s="354"/>
      <c r="AZ91" s="354"/>
      <c r="BA91" s="354"/>
      <c r="BB91" s="354"/>
      <c r="BC91" s="354"/>
      <c r="BD91" s="354"/>
      <c r="BE91" s="354"/>
      <c r="BF91" s="354"/>
      <c r="BG91" s="206"/>
      <c r="BH91" s="206"/>
      <c r="BI91" s="330"/>
      <c r="BJ91" s="206"/>
      <c r="BK91" s="330">
        <f t="shared" si="98"/>
        <v>3341513.072055323</v>
      </c>
      <c r="BL91" s="330">
        <f t="shared" si="98"/>
        <v>2528169.2325313082</v>
      </c>
      <c r="BM91" s="206"/>
      <c r="BN91" s="206"/>
      <c r="BO91" s="636"/>
      <c r="BP91" s="372" t="s">
        <v>29</v>
      </c>
      <c r="BQ91" s="355">
        <f t="shared" si="104"/>
        <v>0</v>
      </c>
      <c r="BR91" s="355">
        <f t="shared" si="104"/>
        <v>0</v>
      </c>
      <c r="BS91" s="355">
        <f t="shared" si="104"/>
        <v>0</v>
      </c>
      <c r="BT91" s="355">
        <f t="shared" si="104"/>
        <v>0</v>
      </c>
      <c r="BU91" s="355">
        <f t="shared" si="104"/>
        <v>0</v>
      </c>
      <c r="BV91" s="355">
        <f t="shared" si="104"/>
        <v>0</v>
      </c>
      <c r="BW91" s="355">
        <f t="shared" si="104"/>
        <v>0</v>
      </c>
      <c r="BX91" s="355">
        <f t="shared" si="104"/>
        <v>0</v>
      </c>
      <c r="BY91" s="355">
        <f t="shared" si="104"/>
        <v>0</v>
      </c>
      <c r="BZ91" s="355">
        <f t="shared" si="104"/>
        <v>0</v>
      </c>
      <c r="CA91" s="355">
        <f t="shared" si="104"/>
        <v>0</v>
      </c>
      <c r="CB91" s="355">
        <f t="shared" si="104"/>
        <v>0</v>
      </c>
      <c r="CC91" s="355">
        <f t="shared" si="104"/>
        <v>0</v>
      </c>
      <c r="CD91" s="355">
        <f t="shared" si="104"/>
        <v>0</v>
      </c>
      <c r="CE91" s="355">
        <f t="shared" si="104"/>
        <v>0</v>
      </c>
      <c r="CF91" s="355">
        <f t="shared" si="104"/>
        <v>0</v>
      </c>
      <c r="CG91" s="355">
        <f t="shared" si="104"/>
        <v>0</v>
      </c>
      <c r="CH91" s="355">
        <f t="shared" si="104"/>
        <v>0</v>
      </c>
      <c r="CI91" s="355">
        <f t="shared" si="104"/>
        <v>0</v>
      </c>
      <c r="CJ91" s="355">
        <f t="shared" si="104"/>
        <v>0</v>
      </c>
      <c r="CK91" s="355"/>
      <c r="CL91" s="355"/>
      <c r="CM91" s="355"/>
      <c r="CN91" s="355"/>
      <c r="CO91" s="355"/>
      <c r="CP91" s="355"/>
      <c r="CQ91" s="355"/>
      <c r="CR91" s="355"/>
      <c r="CS91" s="355"/>
      <c r="CT91" s="355"/>
      <c r="CU91" s="355"/>
      <c r="CV91" s="355"/>
      <c r="CW91" s="355"/>
      <c r="CX91" s="355"/>
      <c r="CY91" s="355"/>
      <c r="CZ91" s="355"/>
      <c r="DA91" s="355"/>
      <c r="DB91" s="355"/>
      <c r="DC91" s="355"/>
      <c r="DD91" s="355"/>
      <c r="DE91" s="654"/>
      <c r="DF91" s="643"/>
      <c r="DG91" s="235">
        <f t="shared" si="114"/>
        <v>0</v>
      </c>
      <c r="DH91" s="235">
        <f t="shared" si="115"/>
        <v>0</v>
      </c>
      <c r="DI91" s="236">
        <f t="shared" si="116"/>
        <v>0</v>
      </c>
      <c r="DJ91" s="354"/>
      <c r="DK91" s="354"/>
      <c r="DL91" s="354"/>
      <c r="DM91" s="354"/>
      <c r="DN91" s="354"/>
      <c r="DO91" s="654"/>
      <c r="DP91" s="643"/>
      <c r="DQ91" s="235">
        <f t="shared" si="105"/>
        <v>0</v>
      </c>
      <c r="DR91" s="235">
        <f t="shared" si="105"/>
        <v>0</v>
      </c>
      <c r="DS91" s="236">
        <f t="shared" si="105"/>
        <v>0</v>
      </c>
      <c r="DT91" s="357"/>
      <c r="DU91" s="357"/>
      <c r="DV91" s="357"/>
      <c r="DW91" s="357"/>
      <c r="DX91" s="357"/>
      <c r="DY91" s="357"/>
      <c r="DZ91" s="687">
        <v>4</v>
      </c>
      <c r="EA91" s="365"/>
      <c r="EB91" s="365"/>
      <c r="EC91" s="365"/>
      <c r="ED91" s="358">
        <f t="shared" si="120"/>
        <v>0</v>
      </c>
      <c r="EE91" s="358">
        <f t="shared" si="121"/>
        <v>0</v>
      </c>
      <c r="EF91" s="328"/>
      <c r="EG91" s="636"/>
      <c r="EH91" s="373" t="s">
        <v>29</v>
      </c>
      <c r="EI91" s="355">
        <f t="shared" si="106"/>
        <v>0</v>
      </c>
      <c r="EJ91" s="355">
        <f t="shared" si="106"/>
        <v>0</v>
      </c>
      <c r="EK91" s="355">
        <f t="shared" si="106"/>
        <v>0</v>
      </c>
      <c r="EL91" s="355">
        <f t="shared" si="106"/>
        <v>0</v>
      </c>
      <c r="EM91" s="355">
        <f t="shared" si="106"/>
        <v>0</v>
      </c>
      <c r="EN91" s="355">
        <f t="shared" si="106"/>
        <v>0</v>
      </c>
      <c r="EO91" s="355">
        <f t="shared" si="106"/>
        <v>0</v>
      </c>
      <c r="EP91" s="355">
        <f t="shared" si="106"/>
        <v>0</v>
      </c>
      <c r="EQ91" s="355">
        <f t="shared" si="106"/>
        <v>0</v>
      </c>
      <c r="ER91" s="355">
        <f t="shared" si="106"/>
        <v>0</v>
      </c>
      <c r="ES91" s="355">
        <f t="shared" si="106"/>
        <v>0</v>
      </c>
      <c r="ET91" s="355">
        <f t="shared" si="106"/>
        <v>0</v>
      </c>
      <c r="EU91" s="355">
        <f t="shared" si="106"/>
        <v>0</v>
      </c>
      <c r="EV91" s="355">
        <f t="shared" si="106"/>
        <v>0</v>
      </c>
      <c r="EW91" s="355">
        <f t="shared" si="106"/>
        <v>0</v>
      </c>
      <c r="EX91" s="355">
        <f t="shared" si="106"/>
        <v>0</v>
      </c>
      <c r="EY91" s="355">
        <f t="shared" si="107"/>
        <v>0</v>
      </c>
      <c r="EZ91" s="355">
        <f t="shared" si="107"/>
        <v>0</v>
      </c>
      <c r="FA91" s="355">
        <f t="shared" si="107"/>
        <v>0</v>
      </c>
      <c r="FB91" s="355">
        <f t="shared" si="107"/>
        <v>0</v>
      </c>
      <c r="FC91" s="355"/>
      <c r="FD91" s="355"/>
      <c r="FE91" s="355"/>
      <c r="FF91" s="355"/>
      <c r="FG91" s="355"/>
      <c r="FH91" s="355"/>
      <c r="FI91" s="355"/>
      <c r="FJ91" s="355"/>
      <c r="FK91" s="355"/>
      <c r="FL91" s="355"/>
      <c r="FM91" s="355"/>
      <c r="FN91" s="355"/>
      <c r="FO91" s="355"/>
      <c r="FP91" s="355"/>
      <c r="FQ91" s="355"/>
      <c r="FR91" s="355"/>
      <c r="FS91" s="355"/>
      <c r="FT91" s="355"/>
      <c r="FU91" s="355"/>
      <c r="FV91" s="355"/>
      <c r="FW91" s="355"/>
      <c r="FX91" s="369"/>
      <c r="FY91" s="370"/>
      <c r="FZ91" s="206"/>
      <c r="GA91" s="206"/>
      <c r="GB91" s="364">
        <f t="shared" si="109"/>
        <v>0</v>
      </c>
      <c r="GC91" s="637"/>
      <c r="GD91" s="364">
        <f t="shared" si="110"/>
        <v>0</v>
      </c>
      <c r="GE91" s="637"/>
      <c r="GF91" s="364">
        <f t="shared" si="111"/>
        <v>0</v>
      </c>
      <c r="GG91" s="637"/>
      <c r="GH91" s="640"/>
      <c r="GI91" s="206"/>
      <c r="GJ91" s="206"/>
      <c r="GK91" s="206"/>
      <c r="GL91" s="206"/>
      <c r="GM91" s="206"/>
      <c r="GN91" s="206"/>
      <c r="GO91" s="206"/>
      <c r="GP91" s="635"/>
      <c r="GQ91" s="206"/>
      <c r="GR91" s="206"/>
      <c r="GS91" s="206"/>
    </row>
    <row r="92" spans="1:201" ht="15" customHeight="1" thickBot="1">
      <c r="A92" s="636"/>
      <c r="B92" s="372" t="s">
        <v>30</v>
      </c>
      <c r="C92" s="353">
        <f t="shared" si="99"/>
        <v>0</v>
      </c>
      <c r="D92" s="353">
        <f t="shared" si="99"/>
        <v>0</v>
      </c>
      <c r="E92" s="353">
        <f t="shared" si="99"/>
        <v>0</v>
      </c>
      <c r="F92" s="353">
        <f t="shared" si="99"/>
        <v>0</v>
      </c>
      <c r="G92" s="353">
        <f t="shared" si="99"/>
        <v>0</v>
      </c>
      <c r="H92" s="353">
        <f t="shared" si="99"/>
        <v>0</v>
      </c>
      <c r="I92" s="353">
        <f t="shared" si="99"/>
        <v>0</v>
      </c>
      <c r="J92" s="353">
        <f t="shared" si="99"/>
        <v>0</v>
      </c>
      <c r="K92" s="353">
        <f t="shared" si="99"/>
        <v>0</v>
      </c>
      <c r="L92" s="353">
        <f t="shared" si="99"/>
        <v>0</v>
      </c>
      <c r="M92" s="353">
        <f t="shared" si="99"/>
        <v>0</v>
      </c>
      <c r="N92" s="353">
        <f t="shared" si="99"/>
        <v>0</v>
      </c>
      <c r="O92" s="353">
        <f t="shared" si="99"/>
        <v>0</v>
      </c>
      <c r="P92" s="353">
        <f t="shared" si="99"/>
        <v>0</v>
      </c>
      <c r="Q92" s="353">
        <f t="shared" si="99"/>
        <v>0</v>
      </c>
      <c r="R92" s="353">
        <f t="shared" ref="R92:V96" si="122">(IF(EQ16=1,IF(R16&lt;=$BJ$47,R16*1000*$BI16,$BJ$47*1000*$BI16),IF(EQ16*$BJ$47&gt;=R16,R16*1000*$BI16,EQ16*1000*$BJ$47*$BI16)))*90*$C$26</f>
        <v>0</v>
      </c>
      <c r="S92" s="353">
        <f t="shared" si="122"/>
        <v>0</v>
      </c>
      <c r="T92" s="353">
        <f t="shared" si="122"/>
        <v>0</v>
      </c>
      <c r="U92" s="353">
        <f t="shared" si="122"/>
        <v>0</v>
      </c>
      <c r="V92" s="353">
        <f t="shared" si="122"/>
        <v>0</v>
      </c>
      <c r="W92" s="353"/>
      <c r="X92" s="353"/>
      <c r="Y92" s="353"/>
      <c r="Z92" s="353"/>
      <c r="AA92" s="353"/>
      <c r="AB92" s="353"/>
      <c r="AC92" s="353"/>
      <c r="AD92" s="353"/>
      <c r="AE92" s="353"/>
      <c r="AF92" s="353"/>
      <c r="AG92" s="353"/>
      <c r="AH92" s="353"/>
      <c r="AI92" s="353"/>
      <c r="AJ92" s="353"/>
      <c r="AK92" s="353"/>
      <c r="AL92" s="353"/>
      <c r="AM92" s="353"/>
      <c r="AN92" s="353"/>
      <c r="AO92" s="353"/>
      <c r="AP92" s="353"/>
      <c r="AQ92" s="643"/>
      <c r="AR92" s="643"/>
      <c r="AS92" s="235">
        <f t="shared" si="101"/>
        <v>0</v>
      </c>
      <c r="AT92" s="235">
        <f t="shared" si="102"/>
        <v>0</v>
      </c>
      <c r="AU92" s="235">
        <f t="shared" si="103"/>
        <v>0</v>
      </c>
      <c r="AV92" s="354"/>
      <c r="AW92" s="354"/>
      <c r="AX92" s="354"/>
      <c r="AY92" s="354"/>
      <c r="AZ92" s="354"/>
      <c r="BA92" s="354"/>
      <c r="BB92" s="354"/>
      <c r="BC92" s="354"/>
      <c r="BD92" s="354"/>
      <c r="BE92" s="354"/>
      <c r="BF92" s="354"/>
      <c r="BG92" s="206"/>
      <c r="BH92" s="206"/>
      <c r="BI92" s="330"/>
      <c r="BJ92" s="206"/>
      <c r="BK92" s="330">
        <f t="shared" si="98"/>
        <v>7326386.8428416746</v>
      </c>
      <c r="BL92" s="330">
        <f t="shared" si="98"/>
        <v>6565663.9371551154</v>
      </c>
      <c r="BM92" s="206"/>
      <c r="BN92" s="206"/>
      <c r="BO92" s="636"/>
      <c r="BP92" s="372" t="s">
        <v>30</v>
      </c>
      <c r="BQ92" s="355">
        <f t="shared" si="104"/>
        <v>0</v>
      </c>
      <c r="BR92" s="355">
        <f t="shared" si="104"/>
        <v>0</v>
      </c>
      <c r="BS92" s="355">
        <f t="shared" si="104"/>
        <v>0</v>
      </c>
      <c r="BT92" s="355">
        <f t="shared" si="104"/>
        <v>0</v>
      </c>
      <c r="BU92" s="355">
        <f t="shared" si="104"/>
        <v>0</v>
      </c>
      <c r="BV92" s="355">
        <f t="shared" si="104"/>
        <v>0</v>
      </c>
      <c r="BW92" s="355">
        <f t="shared" si="104"/>
        <v>0</v>
      </c>
      <c r="BX92" s="355">
        <f t="shared" si="104"/>
        <v>0</v>
      </c>
      <c r="BY92" s="355">
        <f t="shared" si="104"/>
        <v>0</v>
      </c>
      <c r="BZ92" s="355">
        <f t="shared" si="104"/>
        <v>0</v>
      </c>
      <c r="CA92" s="355">
        <f t="shared" si="104"/>
        <v>0</v>
      </c>
      <c r="CB92" s="355">
        <f t="shared" si="104"/>
        <v>0</v>
      </c>
      <c r="CC92" s="355">
        <f t="shared" si="104"/>
        <v>0</v>
      </c>
      <c r="CD92" s="355">
        <f t="shared" si="104"/>
        <v>0</v>
      </c>
      <c r="CE92" s="355">
        <f t="shared" si="104"/>
        <v>0</v>
      </c>
      <c r="CF92" s="355">
        <f t="shared" ref="CF92:CJ96" si="123">EQ16*$DP16*90</f>
        <v>0</v>
      </c>
      <c r="CG92" s="355">
        <f t="shared" si="123"/>
        <v>0</v>
      </c>
      <c r="CH92" s="355">
        <f t="shared" si="123"/>
        <v>0</v>
      </c>
      <c r="CI92" s="355">
        <f t="shared" si="123"/>
        <v>0</v>
      </c>
      <c r="CJ92" s="355">
        <f t="shared" si="123"/>
        <v>0</v>
      </c>
      <c r="CK92" s="355"/>
      <c r="CL92" s="355"/>
      <c r="CM92" s="355"/>
      <c r="CN92" s="355"/>
      <c r="CO92" s="355"/>
      <c r="CP92" s="355"/>
      <c r="CQ92" s="355"/>
      <c r="CR92" s="355"/>
      <c r="CS92" s="355"/>
      <c r="CT92" s="355"/>
      <c r="CU92" s="355"/>
      <c r="CV92" s="355"/>
      <c r="CW92" s="355"/>
      <c r="CX92" s="355"/>
      <c r="CY92" s="355"/>
      <c r="CZ92" s="355"/>
      <c r="DA92" s="355"/>
      <c r="DB92" s="355"/>
      <c r="DC92" s="355"/>
      <c r="DD92" s="355"/>
      <c r="DE92" s="654"/>
      <c r="DF92" s="643"/>
      <c r="DG92" s="235">
        <f t="shared" si="114"/>
        <v>0</v>
      </c>
      <c r="DH92" s="235">
        <f t="shared" si="115"/>
        <v>0</v>
      </c>
      <c r="DI92" s="236">
        <f t="shared" si="116"/>
        <v>0</v>
      </c>
      <c r="DJ92" s="354"/>
      <c r="DK92" s="354"/>
      <c r="DL92" s="354"/>
      <c r="DM92" s="354"/>
      <c r="DN92" s="354"/>
      <c r="DO92" s="654"/>
      <c r="DP92" s="643"/>
      <c r="DQ92" s="235">
        <f t="shared" si="105"/>
        <v>0</v>
      </c>
      <c r="DR92" s="235">
        <f t="shared" si="105"/>
        <v>0</v>
      </c>
      <c r="DS92" s="236">
        <f t="shared" si="105"/>
        <v>0</v>
      </c>
      <c r="DT92" s="357"/>
      <c r="DU92" s="357"/>
      <c r="DV92" s="357"/>
      <c r="DW92" s="357"/>
      <c r="DX92" s="357"/>
      <c r="DY92" s="357"/>
      <c r="DZ92" s="687"/>
      <c r="EA92" s="365"/>
      <c r="EB92" s="365"/>
      <c r="EC92" s="365"/>
      <c r="ED92" s="358">
        <f t="shared" si="120"/>
        <v>0</v>
      </c>
      <c r="EE92" s="358">
        <f t="shared" si="121"/>
        <v>0</v>
      </c>
      <c r="EF92" s="328"/>
      <c r="EG92" s="636"/>
      <c r="EH92" s="373" t="s">
        <v>30</v>
      </c>
      <c r="EI92" s="355">
        <f t="shared" si="106"/>
        <v>0</v>
      </c>
      <c r="EJ92" s="355">
        <f t="shared" si="106"/>
        <v>0</v>
      </c>
      <c r="EK92" s="355">
        <f t="shared" si="106"/>
        <v>0</v>
      </c>
      <c r="EL92" s="355">
        <f t="shared" si="106"/>
        <v>0</v>
      </c>
      <c r="EM92" s="355">
        <f t="shared" si="106"/>
        <v>0</v>
      </c>
      <c r="EN92" s="355">
        <f t="shared" si="106"/>
        <v>0</v>
      </c>
      <c r="EO92" s="355">
        <f t="shared" si="106"/>
        <v>0</v>
      </c>
      <c r="EP92" s="355">
        <f t="shared" si="106"/>
        <v>0</v>
      </c>
      <c r="EQ92" s="355">
        <f t="shared" si="106"/>
        <v>0</v>
      </c>
      <c r="ER92" s="355">
        <f t="shared" si="106"/>
        <v>0</v>
      </c>
      <c r="ES92" s="355">
        <f t="shared" si="106"/>
        <v>0</v>
      </c>
      <c r="ET92" s="355">
        <f t="shared" si="106"/>
        <v>0</v>
      </c>
      <c r="EU92" s="355">
        <f t="shared" si="106"/>
        <v>0</v>
      </c>
      <c r="EV92" s="355">
        <f t="shared" si="106"/>
        <v>0</v>
      </c>
      <c r="EW92" s="355">
        <f t="shared" si="106"/>
        <v>0</v>
      </c>
      <c r="EX92" s="355">
        <f t="shared" si="106"/>
        <v>0</v>
      </c>
      <c r="EY92" s="355">
        <f t="shared" si="107"/>
        <v>0</v>
      </c>
      <c r="EZ92" s="355">
        <f t="shared" si="107"/>
        <v>0</v>
      </c>
      <c r="FA92" s="355">
        <f t="shared" si="107"/>
        <v>0</v>
      </c>
      <c r="FB92" s="355">
        <f t="shared" si="107"/>
        <v>0</v>
      </c>
      <c r="FC92" s="355"/>
      <c r="FD92" s="355"/>
      <c r="FE92" s="355"/>
      <c r="FF92" s="355"/>
      <c r="FG92" s="355"/>
      <c r="FH92" s="355"/>
      <c r="FI92" s="355"/>
      <c r="FJ92" s="355"/>
      <c r="FK92" s="355"/>
      <c r="FL92" s="355"/>
      <c r="FM92" s="355"/>
      <c r="FN92" s="355"/>
      <c r="FO92" s="355"/>
      <c r="FP92" s="355"/>
      <c r="FQ92" s="355"/>
      <c r="FR92" s="355"/>
      <c r="FS92" s="355"/>
      <c r="FT92" s="355"/>
      <c r="FU92" s="355"/>
      <c r="FV92" s="355"/>
      <c r="FW92" s="355"/>
      <c r="FX92" s="369"/>
      <c r="FY92" s="370"/>
      <c r="FZ92" s="206"/>
      <c r="GA92" s="206"/>
      <c r="GB92" s="363">
        <f t="shared" si="109"/>
        <v>0</v>
      </c>
      <c r="GC92" s="637"/>
      <c r="GD92" s="364">
        <f t="shared" si="110"/>
        <v>0</v>
      </c>
      <c r="GE92" s="637"/>
      <c r="GF92" s="364">
        <f t="shared" si="111"/>
        <v>0</v>
      </c>
      <c r="GG92" s="637"/>
      <c r="GH92" s="640"/>
      <c r="GI92" s="206"/>
      <c r="GJ92" s="206"/>
      <c r="GK92" s="206"/>
      <c r="GL92" s="206"/>
      <c r="GM92" s="206"/>
      <c r="GN92" s="206"/>
      <c r="GO92" s="206"/>
      <c r="GP92" s="635"/>
      <c r="GQ92" s="206"/>
      <c r="GR92" s="206"/>
      <c r="GS92" s="206"/>
    </row>
    <row r="93" spans="1:201" ht="15" customHeight="1" thickBot="1">
      <c r="A93" s="636">
        <v>4</v>
      </c>
      <c r="B93" s="372" t="s">
        <v>32</v>
      </c>
      <c r="C93" s="353">
        <f t="shared" ref="C93:Q96" si="124">(IF(EB17=1,IF(C17&lt;=$BJ$47,C17*1000*$BI17,$BJ$47*1000*$BI17),IF(EB17*$BJ$47&gt;=C17,C17*1000*$BI17,EB17*1000*$BJ$47*$BI17)))*90*$C$26</f>
        <v>0</v>
      </c>
      <c r="D93" s="353">
        <f t="shared" si="124"/>
        <v>0</v>
      </c>
      <c r="E93" s="353">
        <f t="shared" si="124"/>
        <v>0</v>
      </c>
      <c r="F93" s="353">
        <f t="shared" si="124"/>
        <v>0</v>
      </c>
      <c r="G93" s="353">
        <f t="shared" si="124"/>
        <v>0</v>
      </c>
      <c r="H93" s="353">
        <f t="shared" si="124"/>
        <v>0</v>
      </c>
      <c r="I93" s="353">
        <f t="shared" si="124"/>
        <v>0</v>
      </c>
      <c r="J93" s="353">
        <f t="shared" si="124"/>
        <v>0</v>
      </c>
      <c r="K93" s="353">
        <f t="shared" si="124"/>
        <v>0</v>
      </c>
      <c r="L93" s="353">
        <f t="shared" si="124"/>
        <v>0</v>
      </c>
      <c r="M93" s="353">
        <f t="shared" si="124"/>
        <v>0</v>
      </c>
      <c r="N93" s="353">
        <f t="shared" si="124"/>
        <v>0</v>
      </c>
      <c r="O93" s="353">
        <f t="shared" si="124"/>
        <v>0</v>
      </c>
      <c r="P93" s="353">
        <f t="shared" si="124"/>
        <v>0</v>
      </c>
      <c r="Q93" s="353">
        <f t="shared" si="124"/>
        <v>0</v>
      </c>
      <c r="R93" s="353">
        <f t="shared" si="122"/>
        <v>0</v>
      </c>
      <c r="S93" s="353">
        <f t="shared" si="122"/>
        <v>0</v>
      </c>
      <c r="T93" s="353">
        <f t="shared" si="122"/>
        <v>0</v>
      </c>
      <c r="U93" s="353">
        <f t="shared" si="122"/>
        <v>0</v>
      </c>
      <c r="V93" s="353">
        <f t="shared" si="122"/>
        <v>0</v>
      </c>
      <c r="W93" s="353"/>
      <c r="X93" s="353"/>
      <c r="Y93" s="353"/>
      <c r="Z93" s="353"/>
      <c r="AA93" s="353"/>
      <c r="AB93" s="353"/>
      <c r="AC93" s="353"/>
      <c r="AD93" s="353"/>
      <c r="AE93" s="353"/>
      <c r="AF93" s="353"/>
      <c r="AG93" s="353"/>
      <c r="AH93" s="353"/>
      <c r="AI93" s="353"/>
      <c r="AJ93" s="353"/>
      <c r="AK93" s="353"/>
      <c r="AL93" s="353"/>
      <c r="AM93" s="353"/>
      <c r="AN93" s="353"/>
      <c r="AO93" s="353"/>
      <c r="AP93" s="353"/>
      <c r="AQ93" s="643"/>
      <c r="AR93" s="643"/>
      <c r="AS93" s="235">
        <f t="shared" si="101"/>
        <v>0</v>
      </c>
      <c r="AT93" s="235">
        <f t="shared" si="102"/>
        <v>0</v>
      </c>
      <c r="AU93" s="235">
        <f t="shared" si="103"/>
        <v>0</v>
      </c>
      <c r="AV93" s="354"/>
      <c r="AW93" s="354"/>
      <c r="AX93" s="354"/>
      <c r="AY93" s="354"/>
      <c r="AZ93" s="354"/>
      <c r="BA93" s="354"/>
      <c r="BB93" s="354"/>
      <c r="BC93" s="354"/>
      <c r="BD93" s="354"/>
      <c r="BE93" s="354"/>
      <c r="BF93" s="354"/>
      <c r="BG93" s="206"/>
      <c r="BH93" s="206"/>
      <c r="BI93" s="330"/>
      <c r="BJ93" s="206"/>
      <c r="BK93" s="330">
        <f t="shared" si="98"/>
        <v>1945208.6874063173</v>
      </c>
      <c r="BL93" s="330">
        <f t="shared" si="98"/>
        <v>1337830.9931129012</v>
      </c>
      <c r="BM93" s="206"/>
      <c r="BN93" s="206"/>
      <c r="BO93" s="636">
        <v>4</v>
      </c>
      <c r="BP93" s="372" t="s">
        <v>32</v>
      </c>
      <c r="BQ93" s="355">
        <f t="shared" ref="BQ93:CE96" si="125">EB17*$DP17*90</f>
        <v>0</v>
      </c>
      <c r="BR93" s="355">
        <f t="shared" si="125"/>
        <v>0</v>
      </c>
      <c r="BS93" s="355">
        <f t="shared" si="125"/>
        <v>0</v>
      </c>
      <c r="BT93" s="355">
        <f t="shared" si="125"/>
        <v>0</v>
      </c>
      <c r="BU93" s="355">
        <f t="shared" si="125"/>
        <v>0</v>
      </c>
      <c r="BV93" s="355">
        <f t="shared" si="125"/>
        <v>0</v>
      </c>
      <c r="BW93" s="355">
        <f t="shared" si="125"/>
        <v>0</v>
      </c>
      <c r="BX93" s="355">
        <f t="shared" si="125"/>
        <v>0</v>
      </c>
      <c r="BY93" s="355">
        <f t="shared" si="125"/>
        <v>0</v>
      </c>
      <c r="BZ93" s="355">
        <f t="shared" si="125"/>
        <v>0</v>
      </c>
      <c r="CA93" s="355">
        <f t="shared" si="125"/>
        <v>0</v>
      </c>
      <c r="CB93" s="355">
        <f t="shared" si="125"/>
        <v>0</v>
      </c>
      <c r="CC93" s="355">
        <f t="shared" si="125"/>
        <v>0</v>
      </c>
      <c r="CD93" s="355">
        <f t="shared" si="125"/>
        <v>0</v>
      </c>
      <c r="CE93" s="355">
        <f t="shared" si="125"/>
        <v>0</v>
      </c>
      <c r="CF93" s="355">
        <f t="shared" si="123"/>
        <v>0</v>
      </c>
      <c r="CG93" s="355">
        <f t="shared" si="123"/>
        <v>0</v>
      </c>
      <c r="CH93" s="355">
        <f t="shared" si="123"/>
        <v>0</v>
      </c>
      <c r="CI93" s="355">
        <f t="shared" si="123"/>
        <v>0</v>
      </c>
      <c r="CJ93" s="355">
        <f t="shared" si="123"/>
        <v>0</v>
      </c>
      <c r="CK93" s="355"/>
      <c r="CL93" s="355"/>
      <c r="CM93" s="355"/>
      <c r="CN93" s="355"/>
      <c r="CO93" s="355"/>
      <c r="CP93" s="355"/>
      <c r="CQ93" s="355"/>
      <c r="CR93" s="355"/>
      <c r="CS93" s="355"/>
      <c r="CT93" s="355"/>
      <c r="CU93" s="355"/>
      <c r="CV93" s="355"/>
      <c r="CW93" s="355"/>
      <c r="CX93" s="355"/>
      <c r="CY93" s="355"/>
      <c r="CZ93" s="355"/>
      <c r="DA93" s="355"/>
      <c r="DB93" s="355"/>
      <c r="DC93" s="355"/>
      <c r="DD93" s="355"/>
      <c r="DE93" s="654"/>
      <c r="DF93" s="643"/>
      <c r="DG93" s="645"/>
      <c r="DH93" s="235">
        <f t="shared" si="115"/>
        <v>0</v>
      </c>
      <c r="DI93" s="236">
        <f t="shared" si="116"/>
        <v>0</v>
      </c>
      <c r="DJ93" s="354"/>
      <c r="DK93" s="354"/>
      <c r="DL93" s="354"/>
      <c r="DM93" s="354"/>
      <c r="DN93" s="354"/>
      <c r="DO93" s="654"/>
      <c r="DP93" s="643"/>
      <c r="DQ93" s="645"/>
      <c r="DR93" s="235">
        <f t="shared" si="105"/>
        <v>0</v>
      </c>
      <c r="DS93" s="236">
        <f t="shared" si="105"/>
        <v>0</v>
      </c>
      <c r="DT93" s="357"/>
      <c r="DU93" s="357"/>
      <c r="DV93" s="357"/>
      <c r="DW93" s="357"/>
      <c r="DX93" s="357"/>
      <c r="DY93" s="357"/>
      <c r="DZ93" s="687"/>
      <c r="EA93" s="365"/>
      <c r="EB93" s="365"/>
      <c r="EC93" s="365"/>
      <c r="ED93" s="358">
        <f t="shared" si="120"/>
        <v>0</v>
      </c>
      <c r="EE93" s="358">
        <f t="shared" si="121"/>
        <v>0</v>
      </c>
      <c r="EF93" s="328"/>
      <c r="EG93" s="636">
        <v>4</v>
      </c>
      <c r="EH93" s="373" t="s">
        <v>32</v>
      </c>
      <c r="EI93" s="355">
        <f t="shared" si="106"/>
        <v>0</v>
      </c>
      <c r="EJ93" s="355">
        <f t="shared" si="106"/>
        <v>0</v>
      </c>
      <c r="EK93" s="355">
        <f t="shared" si="106"/>
        <v>0</v>
      </c>
      <c r="EL93" s="355">
        <f t="shared" si="106"/>
        <v>0</v>
      </c>
      <c r="EM93" s="355">
        <f t="shared" si="106"/>
        <v>0</v>
      </c>
      <c r="EN93" s="355">
        <f t="shared" si="106"/>
        <v>0</v>
      </c>
      <c r="EO93" s="355">
        <f t="shared" si="106"/>
        <v>0</v>
      </c>
      <c r="EP93" s="355">
        <f t="shared" si="106"/>
        <v>0</v>
      </c>
      <c r="EQ93" s="355">
        <f t="shared" si="106"/>
        <v>0</v>
      </c>
      <c r="ER93" s="355">
        <f t="shared" si="106"/>
        <v>0</v>
      </c>
      <c r="ES93" s="355">
        <f t="shared" si="106"/>
        <v>0</v>
      </c>
      <c r="ET93" s="355">
        <f t="shared" si="106"/>
        <v>0</v>
      </c>
      <c r="EU93" s="355">
        <f t="shared" si="106"/>
        <v>0</v>
      </c>
      <c r="EV93" s="355">
        <f t="shared" si="106"/>
        <v>0</v>
      </c>
      <c r="EW93" s="355">
        <f t="shared" si="106"/>
        <v>0</v>
      </c>
      <c r="EX93" s="355">
        <f t="shared" si="106"/>
        <v>0</v>
      </c>
      <c r="EY93" s="355">
        <f t="shared" si="107"/>
        <v>0</v>
      </c>
      <c r="EZ93" s="355">
        <f t="shared" si="107"/>
        <v>0</v>
      </c>
      <c r="FA93" s="355">
        <f t="shared" si="107"/>
        <v>0</v>
      </c>
      <c r="FB93" s="355">
        <f t="shared" si="107"/>
        <v>0</v>
      </c>
      <c r="FC93" s="355"/>
      <c r="FD93" s="355"/>
      <c r="FE93" s="355"/>
      <c r="FF93" s="355"/>
      <c r="FG93" s="355"/>
      <c r="FH93" s="355"/>
      <c r="FI93" s="355"/>
      <c r="FJ93" s="355"/>
      <c r="FK93" s="355"/>
      <c r="FL93" s="355"/>
      <c r="FM93" s="355"/>
      <c r="FN93" s="355"/>
      <c r="FO93" s="355"/>
      <c r="FP93" s="355"/>
      <c r="FQ93" s="355"/>
      <c r="FR93" s="355"/>
      <c r="FS93" s="355"/>
      <c r="FT93" s="355"/>
      <c r="FU93" s="355"/>
      <c r="FV93" s="355"/>
      <c r="FW93" s="355"/>
      <c r="FX93" s="369"/>
      <c r="FY93" s="370"/>
      <c r="FZ93" s="206"/>
      <c r="GA93" s="206"/>
      <c r="GB93" s="374"/>
      <c r="GC93" s="375"/>
      <c r="GD93" s="364">
        <f t="shared" si="110"/>
        <v>0</v>
      </c>
      <c r="GE93" s="637">
        <f>AVERAGE(GD93:GD96)</f>
        <v>0</v>
      </c>
      <c r="GF93" s="364">
        <f t="shared" si="111"/>
        <v>0</v>
      </c>
      <c r="GG93" s="637">
        <f>SUM(GF93:GF96)</f>
        <v>0</v>
      </c>
      <c r="GH93" s="641"/>
      <c r="GI93" s="352" t="s">
        <v>108</v>
      </c>
      <c r="GJ93" s="206">
        <v>2025</v>
      </c>
      <c r="GK93" s="206">
        <f>GJ93+1</f>
        <v>2026</v>
      </c>
      <c r="GL93" s="206" t="s">
        <v>107</v>
      </c>
      <c r="GM93" s="206"/>
      <c r="GN93" s="206"/>
      <c r="GO93" s="206"/>
      <c r="GP93" s="635"/>
      <c r="GQ93" s="206"/>
      <c r="GR93" s="206"/>
      <c r="GS93" s="206"/>
    </row>
    <row r="94" spans="1:201" ht="15" customHeight="1" thickBot="1">
      <c r="A94" s="636"/>
      <c r="B94" s="208" t="s">
        <v>34</v>
      </c>
      <c r="C94" s="353">
        <f t="shared" si="124"/>
        <v>0</v>
      </c>
      <c r="D94" s="353">
        <f t="shared" si="124"/>
        <v>0</v>
      </c>
      <c r="E94" s="353">
        <f t="shared" si="124"/>
        <v>0</v>
      </c>
      <c r="F94" s="353">
        <f t="shared" si="124"/>
        <v>0</v>
      </c>
      <c r="G94" s="353">
        <f t="shared" si="124"/>
        <v>0</v>
      </c>
      <c r="H94" s="353">
        <f t="shared" si="124"/>
        <v>0</v>
      </c>
      <c r="I94" s="353">
        <f t="shared" si="124"/>
        <v>0</v>
      </c>
      <c r="J94" s="353">
        <f t="shared" si="124"/>
        <v>0</v>
      </c>
      <c r="K94" s="353">
        <f t="shared" si="124"/>
        <v>0</v>
      </c>
      <c r="L94" s="353">
        <f t="shared" si="124"/>
        <v>0</v>
      </c>
      <c r="M94" s="353">
        <f t="shared" si="124"/>
        <v>0</v>
      </c>
      <c r="N94" s="353">
        <f t="shared" si="124"/>
        <v>0</v>
      </c>
      <c r="O94" s="353">
        <f t="shared" si="124"/>
        <v>0</v>
      </c>
      <c r="P94" s="353">
        <f t="shared" si="124"/>
        <v>0</v>
      </c>
      <c r="Q94" s="353">
        <f t="shared" si="124"/>
        <v>0</v>
      </c>
      <c r="R94" s="353">
        <f t="shared" si="122"/>
        <v>0</v>
      </c>
      <c r="S94" s="353">
        <f t="shared" si="122"/>
        <v>0</v>
      </c>
      <c r="T94" s="353">
        <f t="shared" si="122"/>
        <v>0</v>
      </c>
      <c r="U94" s="353">
        <f t="shared" si="122"/>
        <v>0</v>
      </c>
      <c r="V94" s="353">
        <f t="shared" si="122"/>
        <v>0</v>
      </c>
      <c r="W94" s="353"/>
      <c r="X94" s="353"/>
      <c r="Y94" s="353"/>
      <c r="Z94" s="353"/>
      <c r="AA94" s="353"/>
      <c r="AB94" s="353"/>
      <c r="AC94" s="353"/>
      <c r="AD94" s="353"/>
      <c r="AE94" s="353"/>
      <c r="AF94" s="353"/>
      <c r="AG94" s="353"/>
      <c r="AH94" s="353"/>
      <c r="AI94" s="353"/>
      <c r="AJ94" s="353"/>
      <c r="AK94" s="353"/>
      <c r="AL94" s="353"/>
      <c r="AM94" s="353"/>
      <c r="AN94" s="353"/>
      <c r="AO94" s="353"/>
      <c r="AP94" s="353"/>
      <c r="AQ94" s="643"/>
      <c r="AR94" s="643"/>
      <c r="AS94" s="645"/>
      <c r="AT94" s="235">
        <f t="shared" si="102"/>
        <v>0</v>
      </c>
      <c r="AU94" s="235">
        <f t="shared" si="103"/>
        <v>0</v>
      </c>
      <c r="AV94" s="354"/>
      <c r="AW94" s="354"/>
      <c r="AX94" s="354"/>
      <c r="AY94" s="354"/>
      <c r="AZ94" s="354"/>
      <c r="BA94" s="354"/>
      <c r="BB94" s="354"/>
      <c r="BC94" s="354"/>
      <c r="BD94" s="354"/>
      <c r="BE94" s="354"/>
      <c r="BF94" s="354"/>
      <c r="BG94" s="206"/>
      <c r="BH94" s="206"/>
      <c r="BI94" s="330"/>
      <c r="BJ94" s="206"/>
      <c r="BK94" s="330">
        <f t="shared" si="98"/>
        <v>13467808.342471739</v>
      </c>
      <c r="BL94" s="330">
        <f t="shared" si="98"/>
        <v>12942906.744192455</v>
      </c>
      <c r="BM94" s="206"/>
      <c r="BN94" s="206"/>
      <c r="BO94" s="636"/>
      <c r="BP94" s="208" t="s">
        <v>34</v>
      </c>
      <c r="BQ94" s="355">
        <f t="shared" si="125"/>
        <v>0</v>
      </c>
      <c r="BR94" s="355">
        <f t="shared" si="125"/>
        <v>0</v>
      </c>
      <c r="BS94" s="355">
        <f t="shared" si="125"/>
        <v>0</v>
      </c>
      <c r="BT94" s="355">
        <f t="shared" si="125"/>
        <v>0</v>
      </c>
      <c r="BU94" s="355">
        <f t="shared" si="125"/>
        <v>0</v>
      </c>
      <c r="BV94" s="355">
        <f t="shared" si="125"/>
        <v>0</v>
      </c>
      <c r="BW94" s="355">
        <f t="shared" si="125"/>
        <v>0</v>
      </c>
      <c r="BX94" s="355">
        <f t="shared" si="125"/>
        <v>0</v>
      </c>
      <c r="BY94" s="355">
        <f t="shared" si="125"/>
        <v>0</v>
      </c>
      <c r="BZ94" s="355">
        <f t="shared" si="125"/>
        <v>0</v>
      </c>
      <c r="CA94" s="355">
        <f t="shared" si="125"/>
        <v>0</v>
      </c>
      <c r="CB94" s="355">
        <f t="shared" si="125"/>
        <v>0</v>
      </c>
      <c r="CC94" s="355">
        <f t="shared" si="125"/>
        <v>0</v>
      </c>
      <c r="CD94" s="355">
        <f t="shared" si="125"/>
        <v>0</v>
      </c>
      <c r="CE94" s="355">
        <f t="shared" si="125"/>
        <v>0</v>
      </c>
      <c r="CF94" s="355">
        <f t="shared" si="123"/>
        <v>0</v>
      </c>
      <c r="CG94" s="355">
        <f t="shared" si="123"/>
        <v>0</v>
      </c>
      <c r="CH94" s="355">
        <f t="shared" si="123"/>
        <v>0</v>
      </c>
      <c r="CI94" s="355">
        <f t="shared" si="123"/>
        <v>0</v>
      </c>
      <c r="CJ94" s="355">
        <f t="shared" si="123"/>
        <v>0</v>
      </c>
      <c r="CK94" s="355"/>
      <c r="CL94" s="355"/>
      <c r="CM94" s="355"/>
      <c r="CN94" s="355"/>
      <c r="CO94" s="355"/>
      <c r="CP94" s="355"/>
      <c r="CQ94" s="355"/>
      <c r="CR94" s="355"/>
      <c r="CS94" s="355"/>
      <c r="CT94" s="355"/>
      <c r="CU94" s="355"/>
      <c r="CV94" s="355"/>
      <c r="CW94" s="355"/>
      <c r="CX94" s="355"/>
      <c r="CY94" s="355"/>
      <c r="CZ94" s="355"/>
      <c r="DA94" s="355"/>
      <c r="DB94" s="355"/>
      <c r="DC94" s="355"/>
      <c r="DD94" s="355"/>
      <c r="DE94" s="654"/>
      <c r="DF94" s="643"/>
      <c r="DG94" s="646"/>
      <c r="DH94" s="235">
        <f t="shared" si="115"/>
        <v>0</v>
      </c>
      <c r="DI94" s="236">
        <f t="shared" si="116"/>
        <v>0</v>
      </c>
      <c r="DJ94" s="354"/>
      <c r="DK94" s="354"/>
      <c r="DL94" s="354"/>
      <c r="DM94" s="354"/>
      <c r="DN94" s="354"/>
      <c r="DO94" s="654"/>
      <c r="DP94" s="643"/>
      <c r="DQ94" s="646"/>
      <c r="DR94" s="235">
        <f t="shared" si="105"/>
        <v>0</v>
      </c>
      <c r="DS94" s="236">
        <f t="shared" si="105"/>
        <v>0</v>
      </c>
      <c r="DT94" s="357"/>
      <c r="DU94" s="357"/>
      <c r="DV94" s="357"/>
      <c r="DW94" s="357"/>
      <c r="DX94" s="357"/>
      <c r="DY94" s="357"/>
      <c r="DZ94" s="688"/>
      <c r="EA94" s="376"/>
      <c r="EB94" s="376"/>
      <c r="EC94" s="376"/>
      <c r="ED94" s="362">
        <f t="shared" si="120"/>
        <v>0</v>
      </c>
      <c r="EE94" s="362">
        <f t="shared" si="121"/>
        <v>0</v>
      </c>
      <c r="EF94" s="328"/>
      <c r="EG94" s="636"/>
      <c r="EH94" s="361" t="s">
        <v>34</v>
      </c>
      <c r="EI94" s="355">
        <f t="shared" si="106"/>
        <v>0</v>
      </c>
      <c r="EJ94" s="355">
        <f t="shared" si="106"/>
        <v>0</v>
      </c>
      <c r="EK94" s="355">
        <f t="shared" si="106"/>
        <v>0</v>
      </c>
      <c r="EL94" s="355">
        <f t="shared" si="106"/>
        <v>0</v>
      </c>
      <c r="EM94" s="355">
        <f t="shared" si="106"/>
        <v>0</v>
      </c>
      <c r="EN94" s="355">
        <f t="shared" si="106"/>
        <v>0</v>
      </c>
      <c r="EO94" s="355">
        <f t="shared" si="106"/>
        <v>0</v>
      </c>
      <c r="EP94" s="355">
        <f t="shared" si="106"/>
        <v>0</v>
      </c>
      <c r="EQ94" s="355">
        <f t="shared" si="106"/>
        <v>0</v>
      </c>
      <c r="ER94" s="355">
        <f t="shared" si="106"/>
        <v>0</v>
      </c>
      <c r="ES94" s="355">
        <f t="shared" si="106"/>
        <v>0</v>
      </c>
      <c r="ET94" s="355">
        <f t="shared" si="106"/>
        <v>0</v>
      </c>
      <c r="EU94" s="355">
        <f t="shared" si="106"/>
        <v>0</v>
      </c>
      <c r="EV94" s="355">
        <f t="shared" si="106"/>
        <v>0</v>
      </c>
      <c r="EW94" s="355">
        <f t="shared" si="106"/>
        <v>0</v>
      </c>
      <c r="EX94" s="355">
        <f t="shared" si="106"/>
        <v>0</v>
      </c>
      <c r="EY94" s="355">
        <f t="shared" si="107"/>
        <v>0</v>
      </c>
      <c r="EZ94" s="355">
        <f t="shared" si="107"/>
        <v>0</v>
      </c>
      <c r="FA94" s="355">
        <f t="shared" si="107"/>
        <v>0</v>
      </c>
      <c r="FB94" s="355">
        <f t="shared" si="107"/>
        <v>0</v>
      </c>
      <c r="FC94" s="355"/>
      <c r="FD94" s="355"/>
      <c r="FE94" s="355"/>
      <c r="FF94" s="355"/>
      <c r="FG94" s="355"/>
      <c r="FH94" s="355"/>
      <c r="FI94" s="355"/>
      <c r="FJ94" s="355"/>
      <c r="FK94" s="355"/>
      <c r="FL94" s="355"/>
      <c r="FM94" s="355"/>
      <c r="FN94" s="355"/>
      <c r="FO94" s="355"/>
      <c r="FP94" s="355"/>
      <c r="FQ94" s="355"/>
      <c r="FR94" s="355"/>
      <c r="FS94" s="355"/>
      <c r="FT94" s="355"/>
      <c r="FU94" s="355"/>
      <c r="FV94" s="355"/>
      <c r="FW94" s="355"/>
      <c r="FX94" s="369"/>
      <c r="FY94" s="370"/>
      <c r="FZ94" s="206"/>
      <c r="GA94" s="206"/>
      <c r="GB94" s="374"/>
      <c r="GC94" s="206"/>
      <c r="GD94" s="364">
        <f t="shared" si="110"/>
        <v>0</v>
      </c>
      <c r="GE94" s="637"/>
      <c r="GF94" s="364">
        <f t="shared" si="111"/>
        <v>0</v>
      </c>
      <c r="GG94" s="637"/>
      <c r="GH94" s="639">
        <f>GG94+GE94</f>
        <v>0</v>
      </c>
      <c r="GI94" s="206" t="s">
        <v>74</v>
      </c>
      <c r="GJ94" s="330">
        <f>GJ63</f>
        <v>0</v>
      </c>
      <c r="GK94" s="330">
        <f>GL63</f>
        <v>0</v>
      </c>
      <c r="GL94" s="331">
        <f>NPV($GO$53,GJ94:GK94)</f>
        <v>0</v>
      </c>
      <c r="GM94" s="206"/>
      <c r="GN94" s="206"/>
      <c r="GO94" s="206"/>
      <c r="GP94" s="635">
        <f>SUM(EI93:FB96)</f>
        <v>0</v>
      </c>
      <c r="GQ94" s="206"/>
      <c r="GR94" s="206"/>
      <c r="GS94" s="206"/>
    </row>
    <row r="95" spans="1:201" ht="15" customHeight="1" thickBot="1">
      <c r="A95" s="636"/>
      <c r="B95" s="208" t="s">
        <v>24</v>
      </c>
      <c r="C95" s="353">
        <f t="shared" si="124"/>
        <v>0</v>
      </c>
      <c r="D95" s="353">
        <f t="shared" si="124"/>
        <v>0</v>
      </c>
      <c r="E95" s="353">
        <f t="shared" si="124"/>
        <v>0</v>
      </c>
      <c r="F95" s="353">
        <f t="shared" si="124"/>
        <v>0</v>
      </c>
      <c r="G95" s="353">
        <f t="shared" si="124"/>
        <v>0</v>
      </c>
      <c r="H95" s="353">
        <f t="shared" si="124"/>
        <v>0</v>
      </c>
      <c r="I95" s="353">
        <f t="shared" si="124"/>
        <v>0</v>
      </c>
      <c r="J95" s="353">
        <f t="shared" si="124"/>
        <v>0</v>
      </c>
      <c r="K95" s="353">
        <f t="shared" si="124"/>
        <v>0</v>
      </c>
      <c r="L95" s="353">
        <f t="shared" si="124"/>
        <v>0</v>
      </c>
      <c r="M95" s="353">
        <f t="shared" si="124"/>
        <v>0</v>
      </c>
      <c r="N95" s="353">
        <f t="shared" si="124"/>
        <v>0</v>
      </c>
      <c r="O95" s="353">
        <f t="shared" si="124"/>
        <v>0</v>
      </c>
      <c r="P95" s="353">
        <f t="shared" si="124"/>
        <v>0</v>
      </c>
      <c r="Q95" s="353">
        <f t="shared" si="124"/>
        <v>0</v>
      </c>
      <c r="R95" s="353">
        <f t="shared" si="122"/>
        <v>0</v>
      </c>
      <c r="S95" s="353">
        <f t="shared" si="122"/>
        <v>0</v>
      </c>
      <c r="T95" s="353">
        <f t="shared" si="122"/>
        <v>0</v>
      </c>
      <c r="U95" s="353">
        <f t="shared" si="122"/>
        <v>0</v>
      </c>
      <c r="V95" s="353">
        <f t="shared" si="122"/>
        <v>0</v>
      </c>
      <c r="W95" s="353"/>
      <c r="X95" s="353"/>
      <c r="Y95" s="353"/>
      <c r="Z95" s="353"/>
      <c r="AA95" s="353"/>
      <c r="AB95" s="353"/>
      <c r="AC95" s="353"/>
      <c r="AD95" s="353"/>
      <c r="AE95" s="353"/>
      <c r="AF95" s="353"/>
      <c r="AG95" s="353"/>
      <c r="AH95" s="353"/>
      <c r="AI95" s="353"/>
      <c r="AJ95" s="353"/>
      <c r="AK95" s="353"/>
      <c r="AL95" s="353"/>
      <c r="AM95" s="353"/>
      <c r="AN95" s="353"/>
      <c r="AO95" s="353"/>
      <c r="AP95" s="353"/>
      <c r="AQ95" s="643"/>
      <c r="AR95" s="643"/>
      <c r="AS95" s="646"/>
      <c r="AT95" s="235">
        <f t="shared" si="102"/>
        <v>0</v>
      </c>
      <c r="AU95" s="235">
        <f t="shared" si="103"/>
        <v>0</v>
      </c>
      <c r="AV95" s="354"/>
      <c r="AW95" s="354"/>
      <c r="AX95" s="354"/>
      <c r="AY95" s="354"/>
      <c r="AZ95" s="354"/>
      <c r="BA95" s="354"/>
      <c r="BB95" s="354"/>
      <c r="BC95" s="354"/>
      <c r="BD95" s="354"/>
      <c r="BE95" s="354"/>
      <c r="BF95" s="354"/>
      <c r="BG95" s="206"/>
      <c r="BH95" s="206"/>
      <c r="BI95" s="330"/>
      <c r="BJ95" s="206"/>
      <c r="BK95" s="330">
        <f t="shared" ref="BK95:BL95" si="126">BK77-AT62</f>
        <v>6985478.3236030461</v>
      </c>
      <c r="BL95" s="330">
        <f t="shared" si="126"/>
        <v>6548498.6213124124</v>
      </c>
      <c r="BM95" s="206"/>
      <c r="BN95" s="206"/>
      <c r="BO95" s="636"/>
      <c r="BP95" s="208" t="s">
        <v>24</v>
      </c>
      <c r="BQ95" s="355">
        <f t="shared" si="125"/>
        <v>0</v>
      </c>
      <c r="BR95" s="355">
        <f t="shared" si="125"/>
        <v>0</v>
      </c>
      <c r="BS95" s="355">
        <f t="shared" si="125"/>
        <v>0</v>
      </c>
      <c r="BT95" s="355">
        <f t="shared" si="125"/>
        <v>0</v>
      </c>
      <c r="BU95" s="355">
        <f t="shared" si="125"/>
        <v>0</v>
      </c>
      <c r="BV95" s="355">
        <f t="shared" si="125"/>
        <v>0</v>
      </c>
      <c r="BW95" s="355">
        <f t="shared" si="125"/>
        <v>0</v>
      </c>
      <c r="BX95" s="355">
        <f t="shared" si="125"/>
        <v>0</v>
      </c>
      <c r="BY95" s="355">
        <f t="shared" si="125"/>
        <v>0</v>
      </c>
      <c r="BZ95" s="355">
        <f t="shared" si="125"/>
        <v>0</v>
      </c>
      <c r="CA95" s="355">
        <f t="shared" si="125"/>
        <v>0</v>
      </c>
      <c r="CB95" s="355">
        <f t="shared" si="125"/>
        <v>0</v>
      </c>
      <c r="CC95" s="355">
        <f t="shared" si="125"/>
        <v>0</v>
      </c>
      <c r="CD95" s="355">
        <f t="shared" si="125"/>
        <v>0</v>
      </c>
      <c r="CE95" s="355">
        <f t="shared" si="125"/>
        <v>0</v>
      </c>
      <c r="CF95" s="355">
        <f t="shared" si="123"/>
        <v>0</v>
      </c>
      <c r="CG95" s="355">
        <f t="shared" si="123"/>
        <v>0</v>
      </c>
      <c r="CH95" s="355">
        <f t="shared" si="123"/>
        <v>0</v>
      </c>
      <c r="CI95" s="355">
        <f t="shared" si="123"/>
        <v>0</v>
      </c>
      <c r="CJ95" s="355">
        <f t="shared" si="123"/>
        <v>0</v>
      </c>
      <c r="CK95" s="355"/>
      <c r="CL95" s="355"/>
      <c r="CM95" s="355"/>
      <c r="CN95" s="355"/>
      <c r="CO95" s="355"/>
      <c r="CP95" s="355"/>
      <c r="CQ95" s="355"/>
      <c r="CR95" s="355"/>
      <c r="CS95" s="355"/>
      <c r="CT95" s="355"/>
      <c r="CU95" s="355"/>
      <c r="CV95" s="355"/>
      <c r="CW95" s="355"/>
      <c r="CX95" s="355"/>
      <c r="CY95" s="355"/>
      <c r="CZ95" s="355"/>
      <c r="DA95" s="355"/>
      <c r="DB95" s="355"/>
      <c r="DC95" s="355"/>
      <c r="DD95" s="355"/>
      <c r="DE95" s="654"/>
      <c r="DF95" s="643"/>
      <c r="DG95" s="646"/>
      <c r="DH95" s="235">
        <f t="shared" si="115"/>
        <v>0</v>
      </c>
      <c r="DI95" s="236">
        <f t="shared" si="116"/>
        <v>0</v>
      </c>
      <c r="DJ95" s="354"/>
      <c r="DK95" s="354"/>
      <c r="DL95" s="354"/>
      <c r="DM95" s="354"/>
      <c r="DN95" s="354"/>
      <c r="DO95" s="654"/>
      <c r="DP95" s="643"/>
      <c r="DQ95" s="646"/>
      <c r="DR95" s="235">
        <f t="shared" si="105"/>
        <v>0</v>
      </c>
      <c r="DS95" s="236">
        <f t="shared" si="105"/>
        <v>0</v>
      </c>
      <c r="DT95" s="354"/>
      <c r="DU95" s="354"/>
      <c r="DV95" s="354"/>
      <c r="DW95" s="354"/>
      <c r="DX95" s="354"/>
      <c r="DY95" s="354"/>
      <c r="DZ95" s="328"/>
      <c r="EA95" s="328"/>
      <c r="EB95" s="328"/>
      <c r="EC95" s="328"/>
      <c r="ED95" s="328"/>
      <c r="EE95" s="328"/>
      <c r="EF95" s="328"/>
      <c r="EG95" s="636"/>
      <c r="EH95" s="361" t="s">
        <v>24</v>
      </c>
      <c r="EI95" s="355">
        <f t="shared" si="106"/>
        <v>0</v>
      </c>
      <c r="EJ95" s="355">
        <f t="shared" si="106"/>
        <v>0</v>
      </c>
      <c r="EK95" s="355">
        <f t="shared" si="106"/>
        <v>0</v>
      </c>
      <c r="EL95" s="355">
        <f t="shared" si="106"/>
        <v>0</v>
      </c>
      <c r="EM95" s="355">
        <f t="shared" si="106"/>
        <v>0</v>
      </c>
      <c r="EN95" s="355">
        <f t="shared" si="106"/>
        <v>0</v>
      </c>
      <c r="EO95" s="355">
        <f t="shared" si="106"/>
        <v>0</v>
      </c>
      <c r="EP95" s="355">
        <f t="shared" si="106"/>
        <v>0</v>
      </c>
      <c r="EQ95" s="355">
        <f t="shared" si="106"/>
        <v>0</v>
      </c>
      <c r="ER95" s="355">
        <f t="shared" si="106"/>
        <v>0</v>
      </c>
      <c r="ES95" s="355">
        <f t="shared" si="106"/>
        <v>0</v>
      </c>
      <c r="ET95" s="355">
        <f t="shared" si="106"/>
        <v>0</v>
      </c>
      <c r="EU95" s="355">
        <f t="shared" si="106"/>
        <v>0</v>
      </c>
      <c r="EV95" s="355">
        <f t="shared" si="106"/>
        <v>0</v>
      </c>
      <c r="EW95" s="355">
        <f t="shared" si="106"/>
        <v>0</v>
      </c>
      <c r="EX95" s="355">
        <f t="shared" ref="EX95:EX96" si="127">R95-CF95</f>
        <v>0</v>
      </c>
      <c r="EY95" s="355">
        <f t="shared" si="107"/>
        <v>0</v>
      </c>
      <c r="EZ95" s="355">
        <f t="shared" si="107"/>
        <v>0</v>
      </c>
      <c r="FA95" s="355">
        <f t="shared" si="107"/>
        <v>0</v>
      </c>
      <c r="FB95" s="355">
        <f t="shared" si="107"/>
        <v>0</v>
      </c>
      <c r="FC95" s="355"/>
      <c r="FD95" s="355"/>
      <c r="FE95" s="355"/>
      <c r="FF95" s="355"/>
      <c r="FG95" s="355"/>
      <c r="FH95" s="355"/>
      <c r="FI95" s="355"/>
      <c r="FJ95" s="355"/>
      <c r="FK95" s="355"/>
      <c r="FL95" s="355"/>
      <c r="FM95" s="355"/>
      <c r="FN95" s="355"/>
      <c r="FO95" s="355"/>
      <c r="FP95" s="355"/>
      <c r="FQ95" s="355"/>
      <c r="FR95" s="355"/>
      <c r="FS95" s="355"/>
      <c r="FT95" s="355"/>
      <c r="FU95" s="355"/>
      <c r="FV95" s="355"/>
      <c r="FW95" s="355"/>
      <c r="FX95" s="326"/>
      <c r="FY95" s="206"/>
      <c r="FZ95" s="206"/>
      <c r="GA95" s="206"/>
      <c r="GB95" s="206"/>
      <c r="GC95" s="206"/>
      <c r="GD95" s="377">
        <f t="shared" si="110"/>
        <v>0</v>
      </c>
      <c r="GE95" s="637"/>
      <c r="GF95" s="364">
        <f t="shared" si="111"/>
        <v>0</v>
      </c>
      <c r="GG95" s="637"/>
      <c r="GH95" s="640"/>
      <c r="GI95" s="206" t="s">
        <v>95</v>
      </c>
      <c r="GJ95" s="330">
        <f>GJ64</f>
        <v>0</v>
      </c>
      <c r="GK95" s="330">
        <f>GL64</f>
        <v>0</v>
      </c>
      <c r="GL95" s="331">
        <f>NPV($GO$53,GJ95:GK95)</f>
        <v>0</v>
      </c>
      <c r="GM95" s="206"/>
      <c r="GN95" s="206"/>
      <c r="GO95" s="206"/>
      <c r="GP95" s="635"/>
      <c r="GQ95" s="206"/>
      <c r="GR95" s="206"/>
      <c r="GS95" s="206"/>
    </row>
    <row r="96" spans="1:201" ht="14.65" customHeight="1" thickBot="1">
      <c r="A96" s="644"/>
      <c r="B96" s="378" t="s">
        <v>36</v>
      </c>
      <c r="C96" s="353">
        <f t="shared" si="124"/>
        <v>0</v>
      </c>
      <c r="D96" s="353">
        <f t="shared" si="124"/>
        <v>0</v>
      </c>
      <c r="E96" s="353">
        <f t="shared" si="124"/>
        <v>0</v>
      </c>
      <c r="F96" s="353">
        <f t="shared" si="124"/>
        <v>0</v>
      </c>
      <c r="G96" s="353">
        <f t="shared" si="124"/>
        <v>0</v>
      </c>
      <c r="H96" s="353">
        <f t="shared" si="124"/>
        <v>0</v>
      </c>
      <c r="I96" s="353">
        <f t="shared" si="124"/>
        <v>0</v>
      </c>
      <c r="J96" s="353">
        <f t="shared" si="124"/>
        <v>0</v>
      </c>
      <c r="K96" s="353">
        <f t="shared" si="124"/>
        <v>0</v>
      </c>
      <c r="L96" s="353">
        <f t="shared" si="124"/>
        <v>0</v>
      </c>
      <c r="M96" s="353">
        <f t="shared" si="124"/>
        <v>0</v>
      </c>
      <c r="N96" s="353">
        <f t="shared" si="124"/>
        <v>0</v>
      </c>
      <c r="O96" s="353">
        <f t="shared" si="124"/>
        <v>0</v>
      </c>
      <c r="P96" s="353">
        <f t="shared" si="124"/>
        <v>0</v>
      </c>
      <c r="Q96" s="353">
        <f t="shared" si="124"/>
        <v>0</v>
      </c>
      <c r="R96" s="353">
        <f t="shared" si="122"/>
        <v>0</v>
      </c>
      <c r="S96" s="353">
        <f t="shared" si="122"/>
        <v>0</v>
      </c>
      <c r="T96" s="353">
        <f t="shared" si="122"/>
        <v>0</v>
      </c>
      <c r="U96" s="353">
        <f t="shared" si="122"/>
        <v>0</v>
      </c>
      <c r="V96" s="353">
        <f t="shared" si="122"/>
        <v>0</v>
      </c>
      <c r="W96" s="353"/>
      <c r="X96" s="353"/>
      <c r="Y96" s="353"/>
      <c r="Z96" s="353"/>
      <c r="AA96" s="353"/>
      <c r="AB96" s="353"/>
      <c r="AC96" s="353"/>
      <c r="AD96" s="353"/>
      <c r="AE96" s="353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643"/>
      <c r="AR96" s="643"/>
      <c r="AS96" s="646"/>
      <c r="AT96" s="235">
        <f t="shared" si="102"/>
        <v>0</v>
      </c>
      <c r="AU96" s="235">
        <f t="shared" si="103"/>
        <v>0</v>
      </c>
      <c r="AV96" s="354"/>
      <c r="AW96" s="354"/>
      <c r="AX96" s="354"/>
      <c r="AY96" s="354"/>
      <c r="AZ96" s="354"/>
      <c r="BA96" s="354"/>
      <c r="BB96" s="354"/>
      <c r="BC96" s="354"/>
      <c r="BD96" s="354"/>
      <c r="BE96" s="354"/>
      <c r="BF96" s="354"/>
      <c r="BG96" s="206"/>
      <c r="BH96" s="206"/>
      <c r="BI96" s="330"/>
      <c r="BJ96" s="206"/>
      <c r="BK96" s="206"/>
      <c r="BL96" s="330"/>
      <c r="BM96" s="206"/>
      <c r="BN96" s="206"/>
      <c r="BO96" s="644"/>
      <c r="BP96" s="378" t="s">
        <v>36</v>
      </c>
      <c r="BQ96" s="355">
        <f>EB20*$DP20*90</f>
        <v>0</v>
      </c>
      <c r="BR96" s="355">
        <f>EC20*$DP20*90</f>
        <v>0</v>
      </c>
      <c r="BS96" s="355">
        <f>ED20*$DP20*90</f>
        <v>0</v>
      </c>
      <c r="BT96" s="355">
        <f>EE20*$DP20*90</f>
        <v>0</v>
      </c>
      <c r="BU96" s="355">
        <f t="shared" si="125"/>
        <v>0</v>
      </c>
      <c r="BV96" s="355">
        <f t="shared" si="125"/>
        <v>0</v>
      </c>
      <c r="BW96" s="355">
        <f>EH20*$DP20*90</f>
        <v>0</v>
      </c>
      <c r="BX96" s="355">
        <f t="shared" si="125"/>
        <v>0</v>
      </c>
      <c r="BY96" s="355">
        <f t="shared" si="125"/>
        <v>0</v>
      </c>
      <c r="BZ96" s="355">
        <f>EK20*$DP20*90</f>
        <v>0</v>
      </c>
      <c r="CA96" s="355">
        <f t="shared" si="125"/>
        <v>0</v>
      </c>
      <c r="CB96" s="355">
        <f t="shared" si="125"/>
        <v>0</v>
      </c>
      <c r="CC96" s="355">
        <f>EN20*$DP20*90</f>
        <v>0</v>
      </c>
      <c r="CD96" s="355">
        <f t="shared" si="125"/>
        <v>0</v>
      </c>
      <c r="CE96" s="355">
        <f t="shared" si="125"/>
        <v>0</v>
      </c>
      <c r="CF96" s="355">
        <f>EQ20*$DP20*90</f>
        <v>0</v>
      </c>
      <c r="CG96" s="355">
        <f t="shared" si="123"/>
        <v>0</v>
      </c>
      <c r="CH96" s="355">
        <f t="shared" si="123"/>
        <v>0</v>
      </c>
      <c r="CI96" s="355">
        <f>ET20*$DP20*90</f>
        <v>0</v>
      </c>
      <c r="CJ96" s="355">
        <f>EU20*$DP20*90</f>
        <v>0</v>
      </c>
      <c r="CK96" s="355"/>
      <c r="CL96" s="355"/>
      <c r="CM96" s="355"/>
      <c r="CN96" s="355"/>
      <c r="CO96" s="355"/>
      <c r="CP96" s="355"/>
      <c r="CQ96" s="355"/>
      <c r="CR96" s="355"/>
      <c r="CS96" s="355"/>
      <c r="CT96" s="355"/>
      <c r="CU96" s="355"/>
      <c r="CV96" s="355"/>
      <c r="CW96" s="355"/>
      <c r="CX96" s="355"/>
      <c r="CY96" s="355"/>
      <c r="CZ96" s="355"/>
      <c r="DA96" s="355"/>
      <c r="DB96" s="355"/>
      <c r="DC96" s="355"/>
      <c r="DD96" s="355"/>
      <c r="DE96" s="654"/>
      <c r="DF96" s="643"/>
      <c r="DG96" s="646"/>
      <c r="DH96" s="235">
        <f t="shared" si="115"/>
        <v>0</v>
      </c>
      <c r="DI96" s="236">
        <f t="shared" si="116"/>
        <v>0</v>
      </c>
      <c r="DJ96" s="354"/>
      <c r="DK96" s="354"/>
      <c r="DL96" s="354"/>
      <c r="DM96" s="354"/>
      <c r="DN96" s="354"/>
      <c r="DO96" s="654"/>
      <c r="DP96" s="643"/>
      <c r="DQ96" s="646"/>
      <c r="DR96" s="235">
        <f t="shared" ref="DR96:DS96" si="128">AT96-DH96</f>
        <v>0</v>
      </c>
      <c r="DS96" s="236">
        <f t="shared" si="128"/>
        <v>0</v>
      </c>
      <c r="DT96" s="354"/>
      <c r="DU96" s="354"/>
      <c r="DV96" s="354"/>
      <c r="DW96" s="354"/>
      <c r="DX96" s="354"/>
      <c r="DY96" s="354"/>
      <c r="DZ96" s="328"/>
      <c r="EA96" s="328"/>
      <c r="EB96" s="328"/>
      <c r="EC96" s="328"/>
      <c r="ED96" s="328"/>
      <c r="EE96" s="328"/>
      <c r="EF96" s="328"/>
      <c r="EG96" s="644"/>
      <c r="EH96" s="379" t="s">
        <v>36</v>
      </c>
      <c r="EI96" s="355">
        <f t="shared" ref="EI96:EW96" si="129">C96-BQ96</f>
        <v>0</v>
      </c>
      <c r="EJ96" s="355">
        <f t="shared" si="129"/>
        <v>0</v>
      </c>
      <c r="EK96" s="355">
        <f t="shared" si="129"/>
        <v>0</v>
      </c>
      <c r="EL96" s="355">
        <f t="shared" si="129"/>
        <v>0</v>
      </c>
      <c r="EM96" s="355">
        <f t="shared" si="129"/>
        <v>0</v>
      </c>
      <c r="EN96" s="355">
        <f t="shared" si="129"/>
        <v>0</v>
      </c>
      <c r="EO96" s="355">
        <f t="shared" si="129"/>
        <v>0</v>
      </c>
      <c r="EP96" s="355">
        <f t="shared" si="129"/>
        <v>0</v>
      </c>
      <c r="EQ96" s="355">
        <f t="shared" si="129"/>
        <v>0</v>
      </c>
      <c r="ER96" s="355">
        <f t="shared" si="129"/>
        <v>0</v>
      </c>
      <c r="ES96" s="355">
        <f t="shared" si="129"/>
        <v>0</v>
      </c>
      <c r="ET96" s="355">
        <f t="shared" si="129"/>
        <v>0</v>
      </c>
      <c r="EU96" s="355">
        <f t="shared" si="129"/>
        <v>0</v>
      </c>
      <c r="EV96" s="355">
        <f t="shared" si="129"/>
        <v>0</v>
      </c>
      <c r="EW96" s="355">
        <f t="shared" si="129"/>
        <v>0</v>
      </c>
      <c r="EX96" s="355">
        <f t="shared" si="127"/>
        <v>0</v>
      </c>
      <c r="EY96" s="355">
        <f t="shared" si="107"/>
        <v>0</v>
      </c>
      <c r="EZ96" s="355">
        <f t="shared" si="107"/>
        <v>0</v>
      </c>
      <c r="FA96" s="355">
        <f t="shared" si="107"/>
        <v>0</v>
      </c>
      <c r="FB96" s="355">
        <f t="shared" si="107"/>
        <v>0</v>
      </c>
      <c r="FC96" s="355"/>
      <c r="FD96" s="355"/>
      <c r="FE96" s="355"/>
      <c r="FF96" s="355"/>
      <c r="FG96" s="355"/>
      <c r="FH96" s="355"/>
      <c r="FI96" s="355"/>
      <c r="FJ96" s="355"/>
      <c r="FK96" s="355"/>
      <c r="FL96" s="355"/>
      <c r="FM96" s="355"/>
      <c r="FN96" s="355"/>
      <c r="FO96" s="355"/>
      <c r="FP96" s="355"/>
      <c r="FQ96" s="355"/>
      <c r="FR96" s="355"/>
      <c r="FS96" s="355"/>
      <c r="FT96" s="355"/>
      <c r="FU96" s="355"/>
      <c r="FV96" s="355"/>
      <c r="FW96" s="355"/>
      <c r="FX96" s="380"/>
      <c r="FY96" s="381"/>
      <c r="FZ96" s="381"/>
      <c r="GA96" s="381"/>
      <c r="GB96" s="381"/>
      <c r="GC96" s="381"/>
      <c r="GD96" s="382">
        <f t="shared" si="110"/>
        <v>0</v>
      </c>
      <c r="GE96" s="637"/>
      <c r="GF96" s="363">
        <f t="shared" si="111"/>
        <v>0</v>
      </c>
      <c r="GG96" s="637"/>
      <c r="GH96" s="640"/>
      <c r="GI96" s="206" t="s">
        <v>76</v>
      </c>
      <c r="GJ96" s="330">
        <f>GJ65</f>
        <v>0</v>
      </c>
      <c r="GK96" s="330">
        <f>GL65</f>
        <v>0</v>
      </c>
      <c r="GL96" s="331">
        <f>NPV($GO$53,GJ96:GK96)</f>
        <v>0</v>
      </c>
      <c r="GM96" s="206"/>
      <c r="GN96" s="206"/>
      <c r="GO96" s="206"/>
      <c r="GP96" s="635"/>
      <c r="GQ96" s="206"/>
      <c r="GR96" s="206"/>
      <c r="GS96" s="206"/>
    </row>
    <row r="97" spans="1:201" ht="15" customHeight="1">
      <c r="A97" s="383"/>
      <c r="B97" s="340"/>
      <c r="C97" s="323"/>
      <c r="D97" s="323"/>
      <c r="E97" s="323"/>
      <c r="F97" s="323"/>
      <c r="G97" s="323"/>
      <c r="H97" s="323"/>
      <c r="I97" s="323"/>
      <c r="J97" s="323"/>
      <c r="K97" s="323"/>
      <c r="L97" s="323"/>
      <c r="M97" s="323"/>
      <c r="N97" s="323"/>
      <c r="O97" s="323"/>
      <c r="P97" s="32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3"/>
      <c r="AC97" s="353"/>
      <c r="AD97" s="353"/>
      <c r="AE97" s="353"/>
      <c r="AF97" s="353"/>
      <c r="AG97" s="353"/>
      <c r="AH97" s="353"/>
      <c r="AI97" s="353"/>
      <c r="AJ97" s="353"/>
      <c r="AK97" s="353"/>
      <c r="AL97" s="353"/>
      <c r="AM97" s="353"/>
      <c r="AN97" s="353"/>
      <c r="AO97" s="353"/>
      <c r="AP97" s="353"/>
      <c r="AQ97" s="643"/>
      <c r="AR97" s="643"/>
      <c r="AS97" s="646"/>
      <c r="AT97" s="235">
        <f t="shared" si="102"/>
        <v>0</v>
      </c>
      <c r="AU97" s="235">
        <f t="shared" si="103"/>
        <v>0</v>
      </c>
      <c r="AV97" s="354"/>
      <c r="AW97" s="354"/>
      <c r="AX97" s="354"/>
      <c r="AY97" s="354"/>
      <c r="AZ97" s="354"/>
      <c r="BA97" s="354"/>
      <c r="BB97" s="354"/>
      <c r="BC97" s="354"/>
      <c r="BD97" s="354"/>
      <c r="BE97" s="354"/>
      <c r="BF97" s="354"/>
      <c r="BG97" s="206"/>
      <c r="BH97" s="206"/>
      <c r="BI97" s="330"/>
      <c r="BJ97" s="206"/>
      <c r="BK97" s="206"/>
      <c r="BL97" s="330"/>
      <c r="BM97" s="206"/>
      <c r="BN97" s="206"/>
      <c r="BO97" s="383"/>
      <c r="BP97" s="340"/>
      <c r="BQ97" s="206"/>
      <c r="BR97" s="206"/>
      <c r="BS97" s="206"/>
      <c r="BT97" s="206"/>
      <c r="BU97" s="206"/>
      <c r="BV97" s="206"/>
      <c r="BW97" s="206"/>
      <c r="BX97" s="206"/>
      <c r="BY97" s="206"/>
      <c r="BZ97" s="206"/>
      <c r="CA97" s="206"/>
      <c r="CB97" s="206"/>
      <c r="CC97" s="206"/>
      <c r="CD97" s="206"/>
      <c r="CE97" s="355"/>
      <c r="CF97" s="355"/>
      <c r="CG97" s="355"/>
      <c r="CH97" s="355"/>
      <c r="CI97" s="355"/>
      <c r="CJ97" s="355"/>
      <c r="CK97" s="355"/>
      <c r="CL97" s="355"/>
      <c r="CM97" s="355"/>
      <c r="CN97" s="355"/>
      <c r="CO97" s="355"/>
      <c r="CP97" s="355"/>
      <c r="CQ97" s="355"/>
      <c r="CR97" s="355"/>
      <c r="CS97" s="355"/>
      <c r="CT97" s="355"/>
      <c r="CU97" s="355"/>
      <c r="CV97" s="355"/>
      <c r="CW97" s="355"/>
      <c r="CX97" s="355"/>
      <c r="CY97" s="355"/>
      <c r="CZ97" s="355"/>
      <c r="DA97" s="355"/>
      <c r="DB97" s="355"/>
      <c r="DC97" s="355"/>
      <c r="DD97" s="355"/>
      <c r="DE97" s="654"/>
      <c r="DF97" s="643"/>
      <c r="DG97" s="646"/>
      <c r="DH97" s="647"/>
      <c r="DI97" s="648"/>
      <c r="DJ97" s="354"/>
      <c r="DK97" s="354"/>
      <c r="DL97" s="354"/>
      <c r="DM97" s="354"/>
      <c r="DN97" s="354"/>
      <c r="DO97" s="654"/>
      <c r="DP97" s="643"/>
      <c r="DQ97" s="646"/>
      <c r="DR97" s="647"/>
      <c r="DS97" s="648"/>
      <c r="DT97" s="354"/>
      <c r="DU97" s="354"/>
      <c r="DV97" s="354"/>
      <c r="DW97" s="354"/>
      <c r="DX97" s="354"/>
      <c r="DY97" s="354"/>
      <c r="DZ97" s="328"/>
      <c r="EA97" s="328"/>
      <c r="EB97" s="328"/>
      <c r="EC97" s="328"/>
      <c r="ED97" s="328"/>
      <c r="EE97" s="328"/>
      <c r="EF97" s="328"/>
      <c r="EG97" s="383"/>
      <c r="EH97" s="340"/>
      <c r="EI97" s="206"/>
      <c r="EJ97" s="206"/>
      <c r="EK97" s="206"/>
      <c r="EL97" s="206"/>
      <c r="EM97" s="206"/>
      <c r="EN97" s="206"/>
      <c r="EO97" s="355"/>
      <c r="EP97" s="355"/>
      <c r="EQ97" s="355"/>
      <c r="ER97" s="355"/>
      <c r="ES97" s="355"/>
      <c r="ET97" s="355"/>
      <c r="EU97" s="355"/>
      <c r="EV97" s="355"/>
      <c r="EW97" s="355"/>
      <c r="EX97" s="355"/>
      <c r="EY97" s="355"/>
      <c r="EZ97" s="355"/>
      <c r="FA97" s="355"/>
      <c r="FB97" s="355"/>
      <c r="FC97" s="355"/>
      <c r="FD97" s="355"/>
      <c r="FE97" s="355"/>
      <c r="FF97" s="355"/>
      <c r="FG97" s="355"/>
      <c r="FH97" s="355"/>
      <c r="FI97" s="355"/>
      <c r="FJ97" s="355"/>
      <c r="FK97" s="355"/>
      <c r="FL97" s="355"/>
      <c r="FM97" s="355"/>
      <c r="FN97" s="355"/>
      <c r="FO97" s="355"/>
      <c r="FP97" s="355"/>
      <c r="FQ97" s="355"/>
      <c r="FR97" s="355"/>
      <c r="FS97" s="355"/>
      <c r="FT97" s="355"/>
      <c r="FU97" s="355"/>
      <c r="FV97" s="355"/>
      <c r="FW97" s="355"/>
      <c r="FX97" s="206"/>
      <c r="FY97" s="206"/>
      <c r="FZ97" s="206"/>
      <c r="GA97" s="206"/>
      <c r="GB97" s="206"/>
      <c r="GC97" s="206"/>
      <c r="GD97" s="374"/>
      <c r="GE97" s="370"/>
      <c r="GF97" s="374"/>
      <c r="GG97" s="370"/>
      <c r="GH97" s="690"/>
      <c r="GI97" s="206" t="s">
        <v>96</v>
      </c>
      <c r="GJ97" s="330">
        <f>GJ66</f>
        <v>0</v>
      </c>
      <c r="GK97" s="330">
        <f>GL66</f>
        <v>0</v>
      </c>
      <c r="GL97" s="331">
        <f>NPV($GO$53,GJ97:GK97)</f>
        <v>0</v>
      </c>
      <c r="GM97" s="206"/>
      <c r="GN97" s="206"/>
      <c r="GO97" s="206"/>
      <c r="GP97" s="635"/>
      <c r="GQ97" s="206"/>
      <c r="GR97" s="206"/>
      <c r="GS97" s="206"/>
    </row>
    <row r="98" spans="1:201" ht="15" customHeight="1">
      <c r="A98" s="383"/>
      <c r="B98" s="340"/>
      <c r="C98" s="323"/>
      <c r="D98" s="323"/>
      <c r="E98" s="323"/>
      <c r="F98" s="323"/>
      <c r="G98" s="323"/>
      <c r="H98" s="323"/>
      <c r="I98" s="323"/>
      <c r="J98" s="323"/>
      <c r="K98" s="323"/>
      <c r="L98" s="323"/>
      <c r="M98" s="323"/>
      <c r="N98" s="323"/>
      <c r="O98" s="323"/>
      <c r="P98" s="32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353"/>
      <c r="AC98" s="353"/>
      <c r="AD98" s="353"/>
      <c r="AE98" s="353"/>
      <c r="AF98" s="353"/>
      <c r="AG98" s="353"/>
      <c r="AH98" s="353"/>
      <c r="AI98" s="353"/>
      <c r="AJ98" s="353"/>
      <c r="AK98" s="353"/>
      <c r="AL98" s="353"/>
      <c r="AM98" s="353"/>
      <c r="AN98" s="353"/>
      <c r="AO98" s="353"/>
      <c r="AP98" s="353"/>
      <c r="AQ98" s="643"/>
      <c r="AR98" s="643"/>
      <c r="AS98" s="646"/>
      <c r="AT98" s="235">
        <f t="shared" si="102"/>
        <v>0</v>
      </c>
      <c r="AU98" s="235">
        <f t="shared" si="103"/>
        <v>0</v>
      </c>
      <c r="AV98" s="354"/>
      <c r="AW98" s="354"/>
      <c r="AX98" s="354"/>
      <c r="AY98" s="354"/>
      <c r="AZ98" s="354"/>
      <c r="BA98" s="354"/>
      <c r="BB98" s="354"/>
      <c r="BC98" s="354"/>
      <c r="BD98" s="354"/>
      <c r="BE98" s="354"/>
      <c r="BF98" s="354"/>
      <c r="BG98" s="206"/>
      <c r="BH98" s="206"/>
      <c r="BI98" s="206"/>
      <c r="BJ98" s="206"/>
      <c r="BK98" s="206"/>
      <c r="BL98" s="330"/>
      <c r="BM98" s="206"/>
      <c r="BN98" s="206"/>
      <c r="BO98" s="383"/>
      <c r="BP98" s="340"/>
      <c r="BQ98" s="206"/>
      <c r="BR98" s="206"/>
      <c r="BS98" s="206"/>
      <c r="BT98" s="206"/>
      <c r="BU98" s="206"/>
      <c r="BV98" s="206"/>
      <c r="BW98" s="206"/>
      <c r="BX98" s="206"/>
      <c r="BY98" s="206"/>
      <c r="BZ98" s="206"/>
      <c r="CA98" s="206"/>
      <c r="CB98" s="206"/>
      <c r="CC98" s="206"/>
      <c r="CD98" s="206"/>
      <c r="CE98" s="355"/>
      <c r="CF98" s="355"/>
      <c r="CG98" s="355"/>
      <c r="CH98" s="355"/>
      <c r="CI98" s="355"/>
      <c r="CJ98" s="355"/>
      <c r="CK98" s="355"/>
      <c r="CL98" s="355"/>
      <c r="CM98" s="355"/>
      <c r="CN98" s="355"/>
      <c r="CO98" s="355"/>
      <c r="CP98" s="355"/>
      <c r="CQ98" s="355"/>
      <c r="CR98" s="355"/>
      <c r="CS98" s="355"/>
      <c r="CT98" s="355"/>
      <c r="CU98" s="355"/>
      <c r="CV98" s="355"/>
      <c r="CW98" s="355"/>
      <c r="CX98" s="355"/>
      <c r="CY98" s="355"/>
      <c r="CZ98" s="355"/>
      <c r="DA98" s="355"/>
      <c r="DB98" s="355"/>
      <c r="DC98" s="355"/>
      <c r="DD98" s="355"/>
      <c r="DE98" s="654"/>
      <c r="DF98" s="643"/>
      <c r="DG98" s="646"/>
      <c r="DH98" s="649"/>
      <c r="DI98" s="650"/>
      <c r="DJ98" s="354"/>
      <c r="DK98" s="354"/>
      <c r="DL98" s="354"/>
      <c r="DM98" s="354"/>
      <c r="DN98" s="354"/>
      <c r="DO98" s="654"/>
      <c r="DP98" s="643"/>
      <c r="DQ98" s="646"/>
      <c r="DR98" s="649"/>
      <c r="DS98" s="650"/>
      <c r="DT98" s="354"/>
      <c r="DU98" s="354"/>
      <c r="DV98" s="354"/>
      <c r="DW98" s="354"/>
      <c r="DX98" s="354"/>
      <c r="DY98" s="354"/>
      <c r="DZ98" s="328"/>
      <c r="EA98" s="328"/>
      <c r="EB98" s="328"/>
      <c r="EC98" s="328"/>
      <c r="ED98" s="328"/>
      <c r="EE98" s="328"/>
      <c r="EF98" s="328"/>
      <c r="EG98" s="383"/>
      <c r="EH98" s="340"/>
      <c r="EI98" s="206"/>
      <c r="EJ98" s="206"/>
      <c r="EK98" s="206"/>
      <c r="EL98" s="206"/>
      <c r="EM98" s="206"/>
      <c r="EN98" s="206"/>
      <c r="EO98" s="355"/>
      <c r="EP98" s="355"/>
      <c r="EQ98" s="355"/>
      <c r="ER98" s="355"/>
      <c r="ES98" s="355"/>
      <c r="ET98" s="355"/>
      <c r="EU98" s="355"/>
      <c r="EV98" s="355"/>
      <c r="EW98" s="355"/>
      <c r="EX98" s="355"/>
      <c r="EY98" s="355"/>
      <c r="EZ98" s="355"/>
      <c r="FA98" s="355"/>
      <c r="FB98" s="355"/>
      <c r="FC98" s="355"/>
      <c r="FD98" s="355"/>
      <c r="FE98" s="355"/>
      <c r="FF98" s="355"/>
      <c r="FG98" s="355"/>
      <c r="FH98" s="355"/>
      <c r="FI98" s="355"/>
      <c r="FJ98" s="355"/>
      <c r="FK98" s="355"/>
      <c r="FL98" s="355"/>
      <c r="FM98" s="355"/>
      <c r="FN98" s="355"/>
      <c r="FO98" s="355"/>
      <c r="FP98" s="355"/>
      <c r="FQ98" s="355"/>
      <c r="FR98" s="355"/>
      <c r="FS98" s="355"/>
      <c r="FT98" s="355"/>
      <c r="FU98" s="355"/>
      <c r="FV98" s="355"/>
      <c r="FW98" s="355"/>
      <c r="FX98" s="206"/>
      <c r="FY98" s="206"/>
      <c r="FZ98" s="206"/>
      <c r="GA98" s="206"/>
      <c r="GB98" s="206"/>
      <c r="GC98" s="206"/>
      <c r="GD98" s="374"/>
      <c r="GE98" s="370"/>
      <c r="GF98" s="374"/>
      <c r="GG98" s="370"/>
      <c r="GH98" s="690"/>
      <c r="GI98" s="206"/>
      <c r="GJ98" s="206"/>
      <c r="GK98" s="206"/>
      <c r="GL98" s="206"/>
      <c r="GM98" s="206"/>
      <c r="GN98" s="206"/>
      <c r="GO98" s="206"/>
      <c r="GP98" s="635"/>
      <c r="GQ98" s="206"/>
      <c r="GR98" s="206"/>
      <c r="GS98" s="206"/>
    </row>
    <row r="99" spans="1:201" ht="15" customHeight="1">
      <c r="A99" s="383"/>
      <c r="B99" s="322"/>
      <c r="C99" s="323"/>
      <c r="D99" s="323"/>
      <c r="E99" s="323"/>
      <c r="F99" s="323"/>
      <c r="G99" s="323"/>
      <c r="H99" s="323"/>
      <c r="I99" s="323"/>
      <c r="J99" s="323"/>
      <c r="K99" s="323"/>
      <c r="L99" s="323"/>
      <c r="M99" s="323"/>
      <c r="N99" s="323"/>
      <c r="O99" s="323"/>
      <c r="P99" s="32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353"/>
      <c r="AC99" s="353"/>
      <c r="AD99" s="353"/>
      <c r="AE99" s="353"/>
      <c r="AF99" s="353"/>
      <c r="AG99" s="353"/>
      <c r="AH99" s="353"/>
      <c r="AI99" s="353"/>
      <c r="AJ99" s="353"/>
      <c r="AK99" s="353"/>
      <c r="AL99" s="353"/>
      <c r="AM99" s="353"/>
      <c r="AN99" s="353"/>
      <c r="AO99" s="353"/>
      <c r="AP99" s="353"/>
      <c r="AQ99" s="643"/>
      <c r="AR99" s="643"/>
      <c r="AS99" s="646"/>
      <c r="AT99" s="235">
        <f t="shared" si="102"/>
        <v>0</v>
      </c>
      <c r="AU99" s="235">
        <f t="shared" si="103"/>
        <v>0</v>
      </c>
      <c r="AV99" s="354"/>
      <c r="AW99" s="354"/>
      <c r="AX99" s="354"/>
      <c r="AY99" s="354"/>
      <c r="AZ99" s="354"/>
      <c r="BA99" s="354"/>
      <c r="BB99" s="354"/>
      <c r="BC99" s="354"/>
      <c r="BD99" s="354"/>
      <c r="BE99" s="354"/>
      <c r="BF99" s="354"/>
      <c r="BG99" s="206"/>
      <c r="BH99" s="206"/>
      <c r="BI99" s="206"/>
      <c r="BJ99" s="206"/>
      <c r="BK99" s="206"/>
      <c r="BL99" s="330"/>
      <c r="BM99" s="206"/>
      <c r="BN99" s="206"/>
      <c r="BO99" s="383"/>
      <c r="BP99" s="322"/>
      <c r="BQ99" s="206"/>
      <c r="BR99" s="206"/>
      <c r="BS99" s="206"/>
      <c r="BT99" s="206"/>
      <c r="BU99" s="206"/>
      <c r="BV99" s="206"/>
      <c r="BW99" s="206"/>
      <c r="BX99" s="206"/>
      <c r="BY99" s="206"/>
      <c r="BZ99" s="206"/>
      <c r="CA99" s="206"/>
      <c r="CB99" s="206"/>
      <c r="CC99" s="206"/>
      <c r="CD99" s="206"/>
      <c r="CE99" s="355"/>
      <c r="CF99" s="355"/>
      <c r="CG99" s="355"/>
      <c r="CH99" s="355"/>
      <c r="CI99" s="355"/>
      <c r="CJ99" s="355"/>
      <c r="CK99" s="355"/>
      <c r="CL99" s="355"/>
      <c r="CM99" s="355"/>
      <c r="CN99" s="355"/>
      <c r="CO99" s="355"/>
      <c r="CP99" s="355"/>
      <c r="CQ99" s="355"/>
      <c r="CR99" s="355"/>
      <c r="CS99" s="355"/>
      <c r="CT99" s="355"/>
      <c r="CU99" s="355"/>
      <c r="CV99" s="355"/>
      <c r="CW99" s="355"/>
      <c r="CX99" s="355"/>
      <c r="CY99" s="355"/>
      <c r="CZ99" s="355"/>
      <c r="DA99" s="355"/>
      <c r="DB99" s="355"/>
      <c r="DC99" s="355"/>
      <c r="DD99" s="355"/>
      <c r="DE99" s="654"/>
      <c r="DF99" s="643"/>
      <c r="DG99" s="646"/>
      <c r="DH99" s="651"/>
      <c r="DI99" s="652"/>
      <c r="DJ99" s="354"/>
      <c r="DK99" s="354"/>
      <c r="DL99" s="354"/>
      <c r="DM99" s="354"/>
      <c r="DN99" s="354"/>
      <c r="DO99" s="654"/>
      <c r="DP99" s="643"/>
      <c r="DQ99" s="646"/>
      <c r="DR99" s="651"/>
      <c r="DS99" s="652"/>
      <c r="DT99" s="354"/>
      <c r="DU99" s="354"/>
      <c r="DV99" s="354"/>
      <c r="DW99" s="354"/>
      <c r="DX99" s="354"/>
      <c r="DY99" s="354"/>
      <c r="DZ99" s="328"/>
      <c r="EA99" s="328"/>
      <c r="EB99" s="328"/>
      <c r="EC99" s="328"/>
      <c r="ED99" s="328"/>
      <c r="EE99" s="328"/>
      <c r="EF99" s="328"/>
      <c r="EG99" s="383"/>
      <c r="EH99" s="322"/>
      <c r="EI99" s="206"/>
      <c r="EJ99" s="206"/>
      <c r="EK99" s="206"/>
      <c r="EL99" s="206"/>
      <c r="EM99" s="206"/>
      <c r="EN99" s="206"/>
      <c r="EO99" s="355"/>
      <c r="EP99" s="355"/>
      <c r="EQ99" s="355"/>
      <c r="ER99" s="355"/>
      <c r="ES99" s="355"/>
      <c r="ET99" s="355"/>
      <c r="EU99" s="355"/>
      <c r="EV99" s="355"/>
      <c r="EW99" s="355"/>
      <c r="EX99" s="355"/>
      <c r="EY99" s="355"/>
      <c r="EZ99" s="355"/>
      <c r="FA99" s="355"/>
      <c r="FB99" s="355"/>
      <c r="FC99" s="355"/>
      <c r="FD99" s="355"/>
      <c r="FE99" s="355"/>
      <c r="FF99" s="355"/>
      <c r="FG99" s="355"/>
      <c r="FH99" s="355"/>
      <c r="FI99" s="355"/>
      <c r="FJ99" s="355"/>
      <c r="FK99" s="355"/>
      <c r="FL99" s="355"/>
      <c r="FM99" s="355"/>
      <c r="FN99" s="355"/>
      <c r="FO99" s="355"/>
      <c r="FP99" s="355"/>
      <c r="FQ99" s="355"/>
      <c r="FR99" s="355"/>
      <c r="FS99" s="355"/>
      <c r="FT99" s="355"/>
      <c r="FU99" s="355"/>
      <c r="FV99" s="355"/>
      <c r="FW99" s="355"/>
      <c r="FX99" s="206"/>
      <c r="FY99" s="206"/>
      <c r="FZ99" s="206"/>
      <c r="GA99" s="206"/>
      <c r="GB99" s="206"/>
      <c r="GC99" s="206"/>
      <c r="GD99" s="374"/>
      <c r="GE99" s="370"/>
      <c r="GF99" s="374"/>
      <c r="GG99" s="370"/>
      <c r="GH99" s="691"/>
      <c r="GI99" s="206"/>
      <c r="GJ99" s="206"/>
      <c r="GK99" s="206"/>
      <c r="GL99" s="206"/>
      <c r="GM99" s="206"/>
      <c r="GN99" s="206"/>
      <c r="GO99" s="206"/>
      <c r="GP99" s="635"/>
      <c r="GQ99" s="206"/>
      <c r="GR99" s="206"/>
      <c r="GS99" s="206"/>
    </row>
    <row r="100" spans="1:201" ht="15" customHeight="1" thickBot="1">
      <c r="A100" s="321"/>
      <c r="B100" s="322"/>
      <c r="C100" s="323"/>
      <c r="D100" s="323"/>
      <c r="E100" s="323"/>
      <c r="F100" s="323"/>
      <c r="G100" s="323"/>
      <c r="H100" s="323"/>
      <c r="I100" s="323"/>
      <c r="J100" s="323"/>
      <c r="K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4"/>
      <c r="W100" s="323"/>
      <c r="X100" s="323"/>
      <c r="Y100" s="323"/>
      <c r="Z100" s="323"/>
      <c r="AA100" s="323"/>
      <c r="AB100" s="323"/>
      <c r="AC100" s="323"/>
      <c r="AD100" s="323"/>
      <c r="AE100" s="323"/>
      <c r="AF100" s="323"/>
      <c r="AG100" s="323"/>
      <c r="AH100" s="323"/>
      <c r="AI100" s="323"/>
      <c r="AJ100" s="323"/>
      <c r="AK100" s="323"/>
      <c r="AL100" s="323"/>
      <c r="AM100" s="323"/>
      <c r="AN100" s="323"/>
      <c r="AO100" s="323"/>
      <c r="AP100" s="323"/>
      <c r="AQ100" s="629" t="s">
        <v>79</v>
      </c>
      <c r="AR100" s="629"/>
      <c r="AS100" s="629"/>
      <c r="AT100" s="629"/>
      <c r="AU100" s="629"/>
      <c r="AV100" s="322"/>
      <c r="AW100" s="322"/>
      <c r="AX100" s="322"/>
      <c r="AY100" s="322"/>
      <c r="AZ100" s="322"/>
      <c r="BA100" s="322"/>
      <c r="BB100" s="322"/>
      <c r="BC100" s="322"/>
      <c r="BD100" s="322"/>
      <c r="BE100" s="322"/>
      <c r="BF100" s="322"/>
      <c r="BG100" s="206"/>
      <c r="BH100" s="206"/>
      <c r="BI100" s="206"/>
      <c r="BJ100" s="206"/>
      <c r="BK100" s="206"/>
      <c r="BL100" s="206"/>
      <c r="BM100" s="206"/>
      <c r="BN100" s="206"/>
      <c r="BO100" s="326"/>
      <c r="BP100" s="206"/>
      <c r="BQ100" s="206"/>
      <c r="BR100" s="206"/>
      <c r="BS100" s="206"/>
      <c r="BT100" s="206"/>
      <c r="BU100" s="206"/>
      <c r="BV100" s="206"/>
      <c r="BW100" s="206"/>
      <c r="BX100" s="206"/>
      <c r="BY100" s="206"/>
      <c r="BZ100" s="206"/>
      <c r="CA100" s="206"/>
      <c r="CB100" s="206"/>
      <c r="CC100" s="206"/>
      <c r="CD100" s="206"/>
      <c r="CE100" s="355"/>
      <c r="CF100" s="206"/>
      <c r="CG100" s="206"/>
      <c r="CH100" s="206"/>
      <c r="CI100" s="206"/>
      <c r="CJ100" s="327"/>
      <c r="CK100" s="206"/>
      <c r="CL100" s="206"/>
      <c r="CM100" s="206"/>
      <c r="CN100" s="206"/>
      <c r="CO100" s="206"/>
      <c r="CP100" s="206"/>
      <c r="CQ100" s="206"/>
      <c r="CR100" s="206"/>
      <c r="CS100" s="206"/>
      <c r="CT100" s="206"/>
      <c r="CU100" s="206"/>
      <c r="CV100" s="206"/>
      <c r="CW100" s="206"/>
      <c r="CX100" s="206"/>
      <c r="CY100" s="206"/>
      <c r="CZ100" s="206"/>
      <c r="DA100" s="206"/>
      <c r="DB100" s="206"/>
      <c r="DC100" s="206"/>
      <c r="DD100" s="206"/>
      <c r="DE100" s="628" t="s">
        <v>80</v>
      </c>
      <c r="DF100" s="629"/>
      <c r="DG100" s="629"/>
      <c r="DH100" s="629"/>
      <c r="DI100" s="634"/>
      <c r="DJ100" s="322"/>
      <c r="DK100" s="322"/>
      <c r="DL100" s="322"/>
      <c r="DM100" s="322"/>
      <c r="DN100" s="322"/>
      <c r="DO100" s="628" t="s">
        <v>80</v>
      </c>
      <c r="DP100" s="629"/>
      <c r="DQ100" s="629"/>
      <c r="DR100" s="629"/>
      <c r="DS100" s="634"/>
      <c r="DT100" s="322"/>
      <c r="DU100" s="322"/>
      <c r="DV100" s="322"/>
      <c r="DW100" s="322"/>
      <c r="DX100" s="322"/>
      <c r="DY100" s="322"/>
      <c r="DZ100" s="328"/>
      <c r="EA100" s="328"/>
      <c r="EB100" s="328"/>
      <c r="EC100" s="328"/>
      <c r="ED100" s="328"/>
      <c r="EE100" s="328"/>
      <c r="EF100" s="328"/>
      <c r="EG100" s="206"/>
      <c r="EH100" s="629" t="s">
        <v>81</v>
      </c>
      <c r="EI100" s="629"/>
      <c r="EJ100" s="629"/>
      <c r="EK100" s="629"/>
      <c r="EL100" s="629"/>
      <c r="EM100" s="629"/>
      <c r="EN100" s="629"/>
      <c r="EO100" s="629"/>
      <c r="EP100" s="629"/>
      <c r="EQ100" s="629"/>
      <c r="ER100" s="629"/>
      <c r="ES100" s="629"/>
      <c r="ET100" s="629"/>
      <c r="EU100" s="629"/>
      <c r="EV100" s="629"/>
      <c r="EW100" s="629"/>
      <c r="EX100" s="629"/>
      <c r="EY100" s="629"/>
      <c r="EZ100" s="629"/>
      <c r="FA100" s="629"/>
      <c r="FB100" s="629"/>
      <c r="FC100" s="322"/>
      <c r="FD100" s="322"/>
      <c r="FE100" s="322"/>
      <c r="FF100" s="322"/>
      <c r="FG100" s="322"/>
      <c r="FH100" s="322"/>
      <c r="FI100" s="322"/>
      <c r="FJ100" s="322"/>
      <c r="FK100" s="322"/>
      <c r="FL100" s="322"/>
      <c r="FM100" s="322"/>
      <c r="FN100" s="322"/>
      <c r="FO100" s="322"/>
      <c r="FP100" s="322"/>
      <c r="FQ100" s="322"/>
      <c r="FR100" s="322"/>
      <c r="FS100" s="322"/>
      <c r="FT100" s="322"/>
      <c r="FU100" s="322"/>
      <c r="FV100" s="322"/>
      <c r="FW100" s="322"/>
      <c r="FX100" s="206"/>
      <c r="FY100" s="206"/>
      <c r="FZ100" s="206"/>
      <c r="GA100" s="206"/>
      <c r="GB100" s="206"/>
      <c r="GC100" s="206"/>
      <c r="GD100" s="206"/>
      <c r="GE100" s="206"/>
      <c r="GF100" s="206"/>
      <c r="GG100" s="327"/>
      <c r="GH100" s="206"/>
      <c r="GI100" s="206"/>
      <c r="GJ100" s="206"/>
      <c r="GK100" s="206"/>
      <c r="GL100" s="206"/>
      <c r="GM100" s="206"/>
      <c r="GN100" s="206"/>
      <c r="GO100" s="206"/>
      <c r="GP100" s="206"/>
      <c r="GQ100" s="206"/>
      <c r="GR100" s="206"/>
      <c r="GS100" s="206"/>
    </row>
    <row r="101" spans="1:201" ht="15" customHeight="1" thickBot="1">
      <c r="A101" s="384" t="s">
        <v>82</v>
      </c>
      <c r="B101" s="335"/>
      <c r="C101" s="385">
        <f>SUM(C80:C99)</f>
        <v>0</v>
      </c>
      <c r="D101" s="385">
        <f t="shared" ref="D101:V101" si="130">SUM(D80:D99)</f>
        <v>0</v>
      </c>
      <c r="E101" s="385">
        <f t="shared" si="130"/>
        <v>0</v>
      </c>
      <c r="F101" s="385">
        <f t="shared" si="130"/>
        <v>0</v>
      </c>
      <c r="G101" s="385">
        <f t="shared" si="130"/>
        <v>0</v>
      </c>
      <c r="H101" s="385">
        <f t="shared" si="130"/>
        <v>0</v>
      </c>
      <c r="I101" s="385">
        <f t="shared" si="130"/>
        <v>0</v>
      </c>
      <c r="J101" s="385">
        <f t="shared" si="130"/>
        <v>0</v>
      </c>
      <c r="K101" s="385">
        <f t="shared" si="130"/>
        <v>0</v>
      </c>
      <c r="L101" s="385">
        <f t="shared" si="130"/>
        <v>0</v>
      </c>
      <c r="M101" s="385">
        <f t="shared" si="130"/>
        <v>0</v>
      </c>
      <c r="N101" s="385">
        <f t="shared" si="130"/>
        <v>0</v>
      </c>
      <c r="O101" s="385">
        <f t="shared" si="130"/>
        <v>0</v>
      </c>
      <c r="P101" s="385">
        <f t="shared" si="130"/>
        <v>0</v>
      </c>
      <c r="Q101" s="385">
        <f t="shared" si="130"/>
        <v>0</v>
      </c>
      <c r="R101" s="385">
        <f t="shared" si="130"/>
        <v>0</v>
      </c>
      <c r="S101" s="385">
        <f t="shared" si="130"/>
        <v>0</v>
      </c>
      <c r="T101" s="385">
        <f t="shared" si="130"/>
        <v>0</v>
      </c>
      <c r="U101" s="385">
        <f t="shared" si="130"/>
        <v>0</v>
      </c>
      <c r="V101" s="385">
        <f t="shared" si="130"/>
        <v>0</v>
      </c>
      <c r="W101" s="323"/>
      <c r="X101" s="323"/>
      <c r="Y101" s="323"/>
      <c r="Z101" s="323"/>
      <c r="AA101" s="323"/>
      <c r="AB101" s="323"/>
      <c r="AC101" s="323"/>
      <c r="AD101" s="323"/>
      <c r="AE101" s="323"/>
      <c r="AF101" s="323"/>
      <c r="AG101" s="323"/>
      <c r="AH101" s="323"/>
      <c r="AI101" s="323"/>
      <c r="AJ101" s="323"/>
      <c r="AK101" s="323"/>
      <c r="AL101" s="323"/>
      <c r="AM101" s="323"/>
      <c r="AN101" s="323"/>
      <c r="AO101" s="323"/>
      <c r="AP101" s="323"/>
      <c r="AQ101" s="330">
        <f>SUM(AQ80:AQ84)</f>
        <v>0</v>
      </c>
      <c r="AR101" s="330">
        <f>SUM(AR80:AR88)</f>
        <v>0</v>
      </c>
      <c r="AS101" s="330">
        <f>SUM(AS80:AS93)</f>
        <v>0</v>
      </c>
      <c r="AT101" s="330">
        <f>SUM(AT80:AT99)</f>
        <v>0</v>
      </c>
      <c r="AU101" s="330">
        <f>SUM(AU80:AU99)</f>
        <v>0</v>
      </c>
      <c r="AV101" s="330"/>
      <c r="AW101" s="330"/>
      <c r="AX101" s="330"/>
      <c r="AY101" s="330"/>
      <c r="AZ101" s="330"/>
      <c r="BA101" s="330"/>
      <c r="BB101" s="330"/>
      <c r="BC101" s="330"/>
      <c r="BD101" s="330"/>
      <c r="BE101" s="330"/>
      <c r="BF101" s="330"/>
      <c r="BG101" s="206"/>
      <c r="BH101" s="206"/>
      <c r="BI101" s="206"/>
      <c r="BJ101" s="206"/>
      <c r="BK101" s="206"/>
      <c r="BL101" s="206"/>
      <c r="BM101" s="206"/>
      <c r="BN101" s="206"/>
      <c r="BO101" s="326"/>
      <c r="BP101" s="206"/>
      <c r="BQ101" s="206"/>
      <c r="BR101" s="206"/>
      <c r="BS101" s="206"/>
      <c r="BT101" s="206"/>
      <c r="BU101" s="206"/>
      <c r="BV101" s="206"/>
      <c r="BW101" s="206"/>
      <c r="BX101" s="206"/>
      <c r="BY101" s="206"/>
      <c r="BZ101" s="206"/>
      <c r="CA101" s="206"/>
      <c r="CB101" s="206"/>
      <c r="CC101" s="206"/>
      <c r="CD101" s="206"/>
      <c r="CE101" s="206"/>
      <c r="CF101" s="206"/>
      <c r="CG101" s="206"/>
      <c r="CH101" s="206"/>
      <c r="CI101" s="206"/>
      <c r="CJ101" s="327"/>
      <c r="CK101" s="206"/>
      <c r="CL101" s="206"/>
      <c r="CM101" s="206"/>
      <c r="CN101" s="206"/>
      <c r="CO101" s="206"/>
      <c r="CP101" s="206"/>
      <c r="CQ101" s="206"/>
      <c r="CR101" s="206"/>
      <c r="CS101" s="206"/>
      <c r="CT101" s="206"/>
      <c r="CU101" s="206"/>
      <c r="CV101" s="206"/>
      <c r="CW101" s="206"/>
      <c r="CX101" s="206"/>
      <c r="CY101" s="206"/>
      <c r="CZ101" s="206"/>
      <c r="DA101" s="206"/>
      <c r="DB101" s="206"/>
      <c r="DC101" s="206"/>
      <c r="DD101" s="206"/>
      <c r="DE101" s="380">
        <f>SUM(DE80:DE84)</f>
        <v>0</v>
      </c>
      <c r="DF101" s="380">
        <f>SUM(DF80:DF88)</f>
        <v>0</v>
      </c>
      <c r="DG101" s="380">
        <f>SUM(DG80:DG93)</f>
        <v>0</v>
      </c>
      <c r="DH101" s="380">
        <f>SUM(DH80:DH99)</f>
        <v>0</v>
      </c>
      <c r="DI101" s="380">
        <f>SUM(DI80:DI99)</f>
        <v>0</v>
      </c>
      <c r="DJ101" s="380"/>
      <c r="DK101" s="380"/>
      <c r="DL101" s="380"/>
      <c r="DM101" s="380"/>
      <c r="DN101" s="380"/>
      <c r="DO101" s="380">
        <f>AQ101-DE101</f>
        <v>0</v>
      </c>
      <c r="DP101" s="380">
        <f>AR101-DF101</f>
        <v>0</v>
      </c>
      <c r="DQ101" s="380">
        <f>AS101-DG101</f>
        <v>0</v>
      </c>
      <c r="DR101" s="380">
        <f>AT101-DH101</f>
        <v>0</v>
      </c>
      <c r="DS101" s="380">
        <f>AU101-DI101</f>
        <v>0</v>
      </c>
      <c r="DT101" s="330"/>
      <c r="DU101" s="330"/>
      <c r="DV101" s="330"/>
      <c r="DW101" s="330"/>
      <c r="DX101" s="330"/>
      <c r="DY101" s="330"/>
      <c r="DZ101" s="328"/>
      <c r="EA101" s="328"/>
      <c r="EB101" s="328"/>
      <c r="EC101" s="328"/>
      <c r="ED101" s="328"/>
      <c r="EE101" s="328"/>
      <c r="EF101" s="328"/>
      <c r="EG101" s="326">
        <v>1</v>
      </c>
      <c r="EH101" s="206" t="s">
        <v>84</v>
      </c>
      <c r="EI101" s="330">
        <f>SUM(EI80:EI84)</f>
        <v>0</v>
      </c>
      <c r="EJ101" s="330">
        <f t="shared" ref="EJ101" si="131">SUM(EJ80:EJ84)</f>
        <v>0</v>
      </c>
      <c r="EK101" s="330">
        <f>SUM(EK80:EK84)</f>
        <v>0</v>
      </c>
      <c r="EL101" s="330">
        <f>SUM(EL80:EL84)</f>
        <v>0</v>
      </c>
      <c r="EM101" s="330">
        <f t="shared" ref="EM101:EV101" si="132">SUM(EM80:EM84)</f>
        <v>0</v>
      </c>
      <c r="EN101" s="330">
        <f t="shared" si="132"/>
        <v>0</v>
      </c>
      <c r="EO101" s="330">
        <f t="shared" si="132"/>
        <v>0</v>
      </c>
      <c r="EP101" s="330">
        <f t="shared" si="132"/>
        <v>0</v>
      </c>
      <c r="EQ101" s="330">
        <f t="shared" si="132"/>
        <v>0</v>
      </c>
      <c r="ER101" s="330">
        <f t="shared" si="132"/>
        <v>0</v>
      </c>
      <c r="ES101" s="330">
        <f t="shared" si="132"/>
        <v>0</v>
      </c>
      <c r="ET101" s="330">
        <f t="shared" si="132"/>
        <v>0</v>
      </c>
      <c r="EU101" s="330">
        <f t="shared" si="132"/>
        <v>0</v>
      </c>
      <c r="EV101" s="330">
        <f t="shared" si="132"/>
        <v>0</v>
      </c>
      <c r="EW101" s="330">
        <f>SUM(EW80:EW84)</f>
        <v>0</v>
      </c>
      <c r="EX101" s="330">
        <f t="shared" ref="EX101" si="133">SUM(EX80:EX84)</f>
        <v>0</v>
      </c>
      <c r="EY101" s="330">
        <f>SUM(EY80:EY84)</f>
        <v>0</v>
      </c>
      <c r="EZ101" s="330">
        <f t="shared" ref="EZ101:FB101" si="134">SUM(EZ80:EZ84)</f>
        <v>0</v>
      </c>
      <c r="FA101" s="330">
        <f t="shared" si="134"/>
        <v>0</v>
      </c>
      <c r="FB101" s="330">
        <f t="shared" si="134"/>
        <v>0</v>
      </c>
      <c r="FC101" s="330"/>
      <c r="FD101" s="330"/>
      <c r="FE101" s="330"/>
      <c r="FF101" s="330"/>
      <c r="FG101" s="330"/>
      <c r="FH101" s="330"/>
      <c r="FI101" s="330"/>
      <c r="FJ101" s="330"/>
      <c r="FK101" s="330"/>
      <c r="FL101" s="330"/>
      <c r="FM101" s="330"/>
      <c r="FN101" s="330"/>
      <c r="FO101" s="330"/>
      <c r="FP101" s="330"/>
      <c r="FQ101" s="330"/>
      <c r="FR101" s="330"/>
      <c r="FS101" s="330"/>
      <c r="FT101" s="330"/>
      <c r="FU101" s="330"/>
      <c r="FV101" s="330"/>
      <c r="FW101" s="330"/>
      <c r="FX101" s="206"/>
      <c r="FY101" s="206"/>
      <c r="FZ101" s="206"/>
      <c r="GA101" s="206"/>
      <c r="GB101" s="206"/>
      <c r="GC101" s="206"/>
      <c r="GD101" s="206"/>
      <c r="GE101" s="206"/>
      <c r="GF101" s="206"/>
      <c r="GG101" s="327"/>
      <c r="GH101" s="206"/>
      <c r="GI101" s="206"/>
      <c r="GJ101" s="206"/>
      <c r="GK101" s="206"/>
      <c r="GL101" s="206"/>
      <c r="GM101" s="206"/>
      <c r="GN101" s="206"/>
      <c r="GO101" s="206"/>
      <c r="GP101" s="206"/>
      <c r="GQ101" s="206"/>
      <c r="GR101" s="206"/>
      <c r="GS101" s="206"/>
    </row>
    <row r="102" spans="1:201" ht="15" customHeight="1" thickBot="1">
      <c r="A102" s="628" t="s">
        <v>83</v>
      </c>
      <c r="B102" s="629"/>
      <c r="C102" s="323" cm="1">
        <f t="array" ref="C102:V102">BQ102:CJ102</f>
        <v>0</v>
      </c>
      <c r="D102" s="323">
        <v>0</v>
      </c>
      <c r="E102" s="386">
        <v>0</v>
      </c>
      <c r="F102" s="386">
        <v>0</v>
      </c>
      <c r="G102" s="386">
        <v>0</v>
      </c>
      <c r="H102" s="386">
        <v>0</v>
      </c>
      <c r="I102" s="386">
        <v>0</v>
      </c>
      <c r="J102" s="386">
        <v>0</v>
      </c>
      <c r="K102" s="386">
        <v>0</v>
      </c>
      <c r="L102" s="386">
        <v>0</v>
      </c>
      <c r="M102" s="386">
        <v>0</v>
      </c>
      <c r="N102" s="386">
        <v>0</v>
      </c>
      <c r="O102" s="386">
        <v>0</v>
      </c>
      <c r="P102" s="386">
        <v>0</v>
      </c>
      <c r="Q102" s="386">
        <v>0</v>
      </c>
      <c r="R102" s="386">
        <v>0</v>
      </c>
      <c r="S102" s="386">
        <v>0</v>
      </c>
      <c r="T102" s="386">
        <v>0</v>
      </c>
      <c r="U102" s="386">
        <v>0</v>
      </c>
      <c r="V102" s="387">
        <v>0</v>
      </c>
      <c r="W102" s="386"/>
      <c r="X102" s="386"/>
      <c r="Y102" s="386"/>
      <c r="Z102" s="386"/>
      <c r="AA102" s="386"/>
      <c r="AB102" s="386"/>
      <c r="AC102" s="386"/>
      <c r="AD102" s="386"/>
      <c r="AE102" s="386"/>
      <c r="AF102" s="386"/>
      <c r="AG102" s="386"/>
      <c r="AH102" s="386"/>
      <c r="AI102" s="386"/>
      <c r="AJ102" s="386"/>
      <c r="AK102" s="386"/>
      <c r="AL102" s="386"/>
      <c r="AM102" s="386"/>
      <c r="AN102" s="386"/>
      <c r="AO102" s="386"/>
      <c r="AP102" s="386"/>
      <c r="AQ102" s="206"/>
      <c r="AR102" s="206"/>
      <c r="AS102" s="206"/>
      <c r="AT102" s="206"/>
      <c r="AU102" s="206"/>
      <c r="AV102" s="206"/>
      <c r="AW102" s="206"/>
      <c r="AX102" s="206"/>
      <c r="AY102" s="206"/>
      <c r="AZ102" s="206"/>
      <c r="BA102" s="206"/>
      <c r="BB102" s="206"/>
      <c r="BC102" s="206"/>
      <c r="BD102" s="206"/>
      <c r="BE102" s="206"/>
      <c r="BF102" s="206"/>
      <c r="BG102" s="206"/>
      <c r="BH102" s="206"/>
      <c r="BI102" s="206"/>
      <c r="BJ102" s="206"/>
      <c r="BK102" s="206"/>
      <c r="BL102" s="206"/>
      <c r="BM102" s="206"/>
      <c r="BN102" s="206"/>
      <c r="BO102" s="630" t="s">
        <v>83</v>
      </c>
      <c r="BP102" s="631"/>
      <c r="BQ102" s="381">
        <f>SUM(BQ80:BQ99)</f>
        <v>0</v>
      </c>
      <c r="BR102" s="381">
        <f t="shared" ref="BR102:CJ102" si="135">SUM(BR80:BR99)</f>
        <v>0</v>
      </c>
      <c r="BS102" s="381">
        <f t="shared" si="135"/>
        <v>0</v>
      </c>
      <c r="BT102" s="381">
        <f t="shared" si="135"/>
        <v>0</v>
      </c>
      <c r="BU102" s="381">
        <f t="shared" si="135"/>
        <v>0</v>
      </c>
      <c r="BV102" s="381">
        <f t="shared" si="135"/>
        <v>0</v>
      </c>
      <c r="BW102" s="381">
        <f t="shared" si="135"/>
        <v>0</v>
      </c>
      <c r="BX102" s="381">
        <f t="shared" si="135"/>
        <v>0</v>
      </c>
      <c r="BY102" s="381">
        <f t="shared" si="135"/>
        <v>0</v>
      </c>
      <c r="BZ102" s="381">
        <f t="shared" si="135"/>
        <v>0</v>
      </c>
      <c r="CA102" s="381">
        <f t="shared" si="135"/>
        <v>0</v>
      </c>
      <c r="CB102" s="381">
        <f t="shared" si="135"/>
        <v>0</v>
      </c>
      <c r="CC102" s="381">
        <f t="shared" si="135"/>
        <v>0</v>
      </c>
      <c r="CD102" s="381">
        <f t="shared" si="135"/>
        <v>0</v>
      </c>
      <c r="CE102" s="381">
        <f t="shared" si="135"/>
        <v>0</v>
      </c>
      <c r="CF102" s="381">
        <f t="shared" si="135"/>
        <v>0</v>
      </c>
      <c r="CG102" s="381">
        <f t="shared" si="135"/>
        <v>0</v>
      </c>
      <c r="CH102" s="381">
        <f t="shared" si="135"/>
        <v>0</v>
      </c>
      <c r="CI102" s="381">
        <f t="shared" si="135"/>
        <v>0</v>
      </c>
      <c r="CJ102" s="381">
        <f t="shared" si="135"/>
        <v>0</v>
      </c>
      <c r="CK102" s="330"/>
      <c r="CL102" s="330"/>
      <c r="CM102" s="330"/>
      <c r="CN102" s="330"/>
      <c r="CO102" s="330"/>
      <c r="CP102" s="330"/>
      <c r="CQ102" s="330"/>
      <c r="CR102" s="330"/>
      <c r="CS102" s="330"/>
      <c r="CT102" s="330"/>
      <c r="CU102" s="330"/>
      <c r="CV102" s="330"/>
      <c r="CW102" s="330"/>
      <c r="CX102" s="330"/>
      <c r="CY102" s="330"/>
      <c r="CZ102" s="330"/>
      <c r="DA102" s="330"/>
      <c r="DB102" s="330"/>
      <c r="DC102" s="330"/>
      <c r="DD102" s="330"/>
      <c r="DE102" s="328"/>
      <c r="DF102" s="328"/>
      <c r="DG102" s="328"/>
      <c r="DH102" s="328"/>
      <c r="DI102" s="328"/>
      <c r="DJ102" s="328"/>
      <c r="DK102" s="328"/>
      <c r="DL102" s="328"/>
      <c r="DM102" s="328"/>
      <c r="DN102" s="328"/>
      <c r="DO102" s="328"/>
      <c r="DP102" s="328"/>
      <c r="DQ102" s="328"/>
      <c r="DR102" s="328"/>
      <c r="DS102" s="328"/>
      <c r="DT102" s="328"/>
      <c r="DU102" s="328"/>
      <c r="DV102" s="328"/>
      <c r="DW102" s="328"/>
      <c r="DX102" s="328"/>
      <c r="DY102" s="328"/>
      <c r="DZ102" s="328"/>
      <c r="EA102" s="328"/>
      <c r="EB102" s="328"/>
      <c r="EC102" s="328"/>
      <c r="ED102" s="328"/>
      <c r="EE102" s="328"/>
      <c r="EF102" s="328"/>
      <c r="EG102" s="326">
        <v>2</v>
      </c>
      <c r="EH102" s="206" t="s">
        <v>84</v>
      </c>
      <c r="EI102" s="330">
        <f>SUM(EI85:EI88)</f>
        <v>0</v>
      </c>
      <c r="EJ102" s="330">
        <f>SUM(EJ85:EJ88)</f>
        <v>0</v>
      </c>
      <c r="EK102" s="330">
        <f t="shared" ref="EK102:FB102" si="136">SUM(EK85:EK88)</f>
        <v>0</v>
      </c>
      <c r="EL102" s="330">
        <f t="shared" si="136"/>
        <v>0</v>
      </c>
      <c r="EM102" s="330">
        <f t="shared" si="136"/>
        <v>0</v>
      </c>
      <c r="EN102" s="330">
        <f t="shared" si="136"/>
        <v>0</v>
      </c>
      <c r="EO102" s="330">
        <f t="shared" si="136"/>
        <v>0</v>
      </c>
      <c r="EP102" s="330">
        <f t="shared" si="136"/>
        <v>0</v>
      </c>
      <c r="EQ102" s="330">
        <f t="shared" si="136"/>
        <v>0</v>
      </c>
      <c r="ER102" s="330">
        <f t="shared" si="136"/>
        <v>0</v>
      </c>
      <c r="ES102" s="330">
        <f t="shared" si="136"/>
        <v>0</v>
      </c>
      <c r="ET102" s="330">
        <f t="shared" si="136"/>
        <v>0</v>
      </c>
      <c r="EU102" s="330">
        <f t="shared" si="136"/>
        <v>0</v>
      </c>
      <c r="EV102" s="330">
        <f t="shared" si="136"/>
        <v>0</v>
      </c>
      <c r="EW102" s="330">
        <f t="shared" si="136"/>
        <v>0</v>
      </c>
      <c r="EX102" s="330">
        <f t="shared" si="136"/>
        <v>0</v>
      </c>
      <c r="EY102" s="330">
        <f t="shared" si="136"/>
        <v>0</v>
      </c>
      <c r="EZ102" s="330">
        <f t="shared" si="136"/>
        <v>0</v>
      </c>
      <c r="FA102" s="330">
        <f t="shared" si="136"/>
        <v>0</v>
      </c>
      <c r="FB102" s="330">
        <f t="shared" si="136"/>
        <v>0</v>
      </c>
      <c r="FC102" s="330"/>
      <c r="FD102" s="330"/>
      <c r="FE102" s="330"/>
      <c r="FF102" s="330"/>
      <c r="FG102" s="330"/>
      <c r="FH102" s="330"/>
      <c r="FI102" s="330"/>
      <c r="FJ102" s="330"/>
      <c r="FK102" s="330"/>
      <c r="FL102" s="330"/>
      <c r="FM102" s="330"/>
      <c r="FN102" s="330"/>
      <c r="FO102" s="330"/>
      <c r="FP102" s="330"/>
      <c r="FQ102" s="330"/>
      <c r="FR102" s="330"/>
      <c r="FS102" s="330"/>
      <c r="FT102" s="330"/>
      <c r="FU102" s="330"/>
      <c r="FV102" s="330"/>
      <c r="FW102" s="330"/>
      <c r="FX102" s="206"/>
      <c r="FY102" s="206"/>
      <c r="FZ102" s="206"/>
      <c r="GA102" s="206"/>
      <c r="GB102" s="206"/>
      <c r="GC102" s="206"/>
      <c r="GD102" s="206"/>
      <c r="GE102" s="206"/>
      <c r="GF102" s="206"/>
      <c r="GG102" s="327"/>
      <c r="GH102" s="206"/>
      <c r="GI102" s="206"/>
      <c r="GJ102" s="206"/>
      <c r="GK102" s="206"/>
      <c r="GL102" s="206"/>
      <c r="GM102" s="206"/>
      <c r="GN102" s="206"/>
      <c r="GO102" s="206"/>
      <c r="GP102" s="206"/>
      <c r="GQ102" s="206"/>
      <c r="GR102" s="206"/>
      <c r="GS102" s="206"/>
    </row>
    <row r="103" spans="1:201" ht="15" customHeight="1" thickBot="1">
      <c r="A103" s="630" t="s">
        <v>94</v>
      </c>
      <c r="B103" s="631"/>
      <c r="C103" s="388">
        <f>C101-C102</f>
        <v>0</v>
      </c>
      <c r="D103" s="388">
        <f t="shared" ref="D103:V103" si="137">D101-D102</f>
        <v>0</v>
      </c>
      <c r="E103" s="388">
        <f t="shared" si="137"/>
        <v>0</v>
      </c>
      <c r="F103" s="388">
        <f t="shared" si="137"/>
        <v>0</v>
      </c>
      <c r="G103" s="388">
        <f t="shared" si="137"/>
        <v>0</v>
      </c>
      <c r="H103" s="388">
        <f t="shared" si="137"/>
        <v>0</v>
      </c>
      <c r="I103" s="388">
        <f t="shared" si="137"/>
        <v>0</v>
      </c>
      <c r="J103" s="388">
        <f t="shared" si="137"/>
        <v>0</v>
      </c>
      <c r="K103" s="388">
        <f t="shared" si="137"/>
        <v>0</v>
      </c>
      <c r="L103" s="388">
        <f t="shared" si="137"/>
        <v>0</v>
      </c>
      <c r="M103" s="388">
        <f t="shared" si="137"/>
        <v>0</v>
      </c>
      <c r="N103" s="388">
        <f t="shared" si="137"/>
        <v>0</v>
      </c>
      <c r="O103" s="388">
        <f t="shared" si="137"/>
        <v>0</v>
      </c>
      <c r="P103" s="388">
        <f t="shared" si="137"/>
        <v>0</v>
      </c>
      <c r="Q103" s="388">
        <f t="shared" si="137"/>
        <v>0</v>
      </c>
      <c r="R103" s="388">
        <f t="shared" si="137"/>
        <v>0</v>
      </c>
      <c r="S103" s="388">
        <f t="shared" si="137"/>
        <v>0</v>
      </c>
      <c r="T103" s="388">
        <f t="shared" si="137"/>
        <v>0</v>
      </c>
      <c r="U103" s="388">
        <f t="shared" si="137"/>
        <v>0</v>
      </c>
      <c r="V103" s="389">
        <f t="shared" si="137"/>
        <v>0</v>
      </c>
      <c r="W103" s="323"/>
      <c r="X103" s="323"/>
      <c r="Y103" s="323"/>
      <c r="Z103" s="323"/>
      <c r="AA103" s="323"/>
      <c r="AB103" s="323"/>
      <c r="AC103" s="323"/>
      <c r="AD103" s="323"/>
      <c r="AE103" s="323"/>
      <c r="AF103" s="323"/>
      <c r="AG103" s="323"/>
      <c r="AH103" s="323"/>
      <c r="AI103" s="323"/>
      <c r="AJ103" s="323"/>
      <c r="AK103" s="323"/>
      <c r="AL103" s="323"/>
      <c r="AM103" s="323"/>
      <c r="AN103" s="323"/>
      <c r="AO103" s="323"/>
      <c r="AP103" s="323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206"/>
      <c r="BA103" s="206"/>
      <c r="BB103" s="206"/>
      <c r="BC103" s="206"/>
      <c r="BD103" s="206"/>
      <c r="BE103" s="206"/>
      <c r="BF103" s="206"/>
      <c r="BG103" s="206"/>
      <c r="BH103" s="206"/>
      <c r="BI103" s="206"/>
      <c r="BJ103" s="206"/>
      <c r="BK103" s="206"/>
      <c r="BL103" s="206"/>
      <c r="BM103" s="206"/>
      <c r="BN103" s="206"/>
      <c r="BO103" s="326"/>
      <c r="BP103" s="206"/>
      <c r="BQ103" s="206"/>
      <c r="BR103" s="206"/>
      <c r="BS103" s="206"/>
      <c r="BT103" s="206"/>
      <c r="BU103" s="206"/>
      <c r="BV103" s="206"/>
      <c r="BW103" s="206"/>
      <c r="BX103" s="206"/>
      <c r="BY103" s="206"/>
      <c r="BZ103" s="206"/>
      <c r="CA103" s="206"/>
      <c r="CB103" s="206"/>
      <c r="CC103" s="206"/>
      <c r="CD103" s="206"/>
      <c r="CE103" s="206"/>
      <c r="CF103" s="206"/>
      <c r="CG103" s="206"/>
      <c r="CH103" s="206"/>
      <c r="CI103" s="206"/>
      <c r="CJ103" s="327"/>
      <c r="CK103" s="206"/>
      <c r="CL103" s="206"/>
      <c r="CM103" s="206"/>
      <c r="CN103" s="206"/>
      <c r="CO103" s="206"/>
      <c r="CP103" s="206"/>
      <c r="CQ103" s="206"/>
      <c r="CR103" s="206"/>
      <c r="CS103" s="206"/>
      <c r="CT103" s="206"/>
      <c r="CU103" s="206"/>
      <c r="CV103" s="206"/>
      <c r="CW103" s="206"/>
      <c r="CX103" s="206"/>
      <c r="CY103" s="206"/>
      <c r="CZ103" s="206"/>
      <c r="DA103" s="206"/>
      <c r="DB103" s="206"/>
      <c r="DC103" s="206"/>
      <c r="DD103" s="206"/>
      <c r="DE103" s="328"/>
      <c r="DF103" s="328"/>
      <c r="DG103" s="328"/>
      <c r="DH103" s="328"/>
      <c r="DI103" s="328"/>
      <c r="DJ103" s="328"/>
      <c r="DK103" s="328"/>
      <c r="DL103" s="328"/>
      <c r="DM103" s="328"/>
      <c r="DN103" s="328"/>
      <c r="DO103" s="328"/>
      <c r="DP103" s="328"/>
      <c r="DQ103" s="328"/>
      <c r="DR103" s="328"/>
      <c r="DS103" s="328"/>
      <c r="DT103" s="328"/>
      <c r="DU103" s="328"/>
      <c r="DV103" s="328"/>
      <c r="DW103" s="328"/>
      <c r="DX103" s="328"/>
      <c r="DY103" s="328"/>
      <c r="DZ103" s="328"/>
      <c r="EA103" s="328"/>
      <c r="EB103" s="328"/>
      <c r="EC103" s="328"/>
      <c r="ED103" s="328"/>
      <c r="EE103" s="328"/>
      <c r="EF103" s="328"/>
      <c r="EG103" s="326">
        <v>3</v>
      </c>
      <c r="EH103" s="206" t="s">
        <v>84</v>
      </c>
      <c r="EI103" s="330">
        <f>SUM(EI89:EI92)</f>
        <v>0</v>
      </c>
      <c r="EJ103" s="330">
        <f t="shared" ref="EJ103:EP103" si="138">SUM(EJ89:EJ93)</f>
        <v>0</v>
      </c>
      <c r="EK103" s="330">
        <f t="shared" si="138"/>
        <v>0</v>
      </c>
      <c r="EL103" s="330">
        <f t="shared" si="138"/>
        <v>0</v>
      </c>
      <c r="EM103" s="330">
        <f t="shared" si="138"/>
        <v>0</v>
      </c>
      <c r="EN103" s="330">
        <f t="shared" si="138"/>
        <v>0</v>
      </c>
      <c r="EO103" s="330">
        <f t="shared" si="138"/>
        <v>0</v>
      </c>
      <c r="EP103" s="330">
        <f t="shared" si="138"/>
        <v>0</v>
      </c>
      <c r="EQ103" s="330">
        <f>SUM(EQ89:EQ92)</f>
        <v>0</v>
      </c>
      <c r="ER103" s="330">
        <f>SUM(ER89:ER92)</f>
        <v>0</v>
      </c>
      <c r="ES103" s="330">
        <f t="shared" ref="ES103:FB103" si="139">SUM(ES89:ES92)</f>
        <v>0</v>
      </c>
      <c r="ET103" s="330">
        <f t="shared" si="139"/>
        <v>0</v>
      </c>
      <c r="EU103" s="330">
        <f t="shared" si="139"/>
        <v>0</v>
      </c>
      <c r="EV103" s="330">
        <f t="shared" si="139"/>
        <v>0</v>
      </c>
      <c r="EW103" s="330">
        <f t="shared" si="139"/>
        <v>0</v>
      </c>
      <c r="EX103" s="330">
        <f t="shared" si="139"/>
        <v>0</v>
      </c>
      <c r="EY103" s="330">
        <f t="shared" si="139"/>
        <v>0</v>
      </c>
      <c r="EZ103" s="330">
        <f t="shared" si="139"/>
        <v>0</v>
      </c>
      <c r="FA103" s="330">
        <f t="shared" si="139"/>
        <v>0</v>
      </c>
      <c r="FB103" s="330">
        <f t="shared" si="139"/>
        <v>0</v>
      </c>
      <c r="FC103" s="330"/>
      <c r="FD103" s="330"/>
      <c r="FE103" s="330"/>
      <c r="FF103" s="330"/>
      <c r="FG103" s="330"/>
      <c r="FH103" s="330"/>
      <c r="FI103" s="330"/>
      <c r="FJ103" s="330"/>
      <c r="FK103" s="330"/>
      <c r="FL103" s="330"/>
      <c r="FM103" s="330"/>
      <c r="FN103" s="330"/>
      <c r="FO103" s="330"/>
      <c r="FP103" s="330"/>
      <c r="FQ103" s="330"/>
      <c r="FR103" s="330"/>
      <c r="FS103" s="330"/>
      <c r="FT103" s="330"/>
      <c r="FU103" s="330"/>
      <c r="FV103" s="330"/>
      <c r="FW103" s="330"/>
      <c r="FX103" s="206"/>
      <c r="FY103" s="206"/>
      <c r="FZ103" s="206"/>
      <c r="GA103" s="206"/>
      <c r="GB103" s="206"/>
      <c r="GC103" s="206"/>
      <c r="GD103" s="206"/>
      <c r="GE103" s="206"/>
      <c r="GF103" s="206"/>
      <c r="GG103" s="327"/>
      <c r="GH103" s="206"/>
      <c r="GI103" s="206"/>
      <c r="GJ103" s="206"/>
      <c r="GK103" s="206"/>
      <c r="GL103" s="206"/>
      <c r="GM103" s="206"/>
      <c r="GN103" s="206"/>
      <c r="GO103" s="206"/>
      <c r="GP103" s="206"/>
      <c r="GQ103" s="206"/>
      <c r="GR103" s="206"/>
      <c r="GS103" s="206"/>
    </row>
    <row r="104" spans="1:201" ht="15" customHeight="1">
      <c r="A104" s="322"/>
      <c r="B104" s="322"/>
      <c r="C104" s="323"/>
      <c r="D104" s="323"/>
      <c r="E104" s="323"/>
      <c r="F104" s="323"/>
      <c r="G104" s="323"/>
      <c r="H104" s="323"/>
      <c r="I104" s="323"/>
      <c r="J104" s="323"/>
      <c r="K104" s="323"/>
      <c r="L104" s="323"/>
      <c r="M104" s="323"/>
      <c r="N104" s="323"/>
      <c r="O104" s="323"/>
      <c r="P104" s="323"/>
      <c r="Q104" s="323"/>
      <c r="R104" s="323"/>
      <c r="S104" s="323"/>
      <c r="T104" s="323"/>
      <c r="U104" s="323"/>
      <c r="V104" s="323"/>
      <c r="W104" s="323"/>
      <c r="X104" s="323"/>
      <c r="Y104" s="323"/>
      <c r="Z104" s="323"/>
      <c r="AA104" s="323"/>
      <c r="AB104" s="323"/>
      <c r="AC104" s="323"/>
      <c r="AD104" s="323"/>
      <c r="AE104" s="323"/>
      <c r="AF104" s="323"/>
      <c r="AG104" s="323"/>
      <c r="AH104" s="323"/>
      <c r="AI104" s="323"/>
      <c r="AJ104" s="323"/>
      <c r="AK104" s="323"/>
      <c r="AL104" s="323"/>
      <c r="AM104" s="323"/>
      <c r="AN104" s="323"/>
      <c r="AO104" s="323"/>
      <c r="AP104" s="323"/>
      <c r="AQ104" s="206"/>
      <c r="AR104" s="206"/>
      <c r="AS104" s="206"/>
      <c r="AT104" s="206"/>
      <c r="AU104" s="206"/>
      <c r="AV104" s="206"/>
      <c r="AW104" s="206"/>
      <c r="AX104" s="206"/>
      <c r="AY104" s="206"/>
      <c r="AZ104" s="206"/>
      <c r="BA104" s="206"/>
      <c r="BB104" s="206"/>
      <c r="BC104" s="206"/>
      <c r="BD104" s="206"/>
      <c r="BE104" s="206"/>
      <c r="BF104" s="206"/>
      <c r="BG104" s="206"/>
      <c r="BH104" s="206"/>
      <c r="BI104" s="206"/>
      <c r="BJ104" s="206"/>
      <c r="BK104" s="206"/>
      <c r="BL104" s="206"/>
      <c r="BM104" s="206"/>
      <c r="BN104" s="206"/>
      <c r="BO104" s="326"/>
      <c r="BP104" s="206"/>
      <c r="BQ104" s="206"/>
      <c r="BR104" s="206"/>
      <c r="BS104" s="206"/>
      <c r="BT104" s="206"/>
      <c r="BU104" s="206"/>
      <c r="BV104" s="206"/>
      <c r="BW104" s="206"/>
      <c r="BX104" s="206"/>
      <c r="BY104" s="206"/>
      <c r="BZ104" s="206"/>
      <c r="CA104" s="206"/>
      <c r="CB104" s="206"/>
      <c r="CC104" s="206"/>
      <c r="CD104" s="206"/>
      <c r="CE104" s="206"/>
      <c r="CF104" s="206"/>
      <c r="CG104" s="206"/>
      <c r="CH104" s="206"/>
      <c r="CI104" s="206"/>
      <c r="CJ104" s="327"/>
      <c r="CK104" s="206"/>
      <c r="CL104" s="206"/>
      <c r="CM104" s="206"/>
      <c r="CN104" s="206"/>
      <c r="CO104" s="206"/>
      <c r="CP104" s="206"/>
      <c r="CQ104" s="206"/>
      <c r="CR104" s="206"/>
      <c r="CS104" s="206"/>
      <c r="CT104" s="206"/>
      <c r="CU104" s="206"/>
      <c r="CV104" s="206"/>
      <c r="CW104" s="206"/>
      <c r="CX104" s="206"/>
      <c r="CY104" s="206"/>
      <c r="CZ104" s="206"/>
      <c r="DA104" s="206"/>
      <c r="DB104" s="206"/>
      <c r="DC104" s="206"/>
      <c r="DD104" s="206"/>
      <c r="DE104" s="328"/>
      <c r="DF104" s="328"/>
      <c r="DG104" s="328"/>
      <c r="DH104" s="328"/>
      <c r="DI104" s="328"/>
      <c r="DJ104" s="328"/>
      <c r="DK104" s="328"/>
      <c r="DL104" s="328"/>
      <c r="DM104" s="328"/>
      <c r="DN104" s="328"/>
      <c r="DO104" s="328"/>
      <c r="DP104" s="328"/>
      <c r="DQ104" s="328"/>
      <c r="DR104" s="328"/>
      <c r="DS104" s="328"/>
      <c r="DT104" s="328"/>
      <c r="DU104" s="328"/>
      <c r="DV104" s="328"/>
      <c r="DW104" s="328"/>
      <c r="DX104" s="328"/>
      <c r="DY104" s="328"/>
      <c r="DZ104" s="328"/>
      <c r="EA104" s="328"/>
      <c r="EB104" s="328"/>
      <c r="EC104" s="328"/>
      <c r="ED104" s="328"/>
      <c r="EE104" s="328"/>
      <c r="EF104" s="328"/>
      <c r="EG104" s="326">
        <v>4</v>
      </c>
      <c r="EH104" s="206" t="s">
        <v>84</v>
      </c>
      <c r="EI104" s="330">
        <f>SUM(EI93:EI96)</f>
        <v>0</v>
      </c>
      <c r="EJ104" s="330">
        <f t="shared" ref="EJ104:FB104" si="140">SUM(EJ93:EJ96)</f>
        <v>0</v>
      </c>
      <c r="EK104" s="330">
        <f t="shared" si="140"/>
        <v>0</v>
      </c>
      <c r="EL104" s="330">
        <f t="shared" si="140"/>
        <v>0</v>
      </c>
      <c r="EM104" s="330">
        <f t="shared" si="140"/>
        <v>0</v>
      </c>
      <c r="EN104" s="330">
        <f t="shared" si="140"/>
        <v>0</v>
      </c>
      <c r="EO104" s="330">
        <f t="shared" si="140"/>
        <v>0</v>
      </c>
      <c r="EP104" s="330">
        <f t="shared" si="140"/>
        <v>0</v>
      </c>
      <c r="EQ104" s="330">
        <f t="shared" si="140"/>
        <v>0</v>
      </c>
      <c r="ER104" s="330">
        <f t="shared" si="140"/>
        <v>0</v>
      </c>
      <c r="ES104" s="330">
        <f t="shared" si="140"/>
        <v>0</v>
      </c>
      <c r="ET104" s="330">
        <f t="shared" si="140"/>
        <v>0</v>
      </c>
      <c r="EU104" s="330">
        <f t="shared" si="140"/>
        <v>0</v>
      </c>
      <c r="EV104" s="330">
        <f t="shared" si="140"/>
        <v>0</v>
      </c>
      <c r="EW104" s="330">
        <f t="shared" si="140"/>
        <v>0</v>
      </c>
      <c r="EX104" s="330">
        <f t="shared" si="140"/>
        <v>0</v>
      </c>
      <c r="EY104" s="330">
        <f t="shared" si="140"/>
        <v>0</v>
      </c>
      <c r="EZ104" s="330">
        <f t="shared" si="140"/>
        <v>0</v>
      </c>
      <c r="FA104" s="330">
        <f t="shared" si="140"/>
        <v>0</v>
      </c>
      <c r="FB104" s="330">
        <f t="shared" si="140"/>
        <v>0</v>
      </c>
      <c r="FC104" s="330"/>
      <c r="FD104" s="330"/>
      <c r="FE104" s="330"/>
      <c r="FF104" s="330"/>
      <c r="FG104" s="330"/>
      <c r="FH104" s="330"/>
      <c r="FI104" s="330"/>
      <c r="FJ104" s="330"/>
      <c r="FK104" s="330"/>
      <c r="FL104" s="330"/>
      <c r="FM104" s="330"/>
      <c r="FN104" s="330"/>
      <c r="FO104" s="330"/>
      <c r="FP104" s="330"/>
      <c r="FQ104" s="330"/>
      <c r="FR104" s="330"/>
      <c r="FS104" s="330"/>
      <c r="FT104" s="330"/>
      <c r="FU104" s="330"/>
      <c r="FV104" s="330"/>
      <c r="FW104" s="330"/>
      <c r="FX104" s="206"/>
      <c r="FY104" s="206"/>
      <c r="FZ104" s="206"/>
      <c r="GA104" s="206"/>
      <c r="GB104" s="206"/>
      <c r="GC104" s="206"/>
      <c r="GD104" s="206"/>
      <c r="GE104" s="206"/>
      <c r="GF104" s="206"/>
      <c r="GG104" s="327"/>
      <c r="GH104" s="206"/>
      <c r="GI104" s="206"/>
      <c r="GJ104" s="206"/>
      <c r="GK104" s="206"/>
      <c r="GL104" s="206"/>
      <c r="GM104" s="206"/>
      <c r="GN104" s="206"/>
      <c r="GO104" s="206"/>
      <c r="GP104" s="206"/>
      <c r="GQ104" s="206"/>
      <c r="GR104" s="206"/>
      <c r="GS104" s="206"/>
    </row>
    <row r="105" spans="1:201" ht="15" customHeight="1">
      <c r="A105" s="322"/>
      <c r="B105" s="322"/>
      <c r="C105" s="323"/>
      <c r="D105" s="323"/>
      <c r="E105" s="323"/>
      <c r="F105" s="323"/>
      <c r="G105" s="323"/>
      <c r="H105" s="323"/>
      <c r="I105" s="323"/>
      <c r="J105" s="323"/>
      <c r="K105" s="323"/>
      <c r="L105" s="323"/>
      <c r="M105" s="323"/>
      <c r="N105" s="323"/>
      <c r="O105" s="323"/>
      <c r="P105" s="323"/>
      <c r="Q105" s="323"/>
      <c r="R105" s="323"/>
      <c r="S105" s="323"/>
      <c r="T105" s="323"/>
      <c r="U105" s="323"/>
      <c r="V105" s="323"/>
      <c r="W105" s="323"/>
      <c r="X105" s="323"/>
      <c r="Y105" s="323"/>
      <c r="Z105" s="323"/>
      <c r="AA105" s="323"/>
      <c r="AB105" s="323"/>
      <c r="AC105" s="323"/>
      <c r="AD105" s="323"/>
      <c r="AE105" s="323"/>
      <c r="AF105" s="323"/>
      <c r="AG105" s="323"/>
      <c r="AH105" s="323"/>
      <c r="AI105" s="323"/>
      <c r="AJ105" s="323"/>
      <c r="AK105" s="323"/>
      <c r="AL105" s="323"/>
      <c r="AM105" s="323"/>
      <c r="AN105" s="323"/>
      <c r="AO105" s="323"/>
      <c r="AP105" s="323"/>
      <c r="AQ105" s="206"/>
      <c r="AR105" s="206"/>
      <c r="AS105" s="206"/>
      <c r="AT105" s="206"/>
      <c r="AU105" s="206"/>
      <c r="AV105" s="206"/>
      <c r="AW105" s="206"/>
      <c r="AX105" s="206"/>
      <c r="AY105" s="206"/>
      <c r="AZ105" s="206"/>
      <c r="BA105" s="206"/>
      <c r="BB105" s="206"/>
      <c r="BC105" s="206"/>
      <c r="BD105" s="206"/>
      <c r="BE105" s="206"/>
      <c r="BF105" s="206"/>
      <c r="BG105" s="206"/>
      <c r="BH105" s="206"/>
      <c r="BI105" s="206"/>
      <c r="BJ105" s="206"/>
      <c r="BK105" s="206"/>
      <c r="BL105" s="206"/>
      <c r="BM105" s="206"/>
      <c r="BN105" s="206"/>
      <c r="BO105" s="326"/>
      <c r="BP105" s="206"/>
      <c r="BQ105" s="206"/>
      <c r="BR105" s="206"/>
      <c r="BS105" s="206"/>
      <c r="BT105" s="206"/>
      <c r="BU105" s="206"/>
      <c r="BV105" s="206"/>
      <c r="BW105" s="206"/>
      <c r="BX105" s="206"/>
      <c r="BY105" s="206"/>
      <c r="BZ105" s="206"/>
      <c r="CA105" s="206"/>
      <c r="CB105" s="206"/>
      <c r="CC105" s="206"/>
      <c r="CD105" s="206"/>
      <c r="CE105" s="206"/>
      <c r="CF105" s="206"/>
      <c r="CG105" s="206"/>
      <c r="CH105" s="206"/>
      <c r="CI105" s="206"/>
      <c r="CJ105" s="327"/>
      <c r="CK105" s="206"/>
      <c r="CL105" s="206"/>
      <c r="CM105" s="206"/>
      <c r="CN105" s="206"/>
      <c r="CO105" s="206"/>
      <c r="CP105" s="206"/>
      <c r="CQ105" s="206"/>
      <c r="CR105" s="206"/>
      <c r="CS105" s="206"/>
      <c r="CT105" s="206"/>
      <c r="CU105" s="206"/>
      <c r="CV105" s="206"/>
      <c r="CW105" s="206"/>
      <c r="CX105" s="206"/>
      <c r="CY105" s="206"/>
      <c r="CZ105" s="206"/>
      <c r="DA105" s="206"/>
      <c r="DB105" s="206"/>
      <c r="DC105" s="206"/>
      <c r="DD105" s="206"/>
      <c r="DE105" s="328"/>
      <c r="DF105" s="328"/>
      <c r="DG105" s="328"/>
      <c r="DH105" s="328"/>
      <c r="DI105" s="328"/>
      <c r="DJ105" s="328"/>
      <c r="DK105" s="328"/>
      <c r="DL105" s="328"/>
      <c r="DM105" s="328"/>
      <c r="DN105" s="328"/>
      <c r="DO105" s="328"/>
      <c r="DP105" s="328"/>
      <c r="DQ105" s="328"/>
      <c r="DR105" s="328"/>
      <c r="DS105" s="328"/>
      <c r="DT105" s="328"/>
      <c r="DU105" s="328"/>
      <c r="DV105" s="328"/>
      <c r="DW105" s="328"/>
      <c r="DX105" s="328"/>
      <c r="DY105" s="328"/>
      <c r="DZ105" s="328"/>
      <c r="EA105" s="328"/>
      <c r="EB105" s="328"/>
      <c r="EC105" s="328"/>
      <c r="ED105" s="328"/>
      <c r="EE105" s="328"/>
      <c r="EF105" s="328"/>
      <c r="EG105" s="629" t="s">
        <v>91</v>
      </c>
      <c r="EH105" s="629"/>
      <c r="EI105" s="629"/>
      <c r="EJ105" s="629"/>
      <c r="EK105" s="629"/>
      <c r="EL105" s="629"/>
      <c r="EM105" s="629"/>
      <c r="EN105" s="629"/>
      <c r="EO105" s="629"/>
      <c r="EP105" s="629"/>
      <c r="EQ105" s="629"/>
      <c r="ER105" s="629"/>
      <c r="ES105" s="629"/>
      <c r="ET105" s="629"/>
      <c r="EU105" s="629"/>
      <c r="EV105" s="629"/>
      <c r="EW105" s="629"/>
      <c r="EX105" s="629"/>
      <c r="EY105" s="629"/>
      <c r="EZ105" s="629"/>
      <c r="FA105" s="629"/>
      <c r="FB105" s="629"/>
      <c r="FC105" s="322"/>
      <c r="FD105" s="322"/>
      <c r="FE105" s="322"/>
      <c r="FF105" s="322"/>
      <c r="FG105" s="322"/>
      <c r="FH105" s="322"/>
      <c r="FI105" s="322"/>
      <c r="FJ105" s="322"/>
      <c r="FK105" s="322"/>
      <c r="FL105" s="322"/>
      <c r="FM105" s="322"/>
      <c r="FN105" s="322"/>
      <c r="FO105" s="322"/>
      <c r="FP105" s="322"/>
      <c r="FQ105" s="322"/>
      <c r="FR105" s="322"/>
      <c r="FS105" s="322"/>
      <c r="FT105" s="322"/>
      <c r="FU105" s="322"/>
      <c r="FV105" s="322"/>
      <c r="FW105" s="322"/>
      <c r="FX105" s="206"/>
      <c r="FY105" s="206" t="s">
        <v>109</v>
      </c>
      <c r="FZ105" s="206"/>
      <c r="GA105" s="206"/>
      <c r="GB105" s="206"/>
      <c r="GC105" s="206"/>
      <c r="GD105" s="206"/>
      <c r="GE105" s="206"/>
      <c r="GF105" s="206"/>
      <c r="GG105" s="327"/>
      <c r="GH105" s="206"/>
      <c r="GI105" s="206"/>
      <c r="GJ105" s="206"/>
      <c r="GK105" s="206"/>
      <c r="GL105" s="206"/>
      <c r="GM105" s="206"/>
      <c r="GN105" s="206"/>
      <c r="GO105" s="206"/>
      <c r="GP105" s="206"/>
      <c r="GQ105" s="206"/>
      <c r="GR105" s="206"/>
      <c r="GS105" s="206"/>
    </row>
    <row r="106" spans="1:201" ht="15" customHeight="1">
      <c r="A106" s="322"/>
      <c r="B106" s="322"/>
      <c r="C106" s="323"/>
      <c r="D106" s="323"/>
      <c r="E106" s="323"/>
      <c r="F106" s="323"/>
      <c r="G106" s="323"/>
      <c r="H106" s="323"/>
      <c r="I106" s="323"/>
      <c r="J106" s="323"/>
      <c r="K106" s="323"/>
      <c r="L106" s="323"/>
      <c r="M106" s="323"/>
      <c r="N106" s="323"/>
      <c r="O106" s="323"/>
      <c r="P106" s="323"/>
      <c r="Q106" s="323"/>
      <c r="R106" s="323"/>
      <c r="S106" s="323"/>
      <c r="T106" s="323"/>
      <c r="U106" s="323"/>
      <c r="V106" s="323"/>
      <c r="W106" s="323"/>
      <c r="X106" s="323"/>
      <c r="Y106" s="323"/>
      <c r="Z106" s="323"/>
      <c r="AA106" s="323"/>
      <c r="AB106" s="323"/>
      <c r="AC106" s="323"/>
      <c r="AD106" s="323"/>
      <c r="AE106" s="323"/>
      <c r="AF106" s="323"/>
      <c r="AG106" s="323"/>
      <c r="AH106" s="323"/>
      <c r="AI106" s="323"/>
      <c r="AJ106" s="323"/>
      <c r="AK106" s="323"/>
      <c r="AL106" s="323"/>
      <c r="AM106" s="323"/>
      <c r="AN106" s="323"/>
      <c r="AO106" s="323"/>
      <c r="AP106" s="323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206"/>
      <c r="BN106" s="206"/>
      <c r="BO106" s="326"/>
      <c r="BP106" s="206"/>
      <c r="BQ106" s="206"/>
      <c r="BR106" s="206"/>
      <c r="BS106" s="206"/>
      <c r="BT106" s="206"/>
      <c r="BU106" s="206"/>
      <c r="BV106" s="206"/>
      <c r="BW106" s="206"/>
      <c r="BX106" s="206"/>
      <c r="BY106" s="206"/>
      <c r="BZ106" s="206"/>
      <c r="CA106" s="206"/>
      <c r="CB106" s="206"/>
      <c r="CC106" s="206"/>
      <c r="CD106" s="206"/>
      <c r="CE106" s="206"/>
      <c r="CF106" s="206"/>
      <c r="CG106" s="206"/>
      <c r="CH106" s="206"/>
      <c r="CI106" s="206"/>
      <c r="CJ106" s="327"/>
      <c r="CK106" s="206"/>
      <c r="CL106" s="206"/>
      <c r="CM106" s="206"/>
      <c r="CN106" s="206"/>
      <c r="CO106" s="206"/>
      <c r="CP106" s="206"/>
      <c r="CQ106" s="206"/>
      <c r="CR106" s="206"/>
      <c r="CS106" s="206"/>
      <c r="CT106" s="206"/>
      <c r="CU106" s="206"/>
      <c r="CV106" s="206"/>
      <c r="CW106" s="206"/>
      <c r="CX106" s="206"/>
      <c r="CY106" s="206"/>
      <c r="CZ106" s="206"/>
      <c r="DA106" s="206"/>
      <c r="DB106" s="206"/>
      <c r="DC106" s="206"/>
      <c r="DD106" s="206"/>
      <c r="DE106" s="328"/>
      <c r="DF106" s="328"/>
      <c r="DG106" s="328"/>
      <c r="DH106" s="328"/>
      <c r="DI106" s="328"/>
      <c r="DJ106" s="328"/>
      <c r="DK106" s="328"/>
      <c r="DL106" s="328"/>
      <c r="DM106" s="328"/>
      <c r="DN106" s="328"/>
      <c r="DO106" s="328"/>
      <c r="DP106" s="328"/>
      <c r="DQ106" s="328"/>
      <c r="DR106" s="328"/>
      <c r="DS106" s="328"/>
      <c r="DT106" s="328"/>
      <c r="DU106" s="328"/>
      <c r="DV106" s="328"/>
      <c r="DW106" s="328"/>
      <c r="DX106" s="328"/>
      <c r="DY106" s="328"/>
      <c r="DZ106" s="328"/>
      <c r="EA106" s="328"/>
      <c r="EB106" s="328"/>
      <c r="EC106" s="328"/>
      <c r="ED106" s="328"/>
      <c r="EE106" s="328"/>
      <c r="EF106" s="328"/>
      <c r="EG106" s="326">
        <v>1</v>
      </c>
      <c r="EH106" s="206" t="s">
        <v>84</v>
      </c>
      <c r="EI106" s="330" cm="1">
        <f t="array" ref="EI106:FB109">EI101:FB104</f>
        <v>0</v>
      </c>
      <c r="EJ106" s="330">
        <v>0</v>
      </c>
      <c r="EK106" s="330">
        <v>0</v>
      </c>
      <c r="EL106" s="330">
        <v>0</v>
      </c>
      <c r="EM106" s="330">
        <v>0</v>
      </c>
      <c r="EN106" s="330">
        <v>0</v>
      </c>
      <c r="EO106" s="330">
        <v>0</v>
      </c>
      <c r="EP106" s="330">
        <v>0</v>
      </c>
      <c r="EQ106" s="330">
        <v>0</v>
      </c>
      <c r="ER106" s="330">
        <v>0</v>
      </c>
      <c r="ES106" s="330">
        <v>0</v>
      </c>
      <c r="ET106" s="330">
        <v>0</v>
      </c>
      <c r="EU106" s="330">
        <v>0</v>
      </c>
      <c r="EV106" s="330">
        <v>0</v>
      </c>
      <c r="EW106" s="330">
        <v>0</v>
      </c>
      <c r="EX106" s="330">
        <v>0</v>
      </c>
      <c r="EY106" s="330">
        <v>0</v>
      </c>
      <c r="EZ106" s="330">
        <v>0</v>
      </c>
      <c r="FA106" s="330">
        <v>0</v>
      </c>
      <c r="FB106" s="330">
        <v>0</v>
      </c>
      <c r="FC106" s="330"/>
      <c r="FD106" s="330"/>
      <c r="FE106" s="330"/>
      <c r="FF106" s="330"/>
      <c r="FG106" s="330"/>
      <c r="FH106" s="330"/>
      <c r="FI106" s="330"/>
      <c r="FJ106" s="330"/>
      <c r="FK106" s="330"/>
      <c r="FL106" s="330"/>
      <c r="FM106" s="330"/>
      <c r="FN106" s="330"/>
      <c r="FO106" s="330"/>
      <c r="FP106" s="330"/>
      <c r="FQ106" s="330"/>
      <c r="FR106" s="330"/>
      <c r="FS106" s="330"/>
      <c r="FT106" s="330"/>
      <c r="FU106" s="330"/>
      <c r="FV106" s="330"/>
      <c r="FW106" s="330"/>
      <c r="FX106" s="206"/>
      <c r="FY106" s="330">
        <f>SUM(EI101:FB101)</f>
        <v>0</v>
      </c>
      <c r="FZ106" s="206"/>
      <c r="GA106" s="206"/>
      <c r="GB106" s="206"/>
      <c r="GC106" s="206"/>
      <c r="GD106" s="206"/>
      <c r="GE106" s="206"/>
      <c r="GF106" s="206"/>
      <c r="GG106" s="327"/>
      <c r="GH106" s="206"/>
      <c r="GI106" s="206"/>
      <c r="GJ106" s="206"/>
      <c r="GK106" s="206"/>
      <c r="GL106" s="206"/>
      <c r="GM106" s="206"/>
      <c r="GN106" s="206"/>
      <c r="GO106" s="206"/>
      <c r="GP106" s="206"/>
      <c r="GQ106" s="206"/>
      <c r="GR106" s="206"/>
      <c r="GS106" s="206"/>
    </row>
    <row r="107" spans="1:201" ht="14.65" customHeight="1">
      <c r="A107" s="629"/>
      <c r="B107" s="629"/>
      <c r="C107" s="323"/>
      <c r="D107" s="323"/>
      <c r="E107" s="386"/>
      <c r="F107" s="386"/>
      <c r="G107" s="386"/>
      <c r="H107" s="386"/>
      <c r="I107" s="386"/>
      <c r="J107" s="386"/>
      <c r="K107" s="386"/>
      <c r="L107" s="386"/>
      <c r="M107" s="386"/>
      <c r="N107" s="386"/>
      <c r="O107" s="386"/>
      <c r="P107" s="386"/>
      <c r="Q107" s="386"/>
      <c r="R107" s="386"/>
      <c r="S107" s="386"/>
      <c r="T107" s="386"/>
      <c r="U107" s="386"/>
      <c r="V107" s="386"/>
      <c r="W107" s="386"/>
      <c r="X107" s="386"/>
      <c r="Y107" s="386"/>
      <c r="Z107" s="386"/>
      <c r="AA107" s="386"/>
      <c r="AB107" s="386"/>
      <c r="AC107" s="386"/>
      <c r="AD107" s="386"/>
      <c r="AE107" s="386"/>
      <c r="AF107" s="386"/>
      <c r="AG107" s="386"/>
      <c r="AH107" s="386"/>
      <c r="AI107" s="386"/>
      <c r="AJ107" s="386"/>
      <c r="AK107" s="386"/>
      <c r="AL107" s="386"/>
      <c r="AM107" s="386"/>
      <c r="AN107" s="386"/>
      <c r="AO107" s="386"/>
      <c r="AP107" s="386"/>
      <c r="AQ107" s="206"/>
      <c r="AR107" s="206"/>
      <c r="AS107" s="206"/>
      <c r="AT107" s="206"/>
      <c r="AU107" s="206"/>
      <c r="AV107" s="206"/>
      <c r="AW107" s="206"/>
      <c r="AX107" s="206"/>
      <c r="AY107" s="206"/>
      <c r="AZ107" s="206"/>
      <c r="BA107" s="206"/>
      <c r="BB107" s="206"/>
      <c r="BC107" s="206"/>
      <c r="BD107" s="206"/>
      <c r="BE107" s="206"/>
      <c r="BF107" s="206"/>
      <c r="BG107" s="206"/>
      <c r="BH107" s="206"/>
      <c r="BI107" s="206"/>
      <c r="BJ107" s="206"/>
      <c r="BK107" s="206"/>
      <c r="BL107" s="206"/>
      <c r="BM107" s="206"/>
      <c r="BN107" s="206"/>
      <c r="BO107" s="326"/>
      <c r="BP107" s="206"/>
      <c r="BQ107" s="206"/>
      <c r="BR107" s="206"/>
      <c r="BS107" s="206"/>
      <c r="BT107" s="206"/>
      <c r="BU107" s="206"/>
      <c r="BV107" s="206"/>
      <c r="BW107" s="206"/>
      <c r="BX107" s="206"/>
      <c r="BY107" s="206"/>
      <c r="BZ107" s="206"/>
      <c r="CA107" s="206"/>
      <c r="CB107" s="206"/>
      <c r="CC107" s="206"/>
      <c r="CD107" s="206"/>
      <c r="CE107" s="206"/>
      <c r="CF107" s="206"/>
      <c r="CG107" s="206"/>
      <c r="CH107" s="206"/>
      <c r="CI107" s="206"/>
      <c r="CJ107" s="327"/>
      <c r="CK107" s="206"/>
      <c r="CL107" s="206"/>
      <c r="CM107" s="206"/>
      <c r="CN107" s="206"/>
      <c r="CO107" s="206"/>
      <c r="CP107" s="206"/>
      <c r="CQ107" s="206"/>
      <c r="CR107" s="206"/>
      <c r="CS107" s="206"/>
      <c r="CT107" s="206"/>
      <c r="CU107" s="206"/>
      <c r="CV107" s="206"/>
      <c r="CW107" s="206"/>
      <c r="CX107" s="206"/>
      <c r="CY107" s="206"/>
      <c r="CZ107" s="206"/>
      <c r="DA107" s="206"/>
      <c r="DB107" s="206"/>
      <c r="DC107" s="206"/>
      <c r="DD107" s="206"/>
      <c r="DE107" s="328"/>
      <c r="DF107" s="328"/>
      <c r="DG107" s="328"/>
      <c r="DH107" s="328"/>
      <c r="DI107" s="328"/>
      <c r="DJ107" s="328"/>
      <c r="DK107" s="328"/>
      <c r="DL107" s="328"/>
      <c r="DM107" s="328"/>
      <c r="DN107" s="328"/>
      <c r="DO107" s="328"/>
      <c r="DP107" s="328"/>
      <c r="DQ107" s="328"/>
      <c r="DR107" s="328"/>
      <c r="DS107" s="328"/>
      <c r="DT107" s="328"/>
      <c r="DU107" s="328"/>
      <c r="DV107" s="328"/>
      <c r="DW107" s="328"/>
      <c r="DX107" s="328"/>
      <c r="DY107" s="328"/>
      <c r="DZ107" s="328"/>
      <c r="EA107" s="328"/>
      <c r="EB107" s="328"/>
      <c r="EC107" s="328"/>
      <c r="ED107" s="328"/>
      <c r="EE107" s="328"/>
      <c r="EF107" s="328"/>
      <c r="EG107" s="326">
        <v>2</v>
      </c>
      <c r="EH107" s="206" t="s">
        <v>84</v>
      </c>
      <c r="EI107" s="330">
        <v>0</v>
      </c>
      <c r="EJ107" s="330">
        <v>0</v>
      </c>
      <c r="EK107" s="330">
        <v>0</v>
      </c>
      <c r="EL107" s="330">
        <v>0</v>
      </c>
      <c r="EM107" s="330">
        <v>0</v>
      </c>
      <c r="EN107" s="330">
        <v>0</v>
      </c>
      <c r="EO107" s="330">
        <v>0</v>
      </c>
      <c r="EP107" s="330">
        <v>0</v>
      </c>
      <c r="EQ107" s="330">
        <v>0</v>
      </c>
      <c r="ER107" s="330">
        <v>0</v>
      </c>
      <c r="ES107" s="330">
        <v>0</v>
      </c>
      <c r="ET107" s="330">
        <v>0</v>
      </c>
      <c r="EU107" s="330">
        <v>0</v>
      </c>
      <c r="EV107" s="330">
        <v>0</v>
      </c>
      <c r="EW107" s="330">
        <v>0</v>
      </c>
      <c r="EX107" s="330">
        <v>0</v>
      </c>
      <c r="EY107" s="330">
        <v>0</v>
      </c>
      <c r="EZ107" s="330">
        <v>0</v>
      </c>
      <c r="FA107" s="330">
        <v>0</v>
      </c>
      <c r="FB107" s="330">
        <v>0</v>
      </c>
      <c r="FC107" s="330"/>
      <c r="FD107" s="330"/>
      <c r="FE107" s="330"/>
      <c r="FF107" s="330"/>
      <c r="FG107" s="330"/>
      <c r="FH107" s="330"/>
      <c r="FI107" s="330"/>
      <c r="FJ107" s="330"/>
      <c r="FK107" s="330"/>
      <c r="FL107" s="330"/>
      <c r="FM107" s="330"/>
      <c r="FN107" s="330"/>
      <c r="FO107" s="330"/>
      <c r="FP107" s="330"/>
      <c r="FQ107" s="330"/>
      <c r="FR107" s="330"/>
      <c r="FS107" s="330"/>
      <c r="FT107" s="330"/>
      <c r="FU107" s="330"/>
      <c r="FV107" s="330"/>
      <c r="FW107" s="330"/>
      <c r="FX107" s="206"/>
      <c r="FY107" s="330">
        <f>SUM(EI102:FB102)</f>
        <v>0</v>
      </c>
      <c r="FZ107" s="206"/>
      <c r="GA107" s="206"/>
      <c r="GB107" s="206"/>
      <c r="GC107" s="206"/>
      <c r="GD107" s="206"/>
      <c r="GE107" s="206"/>
      <c r="GF107" s="206"/>
      <c r="GG107" s="327"/>
      <c r="GH107" s="206"/>
      <c r="GI107" s="206"/>
      <c r="GJ107" s="206"/>
      <c r="GK107" s="206"/>
      <c r="GL107" s="206"/>
      <c r="GM107" s="206"/>
      <c r="GN107" s="206"/>
      <c r="GO107" s="206"/>
      <c r="GP107" s="206"/>
      <c r="GQ107" s="206"/>
      <c r="GR107" s="206"/>
      <c r="GS107" s="206"/>
    </row>
    <row r="108" spans="1:201" ht="14.65" customHeight="1">
      <c r="A108" s="322"/>
      <c r="B108" s="322"/>
      <c r="C108" s="323"/>
      <c r="D108" s="323"/>
      <c r="E108" s="386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  <c r="X108" s="386"/>
      <c r="Y108" s="386"/>
      <c r="Z108" s="386"/>
      <c r="AA108" s="386"/>
      <c r="AB108" s="386"/>
      <c r="AC108" s="386"/>
      <c r="AD108" s="386"/>
      <c r="AE108" s="386"/>
      <c r="AF108" s="386"/>
      <c r="AG108" s="386"/>
      <c r="AH108" s="386"/>
      <c r="AI108" s="386"/>
      <c r="AJ108" s="386"/>
      <c r="AK108" s="386"/>
      <c r="AL108" s="386"/>
      <c r="AM108" s="386"/>
      <c r="AN108" s="386"/>
      <c r="AO108" s="386"/>
      <c r="AP108" s="38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206"/>
      <c r="BB108" s="206"/>
      <c r="BC108" s="206"/>
      <c r="BD108" s="206"/>
      <c r="BE108" s="206"/>
      <c r="BF108" s="206"/>
      <c r="BG108" s="206"/>
      <c r="BH108" s="206"/>
      <c r="BI108" s="206"/>
      <c r="BJ108" s="206"/>
      <c r="BK108" s="206"/>
      <c r="BL108" s="206"/>
      <c r="BM108" s="206"/>
      <c r="BN108" s="206"/>
      <c r="BO108" s="326"/>
      <c r="BP108" s="206"/>
      <c r="BQ108" s="206"/>
      <c r="BR108" s="206"/>
      <c r="BS108" s="206"/>
      <c r="BT108" s="206"/>
      <c r="BU108" s="206"/>
      <c r="BV108" s="206"/>
      <c r="BW108" s="206"/>
      <c r="BX108" s="206"/>
      <c r="BY108" s="206"/>
      <c r="BZ108" s="206"/>
      <c r="CA108" s="206"/>
      <c r="CB108" s="206"/>
      <c r="CC108" s="206"/>
      <c r="CD108" s="206"/>
      <c r="CE108" s="206"/>
      <c r="CF108" s="206"/>
      <c r="CG108" s="206"/>
      <c r="CH108" s="206"/>
      <c r="CI108" s="206"/>
      <c r="CJ108" s="327"/>
      <c r="CK108" s="206"/>
      <c r="CL108" s="206"/>
      <c r="CM108" s="206"/>
      <c r="CN108" s="206"/>
      <c r="CO108" s="206"/>
      <c r="CP108" s="206"/>
      <c r="CQ108" s="206"/>
      <c r="CR108" s="206"/>
      <c r="CS108" s="206"/>
      <c r="CT108" s="206"/>
      <c r="CU108" s="206"/>
      <c r="CV108" s="206"/>
      <c r="CW108" s="206"/>
      <c r="CX108" s="206"/>
      <c r="CY108" s="206"/>
      <c r="CZ108" s="206"/>
      <c r="DA108" s="206"/>
      <c r="DB108" s="206"/>
      <c r="DC108" s="206"/>
      <c r="DD108" s="206"/>
      <c r="DE108" s="328"/>
      <c r="DF108" s="328"/>
      <c r="DG108" s="328"/>
      <c r="DH108" s="328"/>
      <c r="DI108" s="328"/>
      <c r="DJ108" s="328"/>
      <c r="DK108" s="328"/>
      <c r="DL108" s="328"/>
      <c r="DM108" s="328"/>
      <c r="DN108" s="328"/>
      <c r="DO108" s="328"/>
      <c r="DP108" s="328"/>
      <c r="DQ108" s="328"/>
      <c r="DR108" s="328"/>
      <c r="DS108" s="328"/>
      <c r="DT108" s="328"/>
      <c r="DU108" s="328"/>
      <c r="DV108" s="328"/>
      <c r="DW108" s="328"/>
      <c r="DX108" s="328"/>
      <c r="DY108" s="328"/>
      <c r="DZ108" s="328"/>
      <c r="EA108" s="328"/>
      <c r="EB108" s="328"/>
      <c r="EC108" s="328"/>
      <c r="ED108" s="328"/>
      <c r="EE108" s="328"/>
      <c r="EF108" s="328"/>
      <c r="EG108" s="326">
        <v>3</v>
      </c>
      <c r="EH108" s="206" t="s">
        <v>84</v>
      </c>
      <c r="EI108" s="330">
        <v>0</v>
      </c>
      <c r="EJ108" s="330">
        <v>0</v>
      </c>
      <c r="EK108" s="330">
        <v>0</v>
      </c>
      <c r="EL108" s="330">
        <v>0</v>
      </c>
      <c r="EM108" s="330">
        <v>0</v>
      </c>
      <c r="EN108" s="330">
        <v>0</v>
      </c>
      <c r="EO108" s="330">
        <v>0</v>
      </c>
      <c r="EP108" s="330">
        <v>0</v>
      </c>
      <c r="EQ108" s="330">
        <v>0</v>
      </c>
      <c r="ER108" s="330">
        <v>0</v>
      </c>
      <c r="ES108" s="330">
        <v>0</v>
      </c>
      <c r="ET108" s="330">
        <v>0</v>
      </c>
      <c r="EU108" s="330">
        <v>0</v>
      </c>
      <c r="EV108" s="330">
        <v>0</v>
      </c>
      <c r="EW108" s="330">
        <v>0</v>
      </c>
      <c r="EX108" s="330">
        <v>0</v>
      </c>
      <c r="EY108" s="330">
        <v>0</v>
      </c>
      <c r="EZ108" s="330">
        <v>0</v>
      </c>
      <c r="FA108" s="330">
        <v>0</v>
      </c>
      <c r="FB108" s="330">
        <v>0</v>
      </c>
      <c r="FC108" s="330"/>
      <c r="FD108" s="330"/>
      <c r="FE108" s="330"/>
      <c r="FF108" s="330"/>
      <c r="FG108" s="330"/>
      <c r="FH108" s="330"/>
      <c r="FI108" s="330"/>
      <c r="FJ108" s="330"/>
      <c r="FK108" s="330"/>
      <c r="FL108" s="330"/>
      <c r="FM108" s="330"/>
      <c r="FN108" s="330"/>
      <c r="FO108" s="330"/>
      <c r="FP108" s="330"/>
      <c r="FQ108" s="330"/>
      <c r="FR108" s="330"/>
      <c r="FS108" s="330"/>
      <c r="FT108" s="330"/>
      <c r="FU108" s="330"/>
      <c r="FV108" s="330"/>
      <c r="FW108" s="330"/>
      <c r="FX108" s="206"/>
      <c r="FY108" s="330">
        <f>SUM(EI103:FB103)</f>
        <v>0</v>
      </c>
      <c r="FZ108" s="206"/>
      <c r="GA108" s="206"/>
      <c r="GB108" s="206"/>
      <c r="GC108" s="206"/>
      <c r="GD108" s="206"/>
      <c r="GE108" s="206"/>
      <c r="GF108" s="206"/>
      <c r="GG108" s="327"/>
      <c r="GH108" s="206"/>
      <c r="GI108" s="206"/>
      <c r="GJ108" s="206"/>
      <c r="GK108" s="206"/>
      <c r="GL108" s="206"/>
      <c r="GM108" s="206"/>
      <c r="GN108" s="206"/>
      <c r="GO108" s="206"/>
      <c r="GP108" s="206"/>
      <c r="GQ108" s="206"/>
      <c r="GR108" s="206"/>
      <c r="GS108" s="206"/>
    </row>
    <row r="109" spans="1:201" ht="14.65" customHeight="1">
      <c r="A109" s="629"/>
      <c r="B109" s="629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323"/>
      <c r="O109" s="323"/>
      <c r="P109" s="323"/>
      <c r="Q109" s="323"/>
      <c r="R109" s="323"/>
      <c r="S109" s="323"/>
      <c r="T109" s="323"/>
      <c r="U109" s="323"/>
      <c r="V109" s="323"/>
      <c r="W109" s="323"/>
      <c r="X109" s="323"/>
      <c r="Y109" s="323"/>
      <c r="Z109" s="323"/>
      <c r="AA109" s="323"/>
      <c r="AB109" s="323"/>
      <c r="AC109" s="323"/>
      <c r="AD109" s="323"/>
      <c r="AE109" s="323"/>
      <c r="AF109" s="323"/>
      <c r="AG109" s="323"/>
      <c r="AH109" s="323"/>
      <c r="AI109" s="323"/>
      <c r="AJ109" s="323"/>
      <c r="AK109" s="323"/>
      <c r="AL109" s="323"/>
      <c r="AM109" s="323"/>
      <c r="AN109" s="323"/>
      <c r="AO109" s="323"/>
      <c r="AP109" s="323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206"/>
      <c r="BA109" s="206"/>
      <c r="BB109" s="206"/>
      <c r="BC109" s="206"/>
      <c r="BD109" s="206"/>
      <c r="BE109" s="206"/>
      <c r="BF109" s="206"/>
      <c r="BG109" s="206"/>
      <c r="BH109" s="206"/>
      <c r="BI109" s="206"/>
      <c r="BJ109" s="206"/>
      <c r="BK109" s="206"/>
      <c r="BL109" s="206"/>
      <c r="BM109" s="206"/>
      <c r="BN109" s="206"/>
      <c r="BO109" s="326"/>
      <c r="BP109" s="206"/>
      <c r="BQ109" s="206"/>
      <c r="BR109" s="206"/>
      <c r="BS109" s="206"/>
      <c r="BT109" s="206"/>
      <c r="BU109" s="206"/>
      <c r="BV109" s="206"/>
      <c r="BW109" s="206"/>
      <c r="BX109" s="206"/>
      <c r="BY109" s="206"/>
      <c r="BZ109" s="206"/>
      <c r="CA109" s="206"/>
      <c r="CB109" s="206"/>
      <c r="CC109" s="206"/>
      <c r="CD109" s="206"/>
      <c r="CE109" s="206"/>
      <c r="CF109" s="206"/>
      <c r="CG109" s="206"/>
      <c r="CH109" s="206"/>
      <c r="CI109" s="206"/>
      <c r="CJ109" s="327"/>
      <c r="CK109" s="206"/>
      <c r="CL109" s="206"/>
      <c r="CM109" s="206"/>
      <c r="CN109" s="206"/>
      <c r="CO109" s="206"/>
      <c r="CP109" s="206"/>
      <c r="CQ109" s="206"/>
      <c r="CR109" s="206"/>
      <c r="CS109" s="206"/>
      <c r="CT109" s="206"/>
      <c r="CU109" s="206"/>
      <c r="CV109" s="206"/>
      <c r="CW109" s="206"/>
      <c r="CX109" s="206"/>
      <c r="CY109" s="206"/>
      <c r="CZ109" s="206"/>
      <c r="DA109" s="206"/>
      <c r="DB109" s="206"/>
      <c r="DC109" s="206"/>
      <c r="DD109" s="206"/>
      <c r="DE109" s="328"/>
      <c r="DF109" s="328"/>
      <c r="DG109" s="328"/>
      <c r="DH109" s="328"/>
      <c r="DI109" s="328"/>
      <c r="DJ109" s="328"/>
      <c r="DK109" s="328"/>
      <c r="DL109" s="328"/>
      <c r="DM109" s="328"/>
      <c r="DN109" s="328"/>
      <c r="DO109" s="328"/>
      <c r="DP109" s="328"/>
      <c r="DQ109" s="328"/>
      <c r="DR109" s="328"/>
      <c r="DS109" s="328"/>
      <c r="DT109" s="328"/>
      <c r="DU109" s="328"/>
      <c r="DV109" s="328"/>
      <c r="DW109" s="328"/>
      <c r="DX109" s="328"/>
      <c r="DY109" s="328"/>
      <c r="DZ109" s="328"/>
      <c r="EA109" s="328"/>
      <c r="EB109" s="328"/>
      <c r="EC109" s="328"/>
      <c r="ED109" s="328"/>
      <c r="EE109" s="328"/>
      <c r="EF109" s="328"/>
      <c r="EG109" s="326">
        <v>4</v>
      </c>
      <c r="EH109" s="206" t="s">
        <v>84</v>
      </c>
      <c r="EI109" s="330">
        <v>0</v>
      </c>
      <c r="EJ109" s="330">
        <v>0</v>
      </c>
      <c r="EK109" s="330">
        <v>0</v>
      </c>
      <c r="EL109" s="330">
        <v>0</v>
      </c>
      <c r="EM109" s="330">
        <v>0</v>
      </c>
      <c r="EN109" s="330">
        <v>0</v>
      </c>
      <c r="EO109" s="330">
        <v>0</v>
      </c>
      <c r="EP109" s="330">
        <v>0</v>
      </c>
      <c r="EQ109" s="330">
        <v>0</v>
      </c>
      <c r="ER109" s="330">
        <v>0</v>
      </c>
      <c r="ES109" s="330">
        <v>0</v>
      </c>
      <c r="ET109" s="330">
        <v>0</v>
      </c>
      <c r="EU109" s="330">
        <v>0</v>
      </c>
      <c r="EV109" s="330">
        <v>0</v>
      </c>
      <c r="EW109" s="330">
        <v>0</v>
      </c>
      <c r="EX109" s="330">
        <v>0</v>
      </c>
      <c r="EY109" s="330">
        <v>0</v>
      </c>
      <c r="EZ109" s="330">
        <v>0</v>
      </c>
      <c r="FA109" s="330">
        <v>0</v>
      </c>
      <c r="FB109" s="330">
        <v>0</v>
      </c>
      <c r="FC109" s="330"/>
      <c r="FD109" s="330"/>
      <c r="FE109" s="330"/>
      <c r="FF109" s="330"/>
      <c r="FG109" s="330"/>
      <c r="FH109" s="330"/>
      <c r="FI109" s="330"/>
      <c r="FJ109" s="330"/>
      <c r="FK109" s="330"/>
      <c r="FL109" s="330"/>
      <c r="FM109" s="330"/>
      <c r="FN109" s="330"/>
      <c r="FO109" s="330"/>
      <c r="FP109" s="330"/>
      <c r="FQ109" s="330"/>
      <c r="FR109" s="330"/>
      <c r="FS109" s="330"/>
      <c r="FT109" s="330"/>
      <c r="FU109" s="330"/>
      <c r="FV109" s="330"/>
      <c r="FW109" s="330"/>
      <c r="FX109" s="206"/>
      <c r="FY109" s="330">
        <f>SUM(EI104:FB104)</f>
        <v>0</v>
      </c>
      <c r="FZ109" s="206"/>
      <c r="GA109" s="206"/>
      <c r="GB109" s="206"/>
      <c r="GC109" s="206"/>
      <c r="GD109" s="206"/>
      <c r="GE109" s="206"/>
      <c r="GF109" s="206"/>
      <c r="GG109" s="327"/>
      <c r="GH109" s="206"/>
      <c r="GI109" s="206"/>
      <c r="GJ109" s="206"/>
      <c r="GK109" s="206"/>
      <c r="GL109" s="206"/>
      <c r="GM109" s="206"/>
      <c r="GN109" s="206"/>
      <c r="GO109" s="206"/>
      <c r="GP109" s="206"/>
      <c r="GQ109" s="206"/>
      <c r="GR109" s="206"/>
      <c r="GS109" s="206"/>
    </row>
    <row r="110" spans="1:201" ht="14.65" customHeight="1">
      <c r="A110" s="321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90"/>
      <c r="W110" s="322"/>
      <c r="X110" s="322"/>
      <c r="Y110" s="322"/>
      <c r="Z110" s="322"/>
      <c r="AA110" s="322"/>
      <c r="AB110" s="322"/>
      <c r="AC110" s="322"/>
      <c r="AD110" s="322"/>
      <c r="AE110" s="322"/>
      <c r="AF110" s="322"/>
      <c r="AG110" s="322"/>
      <c r="AH110" s="322"/>
      <c r="AI110" s="322"/>
      <c r="AJ110" s="322"/>
      <c r="AK110" s="322"/>
      <c r="AL110" s="322"/>
      <c r="AM110" s="322"/>
      <c r="AN110" s="322"/>
      <c r="AO110" s="322"/>
      <c r="AP110" s="322"/>
      <c r="AQ110" s="206"/>
      <c r="AR110" s="206"/>
      <c r="AS110" s="206"/>
      <c r="AT110" s="206"/>
      <c r="AU110" s="206"/>
      <c r="AV110" s="206"/>
      <c r="AW110" s="206"/>
      <c r="AX110" s="206"/>
      <c r="AY110" s="206"/>
      <c r="AZ110" s="206"/>
      <c r="BA110" s="206"/>
      <c r="BB110" s="206"/>
      <c r="BC110" s="206"/>
      <c r="BD110" s="206"/>
      <c r="BE110" s="206"/>
      <c r="BF110" s="206"/>
      <c r="BG110" s="206"/>
      <c r="BH110" s="206"/>
      <c r="BI110" s="206"/>
      <c r="BJ110" s="206"/>
      <c r="BK110" s="206"/>
      <c r="BL110" s="206"/>
      <c r="BM110" s="206"/>
      <c r="BN110" s="206"/>
      <c r="BO110" s="326"/>
      <c r="BP110" s="206"/>
      <c r="BQ110" s="206"/>
      <c r="BR110" s="206"/>
      <c r="BS110" s="206"/>
      <c r="BT110" s="206"/>
      <c r="BU110" s="206"/>
      <c r="BV110" s="206"/>
      <c r="BW110" s="206"/>
      <c r="BX110" s="206"/>
      <c r="BY110" s="206"/>
      <c r="BZ110" s="206"/>
      <c r="CA110" s="206"/>
      <c r="CB110" s="206"/>
      <c r="CC110" s="206"/>
      <c r="CD110" s="206"/>
      <c r="CE110" s="206"/>
      <c r="CF110" s="206"/>
      <c r="CG110" s="206"/>
      <c r="CH110" s="206"/>
      <c r="CI110" s="206"/>
      <c r="CJ110" s="327"/>
      <c r="CK110" s="206"/>
      <c r="CL110" s="206"/>
      <c r="CM110" s="206"/>
      <c r="CN110" s="206"/>
      <c r="CO110" s="206"/>
      <c r="CP110" s="206"/>
      <c r="CQ110" s="206"/>
      <c r="CR110" s="206"/>
      <c r="CS110" s="206"/>
      <c r="CT110" s="206"/>
      <c r="CU110" s="206"/>
      <c r="CV110" s="206"/>
      <c r="CW110" s="206"/>
      <c r="CX110" s="206"/>
      <c r="CY110" s="206"/>
      <c r="CZ110" s="206"/>
      <c r="DA110" s="206"/>
      <c r="DB110" s="206"/>
      <c r="DC110" s="206"/>
      <c r="DD110" s="206"/>
      <c r="DE110" s="328"/>
      <c r="DF110" s="328"/>
      <c r="DG110" s="328"/>
      <c r="DH110" s="328"/>
      <c r="DI110" s="328"/>
      <c r="DJ110" s="328"/>
      <c r="DK110" s="328"/>
      <c r="DL110" s="328"/>
      <c r="DM110" s="328"/>
      <c r="DN110" s="328"/>
      <c r="DO110" s="328"/>
      <c r="DP110" s="328"/>
      <c r="DQ110" s="328"/>
      <c r="DR110" s="328"/>
      <c r="DS110" s="328"/>
      <c r="DT110" s="328"/>
      <c r="DU110" s="328"/>
      <c r="DV110" s="328"/>
      <c r="DW110" s="328"/>
      <c r="DX110" s="328"/>
      <c r="DY110" s="328"/>
      <c r="DZ110" s="328"/>
      <c r="EA110" s="328"/>
      <c r="EB110" s="328"/>
      <c r="EC110" s="328"/>
      <c r="ED110" s="328"/>
      <c r="EE110" s="328"/>
      <c r="EF110" s="328"/>
      <c r="EG110" s="326"/>
      <c r="EH110" s="206"/>
      <c r="EI110" s="206"/>
      <c r="EJ110" s="206"/>
      <c r="EK110" s="206"/>
      <c r="EL110" s="206"/>
      <c r="EM110" s="206"/>
      <c r="EN110" s="206"/>
      <c r="EO110" s="206"/>
      <c r="EP110" s="206"/>
      <c r="EQ110" s="206"/>
      <c r="ER110" s="206"/>
      <c r="ES110" s="206"/>
      <c r="ET110" s="206"/>
      <c r="EU110" s="206"/>
      <c r="EV110" s="206"/>
      <c r="EW110" s="206"/>
      <c r="EX110" s="206"/>
      <c r="EY110" s="206"/>
      <c r="EZ110" s="206"/>
      <c r="FA110" s="206"/>
      <c r="FB110" s="206"/>
      <c r="FC110" s="206"/>
      <c r="FD110" s="206"/>
      <c r="FE110" s="206"/>
      <c r="FF110" s="206"/>
      <c r="FG110" s="206"/>
      <c r="FH110" s="206"/>
      <c r="FI110" s="206"/>
      <c r="FJ110" s="206"/>
      <c r="FK110" s="206"/>
      <c r="FL110" s="206"/>
      <c r="FM110" s="206"/>
      <c r="FN110" s="206"/>
      <c r="FO110" s="206"/>
      <c r="FP110" s="206"/>
      <c r="FQ110" s="206"/>
      <c r="FR110" s="206"/>
      <c r="FS110" s="206"/>
      <c r="FT110" s="206"/>
      <c r="FU110" s="206"/>
      <c r="FV110" s="206"/>
      <c r="FW110" s="206"/>
      <c r="FX110" s="206"/>
      <c r="FY110" s="206"/>
      <c r="FZ110" s="206"/>
      <c r="GA110" s="206"/>
      <c r="GB110" s="206"/>
      <c r="GC110" s="206"/>
      <c r="GD110" s="206"/>
      <c r="GE110" s="206"/>
      <c r="GF110" s="206"/>
      <c r="GG110" s="327"/>
      <c r="GH110" s="206"/>
      <c r="GI110" s="206"/>
      <c r="GJ110" s="206"/>
      <c r="GK110" s="206"/>
      <c r="GL110" s="206"/>
      <c r="GM110" s="206"/>
      <c r="GN110" s="206"/>
      <c r="GO110" s="206"/>
      <c r="GP110" s="206"/>
      <c r="GQ110" s="206"/>
      <c r="GR110" s="206"/>
      <c r="GS110" s="206"/>
    </row>
    <row r="111" spans="1:201" ht="14.65" customHeight="1">
      <c r="A111" s="321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90"/>
      <c r="W111" s="322"/>
      <c r="X111" s="322"/>
      <c r="Y111" s="322"/>
      <c r="Z111" s="322"/>
      <c r="AA111" s="322"/>
      <c r="AB111" s="322"/>
      <c r="AC111" s="322"/>
      <c r="AD111" s="322"/>
      <c r="AE111" s="322"/>
      <c r="AF111" s="322"/>
      <c r="AG111" s="322"/>
      <c r="AH111" s="322"/>
      <c r="AI111" s="322"/>
      <c r="AJ111" s="322"/>
      <c r="AK111" s="322"/>
      <c r="AL111" s="322"/>
      <c r="AM111" s="322"/>
      <c r="AN111" s="322"/>
      <c r="AO111" s="322"/>
      <c r="AP111" s="322"/>
      <c r="AQ111" s="206"/>
      <c r="AR111" s="206"/>
      <c r="AS111" s="206"/>
      <c r="AT111" s="206"/>
      <c r="AU111" s="206"/>
      <c r="AV111" s="206"/>
      <c r="AW111" s="206"/>
      <c r="AX111" s="206"/>
      <c r="AY111" s="206"/>
      <c r="AZ111" s="206"/>
      <c r="BA111" s="206"/>
      <c r="BB111" s="206"/>
      <c r="BC111" s="206"/>
      <c r="BD111" s="206"/>
      <c r="BE111" s="206"/>
      <c r="BF111" s="206"/>
      <c r="BG111" s="206"/>
      <c r="BH111" s="206"/>
      <c r="BI111" s="206"/>
      <c r="BJ111" s="206"/>
      <c r="BK111" s="206"/>
      <c r="BL111" s="206"/>
      <c r="BM111" s="206"/>
      <c r="BN111" s="206"/>
      <c r="BO111" s="326"/>
      <c r="BP111" s="206"/>
      <c r="BQ111" s="206"/>
      <c r="BR111" s="206"/>
      <c r="BS111" s="206"/>
      <c r="BT111" s="206"/>
      <c r="BU111" s="206"/>
      <c r="BV111" s="206"/>
      <c r="BW111" s="206"/>
      <c r="BX111" s="206"/>
      <c r="BY111" s="206"/>
      <c r="BZ111" s="206"/>
      <c r="CA111" s="206"/>
      <c r="CB111" s="206"/>
      <c r="CC111" s="206"/>
      <c r="CD111" s="206"/>
      <c r="CE111" s="206"/>
      <c r="CF111" s="206"/>
      <c r="CG111" s="206"/>
      <c r="CH111" s="206"/>
      <c r="CI111" s="206"/>
      <c r="CJ111" s="327"/>
      <c r="CK111" s="206"/>
      <c r="CL111" s="206"/>
      <c r="CM111" s="206"/>
      <c r="CN111" s="206"/>
      <c r="CO111" s="206"/>
      <c r="CP111" s="206"/>
      <c r="CQ111" s="206"/>
      <c r="CR111" s="206"/>
      <c r="CS111" s="206"/>
      <c r="CT111" s="206"/>
      <c r="CU111" s="206"/>
      <c r="CV111" s="206"/>
      <c r="CW111" s="206"/>
      <c r="CX111" s="206"/>
      <c r="CY111" s="206"/>
      <c r="CZ111" s="206"/>
      <c r="DA111" s="206"/>
      <c r="DB111" s="206"/>
      <c r="DC111" s="206"/>
      <c r="DD111" s="206"/>
      <c r="DE111" s="328"/>
      <c r="DF111" s="328"/>
      <c r="DG111" s="328"/>
      <c r="DH111" s="328"/>
      <c r="DI111" s="328"/>
      <c r="DJ111" s="328"/>
      <c r="DK111" s="328"/>
      <c r="DL111" s="328"/>
      <c r="DM111" s="328"/>
      <c r="DN111" s="328"/>
      <c r="DO111" s="328"/>
      <c r="DP111" s="328"/>
      <c r="DQ111" s="328"/>
      <c r="DR111" s="328"/>
      <c r="DS111" s="328"/>
      <c r="DT111" s="328"/>
      <c r="DU111" s="328"/>
      <c r="DV111" s="328"/>
      <c r="DW111" s="328"/>
      <c r="DX111" s="328"/>
      <c r="DY111" s="328"/>
      <c r="DZ111" s="328"/>
      <c r="EA111" s="328"/>
      <c r="EB111" s="328"/>
      <c r="EC111" s="328"/>
      <c r="ED111" s="328"/>
      <c r="EE111" s="328"/>
      <c r="EF111" s="328"/>
      <c r="EG111" s="326"/>
      <c r="EH111" s="206"/>
      <c r="EI111" s="206"/>
      <c r="EJ111" s="206"/>
      <c r="EK111" s="206"/>
      <c r="EL111" s="206"/>
      <c r="EM111" s="206"/>
      <c r="EN111" s="206"/>
      <c r="EO111" s="206"/>
      <c r="EP111" s="206"/>
      <c r="EQ111" s="206"/>
      <c r="ER111" s="206"/>
      <c r="ES111" s="206"/>
      <c r="ET111" s="206"/>
      <c r="EU111" s="206"/>
      <c r="EV111" s="206"/>
      <c r="EW111" s="206"/>
      <c r="EX111" s="206"/>
      <c r="EY111" s="206"/>
      <c r="EZ111" s="206"/>
      <c r="FA111" s="206"/>
      <c r="FB111" s="206"/>
      <c r="FC111" s="206"/>
      <c r="FD111" s="206"/>
      <c r="FE111" s="206"/>
      <c r="FF111" s="206"/>
      <c r="FG111" s="206"/>
      <c r="FH111" s="206"/>
      <c r="FI111" s="206"/>
      <c r="FJ111" s="206"/>
      <c r="FK111" s="206"/>
      <c r="FL111" s="206"/>
      <c r="FM111" s="206"/>
      <c r="FN111" s="206"/>
      <c r="FO111" s="206"/>
      <c r="FP111" s="206"/>
      <c r="FQ111" s="206"/>
      <c r="FR111" s="206"/>
      <c r="FS111" s="206"/>
      <c r="FT111" s="206"/>
      <c r="FU111" s="206"/>
      <c r="FV111" s="206"/>
      <c r="FW111" s="206"/>
      <c r="FX111" s="206"/>
      <c r="FY111" s="206"/>
      <c r="FZ111" s="206"/>
      <c r="GA111" s="206"/>
      <c r="GB111" s="206"/>
      <c r="GC111" s="206"/>
      <c r="GD111" s="206"/>
      <c r="GE111" s="206"/>
      <c r="GF111" s="206"/>
      <c r="GG111" s="327"/>
      <c r="GH111" s="206"/>
      <c r="GI111" s="206"/>
      <c r="GJ111" s="206"/>
      <c r="GK111" s="206"/>
      <c r="GL111" s="206"/>
      <c r="GM111" s="206"/>
      <c r="GN111" s="206"/>
      <c r="GO111" s="206"/>
      <c r="GP111" s="206"/>
      <c r="GQ111" s="206"/>
      <c r="GR111" s="206"/>
      <c r="GS111" s="206"/>
    </row>
    <row r="112" spans="1:201" ht="15" customHeight="1" thickBot="1">
      <c r="A112" s="321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90"/>
      <c r="W112" s="322"/>
      <c r="X112" s="322"/>
      <c r="Y112" s="322"/>
      <c r="Z112" s="322"/>
      <c r="AA112" s="322"/>
      <c r="AB112" s="322"/>
      <c r="AC112" s="322"/>
      <c r="AD112" s="322"/>
      <c r="AE112" s="322"/>
      <c r="AF112" s="322"/>
      <c r="AG112" s="322"/>
      <c r="AH112" s="322"/>
      <c r="AI112" s="322"/>
      <c r="AJ112" s="322"/>
      <c r="AK112" s="322"/>
      <c r="AL112" s="322"/>
      <c r="AM112" s="322"/>
      <c r="AN112" s="322"/>
      <c r="AO112" s="322"/>
      <c r="AP112" s="322"/>
      <c r="AQ112" s="206"/>
      <c r="AR112" s="206"/>
      <c r="AS112" s="206"/>
      <c r="AT112" s="206"/>
      <c r="AU112" s="206"/>
      <c r="AV112" s="206"/>
      <c r="AW112" s="206"/>
      <c r="AX112" s="206"/>
      <c r="AY112" s="206"/>
      <c r="AZ112" s="206"/>
      <c r="BA112" s="206"/>
      <c r="BB112" s="206"/>
      <c r="BC112" s="206"/>
      <c r="BD112" s="206"/>
      <c r="BE112" s="206"/>
      <c r="BF112" s="206"/>
      <c r="BG112" s="206"/>
      <c r="BH112" s="206"/>
      <c r="BI112" s="206"/>
      <c r="BJ112" s="206"/>
      <c r="BK112" s="206"/>
      <c r="BL112" s="206"/>
      <c r="BM112" s="206"/>
      <c r="BN112" s="206"/>
      <c r="BO112" s="326"/>
      <c r="BP112" s="206"/>
      <c r="BQ112" s="206"/>
      <c r="BR112" s="206"/>
      <c r="BS112" s="206"/>
      <c r="BT112" s="206"/>
      <c r="BU112" s="206"/>
      <c r="BV112" s="206"/>
      <c r="BW112" s="206"/>
      <c r="BX112" s="206"/>
      <c r="BY112" s="206"/>
      <c r="BZ112" s="206"/>
      <c r="CA112" s="206"/>
      <c r="CB112" s="206"/>
      <c r="CC112" s="206"/>
      <c r="CD112" s="206"/>
      <c r="CE112" s="206"/>
      <c r="CF112" s="206"/>
      <c r="CG112" s="206"/>
      <c r="CH112" s="206"/>
      <c r="CI112" s="206"/>
      <c r="CJ112" s="327"/>
      <c r="CK112" s="206"/>
      <c r="CL112" s="206"/>
      <c r="CM112" s="206"/>
      <c r="CN112" s="206"/>
      <c r="CO112" s="206"/>
      <c r="CP112" s="206"/>
      <c r="CQ112" s="206"/>
      <c r="CR112" s="206"/>
      <c r="CS112" s="206"/>
      <c r="CT112" s="206"/>
      <c r="CU112" s="206"/>
      <c r="CV112" s="206"/>
      <c r="CW112" s="206"/>
      <c r="CX112" s="206"/>
      <c r="CY112" s="206"/>
      <c r="CZ112" s="206"/>
      <c r="DA112" s="206"/>
      <c r="DB112" s="206"/>
      <c r="DC112" s="206"/>
      <c r="DD112" s="206"/>
      <c r="DE112" s="328"/>
      <c r="DF112" s="328"/>
      <c r="DG112" s="328"/>
      <c r="DH112" s="328"/>
      <c r="DI112" s="328"/>
      <c r="DJ112" s="328"/>
      <c r="DK112" s="328"/>
      <c r="DL112" s="328"/>
      <c r="DM112" s="328"/>
      <c r="DN112" s="328"/>
      <c r="DO112" s="328"/>
      <c r="DP112" s="328"/>
      <c r="DQ112" s="328"/>
      <c r="DR112" s="328"/>
      <c r="DS112" s="328"/>
      <c r="DT112" s="328"/>
      <c r="DU112" s="328"/>
      <c r="DV112" s="328"/>
      <c r="DW112" s="328"/>
      <c r="DX112" s="328"/>
      <c r="DY112" s="328"/>
      <c r="DZ112" s="328"/>
      <c r="EA112" s="328"/>
      <c r="EB112" s="328"/>
      <c r="EC112" s="328"/>
      <c r="ED112" s="328"/>
      <c r="EE112" s="328"/>
      <c r="EF112" s="328"/>
      <c r="EG112" s="326"/>
      <c r="EH112" s="206"/>
      <c r="EI112" s="206"/>
      <c r="EJ112" s="206"/>
      <c r="EK112" s="206"/>
      <c r="EL112" s="206"/>
      <c r="EM112" s="206"/>
      <c r="EN112" s="206"/>
      <c r="EO112" s="206"/>
      <c r="EP112" s="206"/>
      <c r="EQ112" s="206"/>
      <c r="ER112" s="206"/>
      <c r="ES112" s="206"/>
      <c r="ET112" s="206"/>
      <c r="EU112" s="206"/>
      <c r="EV112" s="206"/>
      <c r="EW112" s="206"/>
      <c r="EX112" s="206"/>
      <c r="EY112" s="206"/>
      <c r="EZ112" s="206"/>
      <c r="FA112" s="206"/>
      <c r="FB112" s="206"/>
      <c r="FC112" s="206"/>
      <c r="FD112" s="206"/>
      <c r="FE112" s="206"/>
      <c r="FF112" s="206"/>
      <c r="FG112" s="206"/>
      <c r="FH112" s="206"/>
      <c r="FI112" s="206"/>
      <c r="FJ112" s="206"/>
      <c r="FK112" s="206"/>
      <c r="FL112" s="206"/>
      <c r="FM112" s="206"/>
      <c r="FN112" s="206"/>
      <c r="FO112" s="206"/>
      <c r="FP112" s="206"/>
      <c r="FQ112" s="206"/>
      <c r="FR112" s="206"/>
      <c r="FS112" s="206"/>
      <c r="FT112" s="206"/>
      <c r="FU112" s="206"/>
      <c r="FV112" s="206"/>
      <c r="FW112" s="206"/>
      <c r="FX112" s="206"/>
      <c r="FY112" s="206"/>
      <c r="FZ112" s="206"/>
      <c r="GA112" s="206"/>
      <c r="GB112" s="206"/>
      <c r="GC112" s="206"/>
      <c r="GD112" s="206"/>
      <c r="GE112" s="206"/>
      <c r="GF112" s="206"/>
      <c r="GG112" s="327"/>
      <c r="GH112" s="206"/>
      <c r="GI112" s="206"/>
      <c r="GJ112" s="206"/>
      <c r="GK112" s="206"/>
      <c r="GL112" s="206"/>
      <c r="GM112" s="206"/>
      <c r="GN112" s="206"/>
      <c r="GO112" s="206"/>
      <c r="GP112" s="206"/>
      <c r="GQ112" s="206"/>
      <c r="GR112" s="206"/>
      <c r="GS112" s="206"/>
    </row>
    <row r="113" spans="1:201" ht="15" customHeight="1" thickBot="1">
      <c r="A113" s="669" t="s">
        <v>110</v>
      </c>
      <c r="B113" s="670"/>
      <c r="C113" s="670"/>
      <c r="D113" s="670"/>
      <c r="E113" s="670"/>
      <c r="F113" s="670"/>
      <c r="G113" s="670"/>
      <c r="H113" s="670"/>
      <c r="I113" s="670"/>
      <c r="J113" s="670"/>
      <c r="K113" s="670"/>
      <c r="L113" s="670"/>
      <c r="M113" s="670"/>
      <c r="N113" s="670"/>
      <c r="O113" s="670"/>
      <c r="P113" s="670"/>
      <c r="Q113" s="670"/>
      <c r="R113" s="670"/>
      <c r="S113" s="670"/>
      <c r="T113" s="670"/>
      <c r="U113" s="670"/>
      <c r="V113" s="671"/>
      <c r="W113" s="335"/>
      <c r="X113" s="335"/>
      <c r="Y113" s="335"/>
      <c r="Z113" s="335"/>
      <c r="AA113" s="335"/>
      <c r="AB113" s="335"/>
      <c r="AC113" s="335"/>
      <c r="AD113" s="335"/>
      <c r="AE113" s="335"/>
      <c r="AF113" s="335"/>
      <c r="AG113" s="335"/>
      <c r="AH113" s="335"/>
      <c r="AI113" s="335"/>
      <c r="AJ113" s="335"/>
      <c r="AK113" s="335"/>
      <c r="AL113" s="335"/>
      <c r="AM113" s="335"/>
      <c r="AN113" s="335"/>
      <c r="AO113" s="335"/>
      <c r="AP113" s="335"/>
      <c r="AQ113" s="672" t="s">
        <v>51</v>
      </c>
      <c r="AR113" s="672"/>
      <c r="AS113" s="672"/>
      <c r="AT113" s="672"/>
      <c r="AU113" s="673"/>
      <c r="AV113" s="336"/>
      <c r="AW113" s="336"/>
      <c r="AX113" s="336"/>
      <c r="AY113" s="336"/>
      <c r="AZ113" s="336"/>
      <c r="BA113" s="336"/>
      <c r="BB113" s="336"/>
      <c r="BC113" s="336"/>
      <c r="BD113" s="336"/>
      <c r="BE113" s="336"/>
      <c r="BF113" s="336"/>
      <c r="BG113" s="206"/>
      <c r="BH113" s="206"/>
      <c r="BI113" s="206"/>
      <c r="BJ113" s="206"/>
      <c r="BK113" s="206"/>
      <c r="BL113" s="206"/>
      <c r="BM113" s="206"/>
      <c r="BN113" s="206"/>
      <c r="BO113" s="675" t="s">
        <v>111</v>
      </c>
      <c r="BP113" s="676"/>
      <c r="BQ113" s="676"/>
      <c r="BR113" s="676"/>
      <c r="BS113" s="676"/>
      <c r="BT113" s="676"/>
      <c r="BU113" s="676"/>
      <c r="BV113" s="676"/>
      <c r="BW113" s="676"/>
      <c r="BX113" s="676"/>
      <c r="BY113" s="676"/>
      <c r="BZ113" s="676"/>
      <c r="CA113" s="676"/>
      <c r="CB113" s="676"/>
      <c r="CC113" s="676"/>
      <c r="CD113" s="676"/>
      <c r="CE113" s="676"/>
      <c r="CF113" s="676"/>
      <c r="CG113" s="676"/>
      <c r="CH113" s="676"/>
      <c r="CI113" s="676"/>
      <c r="CJ113" s="677"/>
      <c r="CK113" s="337"/>
      <c r="CL113" s="337"/>
      <c r="CM113" s="337"/>
      <c r="CN113" s="337"/>
      <c r="CO113" s="337"/>
      <c r="CP113" s="337"/>
      <c r="CQ113" s="337"/>
      <c r="CR113" s="337"/>
      <c r="CS113" s="337"/>
      <c r="CT113" s="337"/>
      <c r="CU113" s="337"/>
      <c r="CV113" s="337"/>
      <c r="CW113" s="337"/>
      <c r="CX113" s="337"/>
      <c r="CY113" s="337"/>
      <c r="CZ113" s="337"/>
      <c r="DA113" s="337"/>
      <c r="DB113" s="337"/>
      <c r="DC113" s="337"/>
      <c r="DD113" s="337"/>
      <c r="DE113" s="678" t="s">
        <v>53</v>
      </c>
      <c r="DF113" s="672"/>
      <c r="DG113" s="672"/>
      <c r="DH113" s="672"/>
      <c r="DI113" s="673"/>
      <c r="DJ113" s="338"/>
      <c r="DK113" s="338"/>
      <c r="DL113" s="338"/>
      <c r="DM113" s="338"/>
      <c r="DN113" s="338"/>
      <c r="DO113" s="678" t="s">
        <v>99</v>
      </c>
      <c r="DP113" s="672"/>
      <c r="DQ113" s="672"/>
      <c r="DR113" s="672"/>
      <c r="DS113" s="673"/>
      <c r="DT113" s="336"/>
      <c r="DU113" s="336"/>
      <c r="DV113" s="336"/>
      <c r="DW113" s="336"/>
      <c r="DX113" s="336"/>
      <c r="DY113" s="336"/>
      <c r="DZ113" s="328"/>
      <c r="EA113" s="678" t="s">
        <v>55</v>
      </c>
      <c r="EB113" s="672"/>
      <c r="EC113" s="672"/>
      <c r="ED113" s="672"/>
      <c r="EE113" s="673"/>
      <c r="EF113" s="328"/>
      <c r="EG113" s="675" t="s">
        <v>112</v>
      </c>
      <c r="EH113" s="676"/>
      <c r="EI113" s="676"/>
      <c r="EJ113" s="676"/>
      <c r="EK113" s="676"/>
      <c r="EL113" s="676"/>
      <c r="EM113" s="676"/>
      <c r="EN113" s="676"/>
      <c r="EO113" s="676"/>
      <c r="EP113" s="676"/>
      <c r="EQ113" s="676"/>
      <c r="ER113" s="676"/>
      <c r="ES113" s="676"/>
      <c r="ET113" s="676"/>
      <c r="EU113" s="676"/>
      <c r="EV113" s="676"/>
      <c r="EW113" s="676"/>
      <c r="EX113" s="676"/>
      <c r="EY113" s="676"/>
      <c r="EZ113" s="676"/>
      <c r="FA113" s="676"/>
      <c r="FB113" s="676"/>
      <c r="FC113" s="676"/>
      <c r="FD113" s="676"/>
      <c r="FE113" s="676"/>
      <c r="FF113" s="676"/>
      <c r="FG113" s="676"/>
      <c r="FH113" s="676"/>
      <c r="FI113" s="676"/>
      <c r="FJ113" s="676"/>
      <c r="FK113" s="676"/>
      <c r="FL113" s="676"/>
      <c r="FM113" s="676"/>
      <c r="FN113" s="676"/>
      <c r="FO113" s="676"/>
      <c r="FP113" s="676"/>
      <c r="FQ113" s="676"/>
      <c r="FR113" s="676"/>
      <c r="FS113" s="676"/>
      <c r="FT113" s="676"/>
      <c r="FU113" s="676"/>
      <c r="FV113" s="676"/>
      <c r="FW113" s="676"/>
      <c r="FX113" s="676"/>
      <c r="FY113" s="676"/>
      <c r="FZ113" s="676"/>
      <c r="GA113" s="676"/>
      <c r="GB113" s="676"/>
      <c r="GC113" s="676"/>
      <c r="GD113" s="676"/>
      <c r="GE113" s="676"/>
      <c r="GF113" s="676"/>
      <c r="GG113" s="677"/>
      <c r="GH113" s="206"/>
      <c r="GI113" s="206"/>
      <c r="GJ113" s="206"/>
      <c r="GK113" s="206"/>
      <c r="GL113" s="206"/>
      <c r="GM113" s="206"/>
      <c r="GN113" s="206"/>
      <c r="GO113" s="206"/>
      <c r="GP113" s="206"/>
      <c r="GQ113" s="206"/>
      <c r="GR113" s="206"/>
      <c r="GS113" s="206"/>
    </row>
    <row r="114" spans="1:201" ht="14.65" customHeight="1" thickBot="1">
      <c r="A114" s="339"/>
      <c r="B114" s="340"/>
      <c r="C114" s="681">
        <v>2023</v>
      </c>
      <c r="D114" s="682"/>
      <c r="E114" s="682"/>
      <c r="F114" s="683"/>
      <c r="G114" s="681">
        <v>2024</v>
      </c>
      <c r="H114" s="682"/>
      <c r="I114" s="682"/>
      <c r="J114" s="683"/>
      <c r="K114" s="681">
        <v>2025</v>
      </c>
      <c r="L114" s="682"/>
      <c r="M114" s="682"/>
      <c r="N114" s="683"/>
      <c r="O114" s="681">
        <v>2026</v>
      </c>
      <c r="P114" s="682"/>
      <c r="Q114" s="682"/>
      <c r="R114" s="683"/>
      <c r="S114" s="684">
        <v>2027</v>
      </c>
      <c r="T114" s="685"/>
      <c r="U114" s="685"/>
      <c r="V114" s="686"/>
      <c r="W114" s="341"/>
      <c r="X114" s="341"/>
      <c r="Y114" s="341"/>
      <c r="Z114" s="341"/>
      <c r="AA114" s="341"/>
      <c r="AB114" s="341"/>
      <c r="AC114" s="341"/>
      <c r="AD114" s="341"/>
      <c r="AE114" s="341"/>
      <c r="AF114" s="341"/>
      <c r="AG114" s="341"/>
      <c r="AH114" s="341"/>
      <c r="AI114" s="341"/>
      <c r="AJ114" s="341"/>
      <c r="AK114" s="341"/>
      <c r="AL114" s="341"/>
      <c r="AM114" s="341"/>
      <c r="AN114" s="341"/>
      <c r="AO114" s="341"/>
      <c r="AP114" s="341"/>
      <c r="AQ114" s="674"/>
      <c r="AR114" s="674"/>
      <c r="AS114" s="674"/>
      <c r="AT114" s="674"/>
      <c r="AU114" s="674"/>
      <c r="AV114" s="336"/>
      <c r="AW114" s="336"/>
      <c r="AX114" s="336"/>
      <c r="AY114" s="336"/>
      <c r="AZ114" s="336"/>
      <c r="BA114" s="336"/>
      <c r="BB114" s="336"/>
      <c r="BC114" s="336"/>
      <c r="BD114" s="336"/>
      <c r="BE114" s="336"/>
      <c r="BF114" s="336"/>
      <c r="BG114" s="206"/>
      <c r="BH114" s="206"/>
      <c r="BI114" s="206"/>
      <c r="BJ114" s="206"/>
      <c r="BK114" s="206"/>
      <c r="BL114" s="206"/>
      <c r="BM114" s="206"/>
      <c r="BN114" s="206"/>
      <c r="BO114" s="342"/>
      <c r="BP114" s="343"/>
      <c r="BQ114" s="668">
        <v>2022</v>
      </c>
      <c r="BR114" s="668"/>
      <c r="BS114" s="668"/>
      <c r="BT114" s="668"/>
      <c r="BU114" s="668">
        <v>2023</v>
      </c>
      <c r="BV114" s="668"/>
      <c r="BW114" s="668"/>
      <c r="BX114" s="668"/>
      <c r="BY114" s="668">
        <v>2024</v>
      </c>
      <c r="BZ114" s="668"/>
      <c r="CA114" s="668"/>
      <c r="CB114" s="668"/>
      <c r="CC114" s="668">
        <v>2025</v>
      </c>
      <c r="CD114" s="668"/>
      <c r="CE114" s="668"/>
      <c r="CF114" s="668"/>
      <c r="CG114" s="666">
        <v>2026</v>
      </c>
      <c r="CH114" s="666"/>
      <c r="CI114" s="666"/>
      <c r="CJ114" s="667"/>
      <c r="CK114" s="341"/>
      <c r="CL114" s="341"/>
      <c r="CM114" s="341"/>
      <c r="CN114" s="341"/>
      <c r="CO114" s="341"/>
      <c r="CP114" s="341"/>
      <c r="CQ114" s="341"/>
      <c r="CR114" s="341"/>
      <c r="CS114" s="341"/>
      <c r="CT114" s="341"/>
      <c r="CU114" s="341"/>
      <c r="CV114" s="341"/>
      <c r="CW114" s="341"/>
      <c r="CX114" s="341"/>
      <c r="CY114" s="341"/>
      <c r="CZ114" s="341"/>
      <c r="DA114" s="341"/>
      <c r="DB114" s="341"/>
      <c r="DC114" s="341"/>
      <c r="DD114" s="341"/>
      <c r="DE114" s="679"/>
      <c r="DF114" s="674"/>
      <c r="DG114" s="674"/>
      <c r="DH114" s="674"/>
      <c r="DI114" s="680"/>
      <c r="DJ114" s="344"/>
      <c r="DK114" s="344"/>
      <c r="DL114" s="344"/>
      <c r="DM114" s="344"/>
      <c r="DN114" s="344"/>
      <c r="DO114" s="679"/>
      <c r="DP114" s="674"/>
      <c r="DQ114" s="674"/>
      <c r="DR114" s="674"/>
      <c r="DS114" s="680"/>
      <c r="DT114" s="336"/>
      <c r="DU114" s="336"/>
      <c r="DV114" s="336"/>
      <c r="DW114" s="336"/>
      <c r="DX114" s="336"/>
      <c r="DY114" s="336"/>
      <c r="DZ114" s="328"/>
      <c r="EA114" s="679"/>
      <c r="EB114" s="674"/>
      <c r="EC114" s="674"/>
      <c r="ED114" s="674"/>
      <c r="EE114" s="680"/>
      <c r="EF114" s="328"/>
      <c r="EG114" s="342"/>
      <c r="EH114" s="343"/>
      <c r="EI114" s="668">
        <v>2022</v>
      </c>
      <c r="EJ114" s="668"/>
      <c r="EK114" s="668"/>
      <c r="EL114" s="668"/>
      <c r="EM114" s="668">
        <v>2023</v>
      </c>
      <c r="EN114" s="668"/>
      <c r="EO114" s="668"/>
      <c r="EP114" s="668"/>
      <c r="EQ114" s="668">
        <v>2024</v>
      </c>
      <c r="ER114" s="668"/>
      <c r="ES114" s="668"/>
      <c r="ET114" s="668"/>
      <c r="EU114" s="668">
        <v>2025</v>
      </c>
      <c r="EV114" s="668"/>
      <c r="EW114" s="668"/>
      <c r="EX114" s="668"/>
      <c r="EY114" s="666">
        <v>2026</v>
      </c>
      <c r="EZ114" s="666"/>
      <c r="FA114" s="666"/>
      <c r="FB114" s="666"/>
      <c r="FC114" s="341"/>
      <c r="FD114" s="341"/>
      <c r="FE114" s="341"/>
      <c r="FF114" s="341"/>
      <c r="FG114" s="341"/>
      <c r="FH114" s="341"/>
      <c r="FI114" s="341"/>
      <c r="FJ114" s="341"/>
      <c r="FK114" s="341"/>
      <c r="FL114" s="341"/>
      <c r="FM114" s="341"/>
      <c r="FN114" s="341"/>
      <c r="FO114" s="341"/>
      <c r="FP114" s="341"/>
      <c r="FQ114" s="341"/>
      <c r="FR114" s="341"/>
      <c r="FS114" s="341"/>
      <c r="FT114" s="341"/>
      <c r="FU114" s="341"/>
      <c r="FV114" s="341"/>
      <c r="FW114" s="341"/>
      <c r="FX114" s="659" t="s">
        <v>58</v>
      </c>
      <c r="FY114" s="660"/>
      <c r="FZ114" s="659" t="s">
        <v>59</v>
      </c>
      <c r="GA114" s="663"/>
      <c r="GB114" s="659" t="s">
        <v>60</v>
      </c>
      <c r="GC114" s="663"/>
      <c r="GD114" s="659" t="s">
        <v>61</v>
      </c>
      <c r="GE114" s="663"/>
      <c r="GF114" s="659" t="s">
        <v>62</v>
      </c>
      <c r="GG114" s="663"/>
      <c r="GH114" s="665" t="s">
        <v>63</v>
      </c>
      <c r="GI114" s="206"/>
      <c r="GJ114" s="206"/>
      <c r="GK114" s="655" t="s">
        <v>64</v>
      </c>
      <c r="GL114" s="206"/>
      <c r="GM114" s="206"/>
      <c r="GN114" s="206"/>
      <c r="GO114" s="206"/>
      <c r="GP114" s="206"/>
      <c r="GQ114" s="206"/>
      <c r="GR114" s="206"/>
      <c r="GS114" s="206"/>
    </row>
    <row r="115" spans="1:201" ht="15" customHeight="1" thickBot="1">
      <c r="A115" s="339"/>
      <c r="B115" s="340"/>
      <c r="C115" s="340">
        <v>1</v>
      </c>
      <c r="D115" s="340">
        <v>2</v>
      </c>
      <c r="E115" s="340">
        <v>3</v>
      </c>
      <c r="F115" s="340">
        <v>4</v>
      </c>
      <c r="G115" s="340">
        <v>1</v>
      </c>
      <c r="H115" s="340">
        <v>2</v>
      </c>
      <c r="I115" s="340">
        <v>3</v>
      </c>
      <c r="J115" s="340">
        <v>4</v>
      </c>
      <c r="K115" s="340">
        <v>1</v>
      </c>
      <c r="L115" s="340">
        <v>2</v>
      </c>
      <c r="M115" s="340">
        <v>3</v>
      </c>
      <c r="N115" s="340">
        <v>4</v>
      </c>
      <c r="O115" s="340">
        <v>1</v>
      </c>
      <c r="P115" s="340">
        <v>2</v>
      </c>
      <c r="Q115" s="340">
        <v>3</v>
      </c>
      <c r="R115" s="340">
        <v>4</v>
      </c>
      <c r="S115" s="340">
        <v>1</v>
      </c>
      <c r="T115" s="340">
        <v>2</v>
      </c>
      <c r="U115" s="340">
        <v>3</v>
      </c>
      <c r="V115" s="346">
        <v>4</v>
      </c>
      <c r="W115" s="346"/>
      <c r="X115" s="346"/>
      <c r="Y115" s="346"/>
      <c r="Z115" s="346"/>
      <c r="AA115" s="346"/>
      <c r="AB115" s="346"/>
      <c r="AC115" s="346"/>
      <c r="AD115" s="346"/>
      <c r="AE115" s="346"/>
      <c r="AF115" s="346"/>
      <c r="AG115" s="346"/>
      <c r="AH115" s="346"/>
      <c r="AI115" s="346"/>
      <c r="AJ115" s="346"/>
      <c r="AK115" s="346"/>
      <c r="AL115" s="346"/>
      <c r="AM115" s="346"/>
      <c r="AN115" s="346"/>
      <c r="AO115" s="346"/>
      <c r="AP115" s="346"/>
      <c r="AQ115" s="347" t="s">
        <v>101</v>
      </c>
      <c r="AR115" s="220" t="s">
        <v>102</v>
      </c>
      <c r="AS115" s="220" t="s">
        <v>103</v>
      </c>
      <c r="AT115" s="220" t="s">
        <v>104</v>
      </c>
      <c r="AU115" s="348" t="s">
        <v>105</v>
      </c>
      <c r="AV115" s="336"/>
      <c r="AW115" s="336"/>
      <c r="AX115" s="336"/>
      <c r="AY115" s="336"/>
      <c r="AZ115" s="336"/>
      <c r="BA115" s="336"/>
      <c r="BB115" s="336"/>
      <c r="BC115" s="336"/>
      <c r="BD115" s="336"/>
      <c r="BE115" s="336"/>
      <c r="BF115" s="336"/>
      <c r="BG115" s="206"/>
      <c r="BH115" s="206"/>
      <c r="BI115" s="206"/>
      <c r="BJ115" s="206"/>
      <c r="BK115" s="206"/>
      <c r="BL115" s="206"/>
      <c r="BM115" s="206"/>
      <c r="BN115" s="206"/>
      <c r="BO115" s="342"/>
      <c r="BP115" s="343"/>
      <c r="BQ115" s="343">
        <v>1</v>
      </c>
      <c r="BR115" s="343">
        <v>2</v>
      </c>
      <c r="BS115" s="343">
        <v>3</v>
      </c>
      <c r="BT115" s="343">
        <v>4</v>
      </c>
      <c r="BU115" s="343">
        <v>1</v>
      </c>
      <c r="BV115" s="343">
        <v>2</v>
      </c>
      <c r="BW115" s="343">
        <v>3</v>
      </c>
      <c r="BX115" s="343">
        <v>4</v>
      </c>
      <c r="BY115" s="343">
        <v>1</v>
      </c>
      <c r="BZ115" s="343">
        <v>2</v>
      </c>
      <c r="CA115" s="343">
        <v>3</v>
      </c>
      <c r="CB115" s="343">
        <v>4</v>
      </c>
      <c r="CC115" s="343">
        <v>1</v>
      </c>
      <c r="CD115" s="343">
        <v>2</v>
      </c>
      <c r="CE115" s="343">
        <v>3</v>
      </c>
      <c r="CF115" s="343">
        <v>4</v>
      </c>
      <c r="CG115" s="343">
        <v>1</v>
      </c>
      <c r="CH115" s="343">
        <v>2</v>
      </c>
      <c r="CI115" s="343">
        <v>3</v>
      </c>
      <c r="CJ115" s="349">
        <v>4</v>
      </c>
      <c r="CK115" s="349"/>
      <c r="CL115" s="349"/>
      <c r="CM115" s="349"/>
      <c r="CN115" s="349"/>
      <c r="CO115" s="349"/>
      <c r="CP115" s="349"/>
      <c r="CQ115" s="349"/>
      <c r="CR115" s="349"/>
      <c r="CS115" s="349"/>
      <c r="CT115" s="349"/>
      <c r="CU115" s="349"/>
      <c r="CV115" s="349"/>
      <c r="CW115" s="349"/>
      <c r="CX115" s="349"/>
      <c r="CY115" s="349"/>
      <c r="CZ115" s="349"/>
      <c r="DA115" s="349"/>
      <c r="DB115" s="349"/>
      <c r="DC115" s="349"/>
      <c r="DD115" s="349"/>
      <c r="DE115" s="220" t="s">
        <v>101</v>
      </c>
      <c r="DF115" s="220" t="s">
        <v>102</v>
      </c>
      <c r="DG115" s="220" t="s">
        <v>103</v>
      </c>
      <c r="DH115" s="220" t="s">
        <v>104</v>
      </c>
      <c r="DI115" s="220" t="s">
        <v>105</v>
      </c>
      <c r="DJ115" s="220"/>
      <c r="DK115" s="220"/>
      <c r="DL115" s="220"/>
      <c r="DM115" s="220"/>
      <c r="DN115" s="220"/>
      <c r="DO115" s="220" t="s">
        <v>101</v>
      </c>
      <c r="DP115" s="220" t="s">
        <v>102</v>
      </c>
      <c r="DQ115" s="220" t="s">
        <v>103</v>
      </c>
      <c r="DR115" s="220" t="s">
        <v>104</v>
      </c>
      <c r="DS115" s="220" t="s">
        <v>105</v>
      </c>
      <c r="DT115" s="336"/>
      <c r="DU115" s="336"/>
      <c r="DV115" s="336"/>
      <c r="DW115" s="336"/>
      <c r="DX115" s="336"/>
      <c r="DY115" s="336"/>
      <c r="DZ115" s="328"/>
      <c r="EA115" s="350" t="s">
        <v>67</v>
      </c>
      <c r="EB115" s="350" t="s">
        <v>68</v>
      </c>
      <c r="EC115" s="350" t="s">
        <v>69</v>
      </c>
      <c r="ED115" s="350" t="s">
        <v>70</v>
      </c>
      <c r="EE115" s="350" t="s">
        <v>71</v>
      </c>
      <c r="EF115" s="328"/>
      <c r="EG115" s="342"/>
      <c r="EH115" s="343"/>
      <c r="EI115" s="343">
        <v>1</v>
      </c>
      <c r="EJ115" s="343">
        <v>2</v>
      </c>
      <c r="EK115" s="343">
        <v>3</v>
      </c>
      <c r="EL115" s="343">
        <v>4</v>
      </c>
      <c r="EM115" s="343">
        <v>1</v>
      </c>
      <c r="EN115" s="343">
        <v>2</v>
      </c>
      <c r="EO115" s="343">
        <v>3</v>
      </c>
      <c r="EP115" s="343">
        <v>4</v>
      </c>
      <c r="EQ115" s="343">
        <v>1</v>
      </c>
      <c r="ER115" s="343">
        <v>2</v>
      </c>
      <c r="ES115" s="343">
        <v>3</v>
      </c>
      <c r="ET115" s="343">
        <v>4</v>
      </c>
      <c r="EU115" s="343">
        <v>1</v>
      </c>
      <c r="EV115" s="343">
        <v>2</v>
      </c>
      <c r="EW115" s="343">
        <v>3</v>
      </c>
      <c r="EX115" s="343">
        <v>4</v>
      </c>
      <c r="EY115" s="343">
        <v>1</v>
      </c>
      <c r="EZ115" s="343">
        <v>2</v>
      </c>
      <c r="FA115" s="343">
        <v>3</v>
      </c>
      <c r="FB115" s="343">
        <v>4</v>
      </c>
      <c r="FC115" s="343"/>
      <c r="FD115" s="343"/>
      <c r="FE115" s="343"/>
      <c r="FF115" s="343"/>
      <c r="FG115" s="343"/>
      <c r="FH115" s="343"/>
      <c r="FI115" s="343"/>
      <c r="FJ115" s="343"/>
      <c r="FK115" s="343"/>
      <c r="FL115" s="343"/>
      <c r="FM115" s="343"/>
      <c r="FN115" s="343"/>
      <c r="FO115" s="343"/>
      <c r="FP115" s="343"/>
      <c r="FQ115" s="343"/>
      <c r="FR115" s="343"/>
      <c r="FS115" s="343"/>
      <c r="FT115" s="343"/>
      <c r="FU115" s="343"/>
      <c r="FV115" s="343"/>
      <c r="FW115" s="343"/>
      <c r="FX115" s="661"/>
      <c r="FY115" s="662"/>
      <c r="FZ115" s="661"/>
      <c r="GA115" s="664"/>
      <c r="GB115" s="661"/>
      <c r="GC115" s="664"/>
      <c r="GD115" s="661"/>
      <c r="GE115" s="664"/>
      <c r="GF115" s="661"/>
      <c r="GG115" s="664"/>
      <c r="GH115" s="665"/>
      <c r="GI115" s="206"/>
      <c r="GJ115" s="206"/>
      <c r="GK115" s="655"/>
      <c r="GL115" s="206"/>
      <c r="GM115" s="206"/>
      <c r="GN115" s="206"/>
      <c r="GO115" s="206"/>
      <c r="GP115" s="206"/>
      <c r="GQ115" s="206"/>
      <c r="GR115" s="206"/>
      <c r="GS115" s="206"/>
    </row>
    <row r="116" spans="1:201" ht="14.65" customHeight="1" thickBot="1">
      <c r="A116" s="636">
        <v>1</v>
      </c>
      <c r="B116" s="208" t="s">
        <v>15</v>
      </c>
      <c r="C116" s="353">
        <f t="shared" ref="C116:D131" si="141">(IF(FA4=1,IF(C4&lt;=$BJ$48,C4*1000*$BI4,$BJ$48*1000*$BI4),IF(FA4*$BJ$48&gt;=C4,C4*1000*$BI4,FA4*1000*$BJ$48*$BI4)))*90*$C$26</f>
        <v>0</v>
      </c>
      <c r="D116" s="353">
        <f t="shared" si="141"/>
        <v>0</v>
      </c>
      <c r="E116" s="353">
        <f t="shared" ref="E116:V130" si="142">(IF(FX4=1,IF(E4&lt;=$BJ$48,E4*1000*$BI4,$BJ$48*1000*$BI4),IF(FX4*$BJ$48&gt;=E4,E4*1000*$BI4,FX4*1000*$BJ$48*$BI4)))*90*$C$26</f>
        <v>0</v>
      </c>
      <c r="F116" s="353">
        <f t="shared" si="142"/>
        <v>0</v>
      </c>
      <c r="G116" s="353">
        <f t="shared" si="142"/>
        <v>0</v>
      </c>
      <c r="H116" s="353">
        <f t="shared" si="142"/>
        <v>0</v>
      </c>
      <c r="I116" s="353">
        <f t="shared" si="142"/>
        <v>0</v>
      </c>
      <c r="J116" s="353">
        <f t="shared" si="142"/>
        <v>0</v>
      </c>
      <c r="K116" s="353">
        <f t="shared" si="142"/>
        <v>0</v>
      </c>
      <c r="L116" s="353">
        <f t="shared" si="142"/>
        <v>0</v>
      </c>
      <c r="M116" s="353">
        <f t="shared" si="142"/>
        <v>0</v>
      </c>
      <c r="N116" s="353">
        <f t="shared" si="142"/>
        <v>0</v>
      </c>
      <c r="O116" s="353">
        <f t="shared" si="142"/>
        <v>0</v>
      </c>
      <c r="P116" s="353">
        <f t="shared" si="142"/>
        <v>0</v>
      </c>
      <c r="Q116" s="353">
        <f t="shared" si="142"/>
        <v>0</v>
      </c>
      <c r="R116" s="353">
        <f t="shared" si="142"/>
        <v>0</v>
      </c>
      <c r="S116" s="353">
        <f t="shared" si="142"/>
        <v>0</v>
      </c>
      <c r="T116" s="353">
        <f t="shared" si="142"/>
        <v>0</v>
      </c>
      <c r="U116" s="353">
        <f t="shared" si="142"/>
        <v>0</v>
      </c>
      <c r="V116" s="353">
        <f t="shared" si="142"/>
        <v>0</v>
      </c>
      <c r="W116" s="353"/>
      <c r="X116" s="353"/>
      <c r="Y116" s="353"/>
      <c r="Z116" s="353"/>
      <c r="AA116" s="353"/>
      <c r="AB116" s="353"/>
      <c r="AC116" s="353"/>
      <c r="AD116" s="353"/>
      <c r="AE116" s="353"/>
      <c r="AF116" s="353"/>
      <c r="AG116" s="353"/>
      <c r="AH116" s="353"/>
      <c r="AI116" s="353"/>
      <c r="AJ116" s="353"/>
      <c r="AK116" s="353"/>
      <c r="AL116" s="353"/>
      <c r="AM116" s="353"/>
      <c r="AN116" s="353"/>
      <c r="AO116" s="353"/>
      <c r="AP116" s="353"/>
      <c r="AQ116" s="235">
        <f>SUM(C116:F116)</f>
        <v>0</v>
      </c>
      <c r="AR116" s="235">
        <f t="shared" ref="AR116:AR124" si="143">SUM(G116:J116)</f>
        <v>0</v>
      </c>
      <c r="AS116" s="235">
        <f t="shared" ref="AS116:AS129" si="144">SUM(K116:N116)</f>
        <v>0</v>
      </c>
      <c r="AT116" s="235">
        <f t="shared" ref="AT116:AT135" si="145">SUM(O116:R116)</f>
        <v>0</v>
      </c>
      <c r="AU116" s="235">
        <f t="shared" ref="AU116:AU135" si="146">SUM(S116:V116)</f>
        <v>0</v>
      </c>
      <c r="AV116" s="354"/>
      <c r="AW116" s="354"/>
      <c r="AX116" s="354"/>
      <c r="AY116" s="354"/>
      <c r="AZ116" s="354"/>
      <c r="BA116" s="354"/>
      <c r="BB116" s="354"/>
      <c r="BC116" s="354"/>
      <c r="BD116" s="354"/>
      <c r="BE116" s="354"/>
      <c r="BF116" s="354"/>
      <c r="BG116" s="206"/>
      <c r="BH116" s="206"/>
      <c r="BI116" s="206"/>
      <c r="BJ116" s="206"/>
      <c r="BK116" s="206"/>
      <c r="BL116" s="206"/>
      <c r="BM116" s="206"/>
      <c r="BN116" s="206"/>
      <c r="BO116" s="636">
        <v>1</v>
      </c>
      <c r="BP116" s="208" t="s">
        <v>15</v>
      </c>
      <c r="BQ116" s="355">
        <f t="shared" ref="BQ116:BR131" si="147">FA4*$DO4*90</f>
        <v>0</v>
      </c>
      <c r="BR116" s="355">
        <f t="shared" si="147"/>
        <v>0</v>
      </c>
      <c r="BS116" s="355">
        <f t="shared" ref="BS116:CJ130" si="148">FX4*$DO4*90</f>
        <v>0</v>
      </c>
      <c r="BT116" s="355">
        <f t="shared" si="148"/>
        <v>0</v>
      </c>
      <c r="BU116" s="355">
        <f t="shared" si="148"/>
        <v>0</v>
      </c>
      <c r="BV116" s="355">
        <f t="shared" si="148"/>
        <v>0</v>
      </c>
      <c r="BW116" s="355">
        <f t="shared" si="148"/>
        <v>0</v>
      </c>
      <c r="BX116" s="355">
        <f t="shared" si="148"/>
        <v>0</v>
      </c>
      <c r="BY116" s="355">
        <f t="shared" si="148"/>
        <v>0</v>
      </c>
      <c r="BZ116" s="355">
        <f t="shared" si="148"/>
        <v>0</v>
      </c>
      <c r="CA116" s="355">
        <f t="shared" si="148"/>
        <v>0</v>
      </c>
      <c r="CB116" s="355">
        <f t="shared" si="148"/>
        <v>0</v>
      </c>
      <c r="CC116" s="355">
        <f t="shared" si="148"/>
        <v>0</v>
      </c>
      <c r="CD116" s="355">
        <f t="shared" si="148"/>
        <v>0</v>
      </c>
      <c r="CE116" s="355">
        <f t="shared" si="148"/>
        <v>0</v>
      </c>
      <c r="CF116" s="355">
        <f t="shared" si="148"/>
        <v>0</v>
      </c>
      <c r="CG116" s="355">
        <f t="shared" si="148"/>
        <v>0</v>
      </c>
      <c r="CH116" s="355">
        <f t="shared" si="148"/>
        <v>0</v>
      </c>
      <c r="CI116" s="355">
        <f t="shared" si="148"/>
        <v>0</v>
      </c>
      <c r="CJ116" s="355">
        <f t="shared" si="148"/>
        <v>0</v>
      </c>
      <c r="CK116" s="355"/>
      <c r="CL116" s="355"/>
      <c r="CM116" s="355"/>
      <c r="CN116" s="355"/>
      <c r="CO116" s="355"/>
      <c r="CP116" s="355"/>
      <c r="CQ116" s="355"/>
      <c r="CR116" s="355"/>
      <c r="CS116" s="355"/>
      <c r="CT116" s="355"/>
      <c r="CU116" s="355"/>
      <c r="CV116" s="355"/>
      <c r="CW116" s="355"/>
      <c r="CX116" s="355"/>
      <c r="CY116" s="355"/>
      <c r="CZ116" s="355"/>
      <c r="DA116" s="355"/>
      <c r="DB116" s="355"/>
      <c r="DC116" s="355"/>
      <c r="DD116" s="355"/>
      <c r="DE116" s="234">
        <f>SUM(BQ116:BT116)</f>
        <v>0</v>
      </c>
      <c r="DF116" s="235">
        <f>SUM(BU116:BX116)</f>
        <v>0</v>
      </c>
      <c r="DG116" s="235">
        <f>SUM(BY116:CB116)</f>
        <v>0</v>
      </c>
      <c r="DH116" s="235">
        <f>SUM(CC116:CF116)</f>
        <v>0</v>
      </c>
      <c r="DI116" s="236">
        <f>SUM(CG116:CJ116)</f>
        <v>0</v>
      </c>
      <c r="DJ116" s="356"/>
      <c r="DK116" s="356"/>
      <c r="DL116" s="356"/>
      <c r="DM116" s="356"/>
      <c r="DN116" s="356"/>
      <c r="DO116" s="234">
        <f t="shared" ref="DO116:DS131" si="149">AQ116-DE116</f>
        <v>0</v>
      </c>
      <c r="DP116" s="235">
        <f t="shared" si="149"/>
        <v>0</v>
      </c>
      <c r="DQ116" s="235">
        <f t="shared" si="149"/>
        <v>0</v>
      </c>
      <c r="DR116" s="235">
        <f t="shared" si="149"/>
        <v>0</v>
      </c>
      <c r="DS116" s="236">
        <f t="shared" si="149"/>
        <v>0</v>
      </c>
      <c r="DT116" s="357"/>
      <c r="DU116" s="357"/>
      <c r="DV116" s="357"/>
      <c r="DW116" s="357"/>
      <c r="DX116" s="357"/>
      <c r="DY116" s="357"/>
      <c r="DZ116" s="689">
        <v>1</v>
      </c>
      <c r="EA116" s="358">
        <f>1.1*DE116</f>
        <v>0</v>
      </c>
      <c r="EB116" s="358">
        <f>1.1*DG116</f>
        <v>0</v>
      </c>
      <c r="EC116" s="358">
        <f>1.1*DI116</f>
        <v>0</v>
      </c>
      <c r="ED116" s="358">
        <f>1.1*DP116</f>
        <v>0</v>
      </c>
      <c r="EE116" s="358">
        <f>1.1*DR116</f>
        <v>0</v>
      </c>
      <c r="EF116" s="328"/>
      <c r="EG116" s="656">
        <v>1</v>
      </c>
      <c r="EH116" s="359" t="s">
        <v>15</v>
      </c>
      <c r="EI116" s="355">
        <f t="shared" ref="EI116:EX131" si="150">C116-BQ116</f>
        <v>0</v>
      </c>
      <c r="EJ116" s="355">
        <f t="shared" si="150"/>
        <v>0</v>
      </c>
      <c r="EK116" s="355">
        <f t="shared" si="150"/>
        <v>0</v>
      </c>
      <c r="EL116" s="355">
        <f t="shared" si="150"/>
        <v>0</v>
      </c>
      <c r="EM116" s="355">
        <f t="shared" si="150"/>
        <v>0</v>
      </c>
      <c r="EN116" s="355">
        <f t="shared" si="150"/>
        <v>0</v>
      </c>
      <c r="EO116" s="355">
        <f t="shared" si="150"/>
        <v>0</v>
      </c>
      <c r="EP116" s="355">
        <f t="shared" si="150"/>
        <v>0</v>
      </c>
      <c r="EQ116" s="355">
        <f t="shared" si="150"/>
        <v>0</v>
      </c>
      <c r="ER116" s="355">
        <f t="shared" si="150"/>
        <v>0</v>
      </c>
      <c r="ES116" s="355">
        <f t="shared" si="150"/>
        <v>0</v>
      </c>
      <c r="ET116" s="355">
        <f t="shared" si="150"/>
        <v>0</v>
      </c>
      <c r="EU116" s="355">
        <f t="shared" si="150"/>
        <v>0</v>
      </c>
      <c r="EV116" s="355">
        <f t="shared" si="150"/>
        <v>0</v>
      </c>
      <c r="EW116" s="355">
        <f t="shared" si="150"/>
        <v>0</v>
      </c>
      <c r="EX116" s="355">
        <f t="shared" si="150"/>
        <v>0</v>
      </c>
      <c r="EY116" s="355">
        <f t="shared" ref="EY116:FB132" si="151">S116-CG116</f>
        <v>0</v>
      </c>
      <c r="EZ116" s="355">
        <f t="shared" si="151"/>
        <v>0</v>
      </c>
      <c r="FA116" s="355">
        <f t="shared" si="151"/>
        <v>0</v>
      </c>
      <c r="FB116" s="355">
        <f t="shared" si="151"/>
        <v>0</v>
      </c>
      <c r="FC116" s="355"/>
      <c r="FD116" s="355"/>
      <c r="FE116" s="355"/>
      <c r="FF116" s="355"/>
      <c r="FG116" s="355"/>
      <c r="FH116" s="355"/>
      <c r="FI116" s="355"/>
      <c r="FJ116" s="355"/>
      <c r="FK116" s="355"/>
      <c r="FL116" s="355"/>
      <c r="FM116" s="355"/>
      <c r="FN116" s="355"/>
      <c r="FO116" s="355"/>
      <c r="FP116" s="355"/>
      <c r="FQ116" s="355"/>
      <c r="FR116" s="355"/>
      <c r="FS116" s="355"/>
      <c r="FT116" s="355"/>
      <c r="FU116" s="355"/>
      <c r="FV116" s="355"/>
      <c r="FW116" s="355"/>
      <c r="FX116" s="360">
        <f>AVERAGE(EI116:EL116)</f>
        <v>0</v>
      </c>
      <c r="FY116" s="657">
        <f>SUM(FX116:FX120)</f>
        <v>0</v>
      </c>
      <c r="FZ116" s="360">
        <f t="shared" ref="FZ116:FZ124" si="152">AVERAGE(EM116:EP116)</f>
        <v>0</v>
      </c>
      <c r="GA116" s="657">
        <f>SUM(FZ116:FZ120)</f>
        <v>0</v>
      </c>
      <c r="GB116" s="360">
        <f t="shared" ref="GB116:GB128" si="153">AVERAGE(EQ116:ET116)</f>
        <v>0</v>
      </c>
      <c r="GC116" s="657">
        <f>SUM(GB116:GB120)</f>
        <v>0</v>
      </c>
      <c r="GD116" s="360">
        <f t="shared" ref="GD116:GD132" si="154">AVERAGE(EU116:EX116)</f>
        <v>0</v>
      </c>
      <c r="GE116" s="657">
        <f>SUM(GD116:GD120)</f>
        <v>0</v>
      </c>
      <c r="GF116" s="360">
        <f t="shared" ref="GF116:GF132" si="155">AVERAGE(EY116:FB116)</f>
        <v>0</v>
      </c>
      <c r="GG116" s="657">
        <f>SUM(GF116:GF120)</f>
        <v>0</v>
      </c>
      <c r="GH116" s="639">
        <f>GG116+GE116+GC116+GA116+FY116</f>
        <v>0</v>
      </c>
      <c r="GI116" s="206"/>
      <c r="GJ116" s="656">
        <v>1</v>
      </c>
      <c r="GK116" s="635">
        <f>SUM(EK116:FB120)</f>
        <v>0</v>
      </c>
      <c r="GL116" s="206"/>
      <c r="GM116" s="206"/>
      <c r="GN116" s="206"/>
      <c r="GO116" s="206"/>
      <c r="GP116" s="206"/>
      <c r="GQ116" s="206"/>
      <c r="GR116" s="206"/>
      <c r="GS116" s="206"/>
    </row>
    <row r="117" spans="1:201" ht="14.65" customHeight="1" thickBot="1">
      <c r="A117" s="636"/>
      <c r="B117" s="208" t="s">
        <v>16</v>
      </c>
      <c r="C117" s="353">
        <f t="shared" si="141"/>
        <v>0</v>
      </c>
      <c r="D117" s="353">
        <f t="shared" si="141"/>
        <v>0</v>
      </c>
      <c r="E117" s="353">
        <f t="shared" si="142"/>
        <v>0</v>
      </c>
      <c r="F117" s="353">
        <f t="shared" si="142"/>
        <v>0</v>
      </c>
      <c r="G117" s="353">
        <f t="shared" si="142"/>
        <v>0</v>
      </c>
      <c r="H117" s="353">
        <f t="shared" si="142"/>
        <v>0</v>
      </c>
      <c r="I117" s="353">
        <f t="shared" si="142"/>
        <v>0</v>
      </c>
      <c r="J117" s="353">
        <f t="shared" si="142"/>
        <v>0</v>
      </c>
      <c r="K117" s="353">
        <f t="shared" si="142"/>
        <v>0</v>
      </c>
      <c r="L117" s="353">
        <f t="shared" si="142"/>
        <v>0</v>
      </c>
      <c r="M117" s="353">
        <f t="shared" si="142"/>
        <v>0</v>
      </c>
      <c r="N117" s="353">
        <f t="shared" si="142"/>
        <v>0</v>
      </c>
      <c r="O117" s="353">
        <f t="shared" si="142"/>
        <v>0</v>
      </c>
      <c r="P117" s="353">
        <f t="shared" si="142"/>
        <v>0</v>
      </c>
      <c r="Q117" s="353">
        <f t="shared" si="142"/>
        <v>0</v>
      </c>
      <c r="R117" s="353">
        <f t="shared" si="142"/>
        <v>0</v>
      </c>
      <c r="S117" s="353">
        <f t="shared" si="142"/>
        <v>0</v>
      </c>
      <c r="T117" s="353">
        <f t="shared" si="142"/>
        <v>0</v>
      </c>
      <c r="U117" s="353">
        <f t="shared" si="142"/>
        <v>0</v>
      </c>
      <c r="V117" s="353">
        <f t="shared" si="142"/>
        <v>0</v>
      </c>
      <c r="W117" s="353"/>
      <c r="X117" s="353"/>
      <c r="Y117" s="353"/>
      <c r="Z117" s="353"/>
      <c r="AA117" s="353"/>
      <c r="AB117" s="353"/>
      <c r="AC117" s="353"/>
      <c r="AD117" s="353"/>
      <c r="AE117" s="353"/>
      <c r="AF117" s="353"/>
      <c r="AG117" s="353"/>
      <c r="AH117" s="353"/>
      <c r="AI117" s="353"/>
      <c r="AJ117" s="353"/>
      <c r="AK117" s="353"/>
      <c r="AL117" s="353"/>
      <c r="AM117" s="353"/>
      <c r="AN117" s="353"/>
      <c r="AO117" s="353"/>
      <c r="AP117" s="353"/>
      <c r="AQ117" s="235">
        <f>SUM(C117:F117)</f>
        <v>0</v>
      </c>
      <c r="AR117" s="235">
        <f t="shared" si="143"/>
        <v>0</v>
      </c>
      <c r="AS117" s="235">
        <f t="shared" si="144"/>
        <v>0</v>
      </c>
      <c r="AT117" s="235">
        <f t="shared" si="145"/>
        <v>0</v>
      </c>
      <c r="AU117" s="235">
        <f t="shared" si="146"/>
        <v>0</v>
      </c>
      <c r="AV117" s="354"/>
      <c r="AW117" s="354"/>
      <c r="AX117" s="354"/>
      <c r="AY117" s="354"/>
      <c r="AZ117" s="354"/>
      <c r="BA117" s="354"/>
      <c r="BB117" s="354"/>
      <c r="BC117" s="354"/>
      <c r="BD117" s="354"/>
      <c r="BE117" s="354"/>
      <c r="BF117" s="354"/>
      <c r="BG117" s="206"/>
      <c r="BH117" s="206"/>
      <c r="BI117" s="206"/>
      <c r="BJ117" s="206"/>
      <c r="BK117" s="206"/>
      <c r="BL117" s="206"/>
      <c r="BM117" s="206"/>
      <c r="BN117" s="206"/>
      <c r="BO117" s="636"/>
      <c r="BP117" s="208" t="s">
        <v>16</v>
      </c>
      <c r="BQ117" s="355">
        <f t="shared" si="147"/>
        <v>0</v>
      </c>
      <c r="BR117" s="355">
        <f t="shared" si="147"/>
        <v>0</v>
      </c>
      <c r="BS117" s="355">
        <f t="shared" si="148"/>
        <v>0</v>
      </c>
      <c r="BT117" s="355">
        <f t="shared" si="148"/>
        <v>0</v>
      </c>
      <c r="BU117" s="355">
        <f t="shared" si="148"/>
        <v>0</v>
      </c>
      <c r="BV117" s="355">
        <f t="shared" si="148"/>
        <v>0</v>
      </c>
      <c r="BW117" s="355">
        <f t="shared" si="148"/>
        <v>0</v>
      </c>
      <c r="BX117" s="355">
        <f t="shared" si="148"/>
        <v>0</v>
      </c>
      <c r="BY117" s="355">
        <f t="shared" si="148"/>
        <v>0</v>
      </c>
      <c r="BZ117" s="355">
        <f t="shared" si="148"/>
        <v>0</v>
      </c>
      <c r="CA117" s="355">
        <f t="shared" si="148"/>
        <v>0</v>
      </c>
      <c r="CB117" s="355">
        <f t="shared" si="148"/>
        <v>0</v>
      </c>
      <c r="CC117" s="355">
        <f t="shared" si="148"/>
        <v>0</v>
      </c>
      <c r="CD117" s="355">
        <f t="shared" si="148"/>
        <v>0</v>
      </c>
      <c r="CE117" s="355">
        <f t="shared" si="148"/>
        <v>0</v>
      </c>
      <c r="CF117" s="355">
        <f t="shared" si="148"/>
        <v>0</v>
      </c>
      <c r="CG117" s="355">
        <f t="shared" si="148"/>
        <v>0</v>
      </c>
      <c r="CH117" s="355">
        <f t="shared" si="148"/>
        <v>0</v>
      </c>
      <c r="CI117" s="355">
        <f t="shared" si="148"/>
        <v>0</v>
      </c>
      <c r="CJ117" s="355">
        <f t="shared" si="148"/>
        <v>0</v>
      </c>
      <c r="CK117" s="355"/>
      <c r="CL117" s="355"/>
      <c r="CM117" s="355"/>
      <c r="CN117" s="355"/>
      <c r="CO117" s="355"/>
      <c r="CP117" s="355"/>
      <c r="CQ117" s="355"/>
      <c r="CR117" s="355"/>
      <c r="CS117" s="355"/>
      <c r="CT117" s="355"/>
      <c r="CU117" s="355"/>
      <c r="CV117" s="355"/>
      <c r="CW117" s="355"/>
      <c r="CX117" s="355"/>
      <c r="CY117" s="355"/>
      <c r="CZ117" s="355"/>
      <c r="DA117" s="355"/>
      <c r="DB117" s="355"/>
      <c r="DC117" s="355"/>
      <c r="DD117" s="355"/>
      <c r="DE117" s="234">
        <f t="shared" ref="DE117:DE120" si="156">SUM(BQ117:BT117)</f>
        <v>0</v>
      </c>
      <c r="DF117" s="235">
        <f t="shared" ref="DF117:DF124" si="157">SUM(BU117:BX117)</f>
        <v>0</v>
      </c>
      <c r="DG117" s="235">
        <f t="shared" ref="DG117:DG128" si="158">SUM(BY117:CB117)</f>
        <v>0</v>
      </c>
      <c r="DH117" s="235">
        <f t="shared" ref="DH117:DH132" si="159">SUM(CC117:CF117)</f>
        <v>0</v>
      </c>
      <c r="DI117" s="236">
        <f t="shared" ref="DI117:DI132" si="160">SUM(CG117:CJ117)</f>
        <v>0</v>
      </c>
      <c r="DJ117" s="356"/>
      <c r="DK117" s="356"/>
      <c r="DL117" s="356"/>
      <c r="DM117" s="356"/>
      <c r="DN117" s="356"/>
      <c r="DO117" s="234">
        <f t="shared" si="149"/>
        <v>0</v>
      </c>
      <c r="DP117" s="235">
        <f t="shared" si="149"/>
        <v>0</v>
      </c>
      <c r="DQ117" s="235">
        <f t="shared" si="149"/>
        <v>0</v>
      </c>
      <c r="DR117" s="235">
        <f t="shared" si="149"/>
        <v>0</v>
      </c>
      <c r="DS117" s="236">
        <f t="shared" si="149"/>
        <v>0</v>
      </c>
      <c r="DT117" s="357"/>
      <c r="DU117" s="357"/>
      <c r="DV117" s="357"/>
      <c r="DW117" s="357"/>
      <c r="DX117" s="357"/>
      <c r="DY117" s="357"/>
      <c r="DZ117" s="687"/>
      <c r="EA117" s="358">
        <f t="shared" ref="EA117:EA119" si="161">1.1*DE117</f>
        <v>0</v>
      </c>
      <c r="EB117" s="358">
        <f t="shared" ref="EB117:EB123" si="162">1.1*DG117</f>
        <v>0</v>
      </c>
      <c r="EC117" s="358">
        <f t="shared" ref="EC117:EC126" si="163">1.1*DI117</f>
        <v>0</v>
      </c>
      <c r="ED117" s="358">
        <f t="shared" ref="ED117:ED130" si="164">1.1*DP117</f>
        <v>0</v>
      </c>
      <c r="EE117" s="358">
        <f t="shared" ref="EE117:EE130" si="165">1.1*DR117</f>
        <v>0</v>
      </c>
      <c r="EF117" s="328"/>
      <c r="EG117" s="636"/>
      <c r="EH117" s="361" t="s">
        <v>16</v>
      </c>
      <c r="EI117" s="355">
        <f t="shared" si="150"/>
        <v>0</v>
      </c>
      <c r="EJ117" s="355">
        <f t="shared" si="150"/>
        <v>0</v>
      </c>
      <c r="EK117" s="355">
        <f t="shared" si="150"/>
        <v>0</v>
      </c>
      <c r="EL117" s="355">
        <f t="shared" si="150"/>
        <v>0</v>
      </c>
      <c r="EM117" s="355">
        <f t="shared" si="150"/>
        <v>0</v>
      </c>
      <c r="EN117" s="355">
        <f t="shared" si="150"/>
        <v>0</v>
      </c>
      <c r="EO117" s="355">
        <f t="shared" si="150"/>
        <v>0</v>
      </c>
      <c r="EP117" s="355">
        <f t="shared" si="150"/>
        <v>0</v>
      </c>
      <c r="EQ117" s="355">
        <f t="shared" si="150"/>
        <v>0</v>
      </c>
      <c r="ER117" s="355">
        <f t="shared" si="150"/>
        <v>0</v>
      </c>
      <c r="ES117" s="355">
        <f t="shared" si="150"/>
        <v>0</v>
      </c>
      <c r="ET117" s="355">
        <f t="shared" si="150"/>
        <v>0</v>
      </c>
      <c r="EU117" s="355">
        <f t="shared" si="150"/>
        <v>0</v>
      </c>
      <c r="EV117" s="355">
        <f t="shared" si="150"/>
        <v>0</v>
      </c>
      <c r="EW117" s="355">
        <f t="shared" si="150"/>
        <v>0</v>
      </c>
      <c r="EX117" s="355">
        <f t="shared" si="150"/>
        <v>0</v>
      </c>
      <c r="EY117" s="355">
        <f t="shared" si="151"/>
        <v>0</v>
      </c>
      <c r="EZ117" s="355">
        <f t="shared" si="151"/>
        <v>0</v>
      </c>
      <c r="FA117" s="355">
        <f t="shared" si="151"/>
        <v>0</v>
      </c>
      <c r="FB117" s="355">
        <f t="shared" si="151"/>
        <v>0</v>
      </c>
      <c r="FC117" s="355"/>
      <c r="FD117" s="355"/>
      <c r="FE117" s="355"/>
      <c r="FF117" s="355"/>
      <c r="FG117" s="355"/>
      <c r="FH117" s="355"/>
      <c r="FI117" s="355"/>
      <c r="FJ117" s="355"/>
      <c r="FK117" s="355"/>
      <c r="FL117" s="355"/>
      <c r="FM117" s="355"/>
      <c r="FN117" s="355"/>
      <c r="FO117" s="355"/>
      <c r="FP117" s="355"/>
      <c r="FQ117" s="355"/>
      <c r="FR117" s="355"/>
      <c r="FS117" s="355"/>
      <c r="FT117" s="355"/>
      <c r="FU117" s="355"/>
      <c r="FV117" s="355"/>
      <c r="FW117" s="355"/>
      <c r="FX117" s="360">
        <f>AVERAGE(EI117:EL117)</f>
        <v>0</v>
      </c>
      <c r="FY117" s="637"/>
      <c r="FZ117" s="360">
        <f t="shared" si="152"/>
        <v>0</v>
      </c>
      <c r="GA117" s="637"/>
      <c r="GB117" s="360">
        <f t="shared" si="153"/>
        <v>0</v>
      </c>
      <c r="GC117" s="637"/>
      <c r="GD117" s="360">
        <f t="shared" si="154"/>
        <v>0</v>
      </c>
      <c r="GE117" s="637"/>
      <c r="GF117" s="360">
        <f t="shared" si="155"/>
        <v>0</v>
      </c>
      <c r="GG117" s="637"/>
      <c r="GH117" s="640"/>
      <c r="GI117" s="206"/>
      <c r="GJ117" s="636"/>
      <c r="GK117" s="635"/>
      <c r="GL117" s="206"/>
      <c r="GM117" s="206"/>
      <c r="GN117" s="206"/>
      <c r="GO117" s="206"/>
      <c r="GP117" s="206"/>
      <c r="GQ117" s="206"/>
      <c r="GR117" s="206"/>
      <c r="GS117" s="206"/>
    </row>
    <row r="118" spans="1:201" ht="14.65" customHeight="1" thickBot="1">
      <c r="A118" s="636"/>
      <c r="B118" s="208" t="s">
        <v>17</v>
      </c>
      <c r="C118" s="353">
        <f t="shared" si="141"/>
        <v>0</v>
      </c>
      <c r="D118" s="353">
        <f t="shared" si="141"/>
        <v>0</v>
      </c>
      <c r="E118" s="353">
        <f t="shared" si="142"/>
        <v>0</v>
      </c>
      <c r="F118" s="353">
        <f t="shared" si="142"/>
        <v>0</v>
      </c>
      <c r="G118" s="353">
        <f t="shared" si="142"/>
        <v>0</v>
      </c>
      <c r="H118" s="353">
        <f t="shared" si="142"/>
        <v>0</v>
      </c>
      <c r="I118" s="353">
        <f t="shared" si="142"/>
        <v>0</v>
      </c>
      <c r="J118" s="353">
        <f t="shared" si="142"/>
        <v>0</v>
      </c>
      <c r="K118" s="353">
        <f t="shared" si="142"/>
        <v>0</v>
      </c>
      <c r="L118" s="353">
        <f t="shared" si="142"/>
        <v>0</v>
      </c>
      <c r="M118" s="353">
        <f t="shared" si="142"/>
        <v>0</v>
      </c>
      <c r="N118" s="353">
        <f t="shared" si="142"/>
        <v>0</v>
      </c>
      <c r="O118" s="353">
        <f t="shared" si="142"/>
        <v>0</v>
      </c>
      <c r="P118" s="353">
        <f t="shared" si="142"/>
        <v>0</v>
      </c>
      <c r="Q118" s="353">
        <f t="shared" si="142"/>
        <v>0</v>
      </c>
      <c r="R118" s="353">
        <f t="shared" si="142"/>
        <v>0</v>
      </c>
      <c r="S118" s="353">
        <f t="shared" si="142"/>
        <v>0</v>
      </c>
      <c r="T118" s="353">
        <f t="shared" si="142"/>
        <v>0</v>
      </c>
      <c r="U118" s="353">
        <f t="shared" si="142"/>
        <v>0</v>
      </c>
      <c r="V118" s="353">
        <f t="shared" si="142"/>
        <v>0</v>
      </c>
      <c r="W118" s="353"/>
      <c r="X118" s="353"/>
      <c r="Y118" s="353"/>
      <c r="Z118" s="353"/>
      <c r="AA118" s="353"/>
      <c r="AB118" s="353"/>
      <c r="AC118" s="353"/>
      <c r="AD118" s="353"/>
      <c r="AE118" s="353"/>
      <c r="AF118" s="353"/>
      <c r="AG118" s="353"/>
      <c r="AH118" s="353"/>
      <c r="AI118" s="353"/>
      <c r="AJ118" s="353"/>
      <c r="AK118" s="353"/>
      <c r="AL118" s="353"/>
      <c r="AM118" s="353"/>
      <c r="AN118" s="353"/>
      <c r="AO118" s="353"/>
      <c r="AP118" s="353"/>
      <c r="AQ118" s="235">
        <f>SUM(C118:F118)</f>
        <v>0</v>
      </c>
      <c r="AR118" s="235">
        <f t="shared" si="143"/>
        <v>0</v>
      </c>
      <c r="AS118" s="235">
        <f t="shared" si="144"/>
        <v>0</v>
      </c>
      <c r="AT118" s="235">
        <f t="shared" si="145"/>
        <v>0</v>
      </c>
      <c r="AU118" s="235">
        <f t="shared" si="146"/>
        <v>0</v>
      </c>
      <c r="AV118" s="354"/>
      <c r="AW118" s="354"/>
      <c r="AX118" s="354"/>
      <c r="AY118" s="354"/>
      <c r="AZ118" s="354"/>
      <c r="BA118" s="354"/>
      <c r="BB118" s="354"/>
      <c r="BC118" s="354"/>
      <c r="BD118" s="354"/>
      <c r="BE118" s="354"/>
      <c r="BF118" s="354"/>
      <c r="BG118" s="206"/>
      <c r="BH118" s="206"/>
      <c r="BI118" s="206"/>
      <c r="BJ118" s="206"/>
      <c r="BK118" s="206"/>
      <c r="BL118" s="206"/>
      <c r="BM118" s="206"/>
      <c r="BN118" s="206"/>
      <c r="BO118" s="636"/>
      <c r="BP118" s="208" t="s">
        <v>17</v>
      </c>
      <c r="BQ118" s="355">
        <f t="shared" si="147"/>
        <v>0</v>
      </c>
      <c r="BR118" s="355">
        <f t="shared" si="147"/>
        <v>0</v>
      </c>
      <c r="BS118" s="355">
        <f t="shared" si="148"/>
        <v>0</v>
      </c>
      <c r="BT118" s="355">
        <f t="shared" si="148"/>
        <v>0</v>
      </c>
      <c r="BU118" s="355">
        <f t="shared" si="148"/>
        <v>0</v>
      </c>
      <c r="BV118" s="355">
        <f t="shared" si="148"/>
        <v>0</v>
      </c>
      <c r="BW118" s="355">
        <f t="shared" si="148"/>
        <v>0</v>
      </c>
      <c r="BX118" s="355">
        <f t="shared" si="148"/>
        <v>0</v>
      </c>
      <c r="BY118" s="355">
        <f t="shared" si="148"/>
        <v>0</v>
      </c>
      <c r="BZ118" s="355">
        <f t="shared" si="148"/>
        <v>0</v>
      </c>
      <c r="CA118" s="355">
        <f t="shared" si="148"/>
        <v>0</v>
      </c>
      <c r="CB118" s="355">
        <f t="shared" si="148"/>
        <v>0</v>
      </c>
      <c r="CC118" s="355">
        <f t="shared" si="148"/>
        <v>0</v>
      </c>
      <c r="CD118" s="355">
        <f t="shared" si="148"/>
        <v>0</v>
      </c>
      <c r="CE118" s="355">
        <f t="shared" si="148"/>
        <v>0</v>
      </c>
      <c r="CF118" s="355">
        <f t="shared" si="148"/>
        <v>0</v>
      </c>
      <c r="CG118" s="355">
        <f t="shared" si="148"/>
        <v>0</v>
      </c>
      <c r="CH118" s="355">
        <f t="shared" si="148"/>
        <v>0</v>
      </c>
      <c r="CI118" s="355">
        <f t="shared" si="148"/>
        <v>0</v>
      </c>
      <c r="CJ118" s="355">
        <f t="shared" si="148"/>
        <v>0</v>
      </c>
      <c r="CK118" s="355"/>
      <c r="CL118" s="355"/>
      <c r="CM118" s="355"/>
      <c r="CN118" s="355"/>
      <c r="CO118" s="355"/>
      <c r="CP118" s="355"/>
      <c r="CQ118" s="355"/>
      <c r="CR118" s="355"/>
      <c r="CS118" s="355"/>
      <c r="CT118" s="355"/>
      <c r="CU118" s="355"/>
      <c r="CV118" s="355"/>
      <c r="CW118" s="355"/>
      <c r="CX118" s="355"/>
      <c r="CY118" s="355"/>
      <c r="CZ118" s="355"/>
      <c r="DA118" s="355"/>
      <c r="DB118" s="355"/>
      <c r="DC118" s="355"/>
      <c r="DD118" s="355"/>
      <c r="DE118" s="234">
        <f t="shared" si="156"/>
        <v>0</v>
      </c>
      <c r="DF118" s="235">
        <f t="shared" si="157"/>
        <v>0</v>
      </c>
      <c r="DG118" s="235">
        <f t="shared" si="158"/>
        <v>0</v>
      </c>
      <c r="DH118" s="235">
        <f t="shared" si="159"/>
        <v>0</v>
      </c>
      <c r="DI118" s="236">
        <f t="shared" si="160"/>
        <v>0</v>
      </c>
      <c r="DJ118" s="356"/>
      <c r="DK118" s="356"/>
      <c r="DL118" s="356"/>
      <c r="DM118" s="356"/>
      <c r="DN118" s="356"/>
      <c r="DO118" s="234">
        <f t="shared" si="149"/>
        <v>0</v>
      </c>
      <c r="DP118" s="235">
        <f t="shared" si="149"/>
        <v>0</v>
      </c>
      <c r="DQ118" s="235">
        <f t="shared" si="149"/>
        <v>0</v>
      </c>
      <c r="DR118" s="235">
        <f t="shared" si="149"/>
        <v>0</v>
      </c>
      <c r="DS118" s="236">
        <f t="shared" si="149"/>
        <v>0</v>
      </c>
      <c r="DT118" s="357"/>
      <c r="DU118" s="357"/>
      <c r="DV118" s="357"/>
      <c r="DW118" s="357"/>
      <c r="DX118" s="357"/>
      <c r="DY118" s="357"/>
      <c r="DZ118" s="687"/>
      <c r="EA118" s="358">
        <f t="shared" si="161"/>
        <v>0</v>
      </c>
      <c r="EB118" s="358">
        <f t="shared" si="162"/>
        <v>0</v>
      </c>
      <c r="EC118" s="358">
        <f t="shared" si="163"/>
        <v>0</v>
      </c>
      <c r="ED118" s="358">
        <f t="shared" si="164"/>
        <v>0</v>
      </c>
      <c r="EE118" s="358">
        <f t="shared" si="165"/>
        <v>0</v>
      </c>
      <c r="EF118" s="328"/>
      <c r="EG118" s="636"/>
      <c r="EH118" s="361" t="s">
        <v>17</v>
      </c>
      <c r="EI118" s="355">
        <f t="shared" si="150"/>
        <v>0</v>
      </c>
      <c r="EJ118" s="355">
        <f t="shared" si="150"/>
        <v>0</v>
      </c>
      <c r="EK118" s="355">
        <f t="shared" si="150"/>
        <v>0</v>
      </c>
      <c r="EL118" s="355">
        <f t="shared" si="150"/>
        <v>0</v>
      </c>
      <c r="EM118" s="355">
        <f t="shared" si="150"/>
        <v>0</v>
      </c>
      <c r="EN118" s="355">
        <f t="shared" si="150"/>
        <v>0</v>
      </c>
      <c r="EO118" s="355">
        <f t="shared" si="150"/>
        <v>0</v>
      </c>
      <c r="EP118" s="355">
        <f t="shared" si="150"/>
        <v>0</v>
      </c>
      <c r="EQ118" s="355">
        <f t="shared" si="150"/>
        <v>0</v>
      </c>
      <c r="ER118" s="355">
        <f t="shared" si="150"/>
        <v>0</v>
      </c>
      <c r="ES118" s="355">
        <f t="shared" si="150"/>
        <v>0</v>
      </c>
      <c r="ET118" s="355">
        <f t="shared" si="150"/>
        <v>0</v>
      </c>
      <c r="EU118" s="355">
        <f t="shared" si="150"/>
        <v>0</v>
      </c>
      <c r="EV118" s="355">
        <f t="shared" si="150"/>
        <v>0</v>
      </c>
      <c r="EW118" s="355">
        <f t="shared" si="150"/>
        <v>0</v>
      </c>
      <c r="EX118" s="355">
        <f t="shared" si="150"/>
        <v>0</v>
      </c>
      <c r="EY118" s="355">
        <f t="shared" si="151"/>
        <v>0</v>
      </c>
      <c r="EZ118" s="355">
        <f t="shared" si="151"/>
        <v>0</v>
      </c>
      <c r="FA118" s="355">
        <f t="shared" si="151"/>
        <v>0</v>
      </c>
      <c r="FB118" s="355">
        <f t="shared" si="151"/>
        <v>0</v>
      </c>
      <c r="FC118" s="355"/>
      <c r="FD118" s="355"/>
      <c r="FE118" s="355"/>
      <c r="FF118" s="355"/>
      <c r="FG118" s="355"/>
      <c r="FH118" s="355"/>
      <c r="FI118" s="355"/>
      <c r="FJ118" s="355"/>
      <c r="FK118" s="355"/>
      <c r="FL118" s="355"/>
      <c r="FM118" s="355"/>
      <c r="FN118" s="355"/>
      <c r="FO118" s="355"/>
      <c r="FP118" s="355"/>
      <c r="FQ118" s="355"/>
      <c r="FR118" s="355"/>
      <c r="FS118" s="355"/>
      <c r="FT118" s="355"/>
      <c r="FU118" s="355"/>
      <c r="FV118" s="355"/>
      <c r="FW118" s="355"/>
      <c r="FX118" s="360">
        <f>AVERAGE(EI118:EL118)</f>
        <v>0</v>
      </c>
      <c r="FY118" s="637"/>
      <c r="FZ118" s="360">
        <f t="shared" si="152"/>
        <v>0</v>
      </c>
      <c r="GA118" s="637"/>
      <c r="GB118" s="360">
        <f t="shared" si="153"/>
        <v>0</v>
      </c>
      <c r="GC118" s="637"/>
      <c r="GD118" s="360">
        <f t="shared" si="154"/>
        <v>0</v>
      </c>
      <c r="GE118" s="637"/>
      <c r="GF118" s="360">
        <f t="shared" si="155"/>
        <v>0</v>
      </c>
      <c r="GG118" s="637"/>
      <c r="GH118" s="640"/>
      <c r="GI118" s="206"/>
      <c r="GJ118" s="636"/>
      <c r="GK118" s="635"/>
      <c r="GL118" s="206"/>
      <c r="GM118" s="206"/>
      <c r="GN118" s="206"/>
      <c r="GO118" s="206"/>
      <c r="GP118" s="206"/>
      <c r="GQ118" s="206"/>
      <c r="GR118" s="206"/>
      <c r="GS118" s="206"/>
    </row>
    <row r="119" spans="1:201" ht="15" customHeight="1" thickBot="1">
      <c r="A119" s="636"/>
      <c r="B119" s="208" t="s">
        <v>18</v>
      </c>
      <c r="C119" s="353">
        <f t="shared" si="141"/>
        <v>0</v>
      </c>
      <c r="D119" s="353">
        <f t="shared" si="141"/>
        <v>0</v>
      </c>
      <c r="E119" s="353">
        <f t="shared" si="142"/>
        <v>0</v>
      </c>
      <c r="F119" s="353">
        <f t="shared" si="142"/>
        <v>0</v>
      </c>
      <c r="G119" s="353">
        <f t="shared" si="142"/>
        <v>0</v>
      </c>
      <c r="H119" s="353">
        <f t="shared" si="142"/>
        <v>0</v>
      </c>
      <c r="I119" s="353">
        <f t="shared" si="142"/>
        <v>0</v>
      </c>
      <c r="J119" s="353">
        <f t="shared" si="142"/>
        <v>0</v>
      </c>
      <c r="K119" s="353">
        <f t="shared" si="142"/>
        <v>0</v>
      </c>
      <c r="L119" s="353">
        <f t="shared" si="142"/>
        <v>0</v>
      </c>
      <c r="M119" s="353">
        <f t="shared" si="142"/>
        <v>0</v>
      </c>
      <c r="N119" s="353">
        <f t="shared" si="142"/>
        <v>0</v>
      </c>
      <c r="O119" s="353">
        <f t="shared" si="142"/>
        <v>0</v>
      </c>
      <c r="P119" s="353">
        <f t="shared" si="142"/>
        <v>0</v>
      </c>
      <c r="Q119" s="353">
        <f t="shared" si="142"/>
        <v>0</v>
      </c>
      <c r="R119" s="353">
        <f t="shared" si="142"/>
        <v>0</v>
      </c>
      <c r="S119" s="353">
        <f t="shared" si="142"/>
        <v>0</v>
      </c>
      <c r="T119" s="353">
        <f t="shared" si="142"/>
        <v>0</v>
      </c>
      <c r="U119" s="353">
        <f t="shared" si="142"/>
        <v>0</v>
      </c>
      <c r="V119" s="353">
        <f t="shared" si="142"/>
        <v>0</v>
      </c>
      <c r="W119" s="353"/>
      <c r="X119" s="353"/>
      <c r="Y119" s="353"/>
      <c r="Z119" s="353"/>
      <c r="AA119" s="353"/>
      <c r="AB119" s="353"/>
      <c r="AC119" s="353"/>
      <c r="AD119" s="353"/>
      <c r="AE119" s="353"/>
      <c r="AF119" s="353"/>
      <c r="AG119" s="353"/>
      <c r="AH119" s="353"/>
      <c r="AI119" s="353"/>
      <c r="AJ119" s="353"/>
      <c r="AK119" s="353"/>
      <c r="AL119" s="353"/>
      <c r="AM119" s="353"/>
      <c r="AN119" s="353"/>
      <c r="AO119" s="353"/>
      <c r="AP119" s="353"/>
      <c r="AQ119" s="235">
        <f>SUM(C119:F119)</f>
        <v>0</v>
      </c>
      <c r="AR119" s="235">
        <f t="shared" si="143"/>
        <v>0</v>
      </c>
      <c r="AS119" s="235">
        <f t="shared" si="144"/>
        <v>0</v>
      </c>
      <c r="AT119" s="235">
        <f t="shared" si="145"/>
        <v>0</v>
      </c>
      <c r="AU119" s="235">
        <f t="shared" si="146"/>
        <v>0</v>
      </c>
      <c r="AV119" s="354"/>
      <c r="AW119" s="354"/>
      <c r="AX119" s="354"/>
      <c r="AY119" s="354"/>
      <c r="AZ119" s="354"/>
      <c r="BA119" s="354"/>
      <c r="BB119" s="354"/>
      <c r="BC119" s="354"/>
      <c r="BD119" s="354"/>
      <c r="BE119" s="354"/>
      <c r="BF119" s="354"/>
      <c r="BG119" s="206"/>
      <c r="BH119" s="206"/>
      <c r="BI119" s="206"/>
      <c r="BJ119" s="206"/>
      <c r="BK119" s="206"/>
      <c r="BL119" s="206"/>
      <c r="BM119" s="206"/>
      <c r="BN119" s="206"/>
      <c r="BO119" s="636"/>
      <c r="BP119" s="208" t="s">
        <v>18</v>
      </c>
      <c r="BQ119" s="355">
        <f t="shared" si="147"/>
        <v>0</v>
      </c>
      <c r="BR119" s="355">
        <f t="shared" si="147"/>
        <v>0</v>
      </c>
      <c r="BS119" s="355">
        <f t="shared" si="148"/>
        <v>0</v>
      </c>
      <c r="BT119" s="355">
        <f t="shared" si="148"/>
        <v>0</v>
      </c>
      <c r="BU119" s="355">
        <f t="shared" si="148"/>
        <v>0</v>
      </c>
      <c r="BV119" s="355">
        <f t="shared" si="148"/>
        <v>0</v>
      </c>
      <c r="BW119" s="355">
        <f t="shared" si="148"/>
        <v>0</v>
      </c>
      <c r="BX119" s="355">
        <f t="shared" si="148"/>
        <v>0</v>
      </c>
      <c r="BY119" s="355">
        <f t="shared" si="148"/>
        <v>0</v>
      </c>
      <c r="BZ119" s="355">
        <f t="shared" si="148"/>
        <v>0</v>
      </c>
      <c r="CA119" s="355">
        <f t="shared" si="148"/>
        <v>0</v>
      </c>
      <c r="CB119" s="355">
        <f t="shared" si="148"/>
        <v>0</v>
      </c>
      <c r="CC119" s="355">
        <f t="shared" si="148"/>
        <v>0</v>
      </c>
      <c r="CD119" s="355">
        <f t="shared" si="148"/>
        <v>0</v>
      </c>
      <c r="CE119" s="355">
        <f t="shared" si="148"/>
        <v>0</v>
      </c>
      <c r="CF119" s="355">
        <f t="shared" si="148"/>
        <v>0</v>
      </c>
      <c r="CG119" s="355">
        <f t="shared" si="148"/>
        <v>0</v>
      </c>
      <c r="CH119" s="355">
        <f t="shared" si="148"/>
        <v>0</v>
      </c>
      <c r="CI119" s="355">
        <f t="shared" si="148"/>
        <v>0</v>
      </c>
      <c r="CJ119" s="355">
        <f t="shared" si="148"/>
        <v>0</v>
      </c>
      <c r="CK119" s="355"/>
      <c r="CL119" s="355"/>
      <c r="CM119" s="355"/>
      <c r="CN119" s="355"/>
      <c r="CO119" s="355"/>
      <c r="CP119" s="355"/>
      <c r="CQ119" s="355"/>
      <c r="CR119" s="355"/>
      <c r="CS119" s="355"/>
      <c r="CT119" s="355"/>
      <c r="CU119" s="355"/>
      <c r="CV119" s="355"/>
      <c r="CW119" s="355"/>
      <c r="CX119" s="355"/>
      <c r="CY119" s="355"/>
      <c r="CZ119" s="355"/>
      <c r="DA119" s="355"/>
      <c r="DB119" s="355"/>
      <c r="DC119" s="355"/>
      <c r="DD119" s="355"/>
      <c r="DE119" s="234">
        <f t="shared" si="156"/>
        <v>0</v>
      </c>
      <c r="DF119" s="235">
        <f t="shared" si="157"/>
        <v>0</v>
      </c>
      <c r="DG119" s="235">
        <f t="shared" si="158"/>
        <v>0</v>
      </c>
      <c r="DH119" s="235">
        <f t="shared" si="159"/>
        <v>0</v>
      </c>
      <c r="DI119" s="236">
        <f t="shared" si="160"/>
        <v>0</v>
      </c>
      <c r="DJ119" s="356"/>
      <c r="DK119" s="356"/>
      <c r="DL119" s="356"/>
      <c r="DM119" s="356"/>
      <c r="DN119" s="356"/>
      <c r="DO119" s="234">
        <f t="shared" si="149"/>
        <v>0</v>
      </c>
      <c r="DP119" s="235">
        <f t="shared" si="149"/>
        <v>0</v>
      </c>
      <c r="DQ119" s="235">
        <f t="shared" si="149"/>
        <v>0</v>
      </c>
      <c r="DR119" s="235">
        <f t="shared" si="149"/>
        <v>0</v>
      </c>
      <c r="DS119" s="236">
        <f t="shared" si="149"/>
        <v>0</v>
      </c>
      <c r="DT119" s="357"/>
      <c r="DU119" s="357"/>
      <c r="DV119" s="357"/>
      <c r="DW119" s="357"/>
      <c r="DX119" s="357"/>
      <c r="DY119" s="357"/>
      <c r="DZ119" s="688"/>
      <c r="EA119" s="362">
        <f t="shared" si="161"/>
        <v>0</v>
      </c>
      <c r="EB119" s="358">
        <f t="shared" si="162"/>
        <v>0</v>
      </c>
      <c r="EC119" s="358">
        <f t="shared" si="163"/>
        <v>0</v>
      </c>
      <c r="ED119" s="358">
        <f t="shared" si="164"/>
        <v>0</v>
      </c>
      <c r="EE119" s="358">
        <f t="shared" si="165"/>
        <v>0</v>
      </c>
      <c r="EF119" s="328"/>
      <c r="EG119" s="636"/>
      <c r="EH119" s="361" t="s">
        <v>18</v>
      </c>
      <c r="EI119" s="355">
        <f t="shared" si="150"/>
        <v>0</v>
      </c>
      <c r="EJ119" s="355">
        <f t="shared" si="150"/>
        <v>0</v>
      </c>
      <c r="EK119" s="355">
        <f t="shared" si="150"/>
        <v>0</v>
      </c>
      <c r="EL119" s="355">
        <f t="shared" si="150"/>
        <v>0</v>
      </c>
      <c r="EM119" s="355">
        <f t="shared" si="150"/>
        <v>0</v>
      </c>
      <c r="EN119" s="355">
        <f t="shared" si="150"/>
        <v>0</v>
      </c>
      <c r="EO119" s="355">
        <f t="shared" si="150"/>
        <v>0</v>
      </c>
      <c r="EP119" s="355">
        <f t="shared" si="150"/>
        <v>0</v>
      </c>
      <c r="EQ119" s="355">
        <f t="shared" si="150"/>
        <v>0</v>
      </c>
      <c r="ER119" s="355">
        <f t="shared" si="150"/>
        <v>0</v>
      </c>
      <c r="ES119" s="355">
        <f t="shared" si="150"/>
        <v>0</v>
      </c>
      <c r="ET119" s="355">
        <f t="shared" si="150"/>
        <v>0</v>
      </c>
      <c r="EU119" s="355">
        <f t="shared" si="150"/>
        <v>0</v>
      </c>
      <c r="EV119" s="355">
        <f t="shared" si="150"/>
        <v>0</v>
      </c>
      <c r="EW119" s="355">
        <f t="shared" si="150"/>
        <v>0</v>
      </c>
      <c r="EX119" s="355">
        <f t="shared" si="150"/>
        <v>0</v>
      </c>
      <c r="EY119" s="355">
        <f t="shared" si="151"/>
        <v>0</v>
      </c>
      <c r="EZ119" s="355">
        <f t="shared" si="151"/>
        <v>0</v>
      </c>
      <c r="FA119" s="355">
        <f t="shared" si="151"/>
        <v>0</v>
      </c>
      <c r="FB119" s="355">
        <f t="shared" si="151"/>
        <v>0</v>
      </c>
      <c r="FC119" s="355"/>
      <c r="FD119" s="355"/>
      <c r="FE119" s="355"/>
      <c r="FF119" s="355"/>
      <c r="FG119" s="355"/>
      <c r="FH119" s="355"/>
      <c r="FI119" s="355"/>
      <c r="FJ119" s="355"/>
      <c r="FK119" s="355"/>
      <c r="FL119" s="355"/>
      <c r="FM119" s="355"/>
      <c r="FN119" s="355"/>
      <c r="FO119" s="355"/>
      <c r="FP119" s="355"/>
      <c r="FQ119" s="355"/>
      <c r="FR119" s="355"/>
      <c r="FS119" s="355"/>
      <c r="FT119" s="355"/>
      <c r="FU119" s="355"/>
      <c r="FV119" s="355"/>
      <c r="FW119" s="355"/>
      <c r="FX119" s="360">
        <f>AVERAGE(EI119:EL119)</f>
        <v>0</v>
      </c>
      <c r="FY119" s="637"/>
      <c r="FZ119" s="363">
        <f t="shared" si="152"/>
        <v>0</v>
      </c>
      <c r="GA119" s="637"/>
      <c r="GB119" s="364">
        <f t="shared" si="153"/>
        <v>0</v>
      </c>
      <c r="GC119" s="637"/>
      <c r="GD119" s="364">
        <f t="shared" si="154"/>
        <v>0</v>
      </c>
      <c r="GE119" s="637"/>
      <c r="GF119" s="364">
        <f t="shared" si="155"/>
        <v>0</v>
      </c>
      <c r="GG119" s="637"/>
      <c r="GH119" s="640"/>
      <c r="GI119" s="206"/>
      <c r="GJ119" s="636"/>
      <c r="GK119" s="635"/>
      <c r="GL119" s="206"/>
      <c r="GM119" s="206"/>
      <c r="GN119" s="206"/>
      <c r="GO119" s="206"/>
      <c r="GP119" s="206"/>
      <c r="GQ119" s="206"/>
      <c r="GR119" s="206"/>
      <c r="GS119" s="206"/>
    </row>
    <row r="120" spans="1:201" ht="15" customHeight="1" thickBot="1">
      <c r="A120" s="636"/>
      <c r="B120" s="208" t="s">
        <v>19</v>
      </c>
      <c r="C120" s="353">
        <f t="shared" si="141"/>
        <v>0</v>
      </c>
      <c r="D120" s="353">
        <f t="shared" si="141"/>
        <v>0</v>
      </c>
      <c r="E120" s="353">
        <f t="shared" si="142"/>
        <v>0</v>
      </c>
      <c r="F120" s="353">
        <f t="shared" si="142"/>
        <v>0</v>
      </c>
      <c r="G120" s="353">
        <f t="shared" si="142"/>
        <v>0</v>
      </c>
      <c r="H120" s="353">
        <f t="shared" si="142"/>
        <v>0</v>
      </c>
      <c r="I120" s="353">
        <f t="shared" si="142"/>
        <v>0</v>
      </c>
      <c r="J120" s="353">
        <f t="shared" si="142"/>
        <v>0</v>
      </c>
      <c r="K120" s="353">
        <f t="shared" si="142"/>
        <v>0</v>
      </c>
      <c r="L120" s="353">
        <f t="shared" si="142"/>
        <v>0</v>
      </c>
      <c r="M120" s="353">
        <f t="shared" si="142"/>
        <v>0</v>
      </c>
      <c r="N120" s="353">
        <f t="shared" si="142"/>
        <v>0</v>
      </c>
      <c r="O120" s="353">
        <f t="shared" si="142"/>
        <v>0</v>
      </c>
      <c r="P120" s="353">
        <f t="shared" si="142"/>
        <v>0</v>
      </c>
      <c r="Q120" s="353">
        <f t="shared" si="142"/>
        <v>0</v>
      </c>
      <c r="R120" s="353">
        <f t="shared" si="142"/>
        <v>0</v>
      </c>
      <c r="S120" s="353">
        <f t="shared" si="142"/>
        <v>0</v>
      </c>
      <c r="T120" s="353">
        <f t="shared" si="142"/>
        <v>0</v>
      </c>
      <c r="U120" s="353">
        <f t="shared" si="142"/>
        <v>0</v>
      </c>
      <c r="V120" s="353">
        <f t="shared" si="142"/>
        <v>0</v>
      </c>
      <c r="W120" s="353"/>
      <c r="X120" s="353"/>
      <c r="Y120" s="353"/>
      <c r="Z120" s="353"/>
      <c r="AA120" s="353"/>
      <c r="AB120" s="353"/>
      <c r="AC120" s="353"/>
      <c r="AD120" s="353"/>
      <c r="AE120" s="353"/>
      <c r="AF120" s="353"/>
      <c r="AG120" s="353"/>
      <c r="AH120" s="353"/>
      <c r="AI120" s="353"/>
      <c r="AJ120" s="353"/>
      <c r="AK120" s="353"/>
      <c r="AL120" s="353"/>
      <c r="AM120" s="353"/>
      <c r="AN120" s="353"/>
      <c r="AO120" s="353"/>
      <c r="AP120" s="353"/>
      <c r="AQ120" s="235">
        <f>SUM(C120:F120)</f>
        <v>0</v>
      </c>
      <c r="AR120" s="235">
        <f t="shared" si="143"/>
        <v>0</v>
      </c>
      <c r="AS120" s="235">
        <f t="shared" si="144"/>
        <v>0</v>
      </c>
      <c r="AT120" s="235">
        <f t="shared" si="145"/>
        <v>0</v>
      </c>
      <c r="AU120" s="235">
        <f t="shared" si="146"/>
        <v>0</v>
      </c>
      <c r="AV120" s="354"/>
      <c r="AW120" s="354"/>
      <c r="AX120" s="354"/>
      <c r="AY120" s="354"/>
      <c r="AZ120" s="354"/>
      <c r="BA120" s="354"/>
      <c r="BB120" s="354"/>
      <c r="BC120" s="354"/>
      <c r="BD120" s="354"/>
      <c r="BE120" s="354"/>
      <c r="BF120" s="354"/>
      <c r="BG120" s="206"/>
      <c r="BH120" s="206"/>
      <c r="BI120" s="206"/>
      <c r="BJ120" s="206"/>
      <c r="BK120" s="206"/>
      <c r="BL120" s="206"/>
      <c r="BM120" s="206"/>
      <c r="BN120" s="206"/>
      <c r="BO120" s="636"/>
      <c r="BP120" s="208" t="s">
        <v>19</v>
      </c>
      <c r="BQ120" s="355">
        <f t="shared" si="147"/>
        <v>0</v>
      </c>
      <c r="BR120" s="355">
        <f t="shared" si="147"/>
        <v>0</v>
      </c>
      <c r="BS120" s="355">
        <f t="shared" si="148"/>
        <v>0</v>
      </c>
      <c r="BT120" s="355">
        <f t="shared" si="148"/>
        <v>0</v>
      </c>
      <c r="BU120" s="355">
        <f t="shared" si="148"/>
        <v>0</v>
      </c>
      <c r="BV120" s="355">
        <f t="shared" si="148"/>
        <v>0</v>
      </c>
      <c r="BW120" s="355">
        <f t="shared" si="148"/>
        <v>0</v>
      </c>
      <c r="BX120" s="355">
        <f t="shared" si="148"/>
        <v>0</v>
      </c>
      <c r="BY120" s="355">
        <f t="shared" si="148"/>
        <v>0</v>
      </c>
      <c r="BZ120" s="355">
        <f t="shared" si="148"/>
        <v>0</v>
      </c>
      <c r="CA120" s="355">
        <f t="shared" si="148"/>
        <v>0</v>
      </c>
      <c r="CB120" s="355">
        <f t="shared" si="148"/>
        <v>0</v>
      </c>
      <c r="CC120" s="355">
        <f t="shared" si="148"/>
        <v>0</v>
      </c>
      <c r="CD120" s="355">
        <f t="shared" si="148"/>
        <v>0</v>
      </c>
      <c r="CE120" s="355">
        <f t="shared" si="148"/>
        <v>0</v>
      </c>
      <c r="CF120" s="355">
        <f t="shared" si="148"/>
        <v>0</v>
      </c>
      <c r="CG120" s="355">
        <f t="shared" si="148"/>
        <v>0</v>
      </c>
      <c r="CH120" s="355">
        <f t="shared" si="148"/>
        <v>0</v>
      </c>
      <c r="CI120" s="355">
        <f t="shared" si="148"/>
        <v>0</v>
      </c>
      <c r="CJ120" s="355">
        <f t="shared" si="148"/>
        <v>0</v>
      </c>
      <c r="CK120" s="355"/>
      <c r="CL120" s="355"/>
      <c r="CM120" s="355"/>
      <c r="CN120" s="355"/>
      <c r="CO120" s="355"/>
      <c r="CP120" s="355"/>
      <c r="CQ120" s="355"/>
      <c r="CR120" s="355"/>
      <c r="CS120" s="355"/>
      <c r="CT120" s="355"/>
      <c r="CU120" s="355"/>
      <c r="CV120" s="355"/>
      <c r="CW120" s="355"/>
      <c r="CX120" s="355"/>
      <c r="CY120" s="355"/>
      <c r="CZ120" s="355"/>
      <c r="DA120" s="355"/>
      <c r="DB120" s="355"/>
      <c r="DC120" s="355"/>
      <c r="DD120" s="355"/>
      <c r="DE120" s="234">
        <f t="shared" si="156"/>
        <v>0</v>
      </c>
      <c r="DF120" s="235">
        <f t="shared" si="157"/>
        <v>0</v>
      </c>
      <c r="DG120" s="235">
        <f t="shared" si="158"/>
        <v>0</v>
      </c>
      <c r="DH120" s="235">
        <f t="shared" si="159"/>
        <v>0</v>
      </c>
      <c r="DI120" s="236">
        <f t="shared" si="160"/>
        <v>0</v>
      </c>
      <c r="DJ120" s="356"/>
      <c r="DK120" s="356"/>
      <c r="DL120" s="356"/>
      <c r="DM120" s="356"/>
      <c r="DN120" s="356"/>
      <c r="DO120" s="234">
        <f t="shared" si="149"/>
        <v>0</v>
      </c>
      <c r="DP120" s="235">
        <f t="shared" si="149"/>
        <v>0</v>
      </c>
      <c r="DQ120" s="235">
        <f t="shared" si="149"/>
        <v>0</v>
      </c>
      <c r="DR120" s="235">
        <f t="shared" si="149"/>
        <v>0</v>
      </c>
      <c r="DS120" s="236">
        <f t="shared" si="149"/>
        <v>0</v>
      </c>
      <c r="DT120" s="357"/>
      <c r="DU120" s="357"/>
      <c r="DV120" s="357"/>
      <c r="DW120" s="357"/>
      <c r="DX120" s="357"/>
      <c r="DY120" s="357"/>
      <c r="DZ120" s="689">
        <v>2</v>
      </c>
      <c r="EA120" s="365"/>
      <c r="EB120" s="358">
        <f t="shared" si="162"/>
        <v>0</v>
      </c>
      <c r="EC120" s="358">
        <f t="shared" si="163"/>
        <v>0</v>
      </c>
      <c r="ED120" s="358">
        <f t="shared" si="164"/>
        <v>0</v>
      </c>
      <c r="EE120" s="358">
        <f t="shared" si="165"/>
        <v>0</v>
      </c>
      <c r="EF120" s="328"/>
      <c r="EG120" s="636"/>
      <c r="EH120" s="361" t="s">
        <v>19</v>
      </c>
      <c r="EI120" s="355">
        <f t="shared" si="150"/>
        <v>0</v>
      </c>
      <c r="EJ120" s="355">
        <f t="shared" si="150"/>
        <v>0</v>
      </c>
      <c r="EK120" s="355">
        <f t="shared" si="150"/>
        <v>0</v>
      </c>
      <c r="EL120" s="355">
        <f t="shared" si="150"/>
        <v>0</v>
      </c>
      <c r="EM120" s="355">
        <f t="shared" si="150"/>
        <v>0</v>
      </c>
      <c r="EN120" s="355">
        <f t="shared" si="150"/>
        <v>0</v>
      </c>
      <c r="EO120" s="355">
        <f t="shared" si="150"/>
        <v>0</v>
      </c>
      <c r="EP120" s="355">
        <f t="shared" si="150"/>
        <v>0</v>
      </c>
      <c r="EQ120" s="355">
        <f t="shared" si="150"/>
        <v>0</v>
      </c>
      <c r="ER120" s="355">
        <f t="shared" si="150"/>
        <v>0</v>
      </c>
      <c r="ES120" s="355">
        <f t="shared" si="150"/>
        <v>0</v>
      </c>
      <c r="ET120" s="355">
        <f t="shared" si="150"/>
        <v>0</v>
      </c>
      <c r="EU120" s="355">
        <f t="shared" si="150"/>
        <v>0</v>
      </c>
      <c r="EV120" s="355">
        <f t="shared" si="150"/>
        <v>0</v>
      </c>
      <c r="EW120" s="355">
        <f t="shared" si="150"/>
        <v>0</v>
      </c>
      <c r="EX120" s="355">
        <f t="shared" si="150"/>
        <v>0</v>
      </c>
      <c r="EY120" s="355">
        <f t="shared" si="151"/>
        <v>0</v>
      </c>
      <c r="EZ120" s="355">
        <f t="shared" si="151"/>
        <v>0</v>
      </c>
      <c r="FA120" s="355">
        <f t="shared" si="151"/>
        <v>0</v>
      </c>
      <c r="FB120" s="355">
        <f t="shared" si="151"/>
        <v>0</v>
      </c>
      <c r="FC120" s="355"/>
      <c r="FD120" s="355"/>
      <c r="FE120" s="355"/>
      <c r="FF120" s="355"/>
      <c r="FG120" s="355"/>
      <c r="FH120" s="355"/>
      <c r="FI120" s="355"/>
      <c r="FJ120" s="355"/>
      <c r="FK120" s="355"/>
      <c r="FL120" s="355"/>
      <c r="FM120" s="355"/>
      <c r="FN120" s="355"/>
      <c r="FO120" s="355"/>
      <c r="FP120" s="355"/>
      <c r="FQ120" s="355"/>
      <c r="FR120" s="355"/>
      <c r="FS120" s="355"/>
      <c r="FT120" s="355"/>
      <c r="FU120" s="355"/>
      <c r="FV120" s="355"/>
      <c r="FW120" s="355"/>
      <c r="FX120" s="360">
        <f>AVERAGE(EI120:EL120)</f>
        <v>0</v>
      </c>
      <c r="FY120" s="637"/>
      <c r="FZ120" s="366">
        <f t="shared" si="152"/>
        <v>0</v>
      </c>
      <c r="GA120" s="658"/>
      <c r="GB120" s="367">
        <f t="shared" si="153"/>
        <v>0</v>
      </c>
      <c r="GC120" s="658"/>
      <c r="GD120" s="367">
        <f t="shared" si="154"/>
        <v>0</v>
      </c>
      <c r="GE120" s="658"/>
      <c r="GF120" s="367">
        <f t="shared" si="155"/>
        <v>0</v>
      </c>
      <c r="GG120" s="658"/>
      <c r="GH120" s="641"/>
      <c r="GI120" s="206"/>
      <c r="GJ120" s="636"/>
      <c r="GK120" s="635"/>
      <c r="GL120" s="206"/>
      <c r="GM120" s="206"/>
      <c r="GN120" s="206"/>
      <c r="GO120" s="206"/>
      <c r="GP120" s="206"/>
      <c r="GQ120" s="206"/>
      <c r="GR120" s="206"/>
      <c r="GS120" s="206"/>
    </row>
    <row r="121" spans="1:201" ht="15" customHeight="1" thickBot="1">
      <c r="A121" s="636">
        <v>2</v>
      </c>
      <c r="B121" s="208" t="s">
        <v>20</v>
      </c>
      <c r="C121" s="353">
        <f t="shared" si="141"/>
        <v>0</v>
      </c>
      <c r="D121" s="353">
        <f t="shared" si="141"/>
        <v>0</v>
      </c>
      <c r="E121" s="353">
        <f t="shared" si="142"/>
        <v>0</v>
      </c>
      <c r="F121" s="353">
        <f t="shared" si="142"/>
        <v>0</v>
      </c>
      <c r="G121" s="353">
        <f t="shared" si="142"/>
        <v>0</v>
      </c>
      <c r="H121" s="353">
        <f t="shared" si="142"/>
        <v>0</v>
      </c>
      <c r="I121" s="353">
        <f t="shared" si="142"/>
        <v>0</v>
      </c>
      <c r="J121" s="353">
        <f t="shared" si="142"/>
        <v>0</v>
      </c>
      <c r="K121" s="353">
        <f t="shared" si="142"/>
        <v>0</v>
      </c>
      <c r="L121" s="353">
        <f t="shared" si="142"/>
        <v>0</v>
      </c>
      <c r="M121" s="353">
        <f t="shared" si="142"/>
        <v>0</v>
      </c>
      <c r="N121" s="353">
        <f t="shared" si="142"/>
        <v>0</v>
      </c>
      <c r="O121" s="353">
        <f t="shared" si="142"/>
        <v>0</v>
      </c>
      <c r="P121" s="353">
        <f t="shared" si="142"/>
        <v>0</v>
      </c>
      <c r="Q121" s="353">
        <f t="shared" si="142"/>
        <v>0</v>
      </c>
      <c r="R121" s="353">
        <f t="shared" si="142"/>
        <v>0</v>
      </c>
      <c r="S121" s="353">
        <f t="shared" si="142"/>
        <v>0</v>
      </c>
      <c r="T121" s="353">
        <f t="shared" si="142"/>
        <v>0</v>
      </c>
      <c r="U121" s="353">
        <f t="shared" si="142"/>
        <v>0</v>
      </c>
      <c r="V121" s="353">
        <f t="shared" si="142"/>
        <v>0</v>
      </c>
      <c r="W121" s="353"/>
      <c r="X121" s="353"/>
      <c r="Y121" s="353"/>
      <c r="Z121" s="353"/>
      <c r="AA121" s="353"/>
      <c r="AB121" s="353"/>
      <c r="AC121" s="353"/>
      <c r="AD121" s="353"/>
      <c r="AE121" s="353"/>
      <c r="AF121" s="353"/>
      <c r="AG121" s="353"/>
      <c r="AH121" s="353"/>
      <c r="AI121" s="353"/>
      <c r="AJ121" s="353"/>
      <c r="AK121" s="353"/>
      <c r="AL121" s="353"/>
      <c r="AM121" s="353"/>
      <c r="AN121" s="353"/>
      <c r="AO121" s="353"/>
      <c r="AP121" s="353"/>
      <c r="AQ121" s="642"/>
      <c r="AR121" s="235">
        <f t="shared" si="143"/>
        <v>0</v>
      </c>
      <c r="AS121" s="235">
        <f t="shared" si="144"/>
        <v>0</v>
      </c>
      <c r="AT121" s="235">
        <f t="shared" si="145"/>
        <v>0</v>
      </c>
      <c r="AU121" s="235">
        <f t="shared" si="146"/>
        <v>0</v>
      </c>
      <c r="AV121" s="354"/>
      <c r="AW121" s="354"/>
      <c r="AX121" s="354"/>
      <c r="AY121" s="354"/>
      <c r="AZ121" s="354"/>
      <c r="BA121" s="354"/>
      <c r="BB121" s="354"/>
      <c r="BC121" s="354"/>
      <c r="BD121" s="354"/>
      <c r="BE121" s="354"/>
      <c r="BF121" s="354"/>
      <c r="BG121" s="206"/>
      <c r="BH121" s="206"/>
      <c r="BI121" s="206"/>
      <c r="BJ121" s="206"/>
      <c r="BK121" s="206"/>
      <c r="BL121" s="206"/>
      <c r="BM121" s="206"/>
      <c r="BN121" s="206"/>
      <c r="BO121" s="636">
        <v>2</v>
      </c>
      <c r="BP121" s="208" t="s">
        <v>20</v>
      </c>
      <c r="BQ121" s="355">
        <f t="shared" si="147"/>
        <v>0</v>
      </c>
      <c r="BR121" s="355">
        <f t="shared" si="147"/>
        <v>0</v>
      </c>
      <c r="BS121" s="355">
        <f t="shared" si="148"/>
        <v>0</v>
      </c>
      <c r="BT121" s="355">
        <f t="shared" si="148"/>
        <v>0</v>
      </c>
      <c r="BU121" s="355">
        <f t="shared" si="148"/>
        <v>0</v>
      </c>
      <c r="BV121" s="355">
        <f t="shared" si="148"/>
        <v>0</v>
      </c>
      <c r="BW121" s="355">
        <f t="shared" si="148"/>
        <v>0</v>
      </c>
      <c r="BX121" s="355">
        <f t="shared" si="148"/>
        <v>0</v>
      </c>
      <c r="BY121" s="355">
        <f t="shared" si="148"/>
        <v>0</v>
      </c>
      <c r="BZ121" s="355">
        <f t="shared" si="148"/>
        <v>0</v>
      </c>
      <c r="CA121" s="355">
        <f t="shared" si="148"/>
        <v>0</v>
      </c>
      <c r="CB121" s="355">
        <f t="shared" si="148"/>
        <v>0</v>
      </c>
      <c r="CC121" s="355">
        <f t="shared" si="148"/>
        <v>0</v>
      </c>
      <c r="CD121" s="355">
        <f t="shared" si="148"/>
        <v>0</v>
      </c>
      <c r="CE121" s="355">
        <f t="shared" si="148"/>
        <v>0</v>
      </c>
      <c r="CF121" s="355">
        <f t="shared" si="148"/>
        <v>0</v>
      </c>
      <c r="CG121" s="355">
        <f t="shared" si="148"/>
        <v>0</v>
      </c>
      <c r="CH121" s="355">
        <f t="shared" si="148"/>
        <v>0</v>
      </c>
      <c r="CI121" s="355">
        <f t="shared" si="148"/>
        <v>0</v>
      </c>
      <c r="CJ121" s="355">
        <f t="shared" si="148"/>
        <v>0</v>
      </c>
      <c r="CK121" s="355"/>
      <c r="CL121" s="355"/>
      <c r="CM121" s="355"/>
      <c r="CN121" s="355"/>
      <c r="CO121" s="355"/>
      <c r="CP121" s="355"/>
      <c r="CQ121" s="355"/>
      <c r="CR121" s="355"/>
      <c r="CS121" s="355"/>
      <c r="CT121" s="355"/>
      <c r="CU121" s="355"/>
      <c r="CV121" s="355"/>
      <c r="CW121" s="355"/>
      <c r="CX121" s="355"/>
      <c r="CY121" s="355"/>
      <c r="CZ121" s="355"/>
      <c r="DA121" s="355"/>
      <c r="DB121" s="355"/>
      <c r="DC121" s="355"/>
      <c r="DD121" s="355"/>
      <c r="DE121" s="653"/>
      <c r="DF121" s="235">
        <f t="shared" si="157"/>
        <v>0</v>
      </c>
      <c r="DG121" s="235">
        <f t="shared" si="158"/>
        <v>0</v>
      </c>
      <c r="DH121" s="235">
        <f t="shared" si="159"/>
        <v>0</v>
      </c>
      <c r="DI121" s="236">
        <f t="shared" si="160"/>
        <v>0</v>
      </c>
      <c r="DJ121" s="368"/>
      <c r="DK121" s="368"/>
      <c r="DL121" s="368"/>
      <c r="DM121" s="368"/>
      <c r="DN121" s="368"/>
      <c r="DO121" s="653"/>
      <c r="DP121" s="235">
        <f t="shared" si="149"/>
        <v>0</v>
      </c>
      <c r="DQ121" s="235">
        <f t="shared" si="149"/>
        <v>0</v>
      </c>
      <c r="DR121" s="235">
        <f t="shared" si="149"/>
        <v>0</v>
      </c>
      <c r="DS121" s="236">
        <f t="shared" si="149"/>
        <v>0</v>
      </c>
      <c r="DT121" s="357"/>
      <c r="DU121" s="357"/>
      <c r="DV121" s="357"/>
      <c r="DW121" s="357"/>
      <c r="DX121" s="357"/>
      <c r="DY121" s="357"/>
      <c r="DZ121" s="687"/>
      <c r="EA121" s="365"/>
      <c r="EB121" s="358">
        <f t="shared" si="162"/>
        <v>0</v>
      </c>
      <c r="EC121" s="358">
        <f t="shared" si="163"/>
        <v>0</v>
      </c>
      <c r="ED121" s="358">
        <f t="shared" si="164"/>
        <v>0</v>
      </c>
      <c r="EE121" s="358">
        <f t="shared" si="165"/>
        <v>0</v>
      </c>
      <c r="EF121" s="328"/>
      <c r="EG121" s="636">
        <v>2</v>
      </c>
      <c r="EH121" s="361" t="s">
        <v>20</v>
      </c>
      <c r="EI121" s="355">
        <f t="shared" si="150"/>
        <v>0</v>
      </c>
      <c r="EJ121" s="355">
        <f t="shared" si="150"/>
        <v>0</v>
      </c>
      <c r="EK121" s="355">
        <f t="shared" si="150"/>
        <v>0</v>
      </c>
      <c r="EL121" s="355">
        <f t="shared" si="150"/>
        <v>0</v>
      </c>
      <c r="EM121" s="355">
        <f t="shared" si="150"/>
        <v>0</v>
      </c>
      <c r="EN121" s="355">
        <f t="shared" si="150"/>
        <v>0</v>
      </c>
      <c r="EO121" s="355">
        <f t="shared" si="150"/>
        <v>0</v>
      </c>
      <c r="EP121" s="355">
        <f t="shared" si="150"/>
        <v>0</v>
      </c>
      <c r="EQ121" s="355">
        <f t="shared" si="150"/>
        <v>0</v>
      </c>
      <c r="ER121" s="355">
        <f t="shared" si="150"/>
        <v>0</v>
      </c>
      <c r="ES121" s="355">
        <f t="shared" si="150"/>
        <v>0</v>
      </c>
      <c r="ET121" s="355">
        <f t="shared" si="150"/>
        <v>0</v>
      </c>
      <c r="EU121" s="355">
        <f t="shared" si="150"/>
        <v>0</v>
      </c>
      <c r="EV121" s="355">
        <f t="shared" si="150"/>
        <v>0</v>
      </c>
      <c r="EW121" s="355">
        <f t="shared" si="150"/>
        <v>0</v>
      </c>
      <c r="EX121" s="355">
        <f t="shared" si="150"/>
        <v>0</v>
      </c>
      <c r="EY121" s="355">
        <f t="shared" si="151"/>
        <v>0</v>
      </c>
      <c r="EZ121" s="355">
        <f t="shared" si="151"/>
        <v>0</v>
      </c>
      <c r="FA121" s="355">
        <f t="shared" si="151"/>
        <v>0</v>
      </c>
      <c r="FB121" s="355">
        <f t="shared" si="151"/>
        <v>0</v>
      </c>
      <c r="FC121" s="355"/>
      <c r="FD121" s="355"/>
      <c r="FE121" s="355"/>
      <c r="FF121" s="355"/>
      <c r="FG121" s="355"/>
      <c r="FH121" s="355"/>
      <c r="FI121" s="355"/>
      <c r="FJ121" s="355"/>
      <c r="FK121" s="355"/>
      <c r="FL121" s="355"/>
      <c r="FM121" s="355"/>
      <c r="FN121" s="355"/>
      <c r="FO121" s="355"/>
      <c r="FP121" s="355"/>
      <c r="FQ121" s="355"/>
      <c r="FR121" s="355"/>
      <c r="FS121" s="355"/>
      <c r="FT121" s="355"/>
      <c r="FU121" s="355"/>
      <c r="FV121" s="355"/>
      <c r="FW121" s="355"/>
      <c r="FX121" s="369"/>
      <c r="FY121" s="370"/>
      <c r="FZ121" s="366">
        <f t="shared" si="152"/>
        <v>0</v>
      </c>
      <c r="GA121" s="638">
        <f>SUM(FZ121:FZ124)</f>
        <v>0</v>
      </c>
      <c r="GB121" s="364">
        <f t="shared" si="153"/>
        <v>0</v>
      </c>
      <c r="GC121" s="638">
        <f>SUM(GB121:GB124)</f>
        <v>0</v>
      </c>
      <c r="GD121" s="364">
        <f t="shared" si="154"/>
        <v>0</v>
      </c>
      <c r="GE121" s="638">
        <f>SUM(GD121:GD124)</f>
        <v>0</v>
      </c>
      <c r="GF121" s="364">
        <f t="shared" si="155"/>
        <v>0</v>
      </c>
      <c r="GG121" s="638">
        <f>SUM(GF121:GF124)</f>
        <v>0</v>
      </c>
      <c r="GH121" s="639">
        <f>GG121+GE121+GC121+GA121</f>
        <v>0</v>
      </c>
      <c r="GI121" s="206"/>
      <c r="GJ121" s="636">
        <v>2</v>
      </c>
      <c r="GK121" s="635">
        <f>SUM(EK121:FB125)</f>
        <v>0</v>
      </c>
      <c r="GL121" s="206"/>
      <c r="GM121" s="206"/>
      <c r="GN121" s="206"/>
      <c r="GO121" s="206"/>
      <c r="GP121" s="206"/>
      <c r="GQ121" s="206"/>
      <c r="GR121" s="206"/>
      <c r="GS121" s="206"/>
    </row>
    <row r="122" spans="1:201" ht="15" customHeight="1" thickBot="1">
      <c r="A122" s="636"/>
      <c r="B122" s="208" t="s">
        <v>21</v>
      </c>
      <c r="C122" s="353">
        <f t="shared" si="141"/>
        <v>0</v>
      </c>
      <c r="D122" s="353">
        <f t="shared" si="141"/>
        <v>0</v>
      </c>
      <c r="E122" s="353">
        <f t="shared" si="142"/>
        <v>0</v>
      </c>
      <c r="F122" s="353">
        <f t="shared" si="142"/>
        <v>0</v>
      </c>
      <c r="G122" s="353">
        <f t="shared" si="142"/>
        <v>0</v>
      </c>
      <c r="H122" s="353">
        <f t="shared" si="142"/>
        <v>0</v>
      </c>
      <c r="I122" s="353">
        <f t="shared" si="142"/>
        <v>0</v>
      </c>
      <c r="J122" s="353">
        <f t="shared" si="142"/>
        <v>0</v>
      </c>
      <c r="K122" s="353">
        <f t="shared" si="142"/>
        <v>0</v>
      </c>
      <c r="L122" s="353">
        <f t="shared" si="142"/>
        <v>0</v>
      </c>
      <c r="M122" s="353">
        <f t="shared" si="142"/>
        <v>0</v>
      </c>
      <c r="N122" s="353">
        <f t="shared" si="142"/>
        <v>0</v>
      </c>
      <c r="O122" s="353">
        <f t="shared" si="142"/>
        <v>0</v>
      </c>
      <c r="P122" s="353">
        <f t="shared" si="142"/>
        <v>0</v>
      </c>
      <c r="Q122" s="353">
        <f t="shared" si="142"/>
        <v>0</v>
      </c>
      <c r="R122" s="353">
        <f t="shared" si="142"/>
        <v>0</v>
      </c>
      <c r="S122" s="353">
        <f t="shared" si="142"/>
        <v>0</v>
      </c>
      <c r="T122" s="353">
        <f t="shared" si="142"/>
        <v>0</v>
      </c>
      <c r="U122" s="353">
        <f t="shared" si="142"/>
        <v>0</v>
      </c>
      <c r="V122" s="353">
        <f t="shared" si="142"/>
        <v>0</v>
      </c>
      <c r="W122" s="353"/>
      <c r="X122" s="353"/>
      <c r="Y122" s="353"/>
      <c r="Z122" s="353"/>
      <c r="AA122" s="353"/>
      <c r="AB122" s="353"/>
      <c r="AC122" s="353"/>
      <c r="AD122" s="353"/>
      <c r="AE122" s="353"/>
      <c r="AF122" s="353"/>
      <c r="AG122" s="353"/>
      <c r="AH122" s="353"/>
      <c r="AI122" s="353"/>
      <c r="AJ122" s="353"/>
      <c r="AK122" s="353"/>
      <c r="AL122" s="353"/>
      <c r="AM122" s="353"/>
      <c r="AN122" s="353"/>
      <c r="AO122" s="353"/>
      <c r="AP122" s="353"/>
      <c r="AQ122" s="643"/>
      <c r="AR122" s="235">
        <f t="shared" si="143"/>
        <v>0</v>
      </c>
      <c r="AS122" s="235">
        <f t="shared" si="144"/>
        <v>0</v>
      </c>
      <c r="AT122" s="235">
        <f t="shared" si="145"/>
        <v>0</v>
      </c>
      <c r="AU122" s="235">
        <f t="shared" si="146"/>
        <v>0</v>
      </c>
      <c r="AV122" s="354"/>
      <c r="AW122" s="354"/>
      <c r="AX122" s="354"/>
      <c r="AY122" s="354"/>
      <c r="AZ122" s="354"/>
      <c r="BA122" s="354"/>
      <c r="BB122" s="354"/>
      <c r="BC122" s="354"/>
      <c r="BD122" s="354"/>
      <c r="BE122" s="354"/>
      <c r="BF122" s="354"/>
      <c r="BG122" s="206"/>
      <c r="BH122" s="206"/>
      <c r="BI122" s="206"/>
      <c r="BJ122" s="206"/>
      <c r="BK122" s="206"/>
      <c r="BL122" s="206"/>
      <c r="BM122" s="206"/>
      <c r="BN122" s="206"/>
      <c r="BO122" s="636"/>
      <c r="BP122" s="208" t="s">
        <v>21</v>
      </c>
      <c r="BQ122" s="355">
        <f t="shared" si="147"/>
        <v>0</v>
      </c>
      <c r="BR122" s="355">
        <f t="shared" si="147"/>
        <v>0</v>
      </c>
      <c r="BS122" s="355">
        <f t="shared" si="148"/>
        <v>0</v>
      </c>
      <c r="BT122" s="355">
        <f t="shared" si="148"/>
        <v>0</v>
      </c>
      <c r="BU122" s="355">
        <f t="shared" si="148"/>
        <v>0</v>
      </c>
      <c r="BV122" s="355">
        <f t="shared" si="148"/>
        <v>0</v>
      </c>
      <c r="BW122" s="355">
        <f t="shared" si="148"/>
        <v>0</v>
      </c>
      <c r="BX122" s="355">
        <f t="shared" si="148"/>
        <v>0</v>
      </c>
      <c r="BY122" s="355">
        <f t="shared" si="148"/>
        <v>0</v>
      </c>
      <c r="BZ122" s="355">
        <f t="shared" si="148"/>
        <v>0</v>
      </c>
      <c r="CA122" s="355">
        <f t="shared" si="148"/>
        <v>0</v>
      </c>
      <c r="CB122" s="355">
        <f t="shared" si="148"/>
        <v>0</v>
      </c>
      <c r="CC122" s="355">
        <f t="shared" si="148"/>
        <v>0</v>
      </c>
      <c r="CD122" s="355">
        <f t="shared" si="148"/>
        <v>0</v>
      </c>
      <c r="CE122" s="355">
        <f t="shared" si="148"/>
        <v>0</v>
      </c>
      <c r="CF122" s="355">
        <f t="shared" si="148"/>
        <v>0</v>
      </c>
      <c r="CG122" s="355">
        <f t="shared" si="148"/>
        <v>0</v>
      </c>
      <c r="CH122" s="355">
        <f t="shared" si="148"/>
        <v>0</v>
      </c>
      <c r="CI122" s="355">
        <f t="shared" si="148"/>
        <v>0</v>
      </c>
      <c r="CJ122" s="355">
        <f t="shared" si="148"/>
        <v>0</v>
      </c>
      <c r="CK122" s="355"/>
      <c r="CL122" s="355"/>
      <c r="CM122" s="355"/>
      <c r="CN122" s="355"/>
      <c r="CO122" s="355"/>
      <c r="CP122" s="355"/>
      <c r="CQ122" s="355"/>
      <c r="CR122" s="355"/>
      <c r="CS122" s="355"/>
      <c r="CT122" s="355"/>
      <c r="CU122" s="355"/>
      <c r="CV122" s="355"/>
      <c r="CW122" s="355"/>
      <c r="CX122" s="355"/>
      <c r="CY122" s="355"/>
      <c r="CZ122" s="355"/>
      <c r="DA122" s="355"/>
      <c r="DB122" s="355"/>
      <c r="DC122" s="355"/>
      <c r="DD122" s="355"/>
      <c r="DE122" s="654"/>
      <c r="DF122" s="235">
        <f t="shared" si="157"/>
        <v>0</v>
      </c>
      <c r="DG122" s="235">
        <f t="shared" si="158"/>
        <v>0</v>
      </c>
      <c r="DH122" s="235">
        <f t="shared" si="159"/>
        <v>0</v>
      </c>
      <c r="DI122" s="236">
        <f t="shared" si="160"/>
        <v>0</v>
      </c>
      <c r="DJ122" s="354"/>
      <c r="DK122" s="354"/>
      <c r="DL122" s="354"/>
      <c r="DM122" s="354"/>
      <c r="DN122" s="354"/>
      <c r="DO122" s="654"/>
      <c r="DP122" s="235">
        <f t="shared" si="149"/>
        <v>0</v>
      </c>
      <c r="DQ122" s="235">
        <f t="shared" si="149"/>
        <v>0</v>
      </c>
      <c r="DR122" s="235">
        <f t="shared" si="149"/>
        <v>0</v>
      </c>
      <c r="DS122" s="236">
        <f t="shared" si="149"/>
        <v>0</v>
      </c>
      <c r="DT122" s="357"/>
      <c r="DU122" s="357"/>
      <c r="DV122" s="357"/>
      <c r="DW122" s="357"/>
      <c r="DX122" s="357"/>
      <c r="DY122" s="357"/>
      <c r="DZ122" s="687"/>
      <c r="EA122" s="365"/>
      <c r="EB122" s="358">
        <f t="shared" si="162"/>
        <v>0</v>
      </c>
      <c r="EC122" s="358">
        <f t="shared" si="163"/>
        <v>0</v>
      </c>
      <c r="ED122" s="358">
        <f t="shared" si="164"/>
        <v>0</v>
      </c>
      <c r="EE122" s="358">
        <f t="shared" si="165"/>
        <v>0</v>
      </c>
      <c r="EF122" s="328"/>
      <c r="EG122" s="636"/>
      <c r="EH122" s="361" t="s">
        <v>21</v>
      </c>
      <c r="EI122" s="355">
        <f t="shared" si="150"/>
        <v>0</v>
      </c>
      <c r="EJ122" s="355">
        <f t="shared" si="150"/>
        <v>0</v>
      </c>
      <c r="EK122" s="355">
        <f t="shared" si="150"/>
        <v>0</v>
      </c>
      <c r="EL122" s="355">
        <f t="shared" si="150"/>
        <v>0</v>
      </c>
      <c r="EM122" s="355">
        <f t="shared" si="150"/>
        <v>0</v>
      </c>
      <c r="EN122" s="355">
        <f t="shared" si="150"/>
        <v>0</v>
      </c>
      <c r="EO122" s="355">
        <f t="shared" si="150"/>
        <v>0</v>
      </c>
      <c r="EP122" s="355">
        <f t="shared" si="150"/>
        <v>0</v>
      </c>
      <c r="EQ122" s="355">
        <f t="shared" si="150"/>
        <v>0</v>
      </c>
      <c r="ER122" s="355">
        <f t="shared" si="150"/>
        <v>0</v>
      </c>
      <c r="ES122" s="355">
        <f t="shared" si="150"/>
        <v>0</v>
      </c>
      <c r="ET122" s="355">
        <f t="shared" si="150"/>
        <v>0</v>
      </c>
      <c r="EU122" s="355">
        <f t="shared" si="150"/>
        <v>0</v>
      </c>
      <c r="EV122" s="355">
        <f t="shared" si="150"/>
        <v>0</v>
      </c>
      <c r="EW122" s="355">
        <f t="shared" si="150"/>
        <v>0</v>
      </c>
      <c r="EX122" s="355">
        <f t="shared" si="150"/>
        <v>0</v>
      </c>
      <c r="EY122" s="355">
        <f t="shared" si="151"/>
        <v>0</v>
      </c>
      <c r="EZ122" s="355">
        <f t="shared" si="151"/>
        <v>0</v>
      </c>
      <c r="FA122" s="355">
        <f t="shared" si="151"/>
        <v>0</v>
      </c>
      <c r="FB122" s="355">
        <f t="shared" si="151"/>
        <v>0</v>
      </c>
      <c r="FC122" s="355"/>
      <c r="FD122" s="355"/>
      <c r="FE122" s="355"/>
      <c r="FF122" s="355"/>
      <c r="FG122" s="355"/>
      <c r="FH122" s="355"/>
      <c r="FI122" s="355"/>
      <c r="FJ122" s="355"/>
      <c r="FK122" s="355"/>
      <c r="FL122" s="355"/>
      <c r="FM122" s="355"/>
      <c r="FN122" s="355"/>
      <c r="FO122" s="355"/>
      <c r="FP122" s="355"/>
      <c r="FQ122" s="355"/>
      <c r="FR122" s="355"/>
      <c r="FS122" s="355"/>
      <c r="FT122" s="355"/>
      <c r="FU122" s="355"/>
      <c r="FV122" s="355"/>
      <c r="FW122" s="355"/>
      <c r="FX122" s="369"/>
      <c r="FY122" s="370"/>
      <c r="FZ122" s="366">
        <f t="shared" si="152"/>
        <v>0</v>
      </c>
      <c r="GA122" s="637"/>
      <c r="GB122" s="364">
        <f t="shared" si="153"/>
        <v>0</v>
      </c>
      <c r="GC122" s="637"/>
      <c r="GD122" s="364">
        <f t="shared" si="154"/>
        <v>0</v>
      </c>
      <c r="GE122" s="637"/>
      <c r="GF122" s="364">
        <f t="shared" si="155"/>
        <v>0</v>
      </c>
      <c r="GG122" s="637"/>
      <c r="GH122" s="640"/>
      <c r="GI122" s="206"/>
      <c r="GJ122" s="636"/>
      <c r="GK122" s="635"/>
      <c r="GL122" s="206"/>
      <c r="GM122" s="206"/>
      <c r="GN122" s="206"/>
      <c r="GO122" s="206"/>
      <c r="GP122" s="206"/>
      <c r="GQ122" s="206"/>
      <c r="GR122" s="206"/>
      <c r="GS122" s="206"/>
    </row>
    <row r="123" spans="1:201" ht="15" customHeight="1" thickBot="1">
      <c r="A123" s="636"/>
      <c r="B123" s="208" t="s">
        <v>23</v>
      </c>
      <c r="C123" s="353">
        <f t="shared" si="141"/>
        <v>0</v>
      </c>
      <c r="D123" s="353">
        <f t="shared" si="141"/>
        <v>0</v>
      </c>
      <c r="E123" s="353">
        <f t="shared" si="142"/>
        <v>0</v>
      </c>
      <c r="F123" s="353">
        <f t="shared" si="142"/>
        <v>0</v>
      </c>
      <c r="G123" s="353">
        <f t="shared" si="142"/>
        <v>0</v>
      </c>
      <c r="H123" s="353">
        <f t="shared" si="142"/>
        <v>0</v>
      </c>
      <c r="I123" s="353">
        <f t="shared" si="142"/>
        <v>0</v>
      </c>
      <c r="J123" s="353">
        <f t="shared" si="142"/>
        <v>0</v>
      </c>
      <c r="K123" s="353">
        <f t="shared" si="142"/>
        <v>0</v>
      </c>
      <c r="L123" s="353">
        <f t="shared" si="142"/>
        <v>0</v>
      </c>
      <c r="M123" s="353">
        <f t="shared" si="142"/>
        <v>0</v>
      </c>
      <c r="N123" s="353">
        <f t="shared" si="142"/>
        <v>0</v>
      </c>
      <c r="O123" s="353">
        <f t="shared" si="142"/>
        <v>0</v>
      </c>
      <c r="P123" s="353">
        <f t="shared" si="142"/>
        <v>0</v>
      </c>
      <c r="Q123" s="353">
        <f t="shared" si="142"/>
        <v>0</v>
      </c>
      <c r="R123" s="353">
        <f t="shared" si="142"/>
        <v>0</v>
      </c>
      <c r="S123" s="353">
        <f t="shared" si="142"/>
        <v>0</v>
      </c>
      <c r="T123" s="353">
        <f t="shared" si="142"/>
        <v>0</v>
      </c>
      <c r="U123" s="353">
        <f t="shared" si="142"/>
        <v>0</v>
      </c>
      <c r="V123" s="353">
        <f t="shared" si="142"/>
        <v>0</v>
      </c>
      <c r="W123" s="353"/>
      <c r="X123" s="353"/>
      <c r="Y123" s="353"/>
      <c r="Z123" s="353"/>
      <c r="AA123" s="353"/>
      <c r="AB123" s="353"/>
      <c r="AC123" s="353"/>
      <c r="AD123" s="353"/>
      <c r="AE123" s="353"/>
      <c r="AF123" s="353"/>
      <c r="AG123" s="353"/>
      <c r="AH123" s="353"/>
      <c r="AI123" s="353"/>
      <c r="AJ123" s="353"/>
      <c r="AK123" s="353"/>
      <c r="AL123" s="353"/>
      <c r="AM123" s="353"/>
      <c r="AN123" s="353"/>
      <c r="AO123" s="353"/>
      <c r="AP123" s="353"/>
      <c r="AQ123" s="643"/>
      <c r="AR123" s="235">
        <f t="shared" si="143"/>
        <v>0</v>
      </c>
      <c r="AS123" s="235">
        <f t="shared" si="144"/>
        <v>0</v>
      </c>
      <c r="AT123" s="235">
        <f t="shared" si="145"/>
        <v>0</v>
      </c>
      <c r="AU123" s="235">
        <f t="shared" si="146"/>
        <v>0</v>
      </c>
      <c r="AV123" s="354"/>
      <c r="AW123" s="354"/>
      <c r="AX123" s="354"/>
      <c r="AY123" s="354"/>
      <c r="AZ123" s="354"/>
      <c r="BA123" s="354"/>
      <c r="BB123" s="354"/>
      <c r="BC123" s="354"/>
      <c r="BD123" s="354"/>
      <c r="BE123" s="354"/>
      <c r="BF123" s="354"/>
      <c r="BG123" s="206"/>
      <c r="BH123" s="206"/>
      <c r="BI123" s="206"/>
      <c r="BJ123" s="206"/>
      <c r="BK123" s="206"/>
      <c r="BL123" s="206"/>
      <c r="BM123" s="206"/>
      <c r="BN123" s="206"/>
      <c r="BO123" s="636"/>
      <c r="BP123" s="208" t="s">
        <v>23</v>
      </c>
      <c r="BQ123" s="355">
        <f t="shared" si="147"/>
        <v>0</v>
      </c>
      <c r="BR123" s="355">
        <f t="shared" si="147"/>
        <v>0</v>
      </c>
      <c r="BS123" s="355">
        <f t="shared" si="148"/>
        <v>0</v>
      </c>
      <c r="BT123" s="355">
        <f t="shared" si="148"/>
        <v>0</v>
      </c>
      <c r="BU123" s="355">
        <f t="shared" si="148"/>
        <v>0</v>
      </c>
      <c r="BV123" s="355">
        <f t="shared" si="148"/>
        <v>0</v>
      </c>
      <c r="BW123" s="355">
        <f t="shared" si="148"/>
        <v>0</v>
      </c>
      <c r="BX123" s="355">
        <f t="shared" si="148"/>
        <v>0</v>
      </c>
      <c r="BY123" s="355">
        <f t="shared" si="148"/>
        <v>0</v>
      </c>
      <c r="BZ123" s="355">
        <f t="shared" si="148"/>
        <v>0</v>
      </c>
      <c r="CA123" s="355">
        <f t="shared" si="148"/>
        <v>0</v>
      </c>
      <c r="CB123" s="355">
        <f t="shared" si="148"/>
        <v>0</v>
      </c>
      <c r="CC123" s="355">
        <f t="shared" si="148"/>
        <v>0</v>
      </c>
      <c r="CD123" s="355">
        <f t="shared" si="148"/>
        <v>0</v>
      </c>
      <c r="CE123" s="355">
        <f t="shared" si="148"/>
        <v>0</v>
      </c>
      <c r="CF123" s="355">
        <f t="shared" si="148"/>
        <v>0</v>
      </c>
      <c r="CG123" s="355">
        <f t="shared" si="148"/>
        <v>0</v>
      </c>
      <c r="CH123" s="355">
        <f t="shared" si="148"/>
        <v>0</v>
      </c>
      <c r="CI123" s="355">
        <f t="shared" si="148"/>
        <v>0</v>
      </c>
      <c r="CJ123" s="355">
        <f t="shared" si="148"/>
        <v>0</v>
      </c>
      <c r="CK123" s="355"/>
      <c r="CL123" s="355"/>
      <c r="CM123" s="355"/>
      <c r="CN123" s="355"/>
      <c r="CO123" s="355"/>
      <c r="CP123" s="355"/>
      <c r="CQ123" s="355"/>
      <c r="CR123" s="355"/>
      <c r="CS123" s="355"/>
      <c r="CT123" s="355"/>
      <c r="CU123" s="355"/>
      <c r="CV123" s="355"/>
      <c r="CW123" s="355"/>
      <c r="CX123" s="355"/>
      <c r="CY123" s="355"/>
      <c r="CZ123" s="355"/>
      <c r="DA123" s="355"/>
      <c r="DB123" s="355"/>
      <c r="DC123" s="355"/>
      <c r="DD123" s="355"/>
      <c r="DE123" s="654"/>
      <c r="DF123" s="235">
        <f t="shared" si="157"/>
        <v>0</v>
      </c>
      <c r="DG123" s="235">
        <f t="shared" si="158"/>
        <v>0</v>
      </c>
      <c r="DH123" s="235">
        <f t="shared" si="159"/>
        <v>0</v>
      </c>
      <c r="DI123" s="236">
        <f t="shared" si="160"/>
        <v>0</v>
      </c>
      <c r="DJ123" s="354"/>
      <c r="DK123" s="354"/>
      <c r="DL123" s="354"/>
      <c r="DM123" s="354"/>
      <c r="DN123" s="354"/>
      <c r="DO123" s="654"/>
      <c r="DP123" s="235">
        <f t="shared" si="149"/>
        <v>0</v>
      </c>
      <c r="DQ123" s="235">
        <f t="shared" si="149"/>
        <v>0</v>
      </c>
      <c r="DR123" s="235">
        <f t="shared" si="149"/>
        <v>0</v>
      </c>
      <c r="DS123" s="236">
        <f t="shared" si="149"/>
        <v>0</v>
      </c>
      <c r="DT123" s="357"/>
      <c r="DU123" s="357"/>
      <c r="DV123" s="357"/>
      <c r="DW123" s="357"/>
      <c r="DX123" s="357"/>
      <c r="DY123" s="357"/>
      <c r="DZ123" s="688"/>
      <c r="EA123" s="365"/>
      <c r="EB123" s="362">
        <f t="shared" si="162"/>
        <v>0</v>
      </c>
      <c r="EC123" s="358">
        <f t="shared" si="163"/>
        <v>0</v>
      </c>
      <c r="ED123" s="358">
        <f t="shared" si="164"/>
        <v>0</v>
      </c>
      <c r="EE123" s="358">
        <f t="shared" si="165"/>
        <v>0</v>
      </c>
      <c r="EF123" s="328"/>
      <c r="EG123" s="636"/>
      <c r="EH123" s="361" t="s">
        <v>23</v>
      </c>
      <c r="EI123" s="355">
        <f t="shared" si="150"/>
        <v>0</v>
      </c>
      <c r="EJ123" s="355">
        <f t="shared" si="150"/>
        <v>0</v>
      </c>
      <c r="EK123" s="355">
        <f t="shared" si="150"/>
        <v>0</v>
      </c>
      <c r="EL123" s="355">
        <f t="shared" si="150"/>
        <v>0</v>
      </c>
      <c r="EM123" s="355">
        <f t="shared" si="150"/>
        <v>0</v>
      </c>
      <c r="EN123" s="355">
        <f t="shared" si="150"/>
        <v>0</v>
      </c>
      <c r="EO123" s="355">
        <f t="shared" si="150"/>
        <v>0</v>
      </c>
      <c r="EP123" s="355">
        <f t="shared" si="150"/>
        <v>0</v>
      </c>
      <c r="EQ123" s="355">
        <f t="shared" si="150"/>
        <v>0</v>
      </c>
      <c r="ER123" s="355">
        <f t="shared" si="150"/>
        <v>0</v>
      </c>
      <c r="ES123" s="355">
        <f t="shared" si="150"/>
        <v>0</v>
      </c>
      <c r="ET123" s="355">
        <f t="shared" si="150"/>
        <v>0</v>
      </c>
      <c r="EU123" s="355">
        <f t="shared" si="150"/>
        <v>0</v>
      </c>
      <c r="EV123" s="355">
        <f t="shared" si="150"/>
        <v>0</v>
      </c>
      <c r="EW123" s="355">
        <f t="shared" si="150"/>
        <v>0</v>
      </c>
      <c r="EX123" s="355">
        <f t="shared" si="150"/>
        <v>0</v>
      </c>
      <c r="EY123" s="355">
        <f t="shared" si="151"/>
        <v>0</v>
      </c>
      <c r="EZ123" s="355">
        <f t="shared" si="151"/>
        <v>0</v>
      </c>
      <c r="FA123" s="355">
        <f t="shared" si="151"/>
        <v>0</v>
      </c>
      <c r="FB123" s="355">
        <f t="shared" si="151"/>
        <v>0</v>
      </c>
      <c r="FC123" s="355"/>
      <c r="FD123" s="355"/>
      <c r="FE123" s="355"/>
      <c r="FF123" s="355"/>
      <c r="FG123" s="355"/>
      <c r="FH123" s="355"/>
      <c r="FI123" s="355"/>
      <c r="FJ123" s="355"/>
      <c r="FK123" s="355"/>
      <c r="FL123" s="355"/>
      <c r="FM123" s="355"/>
      <c r="FN123" s="355"/>
      <c r="FO123" s="355"/>
      <c r="FP123" s="355"/>
      <c r="FQ123" s="355"/>
      <c r="FR123" s="355"/>
      <c r="FS123" s="355"/>
      <c r="FT123" s="355"/>
      <c r="FU123" s="355"/>
      <c r="FV123" s="355"/>
      <c r="FW123" s="355"/>
      <c r="FX123" s="369"/>
      <c r="FY123" s="370"/>
      <c r="FZ123" s="371">
        <f t="shared" si="152"/>
        <v>0</v>
      </c>
      <c r="GA123" s="637"/>
      <c r="GB123" s="364">
        <f t="shared" si="153"/>
        <v>0</v>
      </c>
      <c r="GC123" s="637"/>
      <c r="GD123" s="364">
        <f t="shared" si="154"/>
        <v>0</v>
      </c>
      <c r="GE123" s="637"/>
      <c r="GF123" s="364">
        <f t="shared" si="155"/>
        <v>0</v>
      </c>
      <c r="GG123" s="637"/>
      <c r="GH123" s="640"/>
      <c r="GI123" s="206"/>
      <c r="GJ123" s="636"/>
      <c r="GK123" s="635"/>
      <c r="GL123" s="206"/>
      <c r="GM123" s="206"/>
      <c r="GN123" s="206"/>
      <c r="GO123" s="206"/>
      <c r="GP123" s="206"/>
      <c r="GQ123" s="206"/>
      <c r="GR123" s="206"/>
      <c r="GS123" s="206"/>
    </row>
    <row r="124" spans="1:201" ht="15" customHeight="1" thickBot="1">
      <c r="A124" s="636"/>
      <c r="B124" s="372" t="s">
        <v>25</v>
      </c>
      <c r="C124" s="353">
        <f t="shared" si="141"/>
        <v>0</v>
      </c>
      <c r="D124" s="353">
        <f t="shared" si="141"/>
        <v>0</v>
      </c>
      <c r="E124" s="353">
        <f t="shared" si="142"/>
        <v>0</v>
      </c>
      <c r="F124" s="353">
        <f t="shared" si="142"/>
        <v>0</v>
      </c>
      <c r="G124" s="353">
        <f t="shared" si="142"/>
        <v>0</v>
      </c>
      <c r="H124" s="353">
        <f t="shared" si="142"/>
        <v>0</v>
      </c>
      <c r="I124" s="353">
        <f t="shared" si="142"/>
        <v>0</v>
      </c>
      <c r="J124" s="353">
        <f t="shared" si="142"/>
        <v>0</v>
      </c>
      <c r="K124" s="353">
        <f t="shared" si="142"/>
        <v>0</v>
      </c>
      <c r="L124" s="353">
        <f t="shared" si="142"/>
        <v>0</v>
      </c>
      <c r="M124" s="353">
        <f t="shared" si="142"/>
        <v>0</v>
      </c>
      <c r="N124" s="353">
        <f t="shared" si="142"/>
        <v>0</v>
      </c>
      <c r="O124" s="353">
        <f t="shared" si="142"/>
        <v>0</v>
      </c>
      <c r="P124" s="353">
        <f t="shared" si="142"/>
        <v>0</v>
      </c>
      <c r="Q124" s="353">
        <f t="shared" si="142"/>
        <v>0</v>
      </c>
      <c r="R124" s="353">
        <f t="shared" si="142"/>
        <v>0</v>
      </c>
      <c r="S124" s="353">
        <f t="shared" si="142"/>
        <v>0</v>
      </c>
      <c r="T124" s="353">
        <f t="shared" si="142"/>
        <v>0</v>
      </c>
      <c r="U124" s="353">
        <f t="shared" si="142"/>
        <v>0</v>
      </c>
      <c r="V124" s="353">
        <f t="shared" si="142"/>
        <v>0</v>
      </c>
      <c r="W124" s="353"/>
      <c r="X124" s="353"/>
      <c r="Y124" s="353"/>
      <c r="Z124" s="353"/>
      <c r="AA124" s="353"/>
      <c r="AB124" s="353"/>
      <c r="AC124" s="353"/>
      <c r="AD124" s="353"/>
      <c r="AE124" s="353"/>
      <c r="AF124" s="353"/>
      <c r="AG124" s="353"/>
      <c r="AH124" s="353"/>
      <c r="AI124" s="353"/>
      <c r="AJ124" s="353"/>
      <c r="AK124" s="353"/>
      <c r="AL124" s="353"/>
      <c r="AM124" s="353"/>
      <c r="AN124" s="353"/>
      <c r="AO124" s="353"/>
      <c r="AP124" s="353"/>
      <c r="AQ124" s="643"/>
      <c r="AR124" s="235">
        <f t="shared" si="143"/>
        <v>0</v>
      </c>
      <c r="AS124" s="235">
        <f t="shared" si="144"/>
        <v>0</v>
      </c>
      <c r="AT124" s="235">
        <f t="shared" si="145"/>
        <v>0</v>
      </c>
      <c r="AU124" s="235">
        <f t="shared" si="146"/>
        <v>0</v>
      </c>
      <c r="AV124" s="354"/>
      <c r="AW124" s="354"/>
      <c r="AX124" s="354"/>
      <c r="AY124" s="354"/>
      <c r="AZ124" s="354"/>
      <c r="BA124" s="354"/>
      <c r="BB124" s="354"/>
      <c r="BC124" s="354"/>
      <c r="BD124" s="354"/>
      <c r="BE124" s="354"/>
      <c r="BF124" s="354"/>
      <c r="BG124" s="206"/>
      <c r="BH124" s="206"/>
      <c r="BI124" s="206"/>
      <c r="BJ124" s="206"/>
      <c r="BK124" s="206"/>
      <c r="BL124" s="206"/>
      <c r="BM124" s="206"/>
      <c r="BN124" s="206"/>
      <c r="BO124" s="636"/>
      <c r="BP124" s="372" t="s">
        <v>25</v>
      </c>
      <c r="BQ124" s="355">
        <f t="shared" si="147"/>
        <v>0</v>
      </c>
      <c r="BR124" s="355">
        <f t="shared" si="147"/>
        <v>0</v>
      </c>
      <c r="BS124" s="355">
        <f t="shared" si="148"/>
        <v>0</v>
      </c>
      <c r="BT124" s="355">
        <f t="shared" si="148"/>
        <v>0</v>
      </c>
      <c r="BU124" s="355">
        <f t="shared" si="148"/>
        <v>0</v>
      </c>
      <c r="BV124" s="355">
        <f t="shared" si="148"/>
        <v>0</v>
      </c>
      <c r="BW124" s="355">
        <f t="shared" si="148"/>
        <v>0</v>
      </c>
      <c r="BX124" s="355">
        <f t="shared" si="148"/>
        <v>0</v>
      </c>
      <c r="BY124" s="355">
        <f t="shared" si="148"/>
        <v>0</v>
      </c>
      <c r="BZ124" s="355">
        <f t="shared" si="148"/>
        <v>0</v>
      </c>
      <c r="CA124" s="355">
        <f t="shared" si="148"/>
        <v>0</v>
      </c>
      <c r="CB124" s="355">
        <f t="shared" si="148"/>
        <v>0</v>
      </c>
      <c r="CC124" s="355">
        <f t="shared" si="148"/>
        <v>0</v>
      </c>
      <c r="CD124" s="355">
        <f t="shared" si="148"/>
        <v>0</v>
      </c>
      <c r="CE124" s="355">
        <f t="shared" si="148"/>
        <v>0</v>
      </c>
      <c r="CF124" s="355">
        <f t="shared" si="148"/>
        <v>0</v>
      </c>
      <c r="CG124" s="355">
        <f t="shared" si="148"/>
        <v>0</v>
      </c>
      <c r="CH124" s="355">
        <f t="shared" si="148"/>
        <v>0</v>
      </c>
      <c r="CI124" s="355">
        <f t="shared" si="148"/>
        <v>0</v>
      </c>
      <c r="CJ124" s="355">
        <f t="shared" si="148"/>
        <v>0</v>
      </c>
      <c r="CK124" s="355"/>
      <c r="CL124" s="355"/>
      <c r="CM124" s="355"/>
      <c r="CN124" s="355"/>
      <c r="CO124" s="355"/>
      <c r="CP124" s="355"/>
      <c r="CQ124" s="355"/>
      <c r="CR124" s="355"/>
      <c r="CS124" s="355"/>
      <c r="CT124" s="355"/>
      <c r="CU124" s="355"/>
      <c r="CV124" s="355"/>
      <c r="CW124" s="355"/>
      <c r="CX124" s="355"/>
      <c r="CY124" s="355"/>
      <c r="CZ124" s="355"/>
      <c r="DA124" s="355"/>
      <c r="DB124" s="355"/>
      <c r="DC124" s="355"/>
      <c r="DD124" s="355"/>
      <c r="DE124" s="654"/>
      <c r="DF124" s="235">
        <f t="shared" si="157"/>
        <v>0</v>
      </c>
      <c r="DG124" s="235">
        <f t="shared" si="158"/>
        <v>0</v>
      </c>
      <c r="DH124" s="235">
        <f t="shared" si="159"/>
        <v>0</v>
      </c>
      <c r="DI124" s="236">
        <f t="shared" si="160"/>
        <v>0</v>
      </c>
      <c r="DJ124" s="354"/>
      <c r="DK124" s="354"/>
      <c r="DL124" s="354"/>
      <c r="DM124" s="354"/>
      <c r="DN124" s="354"/>
      <c r="DO124" s="654"/>
      <c r="DP124" s="235">
        <f t="shared" si="149"/>
        <v>0</v>
      </c>
      <c r="DQ124" s="235">
        <f t="shared" si="149"/>
        <v>0</v>
      </c>
      <c r="DR124" s="235">
        <f t="shared" si="149"/>
        <v>0</v>
      </c>
      <c r="DS124" s="236">
        <f t="shared" si="149"/>
        <v>0</v>
      </c>
      <c r="DT124" s="357"/>
      <c r="DU124" s="357"/>
      <c r="DV124" s="357"/>
      <c r="DW124" s="357"/>
      <c r="DX124" s="357"/>
      <c r="DY124" s="357"/>
      <c r="DZ124" s="689">
        <v>3</v>
      </c>
      <c r="EA124" s="365"/>
      <c r="EB124" s="365"/>
      <c r="EC124" s="358">
        <f t="shared" si="163"/>
        <v>0</v>
      </c>
      <c r="ED124" s="358">
        <f t="shared" si="164"/>
        <v>0</v>
      </c>
      <c r="EE124" s="358">
        <f t="shared" si="165"/>
        <v>0</v>
      </c>
      <c r="EF124" s="328"/>
      <c r="EG124" s="636"/>
      <c r="EH124" s="373" t="s">
        <v>25</v>
      </c>
      <c r="EI124" s="355">
        <f t="shared" si="150"/>
        <v>0</v>
      </c>
      <c r="EJ124" s="355">
        <f t="shared" si="150"/>
        <v>0</v>
      </c>
      <c r="EK124" s="355">
        <f t="shared" si="150"/>
        <v>0</v>
      </c>
      <c r="EL124" s="355">
        <f t="shared" si="150"/>
        <v>0</v>
      </c>
      <c r="EM124" s="355">
        <f t="shared" si="150"/>
        <v>0</v>
      </c>
      <c r="EN124" s="355">
        <f t="shared" si="150"/>
        <v>0</v>
      </c>
      <c r="EO124" s="355">
        <f t="shared" si="150"/>
        <v>0</v>
      </c>
      <c r="EP124" s="355">
        <f t="shared" si="150"/>
        <v>0</v>
      </c>
      <c r="EQ124" s="355">
        <f t="shared" si="150"/>
        <v>0</v>
      </c>
      <c r="ER124" s="355">
        <f t="shared" si="150"/>
        <v>0</v>
      </c>
      <c r="ES124" s="355">
        <f t="shared" si="150"/>
        <v>0</v>
      </c>
      <c r="ET124" s="355">
        <f t="shared" si="150"/>
        <v>0</v>
      </c>
      <c r="EU124" s="355">
        <f t="shared" si="150"/>
        <v>0</v>
      </c>
      <c r="EV124" s="355">
        <f t="shared" si="150"/>
        <v>0</v>
      </c>
      <c r="EW124" s="355">
        <f t="shared" si="150"/>
        <v>0</v>
      </c>
      <c r="EX124" s="355">
        <f t="shared" si="150"/>
        <v>0</v>
      </c>
      <c r="EY124" s="355">
        <f t="shared" si="151"/>
        <v>0</v>
      </c>
      <c r="EZ124" s="355">
        <f t="shared" si="151"/>
        <v>0</v>
      </c>
      <c r="FA124" s="355">
        <f t="shared" si="151"/>
        <v>0</v>
      </c>
      <c r="FB124" s="355">
        <f t="shared" si="151"/>
        <v>0</v>
      </c>
      <c r="FC124" s="355"/>
      <c r="FD124" s="355"/>
      <c r="FE124" s="355"/>
      <c r="FF124" s="355"/>
      <c r="FG124" s="355"/>
      <c r="FH124" s="355"/>
      <c r="FI124" s="355"/>
      <c r="FJ124" s="355"/>
      <c r="FK124" s="355"/>
      <c r="FL124" s="355"/>
      <c r="FM124" s="355"/>
      <c r="FN124" s="355"/>
      <c r="FO124" s="355"/>
      <c r="FP124" s="355"/>
      <c r="FQ124" s="355"/>
      <c r="FR124" s="355"/>
      <c r="FS124" s="355"/>
      <c r="FT124" s="355"/>
      <c r="FU124" s="355"/>
      <c r="FV124" s="355"/>
      <c r="FW124" s="355"/>
      <c r="FX124" s="369"/>
      <c r="FY124" s="370"/>
      <c r="FZ124" s="371">
        <f t="shared" si="152"/>
        <v>0</v>
      </c>
      <c r="GA124" s="637"/>
      <c r="GB124" s="364">
        <f t="shared" si="153"/>
        <v>0</v>
      </c>
      <c r="GC124" s="637"/>
      <c r="GD124" s="364">
        <f t="shared" si="154"/>
        <v>0</v>
      </c>
      <c r="GE124" s="637"/>
      <c r="GF124" s="364">
        <f t="shared" si="155"/>
        <v>0</v>
      </c>
      <c r="GG124" s="637"/>
      <c r="GH124" s="641"/>
      <c r="GI124" s="206"/>
      <c r="GJ124" s="636"/>
      <c r="GK124" s="635"/>
      <c r="GL124" s="206"/>
      <c r="GM124" s="206"/>
      <c r="GN124" s="206"/>
      <c r="GO124" s="206"/>
      <c r="GP124" s="206"/>
      <c r="GQ124" s="206"/>
      <c r="GR124" s="206"/>
      <c r="GS124" s="206"/>
    </row>
    <row r="125" spans="1:201" ht="15" customHeight="1" thickBot="1">
      <c r="A125" s="636">
        <v>3</v>
      </c>
      <c r="B125" s="372" t="s">
        <v>27</v>
      </c>
      <c r="C125" s="353">
        <f t="shared" si="141"/>
        <v>0</v>
      </c>
      <c r="D125" s="353">
        <f t="shared" si="141"/>
        <v>0</v>
      </c>
      <c r="E125" s="353">
        <f t="shared" si="142"/>
        <v>0</v>
      </c>
      <c r="F125" s="353">
        <f t="shared" si="142"/>
        <v>0</v>
      </c>
      <c r="G125" s="353">
        <f t="shared" si="142"/>
        <v>0</v>
      </c>
      <c r="H125" s="353">
        <f t="shared" si="142"/>
        <v>0</v>
      </c>
      <c r="I125" s="353">
        <f t="shared" si="142"/>
        <v>0</v>
      </c>
      <c r="J125" s="353">
        <f t="shared" si="142"/>
        <v>0</v>
      </c>
      <c r="K125" s="353">
        <f t="shared" si="142"/>
        <v>0</v>
      </c>
      <c r="L125" s="353">
        <f t="shared" si="142"/>
        <v>0</v>
      </c>
      <c r="M125" s="353">
        <f t="shared" si="142"/>
        <v>0</v>
      </c>
      <c r="N125" s="353">
        <f t="shared" si="142"/>
        <v>0</v>
      </c>
      <c r="O125" s="353">
        <f t="shared" si="142"/>
        <v>0</v>
      </c>
      <c r="P125" s="353">
        <f t="shared" si="142"/>
        <v>0</v>
      </c>
      <c r="Q125" s="353">
        <f t="shared" si="142"/>
        <v>0</v>
      </c>
      <c r="R125" s="353">
        <f t="shared" si="142"/>
        <v>0</v>
      </c>
      <c r="S125" s="353">
        <f t="shared" si="142"/>
        <v>0</v>
      </c>
      <c r="T125" s="353">
        <f t="shared" si="142"/>
        <v>0</v>
      </c>
      <c r="U125" s="353">
        <f t="shared" si="142"/>
        <v>0</v>
      </c>
      <c r="V125" s="353">
        <f t="shared" si="142"/>
        <v>0</v>
      </c>
      <c r="W125" s="353"/>
      <c r="X125" s="353"/>
      <c r="Y125" s="353"/>
      <c r="Z125" s="353"/>
      <c r="AA125" s="353"/>
      <c r="AB125" s="353"/>
      <c r="AC125" s="353"/>
      <c r="AD125" s="353"/>
      <c r="AE125" s="353"/>
      <c r="AF125" s="353"/>
      <c r="AG125" s="353"/>
      <c r="AH125" s="353"/>
      <c r="AI125" s="353"/>
      <c r="AJ125" s="353"/>
      <c r="AK125" s="353"/>
      <c r="AL125" s="353"/>
      <c r="AM125" s="353"/>
      <c r="AN125" s="353"/>
      <c r="AO125" s="353"/>
      <c r="AP125" s="353"/>
      <c r="AQ125" s="643"/>
      <c r="AR125" s="642"/>
      <c r="AS125" s="235">
        <f t="shared" si="144"/>
        <v>0</v>
      </c>
      <c r="AT125" s="235">
        <f t="shared" si="145"/>
        <v>0</v>
      </c>
      <c r="AU125" s="235">
        <f t="shared" si="146"/>
        <v>0</v>
      </c>
      <c r="AV125" s="354"/>
      <c r="AW125" s="354"/>
      <c r="AX125" s="354"/>
      <c r="AY125" s="354"/>
      <c r="AZ125" s="354"/>
      <c r="BA125" s="354"/>
      <c r="BB125" s="354"/>
      <c r="BC125" s="354"/>
      <c r="BD125" s="354"/>
      <c r="BE125" s="354"/>
      <c r="BF125" s="354"/>
      <c r="BG125" s="206"/>
      <c r="BH125" s="206"/>
      <c r="BI125" s="206"/>
      <c r="BJ125" s="206"/>
      <c r="BK125" s="206"/>
      <c r="BL125" s="206"/>
      <c r="BM125" s="206"/>
      <c r="BN125" s="206"/>
      <c r="BO125" s="636">
        <v>3</v>
      </c>
      <c r="BP125" s="372" t="s">
        <v>27</v>
      </c>
      <c r="BQ125" s="355">
        <f t="shared" si="147"/>
        <v>0</v>
      </c>
      <c r="BR125" s="355">
        <f t="shared" si="147"/>
        <v>0</v>
      </c>
      <c r="BS125" s="355">
        <f t="shared" si="148"/>
        <v>0</v>
      </c>
      <c r="BT125" s="355">
        <f t="shared" si="148"/>
        <v>0</v>
      </c>
      <c r="BU125" s="355">
        <f t="shared" si="148"/>
        <v>0</v>
      </c>
      <c r="BV125" s="355">
        <f t="shared" si="148"/>
        <v>0</v>
      </c>
      <c r="BW125" s="355">
        <f t="shared" si="148"/>
        <v>0</v>
      </c>
      <c r="BX125" s="355">
        <f t="shared" si="148"/>
        <v>0</v>
      </c>
      <c r="BY125" s="355">
        <f t="shared" si="148"/>
        <v>0</v>
      </c>
      <c r="BZ125" s="355">
        <f t="shared" si="148"/>
        <v>0</v>
      </c>
      <c r="CA125" s="355">
        <f t="shared" si="148"/>
        <v>0</v>
      </c>
      <c r="CB125" s="355">
        <f t="shared" si="148"/>
        <v>0</v>
      </c>
      <c r="CC125" s="355">
        <f t="shared" si="148"/>
        <v>0</v>
      </c>
      <c r="CD125" s="355">
        <f t="shared" si="148"/>
        <v>0</v>
      </c>
      <c r="CE125" s="355">
        <f t="shared" si="148"/>
        <v>0</v>
      </c>
      <c r="CF125" s="355">
        <f t="shared" si="148"/>
        <v>0</v>
      </c>
      <c r="CG125" s="355">
        <f t="shared" si="148"/>
        <v>0</v>
      </c>
      <c r="CH125" s="355">
        <f t="shared" si="148"/>
        <v>0</v>
      </c>
      <c r="CI125" s="355">
        <f t="shared" si="148"/>
        <v>0</v>
      </c>
      <c r="CJ125" s="355">
        <f t="shared" si="148"/>
        <v>0</v>
      </c>
      <c r="CK125" s="355"/>
      <c r="CL125" s="355"/>
      <c r="CM125" s="355"/>
      <c r="CN125" s="355"/>
      <c r="CO125" s="355"/>
      <c r="CP125" s="355"/>
      <c r="CQ125" s="355"/>
      <c r="CR125" s="355"/>
      <c r="CS125" s="355"/>
      <c r="CT125" s="355"/>
      <c r="CU125" s="355"/>
      <c r="CV125" s="355"/>
      <c r="CW125" s="355"/>
      <c r="CX125" s="355"/>
      <c r="CY125" s="355"/>
      <c r="CZ125" s="355"/>
      <c r="DA125" s="355"/>
      <c r="DB125" s="355"/>
      <c r="DC125" s="355"/>
      <c r="DD125" s="355"/>
      <c r="DE125" s="654"/>
      <c r="DF125" s="642"/>
      <c r="DG125" s="235">
        <f t="shared" si="158"/>
        <v>0</v>
      </c>
      <c r="DH125" s="235">
        <f t="shared" si="159"/>
        <v>0</v>
      </c>
      <c r="DI125" s="236">
        <f t="shared" si="160"/>
        <v>0</v>
      </c>
      <c r="DJ125" s="354"/>
      <c r="DK125" s="354"/>
      <c r="DL125" s="354"/>
      <c r="DM125" s="354"/>
      <c r="DN125" s="354"/>
      <c r="DO125" s="654"/>
      <c r="DP125" s="642"/>
      <c r="DQ125" s="235">
        <f t="shared" si="149"/>
        <v>0</v>
      </c>
      <c r="DR125" s="235">
        <f t="shared" si="149"/>
        <v>0</v>
      </c>
      <c r="DS125" s="236">
        <f t="shared" si="149"/>
        <v>0</v>
      </c>
      <c r="DT125" s="357"/>
      <c r="DU125" s="357"/>
      <c r="DV125" s="357"/>
      <c r="DW125" s="357"/>
      <c r="DX125" s="357"/>
      <c r="DY125" s="357"/>
      <c r="DZ125" s="687"/>
      <c r="EA125" s="365"/>
      <c r="EB125" s="365"/>
      <c r="EC125" s="358">
        <f t="shared" si="163"/>
        <v>0</v>
      </c>
      <c r="ED125" s="358">
        <f t="shared" si="164"/>
        <v>0</v>
      </c>
      <c r="EE125" s="358">
        <f t="shared" si="165"/>
        <v>0</v>
      </c>
      <c r="EF125" s="328"/>
      <c r="EG125" s="636">
        <v>3</v>
      </c>
      <c r="EH125" s="373" t="s">
        <v>27</v>
      </c>
      <c r="EI125" s="355">
        <f t="shared" si="150"/>
        <v>0</v>
      </c>
      <c r="EJ125" s="355">
        <f t="shared" si="150"/>
        <v>0</v>
      </c>
      <c r="EK125" s="355">
        <f t="shared" si="150"/>
        <v>0</v>
      </c>
      <c r="EL125" s="355">
        <f t="shared" si="150"/>
        <v>0</v>
      </c>
      <c r="EM125" s="355">
        <f t="shared" si="150"/>
        <v>0</v>
      </c>
      <c r="EN125" s="355">
        <f t="shared" si="150"/>
        <v>0</v>
      </c>
      <c r="EO125" s="355">
        <f t="shared" si="150"/>
        <v>0</v>
      </c>
      <c r="EP125" s="355">
        <f t="shared" si="150"/>
        <v>0</v>
      </c>
      <c r="EQ125" s="355">
        <f t="shared" si="150"/>
        <v>0</v>
      </c>
      <c r="ER125" s="355">
        <f t="shared" si="150"/>
        <v>0</v>
      </c>
      <c r="ES125" s="355">
        <f t="shared" si="150"/>
        <v>0</v>
      </c>
      <c r="ET125" s="355">
        <f t="shared" si="150"/>
        <v>0</v>
      </c>
      <c r="EU125" s="355">
        <f t="shared" si="150"/>
        <v>0</v>
      </c>
      <c r="EV125" s="355">
        <f t="shared" si="150"/>
        <v>0</v>
      </c>
      <c r="EW125" s="355">
        <f t="shared" si="150"/>
        <v>0</v>
      </c>
      <c r="EX125" s="355">
        <f t="shared" si="150"/>
        <v>0</v>
      </c>
      <c r="EY125" s="355">
        <f t="shared" si="151"/>
        <v>0</v>
      </c>
      <c r="EZ125" s="355">
        <f t="shared" si="151"/>
        <v>0</v>
      </c>
      <c r="FA125" s="355">
        <f t="shared" si="151"/>
        <v>0</v>
      </c>
      <c r="FB125" s="355">
        <f t="shared" si="151"/>
        <v>0</v>
      </c>
      <c r="FC125" s="355"/>
      <c r="FD125" s="355"/>
      <c r="FE125" s="355"/>
      <c r="FF125" s="355"/>
      <c r="FG125" s="355"/>
      <c r="FH125" s="355"/>
      <c r="FI125" s="355"/>
      <c r="FJ125" s="355"/>
      <c r="FK125" s="355"/>
      <c r="FL125" s="355"/>
      <c r="FM125" s="355"/>
      <c r="FN125" s="355"/>
      <c r="FO125" s="355"/>
      <c r="FP125" s="355"/>
      <c r="FQ125" s="355"/>
      <c r="FR125" s="355"/>
      <c r="FS125" s="355"/>
      <c r="FT125" s="355"/>
      <c r="FU125" s="355"/>
      <c r="FV125" s="355"/>
      <c r="FW125" s="355"/>
      <c r="FX125" s="369"/>
      <c r="FY125" s="370"/>
      <c r="FZ125" s="206"/>
      <c r="GA125" s="206"/>
      <c r="GB125" s="364">
        <f t="shared" si="153"/>
        <v>0</v>
      </c>
      <c r="GC125" s="637">
        <f>SUM(GB125:GB128)</f>
        <v>0</v>
      </c>
      <c r="GD125" s="364">
        <f t="shared" si="154"/>
        <v>0</v>
      </c>
      <c r="GE125" s="637">
        <f>SUM(GD125:GD128)</f>
        <v>0</v>
      </c>
      <c r="GF125" s="364">
        <f t="shared" si="155"/>
        <v>0</v>
      </c>
      <c r="GG125" s="637">
        <f>SUM(GF125:GF128)</f>
        <v>0</v>
      </c>
      <c r="GH125" s="639">
        <f>GG125+GE125+GC125</f>
        <v>0</v>
      </c>
      <c r="GI125" s="206"/>
      <c r="GJ125" s="636">
        <v>3</v>
      </c>
      <c r="GK125" s="635">
        <f>SUM(EK125:FB128)</f>
        <v>0</v>
      </c>
      <c r="GL125" s="206"/>
      <c r="GM125" s="206"/>
      <c r="GN125" s="206"/>
      <c r="GO125" s="206"/>
      <c r="GP125" s="206"/>
      <c r="GQ125" s="206"/>
      <c r="GR125" s="206"/>
      <c r="GS125" s="206"/>
    </row>
    <row r="126" spans="1:201" ht="15" customHeight="1" thickBot="1">
      <c r="A126" s="636"/>
      <c r="B126" s="372" t="s">
        <v>28</v>
      </c>
      <c r="C126" s="353">
        <f t="shared" si="141"/>
        <v>0</v>
      </c>
      <c r="D126" s="353">
        <f t="shared" si="141"/>
        <v>0</v>
      </c>
      <c r="E126" s="353">
        <f t="shared" si="142"/>
        <v>0</v>
      </c>
      <c r="F126" s="353">
        <f t="shared" si="142"/>
        <v>0</v>
      </c>
      <c r="G126" s="353">
        <f t="shared" si="142"/>
        <v>0</v>
      </c>
      <c r="H126" s="353">
        <f t="shared" si="142"/>
        <v>0</v>
      </c>
      <c r="I126" s="353">
        <f t="shared" si="142"/>
        <v>0</v>
      </c>
      <c r="J126" s="353">
        <f t="shared" si="142"/>
        <v>0</v>
      </c>
      <c r="K126" s="353">
        <f t="shared" si="142"/>
        <v>0</v>
      </c>
      <c r="L126" s="353">
        <f t="shared" si="142"/>
        <v>0</v>
      </c>
      <c r="M126" s="353">
        <f t="shared" si="142"/>
        <v>0</v>
      </c>
      <c r="N126" s="353">
        <f t="shared" si="142"/>
        <v>0</v>
      </c>
      <c r="O126" s="353">
        <f t="shared" si="142"/>
        <v>0</v>
      </c>
      <c r="P126" s="353">
        <f t="shared" si="142"/>
        <v>0</v>
      </c>
      <c r="Q126" s="353">
        <f t="shared" si="142"/>
        <v>0</v>
      </c>
      <c r="R126" s="353">
        <f t="shared" si="142"/>
        <v>0</v>
      </c>
      <c r="S126" s="353">
        <f t="shared" si="142"/>
        <v>0</v>
      </c>
      <c r="T126" s="353">
        <f t="shared" si="142"/>
        <v>0</v>
      </c>
      <c r="U126" s="353">
        <f t="shared" si="142"/>
        <v>0</v>
      </c>
      <c r="V126" s="353">
        <f t="shared" si="142"/>
        <v>0</v>
      </c>
      <c r="W126" s="353"/>
      <c r="X126" s="353"/>
      <c r="Y126" s="353"/>
      <c r="Z126" s="353"/>
      <c r="AA126" s="353"/>
      <c r="AB126" s="353"/>
      <c r="AC126" s="353"/>
      <c r="AD126" s="353"/>
      <c r="AE126" s="353"/>
      <c r="AF126" s="353"/>
      <c r="AG126" s="353"/>
      <c r="AH126" s="353"/>
      <c r="AI126" s="353"/>
      <c r="AJ126" s="353"/>
      <c r="AK126" s="353"/>
      <c r="AL126" s="353"/>
      <c r="AM126" s="353"/>
      <c r="AN126" s="353"/>
      <c r="AO126" s="353"/>
      <c r="AP126" s="353"/>
      <c r="AQ126" s="643"/>
      <c r="AR126" s="643"/>
      <c r="AS126" s="235">
        <f t="shared" si="144"/>
        <v>0</v>
      </c>
      <c r="AT126" s="235">
        <f t="shared" si="145"/>
        <v>0</v>
      </c>
      <c r="AU126" s="235">
        <f t="shared" si="146"/>
        <v>0</v>
      </c>
      <c r="AV126" s="354"/>
      <c r="AW126" s="354"/>
      <c r="AX126" s="354"/>
      <c r="AY126" s="354"/>
      <c r="AZ126" s="354"/>
      <c r="BA126" s="354"/>
      <c r="BB126" s="354"/>
      <c r="BC126" s="354"/>
      <c r="BD126" s="354"/>
      <c r="BE126" s="354"/>
      <c r="BF126" s="354"/>
      <c r="BG126" s="206"/>
      <c r="BH126" s="206"/>
      <c r="BI126" s="206"/>
      <c r="BJ126" s="206"/>
      <c r="BK126" s="206"/>
      <c r="BL126" s="206"/>
      <c r="BM126" s="206"/>
      <c r="BN126" s="206"/>
      <c r="BO126" s="636"/>
      <c r="BP126" s="372" t="s">
        <v>28</v>
      </c>
      <c r="BQ126" s="355">
        <f t="shared" si="147"/>
        <v>0</v>
      </c>
      <c r="BR126" s="355">
        <f t="shared" si="147"/>
        <v>0</v>
      </c>
      <c r="BS126" s="355">
        <f t="shared" si="148"/>
        <v>0</v>
      </c>
      <c r="BT126" s="355">
        <f t="shared" si="148"/>
        <v>0</v>
      </c>
      <c r="BU126" s="355">
        <f t="shared" si="148"/>
        <v>0</v>
      </c>
      <c r="BV126" s="355">
        <f t="shared" si="148"/>
        <v>0</v>
      </c>
      <c r="BW126" s="355">
        <f t="shared" si="148"/>
        <v>0</v>
      </c>
      <c r="BX126" s="355">
        <f t="shared" si="148"/>
        <v>0</v>
      </c>
      <c r="BY126" s="355">
        <f t="shared" si="148"/>
        <v>0</v>
      </c>
      <c r="BZ126" s="355">
        <f t="shared" si="148"/>
        <v>0</v>
      </c>
      <c r="CA126" s="355">
        <f t="shared" si="148"/>
        <v>0</v>
      </c>
      <c r="CB126" s="355">
        <f t="shared" si="148"/>
        <v>0</v>
      </c>
      <c r="CC126" s="355">
        <f t="shared" si="148"/>
        <v>0</v>
      </c>
      <c r="CD126" s="355">
        <f t="shared" si="148"/>
        <v>0</v>
      </c>
      <c r="CE126" s="355">
        <f t="shared" si="148"/>
        <v>0</v>
      </c>
      <c r="CF126" s="355">
        <f t="shared" si="148"/>
        <v>0</v>
      </c>
      <c r="CG126" s="355">
        <f t="shared" si="148"/>
        <v>0</v>
      </c>
      <c r="CH126" s="355">
        <f t="shared" si="148"/>
        <v>0</v>
      </c>
      <c r="CI126" s="355">
        <f t="shared" si="148"/>
        <v>0</v>
      </c>
      <c r="CJ126" s="355">
        <f t="shared" si="148"/>
        <v>0</v>
      </c>
      <c r="CK126" s="355"/>
      <c r="CL126" s="355"/>
      <c r="CM126" s="355"/>
      <c r="CN126" s="355"/>
      <c r="CO126" s="355"/>
      <c r="CP126" s="355"/>
      <c r="CQ126" s="355"/>
      <c r="CR126" s="355"/>
      <c r="CS126" s="355"/>
      <c r="CT126" s="355"/>
      <c r="CU126" s="355"/>
      <c r="CV126" s="355"/>
      <c r="CW126" s="355"/>
      <c r="CX126" s="355"/>
      <c r="CY126" s="355"/>
      <c r="CZ126" s="355"/>
      <c r="DA126" s="355"/>
      <c r="DB126" s="355"/>
      <c r="DC126" s="355"/>
      <c r="DD126" s="355"/>
      <c r="DE126" s="654"/>
      <c r="DF126" s="643"/>
      <c r="DG126" s="235">
        <f t="shared" si="158"/>
        <v>0</v>
      </c>
      <c r="DH126" s="235">
        <f t="shared" si="159"/>
        <v>0</v>
      </c>
      <c r="DI126" s="236">
        <f t="shared" si="160"/>
        <v>0</v>
      </c>
      <c r="DJ126" s="354"/>
      <c r="DK126" s="354"/>
      <c r="DL126" s="354"/>
      <c r="DM126" s="354"/>
      <c r="DN126" s="354"/>
      <c r="DO126" s="654"/>
      <c r="DP126" s="643"/>
      <c r="DQ126" s="235">
        <f t="shared" si="149"/>
        <v>0</v>
      </c>
      <c r="DR126" s="235">
        <f t="shared" si="149"/>
        <v>0</v>
      </c>
      <c r="DS126" s="236">
        <f t="shared" si="149"/>
        <v>0</v>
      </c>
      <c r="DT126" s="357"/>
      <c r="DU126" s="357"/>
      <c r="DV126" s="357"/>
      <c r="DW126" s="357"/>
      <c r="DX126" s="357"/>
      <c r="DY126" s="357"/>
      <c r="DZ126" s="688"/>
      <c r="EA126" s="365"/>
      <c r="EB126" s="365"/>
      <c r="EC126" s="362">
        <f t="shared" si="163"/>
        <v>0</v>
      </c>
      <c r="ED126" s="358">
        <f t="shared" si="164"/>
        <v>0</v>
      </c>
      <c r="EE126" s="358">
        <f t="shared" si="165"/>
        <v>0</v>
      </c>
      <c r="EF126" s="328"/>
      <c r="EG126" s="636"/>
      <c r="EH126" s="373" t="s">
        <v>28</v>
      </c>
      <c r="EI126" s="355">
        <f t="shared" si="150"/>
        <v>0</v>
      </c>
      <c r="EJ126" s="355">
        <f t="shared" si="150"/>
        <v>0</v>
      </c>
      <c r="EK126" s="355">
        <f t="shared" si="150"/>
        <v>0</v>
      </c>
      <c r="EL126" s="355">
        <f t="shared" si="150"/>
        <v>0</v>
      </c>
      <c r="EM126" s="355">
        <f t="shared" si="150"/>
        <v>0</v>
      </c>
      <c r="EN126" s="355">
        <f t="shared" si="150"/>
        <v>0</v>
      </c>
      <c r="EO126" s="355">
        <f t="shared" si="150"/>
        <v>0</v>
      </c>
      <c r="EP126" s="355">
        <f t="shared" si="150"/>
        <v>0</v>
      </c>
      <c r="EQ126" s="355">
        <f t="shared" si="150"/>
        <v>0</v>
      </c>
      <c r="ER126" s="355">
        <f t="shared" si="150"/>
        <v>0</v>
      </c>
      <c r="ES126" s="355">
        <f t="shared" si="150"/>
        <v>0</v>
      </c>
      <c r="ET126" s="355">
        <f t="shared" si="150"/>
        <v>0</v>
      </c>
      <c r="EU126" s="355">
        <f t="shared" si="150"/>
        <v>0</v>
      </c>
      <c r="EV126" s="355">
        <f t="shared" si="150"/>
        <v>0</v>
      </c>
      <c r="EW126" s="355">
        <f t="shared" si="150"/>
        <v>0</v>
      </c>
      <c r="EX126" s="355">
        <f t="shared" si="150"/>
        <v>0</v>
      </c>
      <c r="EY126" s="355">
        <f t="shared" si="151"/>
        <v>0</v>
      </c>
      <c r="EZ126" s="355">
        <f t="shared" si="151"/>
        <v>0</v>
      </c>
      <c r="FA126" s="355">
        <f t="shared" si="151"/>
        <v>0</v>
      </c>
      <c r="FB126" s="355">
        <f t="shared" si="151"/>
        <v>0</v>
      </c>
      <c r="FC126" s="355"/>
      <c r="FD126" s="355"/>
      <c r="FE126" s="355"/>
      <c r="FF126" s="355"/>
      <c r="FG126" s="355"/>
      <c r="FH126" s="355"/>
      <c r="FI126" s="355"/>
      <c r="FJ126" s="355"/>
      <c r="FK126" s="355"/>
      <c r="FL126" s="355"/>
      <c r="FM126" s="355"/>
      <c r="FN126" s="355"/>
      <c r="FO126" s="355"/>
      <c r="FP126" s="355"/>
      <c r="FQ126" s="355"/>
      <c r="FR126" s="355"/>
      <c r="FS126" s="355"/>
      <c r="FT126" s="355"/>
      <c r="FU126" s="355"/>
      <c r="FV126" s="355"/>
      <c r="FW126" s="355"/>
      <c r="FX126" s="369"/>
      <c r="FY126" s="370"/>
      <c r="FZ126" s="206"/>
      <c r="GA126" s="206"/>
      <c r="GB126" s="364">
        <f t="shared" si="153"/>
        <v>0</v>
      </c>
      <c r="GC126" s="637"/>
      <c r="GD126" s="364">
        <f t="shared" si="154"/>
        <v>0</v>
      </c>
      <c r="GE126" s="637"/>
      <c r="GF126" s="364">
        <f t="shared" si="155"/>
        <v>0</v>
      </c>
      <c r="GG126" s="637"/>
      <c r="GH126" s="640"/>
      <c r="GI126" s="206"/>
      <c r="GJ126" s="636"/>
      <c r="GK126" s="635"/>
      <c r="GL126" s="206"/>
      <c r="GM126" s="206"/>
      <c r="GN126" s="206"/>
      <c r="GO126" s="206"/>
      <c r="GP126" s="206"/>
      <c r="GQ126" s="206"/>
      <c r="GR126" s="206"/>
      <c r="GS126" s="206"/>
    </row>
    <row r="127" spans="1:201" ht="15" customHeight="1" thickBot="1">
      <c r="A127" s="636"/>
      <c r="B127" s="372" t="s">
        <v>29</v>
      </c>
      <c r="C127" s="353">
        <f t="shared" si="141"/>
        <v>0</v>
      </c>
      <c r="D127" s="353">
        <f t="shared" si="141"/>
        <v>0</v>
      </c>
      <c r="E127" s="353">
        <f t="shared" si="142"/>
        <v>0</v>
      </c>
      <c r="F127" s="353">
        <f t="shared" si="142"/>
        <v>0</v>
      </c>
      <c r="G127" s="353">
        <f t="shared" si="142"/>
        <v>0</v>
      </c>
      <c r="H127" s="353">
        <f t="shared" si="142"/>
        <v>0</v>
      </c>
      <c r="I127" s="353">
        <f t="shared" si="142"/>
        <v>0</v>
      </c>
      <c r="J127" s="353">
        <f t="shared" si="142"/>
        <v>0</v>
      </c>
      <c r="K127" s="353">
        <f t="shared" si="142"/>
        <v>0</v>
      </c>
      <c r="L127" s="353">
        <f t="shared" si="142"/>
        <v>0</v>
      </c>
      <c r="M127" s="353">
        <f t="shared" si="142"/>
        <v>0</v>
      </c>
      <c r="N127" s="353">
        <f t="shared" si="142"/>
        <v>0</v>
      </c>
      <c r="O127" s="353">
        <f t="shared" si="142"/>
        <v>0</v>
      </c>
      <c r="P127" s="353">
        <f t="shared" si="142"/>
        <v>0</v>
      </c>
      <c r="Q127" s="353">
        <f t="shared" si="142"/>
        <v>0</v>
      </c>
      <c r="R127" s="353">
        <f t="shared" si="142"/>
        <v>0</v>
      </c>
      <c r="S127" s="353">
        <f t="shared" si="142"/>
        <v>0</v>
      </c>
      <c r="T127" s="353">
        <f t="shared" si="142"/>
        <v>0</v>
      </c>
      <c r="U127" s="353">
        <f t="shared" si="142"/>
        <v>0</v>
      </c>
      <c r="V127" s="353">
        <f t="shared" si="142"/>
        <v>0</v>
      </c>
      <c r="W127" s="353"/>
      <c r="X127" s="353"/>
      <c r="Y127" s="353"/>
      <c r="Z127" s="353"/>
      <c r="AA127" s="353"/>
      <c r="AB127" s="353"/>
      <c r="AC127" s="353"/>
      <c r="AD127" s="353"/>
      <c r="AE127" s="353"/>
      <c r="AF127" s="353"/>
      <c r="AG127" s="353"/>
      <c r="AH127" s="353"/>
      <c r="AI127" s="353"/>
      <c r="AJ127" s="353"/>
      <c r="AK127" s="353"/>
      <c r="AL127" s="353"/>
      <c r="AM127" s="353"/>
      <c r="AN127" s="353"/>
      <c r="AO127" s="353"/>
      <c r="AP127" s="353"/>
      <c r="AQ127" s="643"/>
      <c r="AR127" s="643"/>
      <c r="AS127" s="235">
        <f t="shared" si="144"/>
        <v>0</v>
      </c>
      <c r="AT127" s="235">
        <f t="shared" si="145"/>
        <v>0</v>
      </c>
      <c r="AU127" s="235">
        <f t="shared" si="146"/>
        <v>0</v>
      </c>
      <c r="AV127" s="354"/>
      <c r="AW127" s="354"/>
      <c r="AX127" s="354"/>
      <c r="AY127" s="354"/>
      <c r="AZ127" s="354"/>
      <c r="BA127" s="354"/>
      <c r="BB127" s="354"/>
      <c r="BC127" s="354"/>
      <c r="BD127" s="354"/>
      <c r="BE127" s="354"/>
      <c r="BF127" s="354"/>
      <c r="BG127" s="206"/>
      <c r="BH127" s="206"/>
      <c r="BI127" s="206"/>
      <c r="BJ127" s="206"/>
      <c r="BK127" s="206"/>
      <c r="BL127" s="206"/>
      <c r="BM127" s="206"/>
      <c r="BN127" s="206"/>
      <c r="BO127" s="636"/>
      <c r="BP127" s="372" t="s">
        <v>29</v>
      </c>
      <c r="BQ127" s="355">
        <f t="shared" si="147"/>
        <v>0</v>
      </c>
      <c r="BR127" s="355">
        <f t="shared" si="147"/>
        <v>0</v>
      </c>
      <c r="BS127" s="355">
        <f t="shared" si="148"/>
        <v>0</v>
      </c>
      <c r="BT127" s="355">
        <f t="shared" si="148"/>
        <v>0</v>
      </c>
      <c r="BU127" s="355">
        <f t="shared" si="148"/>
        <v>0</v>
      </c>
      <c r="BV127" s="355">
        <f t="shared" si="148"/>
        <v>0</v>
      </c>
      <c r="BW127" s="355">
        <f t="shared" si="148"/>
        <v>0</v>
      </c>
      <c r="BX127" s="355">
        <f t="shared" si="148"/>
        <v>0</v>
      </c>
      <c r="BY127" s="355">
        <f t="shared" si="148"/>
        <v>0</v>
      </c>
      <c r="BZ127" s="355">
        <f t="shared" si="148"/>
        <v>0</v>
      </c>
      <c r="CA127" s="355">
        <f t="shared" si="148"/>
        <v>0</v>
      </c>
      <c r="CB127" s="355">
        <f t="shared" si="148"/>
        <v>0</v>
      </c>
      <c r="CC127" s="355">
        <f t="shared" si="148"/>
        <v>0</v>
      </c>
      <c r="CD127" s="355">
        <f t="shared" si="148"/>
        <v>0</v>
      </c>
      <c r="CE127" s="355">
        <f t="shared" si="148"/>
        <v>0</v>
      </c>
      <c r="CF127" s="355">
        <f t="shared" si="148"/>
        <v>0</v>
      </c>
      <c r="CG127" s="355">
        <f t="shared" si="148"/>
        <v>0</v>
      </c>
      <c r="CH127" s="355">
        <f t="shared" si="148"/>
        <v>0</v>
      </c>
      <c r="CI127" s="355">
        <f t="shared" si="148"/>
        <v>0</v>
      </c>
      <c r="CJ127" s="355">
        <f t="shared" si="148"/>
        <v>0</v>
      </c>
      <c r="CK127" s="355"/>
      <c r="CL127" s="355"/>
      <c r="CM127" s="355"/>
      <c r="CN127" s="355"/>
      <c r="CO127" s="355"/>
      <c r="CP127" s="355"/>
      <c r="CQ127" s="355"/>
      <c r="CR127" s="355"/>
      <c r="CS127" s="355"/>
      <c r="CT127" s="355"/>
      <c r="CU127" s="355"/>
      <c r="CV127" s="355"/>
      <c r="CW127" s="355"/>
      <c r="CX127" s="355"/>
      <c r="CY127" s="355"/>
      <c r="CZ127" s="355"/>
      <c r="DA127" s="355"/>
      <c r="DB127" s="355"/>
      <c r="DC127" s="355"/>
      <c r="DD127" s="355"/>
      <c r="DE127" s="654"/>
      <c r="DF127" s="643"/>
      <c r="DG127" s="235">
        <f t="shared" si="158"/>
        <v>0</v>
      </c>
      <c r="DH127" s="235">
        <f t="shared" si="159"/>
        <v>0</v>
      </c>
      <c r="DI127" s="236">
        <f t="shared" si="160"/>
        <v>0</v>
      </c>
      <c r="DJ127" s="354"/>
      <c r="DK127" s="354"/>
      <c r="DL127" s="354"/>
      <c r="DM127" s="354"/>
      <c r="DN127" s="354"/>
      <c r="DO127" s="654"/>
      <c r="DP127" s="643"/>
      <c r="DQ127" s="235">
        <f t="shared" si="149"/>
        <v>0</v>
      </c>
      <c r="DR127" s="235">
        <f t="shared" si="149"/>
        <v>0</v>
      </c>
      <c r="DS127" s="236">
        <f t="shared" si="149"/>
        <v>0</v>
      </c>
      <c r="DT127" s="357"/>
      <c r="DU127" s="357"/>
      <c r="DV127" s="357"/>
      <c r="DW127" s="357"/>
      <c r="DX127" s="357"/>
      <c r="DY127" s="357"/>
      <c r="DZ127" s="687">
        <v>4</v>
      </c>
      <c r="EA127" s="365"/>
      <c r="EB127" s="365"/>
      <c r="EC127" s="365"/>
      <c r="ED127" s="358">
        <f t="shared" si="164"/>
        <v>0</v>
      </c>
      <c r="EE127" s="358">
        <f t="shared" si="165"/>
        <v>0</v>
      </c>
      <c r="EF127" s="328"/>
      <c r="EG127" s="636"/>
      <c r="EH127" s="373" t="s">
        <v>29</v>
      </c>
      <c r="EI127" s="355">
        <f t="shared" si="150"/>
        <v>0</v>
      </c>
      <c r="EJ127" s="355">
        <f t="shared" si="150"/>
        <v>0</v>
      </c>
      <c r="EK127" s="355">
        <f t="shared" si="150"/>
        <v>0</v>
      </c>
      <c r="EL127" s="355">
        <f t="shared" si="150"/>
        <v>0</v>
      </c>
      <c r="EM127" s="355">
        <f t="shared" si="150"/>
        <v>0</v>
      </c>
      <c r="EN127" s="355">
        <f t="shared" si="150"/>
        <v>0</v>
      </c>
      <c r="EO127" s="355">
        <f t="shared" si="150"/>
        <v>0</v>
      </c>
      <c r="EP127" s="355">
        <f t="shared" si="150"/>
        <v>0</v>
      </c>
      <c r="EQ127" s="355">
        <f t="shared" si="150"/>
        <v>0</v>
      </c>
      <c r="ER127" s="355">
        <f t="shared" si="150"/>
        <v>0</v>
      </c>
      <c r="ES127" s="355">
        <f t="shared" si="150"/>
        <v>0</v>
      </c>
      <c r="ET127" s="355">
        <f t="shared" si="150"/>
        <v>0</v>
      </c>
      <c r="EU127" s="355">
        <f t="shared" si="150"/>
        <v>0</v>
      </c>
      <c r="EV127" s="355">
        <f t="shared" si="150"/>
        <v>0</v>
      </c>
      <c r="EW127" s="355">
        <f t="shared" si="150"/>
        <v>0</v>
      </c>
      <c r="EX127" s="355">
        <f t="shared" si="150"/>
        <v>0</v>
      </c>
      <c r="EY127" s="355">
        <f t="shared" si="151"/>
        <v>0</v>
      </c>
      <c r="EZ127" s="355">
        <f t="shared" si="151"/>
        <v>0</v>
      </c>
      <c r="FA127" s="355">
        <f t="shared" si="151"/>
        <v>0</v>
      </c>
      <c r="FB127" s="355">
        <f t="shared" si="151"/>
        <v>0</v>
      </c>
      <c r="FC127" s="355"/>
      <c r="FD127" s="355"/>
      <c r="FE127" s="355"/>
      <c r="FF127" s="355"/>
      <c r="FG127" s="355"/>
      <c r="FH127" s="355"/>
      <c r="FI127" s="355"/>
      <c r="FJ127" s="355"/>
      <c r="FK127" s="355"/>
      <c r="FL127" s="355"/>
      <c r="FM127" s="355"/>
      <c r="FN127" s="355"/>
      <c r="FO127" s="355"/>
      <c r="FP127" s="355"/>
      <c r="FQ127" s="355"/>
      <c r="FR127" s="355"/>
      <c r="FS127" s="355"/>
      <c r="FT127" s="355"/>
      <c r="FU127" s="355"/>
      <c r="FV127" s="355"/>
      <c r="FW127" s="355"/>
      <c r="FX127" s="369"/>
      <c r="FY127" s="370"/>
      <c r="FZ127" s="206"/>
      <c r="GA127" s="206"/>
      <c r="GB127" s="364">
        <f t="shared" si="153"/>
        <v>0</v>
      </c>
      <c r="GC127" s="637"/>
      <c r="GD127" s="364">
        <f t="shared" si="154"/>
        <v>0</v>
      </c>
      <c r="GE127" s="637"/>
      <c r="GF127" s="364">
        <f t="shared" si="155"/>
        <v>0</v>
      </c>
      <c r="GG127" s="637"/>
      <c r="GH127" s="640"/>
      <c r="GI127" s="206"/>
      <c r="GJ127" s="636"/>
      <c r="GK127" s="635"/>
      <c r="GL127" s="206"/>
      <c r="GM127" s="206"/>
      <c r="GN127" s="206"/>
      <c r="GO127" s="206"/>
      <c r="GP127" s="206"/>
      <c r="GQ127" s="206"/>
      <c r="GR127" s="206"/>
      <c r="GS127" s="206"/>
    </row>
    <row r="128" spans="1:201" ht="15" customHeight="1" thickBot="1">
      <c r="A128" s="636"/>
      <c r="B128" s="372" t="s">
        <v>30</v>
      </c>
      <c r="C128" s="353">
        <f t="shared" si="141"/>
        <v>0</v>
      </c>
      <c r="D128" s="353">
        <f t="shared" si="141"/>
        <v>0</v>
      </c>
      <c r="E128" s="353">
        <f t="shared" si="142"/>
        <v>0</v>
      </c>
      <c r="F128" s="353">
        <f t="shared" si="142"/>
        <v>0</v>
      </c>
      <c r="G128" s="353">
        <f t="shared" si="142"/>
        <v>0</v>
      </c>
      <c r="H128" s="353">
        <f t="shared" si="142"/>
        <v>0</v>
      </c>
      <c r="I128" s="353">
        <f t="shared" si="142"/>
        <v>0</v>
      </c>
      <c r="J128" s="353">
        <f t="shared" si="142"/>
        <v>0</v>
      </c>
      <c r="K128" s="353">
        <f t="shared" si="142"/>
        <v>0</v>
      </c>
      <c r="L128" s="353">
        <f t="shared" si="142"/>
        <v>0</v>
      </c>
      <c r="M128" s="353">
        <f t="shared" si="142"/>
        <v>0</v>
      </c>
      <c r="N128" s="353">
        <f t="shared" si="142"/>
        <v>0</v>
      </c>
      <c r="O128" s="353">
        <f t="shared" si="142"/>
        <v>0</v>
      </c>
      <c r="P128" s="353">
        <f t="shared" si="142"/>
        <v>0</v>
      </c>
      <c r="Q128" s="353">
        <f t="shared" si="142"/>
        <v>0</v>
      </c>
      <c r="R128" s="353">
        <f t="shared" si="142"/>
        <v>0</v>
      </c>
      <c r="S128" s="353">
        <f t="shared" si="142"/>
        <v>0</v>
      </c>
      <c r="T128" s="353">
        <f t="shared" si="142"/>
        <v>0</v>
      </c>
      <c r="U128" s="353">
        <f t="shared" si="142"/>
        <v>0</v>
      </c>
      <c r="V128" s="353">
        <f t="shared" si="142"/>
        <v>0</v>
      </c>
      <c r="W128" s="353"/>
      <c r="X128" s="353"/>
      <c r="Y128" s="353"/>
      <c r="Z128" s="353"/>
      <c r="AA128" s="353"/>
      <c r="AB128" s="353"/>
      <c r="AC128" s="353"/>
      <c r="AD128" s="353"/>
      <c r="AE128" s="353"/>
      <c r="AF128" s="353"/>
      <c r="AG128" s="353"/>
      <c r="AH128" s="353"/>
      <c r="AI128" s="353"/>
      <c r="AJ128" s="353"/>
      <c r="AK128" s="353"/>
      <c r="AL128" s="353"/>
      <c r="AM128" s="353"/>
      <c r="AN128" s="353"/>
      <c r="AO128" s="353"/>
      <c r="AP128" s="353"/>
      <c r="AQ128" s="643"/>
      <c r="AR128" s="643"/>
      <c r="AS128" s="235">
        <f t="shared" si="144"/>
        <v>0</v>
      </c>
      <c r="AT128" s="235">
        <f t="shared" si="145"/>
        <v>0</v>
      </c>
      <c r="AU128" s="235">
        <f t="shared" si="146"/>
        <v>0</v>
      </c>
      <c r="AV128" s="354"/>
      <c r="AW128" s="354"/>
      <c r="AX128" s="354"/>
      <c r="AY128" s="354"/>
      <c r="AZ128" s="354"/>
      <c r="BA128" s="354"/>
      <c r="BB128" s="354"/>
      <c r="BC128" s="354"/>
      <c r="BD128" s="354"/>
      <c r="BE128" s="354"/>
      <c r="BF128" s="354"/>
      <c r="BG128" s="206"/>
      <c r="BH128" s="206"/>
      <c r="BI128" s="206"/>
      <c r="BJ128" s="206"/>
      <c r="BK128" s="206"/>
      <c r="BL128" s="206"/>
      <c r="BM128" s="206"/>
      <c r="BN128" s="206"/>
      <c r="BO128" s="636"/>
      <c r="BP128" s="372" t="s">
        <v>30</v>
      </c>
      <c r="BQ128" s="355">
        <f t="shared" si="147"/>
        <v>0</v>
      </c>
      <c r="BR128" s="355">
        <f t="shared" si="147"/>
        <v>0</v>
      </c>
      <c r="BS128" s="355">
        <f t="shared" si="148"/>
        <v>0</v>
      </c>
      <c r="BT128" s="355">
        <f t="shared" si="148"/>
        <v>0</v>
      </c>
      <c r="BU128" s="355">
        <f t="shared" si="148"/>
        <v>0</v>
      </c>
      <c r="BV128" s="355">
        <f t="shared" si="148"/>
        <v>0</v>
      </c>
      <c r="BW128" s="355">
        <f t="shared" si="148"/>
        <v>0</v>
      </c>
      <c r="BX128" s="355">
        <f t="shared" si="148"/>
        <v>0</v>
      </c>
      <c r="BY128" s="355">
        <f t="shared" si="148"/>
        <v>0</v>
      </c>
      <c r="BZ128" s="355">
        <f t="shared" si="148"/>
        <v>0</v>
      </c>
      <c r="CA128" s="355">
        <f t="shared" si="148"/>
        <v>0</v>
      </c>
      <c r="CB128" s="355">
        <f t="shared" si="148"/>
        <v>0</v>
      </c>
      <c r="CC128" s="355">
        <f t="shared" si="148"/>
        <v>0</v>
      </c>
      <c r="CD128" s="355">
        <f t="shared" si="148"/>
        <v>0</v>
      </c>
      <c r="CE128" s="355">
        <f t="shared" si="148"/>
        <v>0</v>
      </c>
      <c r="CF128" s="355">
        <f t="shared" si="148"/>
        <v>0</v>
      </c>
      <c r="CG128" s="355">
        <f t="shared" si="148"/>
        <v>0</v>
      </c>
      <c r="CH128" s="355">
        <f t="shared" si="148"/>
        <v>0</v>
      </c>
      <c r="CI128" s="355">
        <f t="shared" si="148"/>
        <v>0</v>
      </c>
      <c r="CJ128" s="355">
        <f t="shared" si="148"/>
        <v>0</v>
      </c>
      <c r="CK128" s="355"/>
      <c r="CL128" s="355"/>
      <c r="CM128" s="355"/>
      <c r="CN128" s="355"/>
      <c r="CO128" s="355"/>
      <c r="CP128" s="355"/>
      <c r="CQ128" s="355"/>
      <c r="CR128" s="355"/>
      <c r="CS128" s="355"/>
      <c r="CT128" s="355"/>
      <c r="CU128" s="355"/>
      <c r="CV128" s="355"/>
      <c r="CW128" s="355"/>
      <c r="CX128" s="355"/>
      <c r="CY128" s="355"/>
      <c r="CZ128" s="355"/>
      <c r="DA128" s="355"/>
      <c r="DB128" s="355"/>
      <c r="DC128" s="355"/>
      <c r="DD128" s="355"/>
      <c r="DE128" s="654"/>
      <c r="DF128" s="643"/>
      <c r="DG128" s="235">
        <f t="shared" si="158"/>
        <v>0</v>
      </c>
      <c r="DH128" s="235">
        <f t="shared" si="159"/>
        <v>0</v>
      </c>
      <c r="DI128" s="236">
        <f t="shared" si="160"/>
        <v>0</v>
      </c>
      <c r="DJ128" s="354"/>
      <c r="DK128" s="354"/>
      <c r="DL128" s="354"/>
      <c r="DM128" s="354"/>
      <c r="DN128" s="354"/>
      <c r="DO128" s="654"/>
      <c r="DP128" s="643"/>
      <c r="DQ128" s="235">
        <f t="shared" si="149"/>
        <v>0</v>
      </c>
      <c r="DR128" s="235">
        <f t="shared" si="149"/>
        <v>0</v>
      </c>
      <c r="DS128" s="236">
        <f t="shared" si="149"/>
        <v>0</v>
      </c>
      <c r="DT128" s="357"/>
      <c r="DU128" s="357"/>
      <c r="DV128" s="357"/>
      <c r="DW128" s="357"/>
      <c r="DX128" s="357"/>
      <c r="DY128" s="357"/>
      <c r="DZ128" s="687"/>
      <c r="EA128" s="365"/>
      <c r="EB128" s="365"/>
      <c r="EC128" s="365"/>
      <c r="ED128" s="358">
        <f t="shared" si="164"/>
        <v>0</v>
      </c>
      <c r="EE128" s="358">
        <f t="shared" si="165"/>
        <v>0</v>
      </c>
      <c r="EF128" s="328"/>
      <c r="EG128" s="636"/>
      <c r="EH128" s="373" t="s">
        <v>30</v>
      </c>
      <c r="EI128" s="355">
        <f t="shared" si="150"/>
        <v>0</v>
      </c>
      <c r="EJ128" s="355">
        <f t="shared" si="150"/>
        <v>0</v>
      </c>
      <c r="EK128" s="355">
        <f t="shared" si="150"/>
        <v>0</v>
      </c>
      <c r="EL128" s="355">
        <f t="shared" si="150"/>
        <v>0</v>
      </c>
      <c r="EM128" s="355">
        <f t="shared" si="150"/>
        <v>0</v>
      </c>
      <c r="EN128" s="355">
        <f t="shared" si="150"/>
        <v>0</v>
      </c>
      <c r="EO128" s="355">
        <f t="shared" si="150"/>
        <v>0</v>
      </c>
      <c r="EP128" s="355">
        <f t="shared" si="150"/>
        <v>0</v>
      </c>
      <c r="EQ128" s="355">
        <f t="shared" si="150"/>
        <v>0</v>
      </c>
      <c r="ER128" s="355">
        <f t="shared" si="150"/>
        <v>0</v>
      </c>
      <c r="ES128" s="355">
        <f t="shared" si="150"/>
        <v>0</v>
      </c>
      <c r="ET128" s="355">
        <f t="shared" si="150"/>
        <v>0</v>
      </c>
      <c r="EU128" s="355">
        <f t="shared" si="150"/>
        <v>0</v>
      </c>
      <c r="EV128" s="355">
        <f t="shared" si="150"/>
        <v>0</v>
      </c>
      <c r="EW128" s="355">
        <f t="shared" si="150"/>
        <v>0</v>
      </c>
      <c r="EX128" s="355">
        <f t="shared" si="150"/>
        <v>0</v>
      </c>
      <c r="EY128" s="355">
        <f t="shared" si="151"/>
        <v>0</v>
      </c>
      <c r="EZ128" s="355">
        <f t="shared" si="151"/>
        <v>0</v>
      </c>
      <c r="FA128" s="355">
        <f t="shared" si="151"/>
        <v>0</v>
      </c>
      <c r="FB128" s="355">
        <f t="shared" si="151"/>
        <v>0</v>
      </c>
      <c r="FC128" s="355"/>
      <c r="FD128" s="355"/>
      <c r="FE128" s="355"/>
      <c r="FF128" s="355"/>
      <c r="FG128" s="355"/>
      <c r="FH128" s="355"/>
      <c r="FI128" s="355"/>
      <c r="FJ128" s="355"/>
      <c r="FK128" s="355"/>
      <c r="FL128" s="355"/>
      <c r="FM128" s="355"/>
      <c r="FN128" s="355"/>
      <c r="FO128" s="355"/>
      <c r="FP128" s="355"/>
      <c r="FQ128" s="355"/>
      <c r="FR128" s="355"/>
      <c r="FS128" s="355"/>
      <c r="FT128" s="355"/>
      <c r="FU128" s="355"/>
      <c r="FV128" s="355"/>
      <c r="FW128" s="355"/>
      <c r="FX128" s="369"/>
      <c r="FY128" s="370"/>
      <c r="FZ128" s="206"/>
      <c r="GA128" s="206"/>
      <c r="GB128" s="363">
        <f t="shared" si="153"/>
        <v>0</v>
      </c>
      <c r="GC128" s="637"/>
      <c r="GD128" s="364">
        <f t="shared" si="154"/>
        <v>0</v>
      </c>
      <c r="GE128" s="637"/>
      <c r="GF128" s="364">
        <f t="shared" si="155"/>
        <v>0</v>
      </c>
      <c r="GG128" s="637"/>
      <c r="GH128" s="640"/>
      <c r="GI128" s="206"/>
      <c r="GJ128" s="636"/>
      <c r="GK128" s="635"/>
      <c r="GL128" s="206"/>
      <c r="GM128" s="206"/>
      <c r="GN128" s="206"/>
      <c r="GO128" s="206"/>
      <c r="GP128" s="206"/>
      <c r="GQ128" s="206"/>
      <c r="GR128" s="206"/>
      <c r="GS128" s="206"/>
    </row>
    <row r="129" spans="1:201" ht="15" customHeight="1" thickBot="1">
      <c r="A129" s="636">
        <v>4</v>
      </c>
      <c r="B129" s="372" t="s">
        <v>32</v>
      </c>
      <c r="C129" s="353">
        <f t="shared" si="141"/>
        <v>0</v>
      </c>
      <c r="D129" s="353">
        <f t="shared" si="141"/>
        <v>0</v>
      </c>
      <c r="E129" s="353">
        <f t="shared" si="142"/>
        <v>0</v>
      </c>
      <c r="F129" s="353">
        <f t="shared" si="142"/>
        <v>0</v>
      </c>
      <c r="G129" s="353">
        <f t="shared" si="142"/>
        <v>0</v>
      </c>
      <c r="H129" s="353">
        <f t="shared" si="142"/>
        <v>0</v>
      </c>
      <c r="I129" s="353">
        <f t="shared" si="142"/>
        <v>0</v>
      </c>
      <c r="J129" s="353">
        <f t="shared" si="142"/>
        <v>0</v>
      </c>
      <c r="K129" s="353">
        <f t="shared" si="142"/>
        <v>0</v>
      </c>
      <c r="L129" s="353">
        <f t="shared" si="142"/>
        <v>0</v>
      </c>
      <c r="M129" s="353">
        <f t="shared" si="142"/>
        <v>0</v>
      </c>
      <c r="N129" s="353">
        <f t="shared" si="142"/>
        <v>0</v>
      </c>
      <c r="O129" s="353">
        <f t="shared" si="142"/>
        <v>0</v>
      </c>
      <c r="P129" s="353">
        <f t="shared" si="142"/>
        <v>0</v>
      </c>
      <c r="Q129" s="353">
        <f t="shared" si="142"/>
        <v>0</v>
      </c>
      <c r="R129" s="353">
        <f t="shared" si="142"/>
        <v>0</v>
      </c>
      <c r="S129" s="353">
        <f t="shared" si="142"/>
        <v>0</v>
      </c>
      <c r="T129" s="353">
        <f t="shared" si="142"/>
        <v>0</v>
      </c>
      <c r="U129" s="353">
        <f t="shared" si="142"/>
        <v>0</v>
      </c>
      <c r="V129" s="353">
        <f t="shared" si="142"/>
        <v>0</v>
      </c>
      <c r="W129" s="353"/>
      <c r="X129" s="353"/>
      <c r="Y129" s="353"/>
      <c r="Z129" s="353"/>
      <c r="AA129" s="353"/>
      <c r="AB129" s="353"/>
      <c r="AC129" s="353"/>
      <c r="AD129" s="353"/>
      <c r="AE129" s="353"/>
      <c r="AF129" s="353"/>
      <c r="AG129" s="353"/>
      <c r="AH129" s="353"/>
      <c r="AI129" s="353"/>
      <c r="AJ129" s="353"/>
      <c r="AK129" s="353"/>
      <c r="AL129" s="353"/>
      <c r="AM129" s="353"/>
      <c r="AN129" s="353"/>
      <c r="AO129" s="353"/>
      <c r="AP129" s="353"/>
      <c r="AQ129" s="643"/>
      <c r="AR129" s="643"/>
      <c r="AS129" s="235">
        <f t="shared" si="144"/>
        <v>0</v>
      </c>
      <c r="AT129" s="235">
        <f t="shared" si="145"/>
        <v>0</v>
      </c>
      <c r="AU129" s="235">
        <f t="shared" si="146"/>
        <v>0</v>
      </c>
      <c r="AV129" s="354"/>
      <c r="AW129" s="354"/>
      <c r="AX129" s="354"/>
      <c r="AY129" s="354"/>
      <c r="AZ129" s="354"/>
      <c r="BA129" s="354"/>
      <c r="BB129" s="354"/>
      <c r="BC129" s="354"/>
      <c r="BD129" s="354"/>
      <c r="BE129" s="354"/>
      <c r="BF129" s="354"/>
      <c r="BG129" s="206"/>
      <c r="BH129" s="206"/>
      <c r="BI129" s="206"/>
      <c r="BJ129" s="206"/>
      <c r="BK129" s="206"/>
      <c r="BL129" s="206"/>
      <c r="BM129" s="206"/>
      <c r="BN129" s="206"/>
      <c r="BO129" s="636">
        <v>4</v>
      </c>
      <c r="BP129" s="372" t="s">
        <v>32</v>
      </c>
      <c r="BQ129" s="355">
        <f t="shared" si="147"/>
        <v>0</v>
      </c>
      <c r="BR129" s="355">
        <f t="shared" si="147"/>
        <v>0</v>
      </c>
      <c r="BS129" s="355">
        <f t="shared" si="148"/>
        <v>0</v>
      </c>
      <c r="BT129" s="355">
        <f t="shared" si="148"/>
        <v>0</v>
      </c>
      <c r="BU129" s="355">
        <f t="shared" si="148"/>
        <v>0</v>
      </c>
      <c r="BV129" s="355">
        <f t="shared" si="148"/>
        <v>0</v>
      </c>
      <c r="BW129" s="355">
        <f t="shared" si="148"/>
        <v>0</v>
      </c>
      <c r="BX129" s="355">
        <f t="shared" si="148"/>
        <v>0</v>
      </c>
      <c r="BY129" s="355">
        <f t="shared" si="148"/>
        <v>0</v>
      </c>
      <c r="BZ129" s="355">
        <f t="shared" si="148"/>
        <v>0</v>
      </c>
      <c r="CA129" s="355">
        <f t="shared" si="148"/>
        <v>0</v>
      </c>
      <c r="CB129" s="355">
        <f t="shared" si="148"/>
        <v>0</v>
      </c>
      <c r="CC129" s="355">
        <f t="shared" si="148"/>
        <v>0</v>
      </c>
      <c r="CD129" s="355">
        <f t="shared" si="148"/>
        <v>0</v>
      </c>
      <c r="CE129" s="355">
        <f t="shared" si="148"/>
        <v>0</v>
      </c>
      <c r="CF129" s="355">
        <f t="shared" si="148"/>
        <v>0</v>
      </c>
      <c r="CG129" s="355">
        <f t="shared" si="148"/>
        <v>0</v>
      </c>
      <c r="CH129" s="355">
        <f t="shared" si="148"/>
        <v>0</v>
      </c>
      <c r="CI129" s="355">
        <f t="shared" si="148"/>
        <v>0</v>
      </c>
      <c r="CJ129" s="355">
        <f t="shared" si="148"/>
        <v>0</v>
      </c>
      <c r="CK129" s="355"/>
      <c r="CL129" s="355"/>
      <c r="CM129" s="355"/>
      <c r="CN129" s="355"/>
      <c r="CO129" s="355"/>
      <c r="CP129" s="355"/>
      <c r="CQ129" s="355"/>
      <c r="CR129" s="355"/>
      <c r="CS129" s="355"/>
      <c r="CT129" s="355"/>
      <c r="CU129" s="355"/>
      <c r="CV129" s="355"/>
      <c r="CW129" s="355"/>
      <c r="CX129" s="355"/>
      <c r="CY129" s="355"/>
      <c r="CZ129" s="355"/>
      <c r="DA129" s="355"/>
      <c r="DB129" s="355"/>
      <c r="DC129" s="355"/>
      <c r="DD129" s="355"/>
      <c r="DE129" s="654"/>
      <c r="DF129" s="643"/>
      <c r="DG129" s="645"/>
      <c r="DH129" s="235">
        <f t="shared" si="159"/>
        <v>0</v>
      </c>
      <c r="DI129" s="236">
        <f t="shared" si="160"/>
        <v>0</v>
      </c>
      <c r="DJ129" s="354"/>
      <c r="DK129" s="354"/>
      <c r="DL129" s="354"/>
      <c r="DM129" s="354"/>
      <c r="DN129" s="354"/>
      <c r="DO129" s="654"/>
      <c r="DP129" s="643"/>
      <c r="DQ129" s="645"/>
      <c r="DR129" s="235">
        <f t="shared" si="149"/>
        <v>0</v>
      </c>
      <c r="DS129" s="236">
        <f t="shared" si="149"/>
        <v>0</v>
      </c>
      <c r="DT129" s="357"/>
      <c r="DU129" s="357"/>
      <c r="DV129" s="357"/>
      <c r="DW129" s="357"/>
      <c r="DX129" s="357"/>
      <c r="DY129" s="357"/>
      <c r="DZ129" s="687"/>
      <c r="EA129" s="365"/>
      <c r="EB129" s="365"/>
      <c r="EC129" s="365"/>
      <c r="ED129" s="358">
        <f t="shared" si="164"/>
        <v>0</v>
      </c>
      <c r="EE129" s="358">
        <f t="shared" si="165"/>
        <v>0</v>
      </c>
      <c r="EF129" s="328"/>
      <c r="EG129" s="636">
        <v>4</v>
      </c>
      <c r="EH129" s="373" t="s">
        <v>32</v>
      </c>
      <c r="EI129" s="355">
        <f t="shared" si="150"/>
        <v>0</v>
      </c>
      <c r="EJ129" s="355">
        <f t="shared" si="150"/>
        <v>0</v>
      </c>
      <c r="EK129" s="355">
        <f t="shared" si="150"/>
        <v>0</v>
      </c>
      <c r="EL129" s="355">
        <f t="shared" si="150"/>
        <v>0</v>
      </c>
      <c r="EM129" s="355">
        <f t="shared" si="150"/>
        <v>0</v>
      </c>
      <c r="EN129" s="355">
        <f t="shared" si="150"/>
        <v>0</v>
      </c>
      <c r="EO129" s="355">
        <f t="shared" si="150"/>
        <v>0</v>
      </c>
      <c r="EP129" s="355">
        <f t="shared" si="150"/>
        <v>0</v>
      </c>
      <c r="EQ129" s="355">
        <f t="shared" si="150"/>
        <v>0</v>
      </c>
      <c r="ER129" s="355">
        <f t="shared" si="150"/>
        <v>0</v>
      </c>
      <c r="ES129" s="355">
        <f t="shared" si="150"/>
        <v>0</v>
      </c>
      <c r="ET129" s="355">
        <f t="shared" si="150"/>
        <v>0</v>
      </c>
      <c r="EU129" s="355">
        <f t="shared" si="150"/>
        <v>0</v>
      </c>
      <c r="EV129" s="355">
        <f t="shared" si="150"/>
        <v>0</v>
      </c>
      <c r="EW129" s="355">
        <f t="shared" si="150"/>
        <v>0</v>
      </c>
      <c r="EX129" s="355">
        <f t="shared" si="150"/>
        <v>0</v>
      </c>
      <c r="EY129" s="355">
        <f t="shared" si="151"/>
        <v>0</v>
      </c>
      <c r="EZ129" s="355">
        <f t="shared" si="151"/>
        <v>0</v>
      </c>
      <c r="FA129" s="355">
        <f t="shared" si="151"/>
        <v>0</v>
      </c>
      <c r="FB129" s="355">
        <f t="shared" si="151"/>
        <v>0</v>
      </c>
      <c r="FC129" s="355"/>
      <c r="FD129" s="355"/>
      <c r="FE129" s="355"/>
      <c r="FF129" s="355"/>
      <c r="FG129" s="355"/>
      <c r="FH129" s="355"/>
      <c r="FI129" s="355"/>
      <c r="FJ129" s="355"/>
      <c r="FK129" s="355"/>
      <c r="FL129" s="355"/>
      <c r="FM129" s="355"/>
      <c r="FN129" s="355"/>
      <c r="FO129" s="355"/>
      <c r="FP129" s="355"/>
      <c r="FQ129" s="355"/>
      <c r="FR129" s="355"/>
      <c r="FS129" s="355"/>
      <c r="FT129" s="355"/>
      <c r="FU129" s="355"/>
      <c r="FV129" s="355"/>
      <c r="FW129" s="355"/>
      <c r="FX129" s="369"/>
      <c r="FY129" s="370"/>
      <c r="FZ129" s="206"/>
      <c r="GA129" s="206"/>
      <c r="GB129" s="374"/>
      <c r="GC129" s="375"/>
      <c r="GD129" s="364">
        <f t="shared" si="154"/>
        <v>0</v>
      </c>
      <c r="GE129" s="637">
        <f>AVERAGE(GD129:GD132)</f>
        <v>0</v>
      </c>
      <c r="GF129" s="364">
        <f t="shared" si="155"/>
        <v>0</v>
      </c>
      <c r="GG129" s="637">
        <f>SUM(GF129:GF132)</f>
        <v>0</v>
      </c>
      <c r="GH129" s="641"/>
      <c r="GI129" s="206"/>
      <c r="GJ129" s="636">
        <v>4</v>
      </c>
      <c r="GK129" s="635"/>
      <c r="GL129" s="206"/>
      <c r="GM129" s="206"/>
      <c r="GN129" s="206"/>
      <c r="GO129" s="206"/>
      <c r="GP129" s="206"/>
      <c r="GQ129" s="206"/>
      <c r="GR129" s="206"/>
      <c r="GS129" s="206"/>
    </row>
    <row r="130" spans="1:201" ht="15" customHeight="1" thickBot="1">
      <c r="A130" s="636"/>
      <c r="B130" s="208" t="s">
        <v>34</v>
      </c>
      <c r="C130" s="353">
        <f t="shared" si="141"/>
        <v>0</v>
      </c>
      <c r="D130" s="353">
        <f t="shared" si="141"/>
        <v>0</v>
      </c>
      <c r="E130" s="353">
        <f t="shared" si="142"/>
        <v>0</v>
      </c>
      <c r="F130" s="353">
        <f t="shared" si="142"/>
        <v>0</v>
      </c>
      <c r="G130" s="353">
        <f t="shared" si="142"/>
        <v>0</v>
      </c>
      <c r="H130" s="353">
        <f t="shared" ref="H130:V132" si="166">(IF(GA18=1,IF(H18&lt;=$BJ$48,H18*1000*$BI18,$BJ$48*1000*$BI18),IF(GA18*$BJ$48&gt;=H18,H18*1000*$BI18,GA18*1000*$BJ$48*$BI18)))*90*$C$26</f>
        <v>0</v>
      </c>
      <c r="I130" s="353">
        <f t="shared" si="166"/>
        <v>0</v>
      </c>
      <c r="J130" s="353">
        <f t="shared" si="166"/>
        <v>0</v>
      </c>
      <c r="K130" s="353">
        <f t="shared" si="166"/>
        <v>0</v>
      </c>
      <c r="L130" s="353">
        <f t="shared" si="166"/>
        <v>0</v>
      </c>
      <c r="M130" s="353">
        <f t="shared" si="166"/>
        <v>0</v>
      </c>
      <c r="N130" s="353">
        <f t="shared" si="166"/>
        <v>0</v>
      </c>
      <c r="O130" s="353">
        <f t="shared" si="166"/>
        <v>0</v>
      </c>
      <c r="P130" s="353">
        <f t="shared" si="166"/>
        <v>0</v>
      </c>
      <c r="Q130" s="353">
        <f t="shared" si="166"/>
        <v>0</v>
      </c>
      <c r="R130" s="353">
        <f t="shared" si="166"/>
        <v>0</v>
      </c>
      <c r="S130" s="353">
        <f t="shared" si="166"/>
        <v>0</v>
      </c>
      <c r="T130" s="353">
        <f t="shared" si="166"/>
        <v>0</v>
      </c>
      <c r="U130" s="353">
        <f t="shared" si="166"/>
        <v>0</v>
      </c>
      <c r="V130" s="353">
        <f t="shared" si="166"/>
        <v>0</v>
      </c>
      <c r="W130" s="353"/>
      <c r="X130" s="353"/>
      <c r="Y130" s="353"/>
      <c r="Z130" s="353"/>
      <c r="AA130" s="353"/>
      <c r="AB130" s="353"/>
      <c r="AC130" s="353"/>
      <c r="AD130" s="353"/>
      <c r="AE130" s="353"/>
      <c r="AF130" s="353"/>
      <c r="AG130" s="353"/>
      <c r="AH130" s="353"/>
      <c r="AI130" s="353"/>
      <c r="AJ130" s="353"/>
      <c r="AK130" s="353"/>
      <c r="AL130" s="353"/>
      <c r="AM130" s="353"/>
      <c r="AN130" s="353"/>
      <c r="AO130" s="353"/>
      <c r="AP130" s="353"/>
      <c r="AQ130" s="643"/>
      <c r="AR130" s="643"/>
      <c r="AS130" s="645"/>
      <c r="AT130" s="235">
        <f t="shared" si="145"/>
        <v>0</v>
      </c>
      <c r="AU130" s="235">
        <f t="shared" si="146"/>
        <v>0</v>
      </c>
      <c r="AV130" s="354"/>
      <c r="AW130" s="354"/>
      <c r="AX130" s="354"/>
      <c r="AY130" s="354"/>
      <c r="AZ130" s="354"/>
      <c r="BA130" s="354"/>
      <c r="BB130" s="354"/>
      <c r="BC130" s="354"/>
      <c r="BD130" s="354"/>
      <c r="BE130" s="354"/>
      <c r="BF130" s="354"/>
      <c r="BG130" s="206"/>
      <c r="BH130" s="206"/>
      <c r="BI130" s="206"/>
      <c r="BJ130" s="206"/>
      <c r="BK130" s="206"/>
      <c r="BL130" s="206"/>
      <c r="BM130" s="206"/>
      <c r="BN130" s="206"/>
      <c r="BO130" s="636"/>
      <c r="BP130" s="208" t="s">
        <v>34</v>
      </c>
      <c r="BQ130" s="355">
        <f t="shared" si="147"/>
        <v>0</v>
      </c>
      <c r="BR130" s="355">
        <f t="shared" si="147"/>
        <v>0</v>
      </c>
      <c r="BS130" s="355">
        <f t="shared" si="148"/>
        <v>0</v>
      </c>
      <c r="BT130" s="355">
        <f t="shared" si="148"/>
        <v>0</v>
      </c>
      <c r="BU130" s="355">
        <f t="shared" si="148"/>
        <v>0</v>
      </c>
      <c r="BV130" s="355">
        <f t="shared" ref="BV130:CJ132" si="167">GA18*$DO18*90</f>
        <v>0</v>
      </c>
      <c r="BW130" s="355">
        <f t="shared" si="167"/>
        <v>0</v>
      </c>
      <c r="BX130" s="355">
        <f t="shared" si="167"/>
        <v>0</v>
      </c>
      <c r="BY130" s="355">
        <f t="shared" si="167"/>
        <v>0</v>
      </c>
      <c r="BZ130" s="355">
        <f t="shared" si="167"/>
        <v>0</v>
      </c>
      <c r="CA130" s="355">
        <f t="shared" si="167"/>
        <v>0</v>
      </c>
      <c r="CB130" s="355">
        <f t="shared" si="167"/>
        <v>0</v>
      </c>
      <c r="CC130" s="355">
        <f t="shared" si="167"/>
        <v>0</v>
      </c>
      <c r="CD130" s="355">
        <f t="shared" si="167"/>
        <v>0</v>
      </c>
      <c r="CE130" s="355">
        <f t="shared" si="167"/>
        <v>0</v>
      </c>
      <c r="CF130" s="355">
        <f t="shared" si="167"/>
        <v>0</v>
      </c>
      <c r="CG130" s="355">
        <f t="shared" si="167"/>
        <v>0</v>
      </c>
      <c r="CH130" s="355">
        <f t="shared" si="167"/>
        <v>0</v>
      </c>
      <c r="CI130" s="355">
        <f t="shared" si="167"/>
        <v>0</v>
      </c>
      <c r="CJ130" s="355">
        <f t="shared" si="167"/>
        <v>0</v>
      </c>
      <c r="CK130" s="355"/>
      <c r="CL130" s="355"/>
      <c r="CM130" s="355"/>
      <c r="CN130" s="355"/>
      <c r="CO130" s="355"/>
      <c r="CP130" s="355"/>
      <c r="CQ130" s="355"/>
      <c r="CR130" s="355"/>
      <c r="CS130" s="355"/>
      <c r="CT130" s="355"/>
      <c r="CU130" s="355"/>
      <c r="CV130" s="355"/>
      <c r="CW130" s="355"/>
      <c r="CX130" s="355"/>
      <c r="CY130" s="355"/>
      <c r="CZ130" s="355"/>
      <c r="DA130" s="355"/>
      <c r="DB130" s="355"/>
      <c r="DC130" s="355"/>
      <c r="DD130" s="355"/>
      <c r="DE130" s="654"/>
      <c r="DF130" s="643"/>
      <c r="DG130" s="646"/>
      <c r="DH130" s="235">
        <f t="shared" si="159"/>
        <v>0</v>
      </c>
      <c r="DI130" s="236">
        <f t="shared" si="160"/>
        <v>0</v>
      </c>
      <c r="DJ130" s="354"/>
      <c r="DK130" s="354"/>
      <c r="DL130" s="354"/>
      <c r="DM130" s="354"/>
      <c r="DN130" s="354"/>
      <c r="DO130" s="654"/>
      <c r="DP130" s="643"/>
      <c r="DQ130" s="646"/>
      <c r="DR130" s="235">
        <f t="shared" si="149"/>
        <v>0</v>
      </c>
      <c r="DS130" s="236">
        <f t="shared" si="149"/>
        <v>0</v>
      </c>
      <c r="DT130" s="357"/>
      <c r="DU130" s="357"/>
      <c r="DV130" s="357"/>
      <c r="DW130" s="357"/>
      <c r="DX130" s="357"/>
      <c r="DY130" s="357"/>
      <c r="DZ130" s="688"/>
      <c r="EA130" s="376"/>
      <c r="EB130" s="376"/>
      <c r="EC130" s="376"/>
      <c r="ED130" s="362">
        <f t="shared" si="164"/>
        <v>0</v>
      </c>
      <c r="EE130" s="362">
        <f t="shared" si="165"/>
        <v>0</v>
      </c>
      <c r="EF130" s="328"/>
      <c r="EG130" s="636"/>
      <c r="EH130" s="361" t="s">
        <v>34</v>
      </c>
      <c r="EI130" s="355">
        <f t="shared" si="150"/>
        <v>0</v>
      </c>
      <c r="EJ130" s="355">
        <f t="shared" si="150"/>
        <v>0</v>
      </c>
      <c r="EK130" s="355">
        <f t="shared" si="150"/>
        <v>0</v>
      </c>
      <c r="EL130" s="355">
        <f t="shared" si="150"/>
        <v>0</v>
      </c>
      <c r="EM130" s="355">
        <f t="shared" si="150"/>
        <v>0</v>
      </c>
      <c r="EN130" s="355">
        <f t="shared" si="150"/>
        <v>0</v>
      </c>
      <c r="EO130" s="355">
        <f t="shared" si="150"/>
        <v>0</v>
      </c>
      <c r="EP130" s="355">
        <f t="shared" si="150"/>
        <v>0</v>
      </c>
      <c r="EQ130" s="355">
        <f t="shared" si="150"/>
        <v>0</v>
      </c>
      <c r="ER130" s="355">
        <f t="shared" si="150"/>
        <v>0</v>
      </c>
      <c r="ES130" s="355">
        <f t="shared" si="150"/>
        <v>0</v>
      </c>
      <c r="ET130" s="355">
        <f t="shared" si="150"/>
        <v>0</v>
      </c>
      <c r="EU130" s="355">
        <f t="shared" si="150"/>
        <v>0</v>
      </c>
      <c r="EV130" s="355">
        <f t="shared" si="150"/>
        <v>0</v>
      </c>
      <c r="EW130" s="355">
        <f t="shared" si="150"/>
        <v>0</v>
      </c>
      <c r="EX130" s="355">
        <f t="shared" si="150"/>
        <v>0</v>
      </c>
      <c r="EY130" s="355">
        <f t="shared" si="151"/>
        <v>0</v>
      </c>
      <c r="EZ130" s="355">
        <f t="shared" si="151"/>
        <v>0</v>
      </c>
      <c r="FA130" s="355">
        <f t="shared" si="151"/>
        <v>0</v>
      </c>
      <c r="FB130" s="355">
        <f t="shared" si="151"/>
        <v>0</v>
      </c>
      <c r="FC130" s="355"/>
      <c r="FD130" s="355"/>
      <c r="FE130" s="355"/>
      <c r="FF130" s="355"/>
      <c r="FG130" s="355"/>
      <c r="FH130" s="355"/>
      <c r="FI130" s="355"/>
      <c r="FJ130" s="355"/>
      <c r="FK130" s="355"/>
      <c r="FL130" s="355"/>
      <c r="FM130" s="355"/>
      <c r="FN130" s="355"/>
      <c r="FO130" s="355"/>
      <c r="FP130" s="355"/>
      <c r="FQ130" s="355"/>
      <c r="FR130" s="355"/>
      <c r="FS130" s="355"/>
      <c r="FT130" s="355"/>
      <c r="FU130" s="355"/>
      <c r="FV130" s="355"/>
      <c r="FW130" s="355"/>
      <c r="FX130" s="369"/>
      <c r="FY130" s="370"/>
      <c r="FZ130" s="206"/>
      <c r="GA130" s="206"/>
      <c r="GB130" s="374"/>
      <c r="GC130" s="206"/>
      <c r="GD130" s="364">
        <f t="shared" si="154"/>
        <v>0</v>
      </c>
      <c r="GE130" s="637"/>
      <c r="GF130" s="364">
        <f t="shared" si="155"/>
        <v>0</v>
      </c>
      <c r="GG130" s="637"/>
      <c r="GH130" s="639">
        <f>GG130+GE130</f>
        <v>0</v>
      </c>
      <c r="GI130" s="206"/>
      <c r="GJ130" s="636"/>
      <c r="GK130" s="635">
        <f>SUM(EK129:FB132)</f>
        <v>0</v>
      </c>
      <c r="GL130" s="206"/>
      <c r="GM130" s="206"/>
      <c r="GN130" s="206"/>
      <c r="GO130" s="206"/>
      <c r="GP130" s="206"/>
      <c r="GQ130" s="206"/>
      <c r="GR130" s="206"/>
      <c r="GS130" s="206"/>
    </row>
    <row r="131" spans="1:201" ht="15" customHeight="1" thickBot="1">
      <c r="A131" s="636"/>
      <c r="B131" s="208" t="s">
        <v>24</v>
      </c>
      <c r="C131" s="353">
        <f t="shared" si="141"/>
        <v>0</v>
      </c>
      <c r="D131" s="353">
        <f t="shared" si="141"/>
        <v>0</v>
      </c>
      <c r="E131" s="353">
        <f t="shared" ref="E131:G132" si="168">(IF(FX19=1,IF(E19&lt;=$BJ$48,E19*1000*$BI19,$BJ$48*1000*$BI19),IF(FX19*$BJ$48&gt;=E19,E19*1000*$BI19,FX19*1000*$BJ$48*$BI19)))*90*$C$26</f>
        <v>0</v>
      </c>
      <c r="F131" s="353">
        <f t="shared" si="168"/>
        <v>0</v>
      </c>
      <c r="G131" s="353">
        <f t="shared" si="168"/>
        <v>0</v>
      </c>
      <c r="H131" s="353">
        <f t="shared" si="166"/>
        <v>0</v>
      </c>
      <c r="I131" s="353">
        <f t="shared" si="166"/>
        <v>0</v>
      </c>
      <c r="J131" s="353">
        <f t="shared" si="166"/>
        <v>0</v>
      </c>
      <c r="K131" s="353">
        <f t="shared" si="166"/>
        <v>0</v>
      </c>
      <c r="L131" s="353">
        <f t="shared" si="166"/>
        <v>0</v>
      </c>
      <c r="M131" s="353">
        <f t="shared" si="166"/>
        <v>0</v>
      </c>
      <c r="N131" s="353">
        <f t="shared" si="166"/>
        <v>0</v>
      </c>
      <c r="O131" s="353">
        <f t="shared" si="166"/>
        <v>0</v>
      </c>
      <c r="P131" s="353">
        <f t="shared" si="166"/>
        <v>0</v>
      </c>
      <c r="Q131" s="353">
        <f t="shared" si="166"/>
        <v>0</v>
      </c>
      <c r="R131" s="353">
        <f t="shared" si="166"/>
        <v>0</v>
      </c>
      <c r="S131" s="353">
        <f t="shared" si="166"/>
        <v>0</v>
      </c>
      <c r="T131" s="353">
        <f t="shared" si="166"/>
        <v>0</v>
      </c>
      <c r="U131" s="353">
        <f t="shared" si="166"/>
        <v>0</v>
      </c>
      <c r="V131" s="353">
        <f t="shared" si="166"/>
        <v>0</v>
      </c>
      <c r="W131" s="353"/>
      <c r="X131" s="353"/>
      <c r="Y131" s="353"/>
      <c r="Z131" s="353"/>
      <c r="AA131" s="353"/>
      <c r="AB131" s="353"/>
      <c r="AC131" s="353"/>
      <c r="AD131" s="353"/>
      <c r="AE131" s="353"/>
      <c r="AF131" s="353"/>
      <c r="AG131" s="353"/>
      <c r="AH131" s="353"/>
      <c r="AI131" s="353"/>
      <c r="AJ131" s="353"/>
      <c r="AK131" s="353"/>
      <c r="AL131" s="353"/>
      <c r="AM131" s="353"/>
      <c r="AN131" s="353"/>
      <c r="AO131" s="353"/>
      <c r="AP131" s="353"/>
      <c r="AQ131" s="643"/>
      <c r="AR131" s="643"/>
      <c r="AS131" s="646"/>
      <c r="AT131" s="235">
        <f t="shared" si="145"/>
        <v>0</v>
      </c>
      <c r="AU131" s="235">
        <f t="shared" si="146"/>
        <v>0</v>
      </c>
      <c r="AV131" s="354"/>
      <c r="AW131" s="354"/>
      <c r="AX131" s="354"/>
      <c r="AY131" s="354"/>
      <c r="AZ131" s="354"/>
      <c r="BA131" s="354"/>
      <c r="BB131" s="354"/>
      <c r="BC131" s="354"/>
      <c r="BD131" s="354"/>
      <c r="BE131" s="354"/>
      <c r="BF131" s="354"/>
      <c r="BG131" s="206"/>
      <c r="BH131" s="206"/>
      <c r="BI131" s="206"/>
      <c r="BJ131" s="206"/>
      <c r="BK131" s="206"/>
      <c r="BL131" s="206"/>
      <c r="BM131" s="206"/>
      <c r="BN131" s="206"/>
      <c r="BO131" s="636"/>
      <c r="BP131" s="208" t="s">
        <v>24</v>
      </c>
      <c r="BQ131" s="355">
        <f t="shared" si="147"/>
        <v>0</v>
      </c>
      <c r="BR131" s="355">
        <f t="shared" si="147"/>
        <v>0</v>
      </c>
      <c r="BS131" s="355">
        <f t="shared" ref="BS131:BU132" si="169">FX19*$DO19*90</f>
        <v>0</v>
      </c>
      <c r="BT131" s="355">
        <f t="shared" si="169"/>
        <v>0</v>
      </c>
      <c r="BU131" s="355">
        <f t="shared" si="169"/>
        <v>0</v>
      </c>
      <c r="BV131" s="355">
        <f t="shared" si="167"/>
        <v>0</v>
      </c>
      <c r="BW131" s="355">
        <f t="shared" si="167"/>
        <v>0</v>
      </c>
      <c r="BX131" s="355">
        <f t="shared" si="167"/>
        <v>0</v>
      </c>
      <c r="BY131" s="355">
        <f t="shared" si="167"/>
        <v>0</v>
      </c>
      <c r="BZ131" s="355">
        <f t="shared" si="167"/>
        <v>0</v>
      </c>
      <c r="CA131" s="355">
        <f t="shared" si="167"/>
        <v>0</v>
      </c>
      <c r="CB131" s="355">
        <f t="shared" si="167"/>
        <v>0</v>
      </c>
      <c r="CC131" s="355">
        <f t="shared" si="167"/>
        <v>0</v>
      </c>
      <c r="CD131" s="355">
        <f t="shared" si="167"/>
        <v>0</v>
      </c>
      <c r="CE131" s="355">
        <f t="shared" si="167"/>
        <v>0</v>
      </c>
      <c r="CF131" s="355">
        <f t="shared" si="167"/>
        <v>0</v>
      </c>
      <c r="CG131" s="355">
        <f t="shared" si="167"/>
        <v>0</v>
      </c>
      <c r="CH131" s="355">
        <f t="shared" si="167"/>
        <v>0</v>
      </c>
      <c r="CI131" s="355">
        <f t="shared" si="167"/>
        <v>0</v>
      </c>
      <c r="CJ131" s="355">
        <f t="shared" si="167"/>
        <v>0</v>
      </c>
      <c r="CK131" s="355"/>
      <c r="CL131" s="355"/>
      <c r="CM131" s="355"/>
      <c r="CN131" s="355"/>
      <c r="CO131" s="355"/>
      <c r="CP131" s="355"/>
      <c r="CQ131" s="355"/>
      <c r="CR131" s="355"/>
      <c r="CS131" s="355"/>
      <c r="CT131" s="355"/>
      <c r="CU131" s="355"/>
      <c r="CV131" s="355"/>
      <c r="CW131" s="355"/>
      <c r="CX131" s="355"/>
      <c r="CY131" s="355"/>
      <c r="CZ131" s="355"/>
      <c r="DA131" s="355"/>
      <c r="DB131" s="355"/>
      <c r="DC131" s="355"/>
      <c r="DD131" s="355"/>
      <c r="DE131" s="654"/>
      <c r="DF131" s="643"/>
      <c r="DG131" s="646"/>
      <c r="DH131" s="235">
        <f t="shared" si="159"/>
        <v>0</v>
      </c>
      <c r="DI131" s="236">
        <f t="shared" si="160"/>
        <v>0</v>
      </c>
      <c r="DJ131" s="354"/>
      <c r="DK131" s="354"/>
      <c r="DL131" s="354"/>
      <c r="DM131" s="354"/>
      <c r="DN131" s="354"/>
      <c r="DO131" s="654"/>
      <c r="DP131" s="643"/>
      <c r="DQ131" s="646"/>
      <c r="DR131" s="235">
        <f t="shared" si="149"/>
        <v>0</v>
      </c>
      <c r="DS131" s="236">
        <f t="shared" si="149"/>
        <v>0</v>
      </c>
      <c r="DT131" s="354"/>
      <c r="DU131" s="354"/>
      <c r="DV131" s="354"/>
      <c r="DW131" s="354"/>
      <c r="DX131" s="354"/>
      <c r="DY131" s="354"/>
      <c r="DZ131" s="328"/>
      <c r="EA131" s="328"/>
      <c r="EB131" s="328"/>
      <c r="EC131" s="328"/>
      <c r="ED131" s="328"/>
      <c r="EE131" s="328"/>
      <c r="EF131" s="328"/>
      <c r="EG131" s="636"/>
      <c r="EH131" s="361" t="s">
        <v>24</v>
      </c>
      <c r="EI131" s="355">
        <f t="shared" si="150"/>
        <v>0</v>
      </c>
      <c r="EJ131" s="355">
        <f t="shared" si="150"/>
        <v>0</v>
      </c>
      <c r="EK131" s="355">
        <f t="shared" si="150"/>
        <v>0</v>
      </c>
      <c r="EL131" s="355">
        <f t="shared" si="150"/>
        <v>0</v>
      </c>
      <c r="EM131" s="355">
        <f t="shared" si="150"/>
        <v>0</v>
      </c>
      <c r="EN131" s="355">
        <f t="shared" si="150"/>
        <v>0</v>
      </c>
      <c r="EO131" s="355">
        <f t="shared" si="150"/>
        <v>0</v>
      </c>
      <c r="EP131" s="355">
        <f t="shared" si="150"/>
        <v>0</v>
      </c>
      <c r="EQ131" s="355">
        <f t="shared" si="150"/>
        <v>0</v>
      </c>
      <c r="ER131" s="355">
        <f t="shared" si="150"/>
        <v>0</v>
      </c>
      <c r="ES131" s="355">
        <f t="shared" si="150"/>
        <v>0</v>
      </c>
      <c r="ET131" s="355">
        <f t="shared" si="150"/>
        <v>0</v>
      </c>
      <c r="EU131" s="355">
        <f t="shared" si="150"/>
        <v>0</v>
      </c>
      <c r="EV131" s="355">
        <f t="shared" si="150"/>
        <v>0</v>
      </c>
      <c r="EW131" s="355">
        <f t="shared" si="150"/>
        <v>0</v>
      </c>
      <c r="EX131" s="355">
        <f t="shared" ref="EX131:EX132" si="170">R131-CF131</f>
        <v>0</v>
      </c>
      <c r="EY131" s="355">
        <f t="shared" si="151"/>
        <v>0</v>
      </c>
      <c r="EZ131" s="355">
        <f t="shared" si="151"/>
        <v>0</v>
      </c>
      <c r="FA131" s="355">
        <f t="shared" si="151"/>
        <v>0</v>
      </c>
      <c r="FB131" s="355">
        <f t="shared" si="151"/>
        <v>0</v>
      </c>
      <c r="FC131" s="355"/>
      <c r="FD131" s="355"/>
      <c r="FE131" s="355"/>
      <c r="FF131" s="355"/>
      <c r="FG131" s="355"/>
      <c r="FH131" s="355"/>
      <c r="FI131" s="355"/>
      <c r="FJ131" s="355"/>
      <c r="FK131" s="355"/>
      <c r="FL131" s="355"/>
      <c r="FM131" s="355"/>
      <c r="FN131" s="355"/>
      <c r="FO131" s="355"/>
      <c r="FP131" s="355"/>
      <c r="FQ131" s="355"/>
      <c r="FR131" s="355"/>
      <c r="FS131" s="355"/>
      <c r="FT131" s="355"/>
      <c r="FU131" s="355"/>
      <c r="FV131" s="355"/>
      <c r="FW131" s="355"/>
      <c r="FX131" s="326"/>
      <c r="FY131" s="206"/>
      <c r="FZ131" s="206"/>
      <c r="GA131" s="206"/>
      <c r="GB131" s="206"/>
      <c r="GC131" s="206"/>
      <c r="GD131" s="377">
        <f t="shared" si="154"/>
        <v>0</v>
      </c>
      <c r="GE131" s="637"/>
      <c r="GF131" s="364">
        <f t="shared" si="155"/>
        <v>0</v>
      </c>
      <c r="GG131" s="637"/>
      <c r="GH131" s="640"/>
      <c r="GI131" s="206"/>
      <c r="GJ131" s="636"/>
      <c r="GK131" s="635"/>
      <c r="GL131" s="206"/>
      <c r="GM131" s="206"/>
      <c r="GN131" s="206"/>
      <c r="GO131" s="206"/>
      <c r="GP131" s="206"/>
      <c r="GQ131" s="206"/>
      <c r="GR131" s="206"/>
      <c r="GS131" s="206"/>
    </row>
    <row r="132" spans="1:201" ht="15" customHeight="1" thickBot="1">
      <c r="A132" s="644"/>
      <c r="B132" s="378" t="s">
        <v>36</v>
      </c>
      <c r="C132" s="353">
        <f t="shared" ref="C132:D132" si="171">(IF(FA20=1,IF(C20&lt;=$BJ$48,C20*1000*$BI20,$BJ$48*1000*$BI20),IF(FA20*$BJ$48&gt;=C20,C20*1000*$BI20,FA20*1000*$BJ$48*$BI20)))*90*$C$26</f>
        <v>0</v>
      </c>
      <c r="D132" s="353">
        <f t="shared" si="171"/>
        <v>0</v>
      </c>
      <c r="E132" s="353">
        <f t="shared" si="168"/>
        <v>0</v>
      </c>
      <c r="F132" s="353">
        <f t="shared" si="168"/>
        <v>0</v>
      </c>
      <c r="G132" s="353">
        <f t="shared" si="168"/>
        <v>0</v>
      </c>
      <c r="H132" s="353">
        <f t="shared" si="166"/>
        <v>0</v>
      </c>
      <c r="I132" s="353">
        <f t="shared" si="166"/>
        <v>0</v>
      </c>
      <c r="J132" s="353">
        <f t="shared" si="166"/>
        <v>0</v>
      </c>
      <c r="K132" s="353">
        <f t="shared" si="166"/>
        <v>0</v>
      </c>
      <c r="L132" s="353">
        <f t="shared" si="166"/>
        <v>0</v>
      </c>
      <c r="M132" s="353">
        <f t="shared" si="166"/>
        <v>0</v>
      </c>
      <c r="N132" s="353">
        <f t="shared" si="166"/>
        <v>0</v>
      </c>
      <c r="O132" s="353">
        <f t="shared" si="166"/>
        <v>0</v>
      </c>
      <c r="P132" s="353">
        <f t="shared" si="166"/>
        <v>0</v>
      </c>
      <c r="Q132" s="353">
        <f t="shared" si="166"/>
        <v>0</v>
      </c>
      <c r="R132" s="353">
        <f t="shared" si="166"/>
        <v>0</v>
      </c>
      <c r="S132" s="353">
        <f t="shared" si="166"/>
        <v>0</v>
      </c>
      <c r="T132" s="353">
        <f t="shared" si="166"/>
        <v>0</v>
      </c>
      <c r="U132" s="353">
        <f t="shared" si="166"/>
        <v>0</v>
      </c>
      <c r="V132" s="353">
        <f t="shared" si="166"/>
        <v>0</v>
      </c>
      <c r="W132" s="353"/>
      <c r="X132" s="353"/>
      <c r="Y132" s="353"/>
      <c r="Z132" s="353"/>
      <c r="AA132" s="353"/>
      <c r="AB132" s="353"/>
      <c r="AC132" s="353"/>
      <c r="AD132" s="353"/>
      <c r="AE132" s="353"/>
      <c r="AF132" s="353"/>
      <c r="AG132" s="353"/>
      <c r="AH132" s="353"/>
      <c r="AI132" s="353"/>
      <c r="AJ132" s="353"/>
      <c r="AK132" s="353"/>
      <c r="AL132" s="353"/>
      <c r="AM132" s="353"/>
      <c r="AN132" s="353"/>
      <c r="AO132" s="353"/>
      <c r="AP132" s="353"/>
      <c r="AQ132" s="643"/>
      <c r="AR132" s="643"/>
      <c r="AS132" s="646"/>
      <c r="AT132" s="235">
        <f t="shared" si="145"/>
        <v>0</v>
      </c>
      <c r="AU132" s="235">
        <f t="shared" si="146"/>
        <v>0</v>
      </c>
      <c r="AV132" s="354"/>
      <c r="AW132" s="354"/>
      <c r="AX132" s="354"/>
      <c r="AY132" s="354"/>
      <c r="AZ132" s="354"/>
      <c r="BA132" s="354"/>
      <c r="BB132" s="354"/>
      <c r="BC132" s="354"/>
      <c r="BD132" s="354"/>
      <c r="BE132" s="354"/>
      <c r="BF132" s="354"/>
      <c r="BG132" s="206"/>
      <c r="BH132" s="206"/>
      <c r="BI132" s="206"/>
      <c r="BJ132" s="206"/>
      <c r="BK132" s="206"/>
      <c r="BL132" s="206"/>
      <c r="BM132" s="206"/>
      <c r="BN132" s="206"/>
      <c r="BO132" s="644"/>
      <c r="BP132" s="378" t="s">
        <v>36</v>
      </c>
      <c r="BQ132" s="355">
        <f t="shared" ref="BQ132:BR132" si="172">FA20*$DO20*90</f>
        <v>0</v>
      </c>
      <c r="BR132" s="355">
        <f t="shared" si="172"/>
        <v>0</v>
      </c>
      <c r="BS132" s="355">
        <f t="shared" si="169"/>
        <v>0</v>
      </c>
      <c r="BT132" s="355">
        <f t="shared" si="169"/>
        <v>0</v>
      </c>
      <c r="BU132" s="355">
        <f t="shared" si="169"/>
        <v>0</v>
      </c>
      <c r="BV132" s="355">
        <f t="shared" si="167"/>
        <v>0</v>
      </c>
      <c r="BW132" s="355">
        <f t="shared" si="167"/>
        <v>0</v>
      </c>
      <c r="BX132" s="355">
        <f t="shared" si="167"/>
        <v>0</v>
      </c>
      <c r="BY132" s="355">
        <f t="shared" si="167"/>
        <v>0</v>
      </c>
      <c r="BZ132" s="355">
        <f t="shared" si="167"/>
        <v>0</v>
      </c>
      <c r="CA132" s="355">
        <f t="shared" si="167"/>
        <v>0</v>
      </c>
      <c r="CB132" s="355">
        <f t="shared" si="167"/>
        <v>0</v>
      </c>
      <c r="CC132" s="355">
        <f t="shared" si="167"/>
        <v>0</v>
      </c>
      <c r="CD132" s="355">
        <f t="shared" si="167"/>
        <v>0</v>
      </c>
      <c r="CE132" s="355">
        <f t="shared" si="167"/>
        <v>0</v>
      </c>
      <c r="CF132" s="355">
        <f t="shared" si="167"/>
        <v>0</v>
      </c>
      <c r="CG132" s="355">
        <f t="shared" si="167"/>
        <v>0</v>
      </c>
      <c r="CH132" s="355">
        <f t="shared" si="167"/>
        <v>0</v>
      </c>
      <c r="CI132" s="355">
        <f t="shared" si="167"/>
        <v>0</v>
      </c>
      <c r="CJ132" s="355">
        <f t="shared" si="167"/>
        <v>0</v>
      </c>
      <c r="CK132" s="355"/>
      <c r="CL132" s="355"/>
      <c r="CM132" s="355"/>
      <c r="CN132" s="355"/>
      <c r="CO132" s="355"/>
      <c r="CP132" s="355"/>
      <c r="CQ132" s="355"/>
      <c r="CR132" s="355"/>
      <c r="CS132" s="355"/>
      <c r="CT132" s="355"/>
      <c r="CU132" s="355"/>
      <c r="CV132" s="355"/>
      <c r="CW132" s="355"/>
      <c r="CX132" s="355"/>
      <c r="CY132" s="355"/>
      <c r="CZ132" s="355"/>
      <c r="DA132" s="355"/>
      <c r="DB132" s="355"/>
      <c r="DC132" s="355"/>
      <c r="DD132" s="355"/>
      <c r="DE132" s="654"/>
      <c r="DF132" s="643"/>
      <c r="DG132" s="646"/>
      <c r="DH132" s="235">
        <f t="shared" si="159"/>
        <v>0</v>
      </c>
      <c r="DI132" s="236">
        <f t="shared" si="160"/>
        <v>0</v>
      </c>
      <c r="DJ132" s="354"/>
      <c r="DK132" s="354"/>
      <c r="DL132" s="354"/>
      <c r="DM132" s="354"/>
      <c r="DN132" s="354"/>
      <c r="DO132" s="654"/>
      <c r="DP132" s="643"/>
      <c r="DQ132" s="646"/>
      <c r="DR132" s="235">
        <f t="shared" ref="DR132:DS132" si="173">AT132-DH132</f>
        <v>0</v>
      </c>
      <c r="DS132" s="236">
        <f t="shared" si="173"/>
        <v>0</v>
      </c>
      <c r="DT132" s="354"/>
      <c r="DU132" s="354"/>
      <c r="DV132" s="354"/>
      <c r="DW132" s="354"/>
      <c r="DX132" s="354"/>
      <c r="DY132" s="354"/>
      <c r="DZ132" s="328"/>
      <c r="EA132" s="328"/>
      <c r="EB132" s="328"/>
      <c r="EC132" s="328"/>
      <c r="ED132" s="328"/>
      <c r="EE132" s="328"/>
      <c r="EF132" s="328"/>
      <c r="EG132" s="644"/>
      <c r="EH132" s="379" t="s">
        <v>36</v>
      </c>
      <c r="EI132" s="355">
        <f t="shared" ref="EI132:EW132" si="174">C132-BQ132</f>
        <v>0</v>
      </c>
      <c r="EJ132" s="355">
        <f t="shared" si="174"/>
        <v>0</v>
      </c>
      <c r="EK132" s="355">
        <f t="shared" si="174"/>
        <v>0</v>
      </c>
      <c r="EL132" s="355">
        <f t="shared" si="174"/>
        <v>0</v>
      </c>
      <c r="EM132" s="355">
        <f t="shared" si="174"/>
        <v>0</v>
      </c>
      <c r="EN132" s="355">
        <f t="shared" si="174"/>
        <v>0</v>
      </c>
      <c r="EO132" s="355">
        <f t="shared" si="174"/>
        <v>0</v>
      </c>
      <c r="EP132" s="355">
        <f t="shared" si="174"/>
        <v>0</v>
      </c>
      <c r="EQ132" s="355">
        <f t="shared" si="174"/>
        <v>0</v>
      </c>
      <c r="ER132" s="355">
        <f t="shared" si="174"/>
        <v>0</v>
      </c>
      <c r="ES132" s="355">
        <f t="shared" si="174"/>
        <v>0</v>
      </c>
      <c r="ET132" s="355">
        <f t="shared" si="174"/>
        <v>0</v>
      </c>
      <c r="EU132" s="355">
        <f t="shared" si="174"/>
        <v>0</v>
      </c>
      <c r="EV132" s="355">
        <f t="shared" si="174"/>
        <v>0</v>
      </c>
      <c r="EW132" s="355">
        <f t="shared" si="174"/>
        <v>0</v>
      </c>
      <c r="EX132" s="355">
        <f t="shared" si="170"/>
        <v>0</v>
      </c>
      <c r="EY132" s="355">
        <f t="shared" si="151"/>
        <v>0</v>
      </c>
      <c r="EZ132" s="355">
        <f t="shared" si="151"/>
        <v>0</v>
      </c>
      <c r="FA132" s="355">
        <f t="shared" si="151"/>
        <v>0</v>
      </c>
      <c r="FB132" s="355">
        <f t="shared" si="151"/>
        <v>0</v>
      </c>
      <c r="FC132" s="355"/>
      <c r="FD132" s="355"/>
      <c r="FE132" s="355"/>
      <c r="FF132" s="355"/>
      <c r="FG132" s="355"/>
      <c r="FH132" s="355"/>
      <c r="FI132" s="355"/>
      <c r="FJ132" s="355"/>
      <c r="FK132" s="355"/>
      <c r="FL132" s="355"/>
      <c r="FM132" s="355"/>
      <c r="FN132" s="355"/>
      <c r="FO132" s="355"/>
      <c r="FP132" s="355"/>
      <c r="FQ132" s="355"/>
      <c r="FR132" s="355"/>
      <c r="FS132" s="355"/>
      <c r="FT132" s="355"/>
      <c r="FU132" s="355"/>
      <c r="FV132" s="355"/>
      <c r="FW132" s="355"/>
      <c r="FX132" s="380"/>
      <c r="FY132" s="381"/>
      <c r="FZ132" s="381"/>
      <c r="GA132" s="381"/>
      <c r="GB132" s="381"/>
      <c r="GC132" s="381"/>
      <c r="GD132" s="382">
        <f t="shared" si="154"/>
        <v>0</v>
      </c>
      <c r="GE132" s="637"/>
      <c r="GF132" s="363">
        <f t="shared" si="155"/>
        <v>0</v>
      </c>
      <c r="GG132" s="637"/>
      <c r="GH132" s="640"/>
      <c r="GI132" s="206"/>
      <c r="GJ132" s="644"/>
      <c r="GK132" s="635"/>
      <c r="GL132" s="206"/>
      <c r="GM132" s="206"/>
      <c r="GN132" s="206"/>
      <c r="GO132" s="206"/>
      <c r="GP132" s="206"/>
      <c r="GQ132" s="206"/>
      <c r="GR132" s="206"/>
      <c r="GS132" s="206"/>
    </row>
    <row r="133" spans="1:201" ht="15" customHeight="1">
      <c r="A133" s="383"/>
      <c r="B133" s="340"/>
      <c r="C133" s="323"/>
      <c r="D133" s="323"/>
      <c r="E133" s="323"/>
      <c r="F133" s="323"/>
      <c r="G133" s="323"/>
      <c r="H133" s="323"/>
      <c r="I133" s="323"/>
      <c r="J133" s="323"/>
      <c r="K133" s="323"/>
      <c r="L133" s="323"/>
      <c r="M133" s="323"/>
      <c r="N133" s="323"/>
      <c r="O133" s="323"/>
      <c r="P133" s="323"/>
      <c r="Q133" s="353"/>
      <c r="R133" s="353"/>
      <c r="S133" s="353"/>
      <c r="T133" s="353"/>
      <c r="U133" s="353"/>
      <c r="V133" s="353"/>
      <c r="W133" s="353"/>
      <c r="X133" s="353"/>
      <c r="Y133" s="353"/>
      <c r="Z133" s="353"/>
      <c r="AA133" s="353"/>
      <c r="AB133" s="353"/>
      <c r="AC133" s="353"/>
      <c r="AD133" s="353"/>
      <c r="AE133" s="353"/>
      <c r="AF133" s="353"/>
      <c r="AG133" s="353"/>
      <c r="AH133" s="353"/>
      <c r="AI133" s="353"/>
      <c r="AJ133" s="353"/>
      <c r="AK133" s="353"/>
      <c r="AL133" s="353"/>
      <c r="AM133" s="353"/>
      <c r="AN133" s="353"/>
      <c r="AO133" s="353"/>
      <c r="AP133" s="353"/>
      <c r="AQ133" s="643"/>
      <c r="AR133" s="643"/>
      <c r="AS133" s="646"/>
      <c r="AT133" s="235">
        <f t="shared" si="145"/>
        <v>0</v>
      </c>
      <c r="AU133" s="235">
        <f t="shared" si="146"/>
        <v>0</v>
      </c>
      <c r="AV133" s="354"/>
      <c r="AW133" s="354"/>
      <c r="AX133" s="354"/>
      <c r="AY133" s="354"/>
      <c r="AZ133" s="354"/>
      <c r="BA133" s="354"/>
      <c r="BB133" s="354"/>
      <c r="BC133" s="354"/>
      <c r="BD133" s="354"/>
      <c r="BE133" s="354"/>
      <c r="BF133" s="354"/>
      <c r="BG133" s="206"/>
      <c r="BH133" s="206"/>
      <c r="BI133" s="206"/>
      <c r="BJ133" s="206"/>
      <c r="BK133" s="206"/>
      <c r="BL133" s="206"/>
      <c r="BM133" s="206"/>
      <c r="BN133" s="206"/>
      <c r="BO133" s="383"/>
      <c r="BP133" s="340"/>
      <c r="BQ133" s="206"/>
      <c r="BR133" s="206"/>
      <c r="BS133" s="206"/>
      <c r="BT133" s="206"/>
      <c r="BU133" s="206"/>
      <c r="BV133" s="206"/>
      <c r="BW133" s="206"/>
      <c r="BX133" s="206"/>
      <c r="BY133" s="206"/>
      <c r="BZ133" s="206"/>
      <c r="CA133" s="206"/>
      <c r="CB133" s="206"/>
      <c r="CC133" s="206"/>
      <c r="CD133" s="206"/>
      <c r="CE133" s="355"/>
      <c r="CF133" s="355"/>
      <c r="CG133" s="355"/>
      <c r="CH133" s="355"/>
      <c r="CI133" s="355"/>
      <c r="CJ133" s="355"/>
      <c r="CK133" s="355"/>
      <c r="CL133" s="355"/>
      <c r="CM133" s="355"/>
      <c r="CN133" s="355"/>
      <c r="CO133" s="355"/>
      <c r="CP133" s="355"/>
      <c r="CQ133" s="355"/>
      <c r="CR133" s="355"/>
      <c r="CS133" s="355"/>
      <c r="CT133" s="355"/>
      <c r="CU133" s="355"/>
      <c r="CV133" s="355"/>
      <c r="CW133" s="355"/>
      <c r="CX133" s="355"/>
      <c r="CY133" s="355"/>
      <c r="CZ133" s="355"/>
      <c r="DA133" s="355"/>
      <c r="DB133" s="355"/>
      <c r="DC133" s="355"/>
      <c r="DD133" s="355"/>
      <c r="DE133" s="654"/>
      <c r="DF133" s="643"/>
      <c r="DG133" s="646"/>
      <c r="DH133" s="647"/>
      <c r="DI133" s="648"/>
      <c r="DJ133" s="354"/>
      <c r="DK133" s="354"/>
      <c r="DL133" s="354"/>
      <c r="DM133" s="354"/>
      <c r="DN133" s="354"/>
      <c r="DO133" s="654"/>
      <c r="DP133" s="643"/>
      <c r="DQ133" s="646"/>
      <c r="DR133" s="647"/>
      <c r="DS133" s="648"/>
      <c r="DT133" s="354"/>
      <c r="DU133" s="354"/>
      <c r="DV133" s="354"/>
      <c r="DW133" s="354"/>
      <c r="DX133" s="354"/>
      <c r="DY133" s="354"/>
      <c r="DZ133" s="328"/>
      <c r="EA133" s="328"/>
      <c r="EB133" s="328"/>
      <c r="EC133" s="328"/>
      <c r="ED133" s="328"/>
      <c r="EE133" s="328"/>
      <c r="EF133" s="328"/>
      <c r="EG133" s="383"/>
      <c r="EH133" s="340"/>
      <c r="EI133" s="206"/>
      <c r="EJ133" s="206"/>
      <c r="EK133" s="355"/>
      <c r="EL133" s="355"/>
      <c r="EM133" s="355"/>
      <c r="EN133" s="355"/>
      <c r="EO133" s="355"/>
      <c r="EP133" s="355"/>
      <c r="EQ133" s="355"/>
      <c r="ER133" s="355"/>
      <c r="ES133" s="355"/>
      <c r="ET133" s="355"/>
      <c r="EU133" s="355"/>
      <c r="EV133" s="355"/>
      <c r="EW133" s="355"/>
      <c r="EX133" s="355"/>
      <c r="EY133" s="355"/>
      <c r="EZ133" s="355"/>
      <c r="FA133" s="355"/>
      <c r="FB133" s="355"/>
      <c r="FC133" s="355"/>
      <c r="FD133" s="355"/>
      <c r="FE133" s="355"/>
      <c r="FF133" s="355"/>
      <c r="FG133" s="355"/>
      <c r="FH133" s="355"/>
      <c r="FI133" s="355"/>
      <c r="FJ133" s="355"/>
      <c r="FK133" s="355"/>
      <c r="FL133" s="355"/>
      <c r="FM133" s="355"/>
      <c r="FN133" s="355"/>
      <c r="FO133" s="355"/>
      <c r="FP133" s="355"/>
      <c r="FQ133" s="355"/>
      <c r="FR133" s="355"/>
      <c r="FS133" s="355"/>
      <c r="FT133" s="355"/>
      <c r="FU133" s="355"/>
      <c r="FV133" s="355"/>
      <c r="FW133" s="355"/>
      <c r="FX133" s="206"/>
      <c r="FY133" s="206"/>
      <c r="FZ133" s="206"/>
      <c r="GA133" s="206"/>
      <c r="GB133" s="206"/>
      <c r="GC133" s="206"/>
      <c r="GD133" s="374"/>
      <c r="GE133" s="370"/>
      <c r="GF133" s="374"/>
      <c r="GG133" s="370"/>
      <c r="GH133" s="640"/>
      <c r="GI133" s="206"/>
      <c r="GJ133" s="206"/>
      <c r="GK133" s="635"/>
      <c r="GL133" s="206"/>
      <c r="GM133" s="206"/>
      <c r="GN133" s="206"/>
      <c r="GO133" s="206"/>
      <c r="GP133" s="206"/>
      <c r="GQ133" s="206"/>
      <c r="GR133" s="206"/>
      <c r="GS133" s="206"/>
    </row>
    <row r="134" spans="1:201" ht="15" customHeight="1">
      <c r="A134" s="383"/>
      <c r="B134" s="340"/>
      <c r="C134" s="323"/>
      <c r="D134" s="323"/>
      <c r="E134" s="323"/>
      <c r="F134" s="323"/>
      <c r="G134" s="323"/>
      <c r="H134" s="323"/>
      <c r="I134" s="323"/>
      <c r="J134" s="323"/>
      <c r="K134" s="323"/>
      <c r="L134" s="323"/>
      <c r="M134" s="323"/>
      <c r="N134" s="323"/>
      <c r="O134" s="323"/>
      <c r="P134" s="323"/>
      <c r="Q134" s="353"/>
      <c r="R134" s="353"/>
      <c r="S134" s="353"/>
      <c r="T134" s="353"/>
      <c r="U134" s="353"/>
      <c r="V134" s="353"/>
      <c r="W134" s="353"/>
      <c r="X134" s="353"/>
      <c r="Y134" s="353"/>
      <c r="Z134" s="353"/>
      <c r="AA134" s="353"/>
      <c r="AB134" s="353"/>
      <c r="AC134" s="353"/>
      <c r="AD134" s="353"/>
      <c r="AE134" s="353"/>
      <c r="AF134" s="353"/>
      <c r="AG134" s="353"/>
      <c r="AH134" s="353"/>
      <c r="AI134" s="353"/>
      <c r="AJ134" s="353"/>
      <c r="AK134" s="353"/>
      <c r="AL134" s="353"/>
      <c r="AM134" s="353"/>
      <c r="AN134" s="353"/>
      <c r="AO134" s="353"/>
      <c r="AP134" s="353"/>
      <c r="AQ134" s="643"/>
      <c r="AR134" s="643"/>
      <c r="AS134" s="646"/>
      <c r="AT134" s="235">
        <f t="shared" si="145"/>
        <v>0</v>
      </c>
      <c r="AU134" s="235">
        <f t="shared" si="146"/>
        <v>0</v>
      </c>
      <c r="AV134" s="354"/>
      <c r="AW134" s="354"/>
      <c r="AX134" s="354"/>
      <c r="AY134" s="354"/>
      <c r="AZ134" s="354"/>
      <c r="BA134" s="354"/>
      <c r="BB134" s="354"/>
      <c r="BC134" s="354"/>
      <c r="BD134" s="354"/>
      <c r="BE134" s="354"/>
      <c r="BF134" s="354"/>
      <c r="BG134" s="206"/>
      <c r="BH134" s="206"/>
      <c r="BI134" s="206"/>
      <c r="BJ134" s="206"/>
      <c r="BK134" s="206"/>
      <c r="BL134" s="206"/>
      <c r="BM134" s="206"/>
      <c r="BN134" s="206"/>
      <c r="BO134" s="383"/>
      <c r="BP134" s="340"/>
      <c r="BQ134" s="206"/>
      <c r="BR134" s="206"/>
      <c r="BS134" s="206"/>
      <c r="BT134" s="206"/>
      <c r="BU134" s="206"/>
      <c r="BV134" s="206"/>
      <c r="BW134" s="206"/>
      <c r="BX134" s="206"/>
      <c r="BY134" s="206"/>
      <c r="BZ134" s="206"/>
      <c r="CA134" s="206"/>
      <c r="CB134" s="206"/>
      <c r="CC134" s="206"/>
      <c r="CD134" s="206"/>
      <c r="CE134" s="355"/>
      <c r="CF134" s="355"/>
      <c r="CG134" s="355"/>
      <c r="CH134" s="355"/>
      <c r="CI134" s="355"/>
      <c r="CJ134" s="355"/>
      <c r="CK134" s="355"/>
      <c r="CL134" s="355"/>
      <c r="CM134" s="355"/>
      <c r="CN134" s="355"/>
      <c r="CO134" s="355"/>
      <c r="CP134" s="355"/>
      <c r="CQ134" s="355"/>
      <c r="CR134" s="355"/>
      <c r="CS134" s="355"/>
      <c r="CT134" s="355"/>
      <c r="CU134" s="355"/>
      <c r="CV134" s="355"/>
      <c r="CW134" s="355"/>
      <c r="CX134" s="355"/>
      <c r="CY134" s="355"/>
      <c r="CZ134" s="355"/>
      <c r="DA134" s="355"/>
      <c r="DB134" s="355"/>
      <c r="DC134" s="355"/>
      <c r="DD134" s="355"/>
      <c r="DE134" s="654"/>
      <c r="DF134" s="643"/>
      <c r="DG134" s="646"/>
      <c r="DH134" s="649"/>
      <c r="DI134" s="650"/>
      <c r="DJ134" s="354"/>
      <c r="DK134" s="354"/>
      <c r="DL134" s="354"/>
      <c r="DM134" s="354"/>
      <c r="DN134" s="354"/>
      <c r="DO134" s="654"/>
      <c r="DP134" s="643"/>
      <c r="DQ134" s="646"/>
      <c r="DR134" s="649"/>
      <c r="DS134" s="650"/>
      <c r="DT134" s="354"/>
      <c r="DU134" s="354"/>
      <c r="DV134" s="354"/>
      <c r="DW134" s="354"/>
      <c r="DX134" s="354"/>
      <c r="DY134" s="354"/>
      <c r="DZ134" s="328"/>
      <c r="EA134" s="328"/>
      <c r="EB134" s="328"/>
      <c r="EC134" s="328"/>
      <c r="ED134" s="328"/>
      <c r="EE134" s="328"/>
      <c r="EF134" s="328"/>
      <c r="EG134" s="383"/>
      <c r="EH134" s="340"/>
      <c r="EI134" s="206"/>
      <c r="EJ134" s="206"/>
      <c r="EK134" s="355"/>
      <c r="EL134" s="355"/>
      <c r="EM134" s="355"/>
      <c r="EN134" s="355"/>
      <c r="EO134" s="355"/>
      <c r="EP134" s="355"/>
      <c r="EQ134" s="355"/>
      <c r="ER134" s="355"/>
      <c r="ES134" s="355"/>
      <c r="ET134" s="355"/>
      <c r="EU134" s="355"/>
      <c r="EV134" s="355"/>
      <c r="EW134" s="355"/>
      <c r="EX134" s="355"/>
      <c r="EY134" s="355"/>
      <c r="EZ134" s="355"/>
      <c r="FA134" s="355"/>
      <c r="FB134" s="355"/>
      <c r="FC134" s="355"/>
      <c r="FD134" s="355"/>
      <c r="FE134" s="355"/>
      <c r="FF134" s="355"/>
      <c r="FG134" s="355"/>
      <c r="FH134" s="355"/>
      <c r="FI134" s="355"/>
      <c r="FJ134" s="355"/>
      <c r="FK134" s="355"/>
      <c r="FL134" s="355"/>
      <c r="FM134" s="355"/>
      <c r="FN134" s="355"/>
      <c r="FO134" s="355"/>
      <c r="FP134" s="355"/>
      <c r="FQ134" s="355"/>
      <c r="FR134" s="355"/>
      <c r="FS134" s="355"/>
      <c r="FT134" s="355"/>
      <c r="FU134" s="355"/>
      <c r="FV134" s="355"/>
      <c r="FW134" s="355"/>
      <c r="FX134" s="206"/>
      <c r="FY134" s="206"/>
      <c r="FZ134" s="206"/>
      <c r="GA134" s="206"/>
      <c r="GB134" s="206"/>
      <c r="GC134" s="206"/>
      <c r="GD134" s="374"/>
      <c r="GE134" s="370"/>
      <c r="GF134" s="374"/>
      <c r="GG134" s="370"/>
      <c r="GH134" s="640"/>
      <c r="GI134" s="206"/>
      <c r="GJ134" s="206"/>
      <c r="GK134" s="635"/>
      <c r="GL134" s="206"/>
      <c r="GM134" s="206"/>
      <c r="GN134" s="206"/>
      <c r="GO134" s="206"/>
      <c r="GP134" s="206"/>
      <c r="GQ134" s="206"/>
      <c r="GR134" s="206"/>
      <c r="GS134" s="206"/>
    </row>
    <row r="135" spans="1:201" ht="15" customHeight="1">
      <c r="A135" s="383"/>
      <c r="B135" s="322"/>
      <c r="C135" s="323"/>
      <c r="D135" s="323"/>
      <c r="E135" s="323"/>
      <c r="F135" s="323"/>
      <c r="G135" s="323"/>
      <c r="H135" s="323"/>
      <c r="I135" s="323"/>
      <c r="J135" s="323"/>
      <c r="K135" s="323"/>
      <c r="L135" s="323"/>
      <c r="M135" s="323"/>
      <c r="N135" s="323"/>
      <c r="O135" s="323"/>
      <c r="P135" s="323"/>
      <c r="Q135" s="353"/>
      <c r="R135" s="353"/>
      <c r="S135" s="353"/>
      <c r="T135" s="353"/>
      <c r="U135" s="353"/>
      <c r="V135" s="353"/>
      <c r="W135" s="353"/>
      <c r="X135" s="353"/>
      <c r="Y135" s="353"/>
      <c r="Z135" s="353"/>
      <c r="AA135" s="353"/>
      <c r="AB135" s="353"/>
      <c r="AC135" s="353"/>
      <c r="AD135" s="353"/>
      <c r="AE135" s="353"/>
      <c r="AF135" s="353"/>
      <c r="AG135" s="353"/>
      <c r="AH135" s="353"/>
      <c r="AI135" s="353"/>
      <c r="AJ135" s="353"/>
      <c r="AK135" s="353"/>
      <c r="AL135" s="353"/>
      <c r="AM135" s="353"/>
      <c r="AN135" s="353"/>
      <c r="AO135" s="353"/>
      <c r="AP135" s="353"/>
      <c r="AQ135" s="643"/>
      <c r="AR135" s="643"/>
      <c r="AS135" s="646"/>
      <c r="AT135" s="235">
        <f t="shared" si="145"/>
        <v>0</v>
      </c>
      <c r="AU135" s="235">
        <f t="shared" si="146"/>
        <v>0</v>
      </c>
      <c r="AV135" s="354"/>
      <c r="AW135" s="354"/>
      <c r="AX135" s="354"/>
      <c r="AY135" s="354"/>
      <c r="AZ135" s="354"/>
      <c r="BA135" s="354"/>
      <c r="BB135" s="354"/>
      <c r="BC135" s="354"/>
      <c r="BD135" s="354"/>
      <c r="BE135" s="354"/>
      <c r="BF135" s="354"/>
      <c r="BG135" s="206"/>
      <c r="BH135" s="206"/>
      <c r="BI135" s="206"/>
      <c r="BJ135" s="206"/>
      <c r="BK135" s="206"/>
      <c r="BL135" s="206"/>
      <c r="BM135" s="206"/>
      <c r="BN135" s="206"/>
      <c r="BO135" s="383"/>
      <c r="BP135" s="322"/>
      <c r="BQ135" s="206"/>
      <c r="BR135" s="206"/>
      <c r="BS135" s="206"/>
      <c r="BT135" s="206"/>
      <c r="BU135" s="206"/>
      <c r="BV135" s="206"/>
      <c r="BW135" s="206"/>
      <c r="BX135" s="206"/>
      <c r="BY135" s="206"/>
      <c r="BZ135" s="206"/>
      <c r="CA135" s="206"/>
      <c r="CB135" s="206"/>
      <c r="CC135" s="206"/>
      <c r="CD135" s="206"/>
      <c r="CE135" s="355"/>
      <c r="CF135" s="355"/>
      <c r="CG135" s="355"/>
      <c r="CH135" s="355"/>
      <c r="CI135" s="355"/>
      <c r="CJ135" s="355"/>
      <c r="CK135" s="355"/>
      <c r="CL135" s="355"/>
      <c r="CM135" s="355"/>
      <c r="CN135" s="355"/>
      <c r="CO135" s="355"/>
      <c r="CP135" s="355"/>
      <c r="CQ135" s="355"/>
      <c r="CR135" s="355"/>
      <c r="CS135" s="355"/>
      <c r="CT135" s="355"/>
      <c r="CU135" s="355"/>
      <c r="CV135" s="355"/>
      <c r="CW135" s="355"/>
      <c r="CX135" s="355"/>
      <c r="CY135" s="355"/>
      <c r="CZ135" s="355"/>
      <c r="DA135" s="355"/>
      <c r="DB135" s="355"/>
      <c r="DC135" s="355"/>
      <c r="DD135" s="355"/>
      <c r="DE135" s="654"/>
      <c r="DF135" s="643"/>
      <c r="DG135" s="646"/>
      <c r="DH135" s="651"/>
      <c r="DI135" s="652"/>
      <c r="DJ135" s="354"/>
      <c r="DK135" s="354"/>
      <c r="DL135" s="354"/>
      <c r="DM135" s="354"/>
      <c r="DN135" s="354"/>
      <c r="DO135" s="654"/>
      <c r="DP135" s="643"/>
      <c r="DQ135" s="646"/>
      <c r="DR135" s="651"/>
      <c r="DS135" s="652"/>
      <c r="DT135" s="354"/>
      <c r="DU135" s="354"/>
      <c r="DV135" s="354"/>
      <c r="DW135" s="354"/>
      <c r="DX135" s="354"/>
      <c r="DY135" s="354"/>
      <c r="DZ135" s="328"/>
      <c r="EA135" s="328"/>
      <c r="EB135" s="328"/>
      <c r="EC135" s="328"/>
      <c r="ED135" s="328"/>
      <c r="EE135" s="328"/>
      <c r="EF135" s="328"/>
      <c r="EG135" s="383"/>
      <c r="EH135" s="322"/>
      <c r="EI135" s="206"/>
      <c r="EJ135" s="206"/>
      <c r="EK135" s="355"/>
      <c r="EL135" s="355"/>
      <c r="EM135" s="355"/>
      <c r="EN135" s="355"/>
      <c r="EO135" s="355"/>
      <c r="EP135" s="355"/>
      <c r="EQ135" s="355"/>
      <c r="ER135" s="355"/>
      <c r="ES135" s="355"/>
      <c r="ET135" s="355"/>
      <c r="EU135" s="355"/>
      <c r="EV135" s="355"/>
      <c r="EW135" s="355"/>
      <c r="EX135" s="355"/>
      <c r="EY135" s="355"/>
      <c r="EZ135" s="355"/>
      <c r="FA135" s="355"/>
      <c r="FB135" s="355"/>
      <c r="FC135" s="355"/>
      <c r="FD135" s="355"/>
      <c r="FE135" s="355"/>
      <c r="FF135" s="355"/>
      <c r="FG135" s="355"/>
      <c r="FH135" s="355"/>
      <c r="FI135" s="355"/>
      <c r="FJ135" s="355"/>
      <c r="FK135" s="355"/>
      <c r="FL135" s="355"/>
      <c r="FM135" s="355"/>
      <c r="FN135" s="355"/>
      <c r="FO135" s="355"/>
      <c r="FP135" s="355"/>
      <c r="FQ135" s="355"/>
      <c r="FR135" s="355"/>
      <c r="FS135" s="355"/>
      <c r="FT135" s="355"/>
      <c r="FU135" s="355"/>
      <c r="FV135" s="355"/>
      <c r="FW135" s="355"/>
      <c r="FX135" s="206"/>
      <c r="FY135" s="206"/>
      <c r="FZ135" s="206"/>
      <c r="GA135" s="206"/>
      <c r="GB135" s="206"/>
      <c r="GC135" s="206"/>
      <c r="GD135" s="374"/>
      <c r="GE135" s="370"/>
      <c r="GF135" s="374"/>
      <c r="GG135" s="370"/>
      <c r="GH135" s="641"/>
      <c r="GI135" s="206"/>
      <c r="GJ135" s="206"/>
      <c r="GK135" s="635"/>
      <c r="GL135" s="206"/>
      <c r="GM135" s="206"/>
      <c r="GN135" s="206"/>
      <c r="GO135" s="206"/>
      <c r="GP135" s="206"/>
      <c r="GQ135" s="206"/>
      <c r="GR135" s="206"/>
      <c r="GS135" s="206"/>
    </row>
    <row r="136" spans="1:201" ht="15" customHeight="1">
      <c r="A136" s="322"/>
      <c r="B136" s="322"/>
      <c r="C136" s="323"/>
      <c r="D136" s="323"/>
      <c r="E136" s="323"/>
      <c r="F136" s="323"/>
      <c r="G136" s="323"/>
      <c r="H136" s="323"/>
      <c r="I136" s="323"/>
      <c r="J136" s="323"/>
      <c r="K136" s="323"/>
      <c r="L136" s="323"/>
      <c r="M136" s="323"/>
      <c r="N136" s="323"/>
      <c r="O136" s="323"/>
      <c r="P136" s="323"/>
      <c r="Q136" s="323"/>
      <c r="R136" s="323"/>
      <c r="S136" s="323"/>
      <c r="T136" s="323"/>
      <c r="U136" s="323"/>
      <c r="V136" s="323"/>
      <c r="W136" s="323"/>
      <c r="X136" s="323"/>
      <c r="Y136" s="323"/>
      <c r="Z136" s="323"/>
      <c r="AA136" s="323"/>
      <c r="AB136" s="323"/>
      <c r="AC136" s="323"/>
      <c r="AD136" s="323"/>
      <c r="AE136" s="323"/>
      <c r="AF136" s="323"/>
      <c r="AG136" s="323"/>
      <c r="AH136" s="323"/>
      <c r="AI136" s="323"/>
      <c r="AJ136" s="323"/>
      <c r="AK136" s="323"/>
      <c r="AL136" s="323"/>
      <c r="AM136" s="323"/>
      <c r="AN136" s="323"/>
      <c r="AO136" s="323"/>
      <c r="AP136" s="323"/>
      <c r="AQ136" s="629" t="s">
        <v>79</v>
      </c>
      <c r="AR136" s="629"/>
      <c r="AS136" s="629"/>
      <c r="AT136" s="629"/>
      <c r="AU136" s="629"/>
      <c r="AV136" s="322"/>
      <c r="AW136" s="322"/>
      <c r="AX136" s="322"/>
      <c r="AY136" s="322"/>
      <c r="AZ136" s="322"/>
      <c r="BA136" s="322"/>
      <c r="BB136" s="322"/>
      <c r="BC136" s="322"/>
      <c r="BD136" s="322"/>
      <c r="BE136" s="322"/>
      <c r="BF136" s="322"/>
      <c r="BG136" s="206"/>
      <c r="BH136" s="206"/>
      <c r="BI136" s="206"/>
      <c r="BJ136" s="206"/>
      <c r="BK136" s="206"/>
      <c r="BL136" s="206"/>
      <c r="BM136" s="206"/>
      <c r="BN136" s="206"/>
      <c r="BO136" s="206"/>
      <c r="BP136" s="206"/>
      <c r="BQ136" s="206"/>
      <c r="BR136" s="206"/>
      <c r="BS136" s="206"/>
      <c r="BT136" s="206"/>
      <c r="BU136" s="206"/>
      <c r="BV136" s="206"/>
      <c r="BW136" s="206"/>
      <c r="BX136" s="206"/>
      <c r="BY136" s="206"/>
      <c r="BZ136" s="206"/>
      <c r="CA136" s="206"/>
      <c r="CB136" s="206"/>
      <c r="CC136" s="206"/>
      <c r="CD136" s="206"/>
      <c r="CE136" s="355"/>
      <c r="CF136" s="355"/>
      <c r="CG136" s="355"/>
      <c r="CH136" s="355"/>
      <c r="CI136" s="355"/>
      <c r="CJ136" s="355"/>
      <c r="CK136" s="355"/>
      <c r="CL136" s="355"/>
      <c r="CM136" s="355"/>
      <c r="CN136" s="355"/>
      <c r="CO136" s="355"/>
      <c r="CP136" s="355"/>
      <c r="CQ136" s="355"/>
      <c r="CR136" s="355"/>
      <c r="CS136" s="355"/>
      <c r="CT136" s="355"/>
      <c r="CU136" s="355"/>
      <c r="CV136" s="355"/>
      <c r="CW136" s="355"/>
      <c r="CX136" s="355"/>
      <c r="CY136" s="355"/>
      <c r="CZ136" s="355"/>
      <c r="DA136" s="355"/>
      <c r="DB136" s="355"/>
      <c r="DC136" s="355"/>
      <c r="DD136" s="355"/>
      <c r="DE136" s="628" t="s">
        <v>80</v>
      </c>
      <c r="DF136" s="629"/>
      <c r="DG136" s="629"/>
      <c r="DH136" s="629"/>
      <c r="DI136" s="634"/>
      <c r="DJ136" s="322"/>
      <c r="DK136" s="322"/>
      <c r="DL136" s="322"/>
      <c r="DM136" s="322"/>
      <c r="DN136" s="322"/>
      <c r="DO136" s="628" t="s">
        <v>80</v>
      </c>
      <c r="DP136" s="629"/>
      <c r="DQ136" s="629"/>
      <c r="DR136" s="629"/>
      <c r="DS136" s="634"/>
      <c r="DT136" s="322"/>
      <c r="DU136" s="322"/>
      <c r="DV136" s="322"/>
      <c r="DW136" s="322"/>
      <c r="DX136" s="322"/>
      <c r="DY136" s="322"/>
      <c r="DZ136" s="328"/>
      <c r="EA136" s="328"/>
      <c r="EB136" s="328"/>
      <c r="EC136" s="328"/>
      <c r="ED136" s="328"/>
      <c r="EE136" s="328"/>
      <c r="EF136" s="328"/>
      <c r="EG136" s="206"/>
      <c r="EH136" s="629" t="s">
        <v>81</v>
      </c>
      <c r="EI136" s="629"/>
      <c r="EJ136" s="629"/>
      <c r="EK136" s="629"/>
      <c r="EL136" s="629"/>
      <c r="EM136" s="629"/>
      <c r="EN136" s="629"/>
      <c r="EO136" s="629"/>
      <c r="EP136" s="629"/>
      <c r="EQ136" s="629"/>
      <c r="ER136" s="629"/>
      <c r="ES136" s="629"/>
      <c r="ET136" s="629"/>
      <c r="EU136" s="629"/>
      <c r="EV136" s="629"/>
      <c r="EW136" s="629"/>
      <c r="EX136" s="629"/>
      <c r="EY136" s="629"/>
      <c r="EZ136" s="629"/>
      <c r="FA136" s="629"/>
      <c r="FB136" s="629"/>
      <c r="FC136" s="322"/>
      <c r="FD136" s="322"/>
      <c r="FE136" s="322"/>
      <c r="FF136" s="322"/>
      <c r="FG136" s="322"/>
      <c r="FH136" s="322"/>
      <c r="FI136" s="322"/>
      <c r="FJ136" s="322"/>
      <c r="FK136" s="322"/>
      <c r="FL136" s="322"/>
      <c r="FM136" s="322"/>
      <c r="FN136" s="322"/>
      <c r="FO136" s="322"/>
      <c r="FP136" s="322"/>
      <c r="FQ136" s="322"/>
      <c r="FR136" s="322"/>
      <c r="FS136" s="322"/>
      <c r="FT136" s="322"/>
      <c r="FU136" s="322"/>
      <c r="FV136" s="322"/>
      <c r="FW136" s="322"/>
      <c r="FX136" s="206"/>
      <c r="FY136" s="206"/>
      <c r="FZ136" s="206"/>
      <c r="GA136" s="206"/>
      <c r="GB136" s="206"/>
      <c r="GC136" s="206"/>
      <c r="GD136" s="206"/>
      <c r="GE136" s="206"/>
      <c r="GF136" s="206"/>
      <c r="GG136" s="206"/>
      <c r="GH136" s="206"/>
      <c r="GI136" s="206"/>
      <c r="GJ136" s="206"/>
      <c r="GK136" s="206"/>
      <c r="GL136" s="206"/>
      <c r="GM136" s="206"/>
      <c r="GN136" s="206"/>
      <c r="GO136" s="206"/>
      <c r="GP136" s="206"/>
      <c r="GQ136" s="206"/>
      <c r="GR136" s="206"/>
      <c r="GS136" s="206"/>
    </row>
    <row r="137" spans="1:201" ht="15" customHeight="1" thickBot="1">
      <c r="A137" s="628" t="s">
        <v>82</v>
      </c>
      <c r="B137" s="629"/>
      <c r="C137" s="323">
        <f>SUM(C116:C135)</f>
        <v>0</v>
      </c>
      <c r="D137" s="323">
        <f t="shared" ref="D137:V137" si="175">SUM(D116:D135)</f>
        <v>0</v>
      </c>
      <c r="E137" s="323">
        <f t="shared" si="175"/>
        <v>0</v>
      </c>
      <c r="F137" s="323">
        <f t="shared" si="175"/>
        <v>0</v>
      </c>
      <c r="G137" s="323">
        <f t="shared" si="175"/>
        <v>0</v>
      </c>
      <c r="H137" s="323">
        <f t="shared" si="175"/>
        <v>0</v>
      </c>
      <c r="I137" s="323">
        <f t="shared" si="175"/>
        <v>0</v>
      </c>
      <c r="J137" s="323">
        <f t="shared" si="175"/>
        <v>0</v>
      </c>
      <c r="K137" s="323">
        <f t="shared" si="175"/>
        <v>0</v>
      </c>
      <c r="L137" s="323">
        <f t="shared" si="175"/>
        <v>0</v>
      </c>
      <c r="M137" s="323">
        <f t="shared" si="175"/>
        <v>0</v>
      </c>
      <c r="N137" s="323">
        <f t="shared" si="175"/>
        <v>0</v>
      </c>
      <c r="O137" s="323">
        <f t="shared" si="175"/>
        <v>0</v>
      </c>
      <c r="P137" s="323">
        <f t="shared" si="175"/>
        <v>0</v>
      </c>
      <c r="Q137" s="323">
        <f t="shared" si="175"/>
        <v>0</v>
      </c>
      <c r="R137" s="323">
        <f t="shared" si="175"/>
        <v>0</v>
      </c>
      <c r="S137" s="323">
        <f t="shared" si="175"/>
        <v>0</v>
      </c>
      <c r="T137" s="323">
        <f t="shared" si="175"/>
        <v>0</v>
      </c>
      <c r="U137" s="323">
        <f t="shared" si="175"/>
        <v>0</v>
      </c>
      <c r="V137" s="323">
        <f t="shared" si="175"/>
        <v>0</v>
      </c>
      <c r="W137" s="323"/>
      <c r="X137" s="323"/>
      <c r="Y137" s="323"/>
      <c r="Z137" s="323"/>
      <c r="AA137" s="323"/>
      <c r="AB137" s="323"/>
      <c r="AC137" s="323"/>
      <c r="AD137" s="323"/>
      <c r="AE137" s="323"/>
      <c r="AF137" s="323"/>
      <c r="AG137" s="323"/>
      <c r="AH137" s="323"/>
      <c r="AI137" s="323"/>
      <c r="AJ137" s="323"/>
      <c r="AK137" s="323"/>
      <c r="AL137" s="323"/>
      <c r="AM137" s="323"/>
      <c r="AN137" s="323"/>
      <c r="AO137" s="323"/>
      <c r="AP137" s="323"/>
      <c r="AQ137" s="330">
        <f>SUM(AQ116:AQ120)</f>
        <v>0</v>
      </c>
      <c r="AR137" s="330">
        <f>SUM(AR116:AR124)</f>
        <v>0</v>
      </c>
      <c r="AS137" s="330">
        <f>SUM(AS116:AS129)</f>
        <v>0</v>
      </c>
      <c r="AT137" s="330">
        <f>SUM(AT116:AT135)</f>
        <v>0</v>
      </c>
      <c r="AU137" s="330">
        <f>SUM(AU116:AU135)</f>
        <v>0</v>
      </c>
      <c r="AV137" s="330"/>
      <c r="AW137" s="330"/>
      <c r="AX137" s="330"/>
      <c r="AY137" s="330"/>
      <c r="AZ137" s="330"/>
      <c r="BA137" s="330"/>
      <c r="BB137" s="330"/>
      <c r="BC137" s="330"/>
      <c r="BD137" s="330"/>
      <c r="BE137" s="330"/>
      <c r="BF137" s="330"/>
      <c r="BG137" s="206"/>
      <c r="BH137" s="206"/>
      <c r="BI137" s="206"/>
      <c r="BJ137" s="206"/>
      <c r="BK137" s="206"/>
      <c r="BL137" s="206"/>
      <c r="BM137" s="206"/>
      <c r="BN137" s="206"/>
      <c r="BO137" s="206"/>
      <c r="BP137" s="206"/>
      <c r="BQ137" s="206"/>
      <c r="BR137" s="206"/>
      <c r="BS137" s="206"/>
      <c r="BT137" s="206"/>
      <c r="BU137" s="206"/>
      <c r="BV137" s="206"/>
      <c r="BW137" s="206"/>
      <c r="BX137" s="206"/>
      <c r="BY137" s="206"/>
      <c r="BZ137" s="206"/>
      <c r="CA137" s="206"/>
      <c r="CB137" s="206"/>
      <c r="CC137" s="206"/>
      <c r="CD137" s="206"/>
      <c r="CE137" s="206"/>
      <c r="CF137" s="206"/>
      <c r="CG137" s="206"/>
      <c r="CH137" s="206"/>
      <c r="CI137" s="206"/>
      <c r="CJ137" s="206"/>
      <c r="CK137" s="206"/>
      <c r="CL137" s="206"/>
      <c r="CM137" s="206"/>
      <c r="CN137" s="206"/>
      <c r="CO137" s="206"/>
      <c r="CP137" s="206"/>
      <c r="CQ137" s="206"/>
      <c r="CR137" s="206"/>
      <c r="CS137" s="206"/>
      <c r="CT137" s="206"/>
      <c r="CU137" s="206"/>
      <c r="CV137" s="206"/>
      <c r="CW137" s="206"/>
      <c r="CX137" s="206"/>
      <c r="CY137" s="206"/>
      <c r="CZ137" s="206"/>
      <c r="DA137" s="206"/>
      <c r="DB137" s="206"/>
      <c r="DC137" s="206"/>
      <c r="DD137" s="206"/>
      <c r="DE137" s="380">
        <f>SUM(DE116:DE120)</f>
        <v>0</v>
      </c>
      <c r="DF137" s="380">
        <f>SUM(DF116:DF124)</f>
        <v>0</v>
      </c>
      <c r="DG137" s="380">
        <f>SUM(DG116:DG129)</f>
        <v>0</v>
      </c>
      <c r="DH137" s="380">
        <f>SUM(DH116:DH135)</f>
        <v>0</v>
      </c>
      <c r="DI137" s="380">
        <f>SUM(DI116:DI135)</f>
        <v>0</v>
      </c>
      <c r="DJ137" s="380"/>
      <c r="DK137" s="380"/>
      <c r="DL137" s="380"/>
      <c r="DM137" s="380"/>
      <c r="DN137" s="380"/>
      <c r="DO137" s="380">
        <f>AQ137-DE137</f>
        <v>0</v>
      </c>
      <c r="DP137" s="380">
        <f>AR137-DF137</f>
        <v>0</v>
      </c>
      <c r="DQ137" s="380">
        <f>AS137-DG137</f>
        <v>0</v>
      </c>
      <c r="DR137" s="380">
        <f>AT137-DH137</f>
        <v>0</v>
      </c>
      <c r="DS137" s="380">
        <f>AU137-DI137</f>
        <v>0</v>
      </c>
      <c r="DT137" s="330"/>
      <c r="DU137" s="330"/>
      <c r="DV137" s="330"/>
      <c r="DW137" s="330"/>
      <c r="DX137" s="330"/>
      <c r="DY137" s="330"/>
      <c r="DZ137" s="328"/>
      <c r="EA137" s="328"/>
      <c r="EB137" s="328"/>
      <c r="EC137" s="328"/>
      <c r="ED137" s="328"/>
      <c r="EE137" s="328"/>
      <c r="EF137" s="328"/>
      <c r="EG137" s="326">
        <v>1</v>
      </c>
      <c r="EH137" s="206" t="s">
        <v>84</v>
      </c>
      <c r="EI137" s="330">
        <f>SUM(EI116:EI120)</f>
        <v>0</v>
      </c>
      <c r="EJ137" s="330">
        <f t="shared" ref="EJ137" si="176">SUM(EJ116:EJ120)</f>
        <v>0</v>
      </c>
      <c r="EK137" s="330">
        <f>SUM(EK116:EK120)</f>
        <v>0</v>
      </c>
      <c r="EL137" s="330">
        <f>SUM(EL116:EL120)</f>
        <v>0</v>
      </c>
      <c r="EM137" s="330">
        <f t="shared" ref="EM137:EV137" si="177">SUM(EM116:EM120)</f>
        <v>0</v>
      </c>
      <c r="EN137" s="330">
        <f t="shared" si="177"/>
        <v>0</v>
      </c>
      <c r="EO137" s="330">
        <f t="shared" si="177"/>
        <v>0</v>
      </c>
      <c r="EP137" s="330">
        <f t="shared" si="177"/>
        <v>0</v>
      </c>
      <c r="EQ137" s="330">
        <f t="shared" si="177"/>
        <v>0</v>
      </c>
      <c r="ER137" s="330">
        <f t="shared" si="177"/>
        <v>0</v>
      </c>
      <c r="ES137" s="330">
        <f t="shared" si="177"/>
        <v>0</v>
      </c>
      <c r="ET137" s="330">
        <f t="shared" si="177"/>
        <v>0</v>
      </c>
      <c r="EU137" s="330">
        <f t="shared" si="177"/>
        <v>0</v>
      </c>
      <c r="EV137" s="330">
        <f t="shared" si="177"/>
        <v>0</v>
      </c>
      <c r="EW137" s="330">
        <f>SUM(EW116:EW120)</f>
        <v>0</v>
      </c>
      <c r="EX137" s="330">
        <f t="shared" ref="EX137" si="178">SUM(EX116:EX120)</f>
        <v>0</v>
      </c>
      <c r="EY137" s="330">
        <f>SUM(EY116:EY120)</f>
        <v>0</v>
      </c>
      <c r="EZ137" s="330">
        <f t="shared" ref="EZ137:FB137" si="179">SUM(EZ116:EZ120)</f>
        <v>0</v>
      </c>
      <c r="FA137" s="330">
        <f t="shared" si="179"/>
        <v>0</v>
      </c>
      <c r="FB137" s="330">
        <f t="shared" si="179"/>
        <v>0</v>
      </c>
      <c r="FC137" s="330"/>
      <c r="FD137" s="330"/>
      <c r="FE137" s="330"/>
      <c r="FF137" s="330"/>
      <c r="FG137" s="330"/>
      <c r="FH137" s="330"/>
      <c r="FI137" s="330"/>
      <c r="FJ137" s="330"/>
      <c r="FK137" s="330"/>
      <c r="FL137" s="330"/>
      <c r="FM137" s="330"/>
      <c r="FN137" s="330"/>
      <c r="FO137" s="330"/>
      <c r="FP137" s="330"/>
      <c r="FQ137" s="330"/>
      <c r="FR137" s="330"/>
      <c r="FS137" s="330"/>
      <c r="FT137" s="330"/>
      <c r="FU137" s="330"/>
      <c r="FV137" s="330"/>
      <c r="FW137" s="330"/>
      <c r="FX137" s="206"/>
      <c r="FY137" s="206"/>
      <c r="FZ137" s="206"/>
      <c r="GA137" s="206"/>
      <c r="GB137" s="206"/>
      <c r="GC137" s="206"/>
      <c r="GD137" s="206"/>
      <c r="GE137" s="206"/>
      <c r="GF137" s="206"/>
      <c r="GG137" s="206"/>
      <c r="GH137" s="206"/>
      <c r="GI137" s="206"/>
      <c r="GJ137" s="206"/>
      <c r="GK137" s="206"/>
      <c r="GL137" s="206"/>
      <c r="GM137" s="206"/>
      <c r="GN137" s="206"/>
      <c r="GO137" s="206"/>
      <c r="GP137" s="206"/>
      <c r="GQ137" s="206"/>
      <c r="GR137" s="206"/>
      <c r="GS137" s="206"/>
    </row>
    <row r="138" spans="1:201" ht="15" customHeight="1" thickBot="1">
      <c r="A138" s="628" t="s">
        <v>83</v>
      </c>
      <c r="B138" s="629"/>
      <c r="C138" s="323" cm="1">
        <f t="array" ref="C138:V138">BQ138:CJ138</f>
        <v>0</v>
      </c>
      <c r="D138" s="323">
        <v>0</v>
      </c>
      <c r="E138" s="386">
        <v>0</v>
      </c>
      <c r="F138" s="386">
        <v>0</v>
      </c>
      <c r="G138" s="386">
        <v>0</v>
      </c>
      <c r="H138" s="386">
        <v>0</v>
      </c>
      <c r="I138" s="386">
        <v>0</v>
      </c>
      <c r="J138" s="386">
        <v>0</v>
      </c>
      <c r="K138" s="386">
        <v>0</v>
      </c>
      <c r="L138" s="386">
        <v>0</v>
      </c>
      <c r="M138" s="386">
        <v>0</v>
      </c>
      <c r="N138" s="386">
        <v>0</v>
      </c>
      <c r="O138" s="386">
        <v>0</v>
      </c>
      <c r="P138" s="386">
        <v>0</v>
      </c>
      <c r="Q138" s="386">
        <v>0</v>
      </c>
      <c r="R138" s="386">
        <v>0</v>
      </c>
      <c r="S138" s="386">
        <v>0</v>
      </c>
      <c r="T138" s="386">
        <v>0</v>
      </c>
      <c r="U138" s="386">
        <v>0</v>
      </c>
      <c r="V138" s="387">
        <v>0</v>
      </c>
      <c r="W138" s="386"/>
      <c r="X138" s="386"/>
      <c r="Y138" s="386"/>
      <c r="Z138" s="386"/>
      <c r="AA138" s="386"/>
      <c r="AB138" s="386"/>
      <c r="AC138" s="386"/>
      <c r="AD138" s="386"/>
      <c r="AE138" s="386"/>
      <c r="AF138" s="386"/>
      <c r="AG138" s="386"/>
      <c r="AH138" s="386"/>
      <c r="AI138" s="386"/>
      <c r="AJ138" s="386"/>
      <c r="AK138" s="386"/>
      <c r="AL138" s="386"/>
      <c r="AM138" s="386"/>
      <c r="AN138" s="386"/>
      <c r="AO138" s="386"/>
      <c r="AP138" s="386"/>
      <c r="AQ138" s="206"/>
      <c r="AR138" s="206"/>
      <c r="AS138" s="206"/>
      <c r="AT138" s="206"/>
      <c r="AU138" s="206"/>
      <c r="AV138" s="206"/>
      <c r="AW138" s="206"/>
      <c r="AX138" s="206"/>
      <c r="AY138" s="206"/>
      <c r="AZ138" s="206"/>
      <c r="BA138" s="206"/>
      <c r="BB138" s="206"/>
      <c r="BC138" s="206"/>
      <c r="BD138" s="206"/>
      <c r="BE138" s="206"/>
      <c r="BF138" s="206"/>
      <c r="BG138" s="206"/>
      <c r="BH138" s="206"/>
      <c r="BI138" s="206"/>
      <c r="BJ138" s="206"/>
      <c r="BK138" s="206"/>
      <c r="BL138" s="206"/>
      <c r="BM138" s="206"/>
      <c r="BN138" s="206"/>
      <c r="BO138" s="630" t="s">
        <v>83</v>
      </c>
      <c r="BP138" s="631"/>
      <c r="BQ138" s="381">
        <f>SUM(BQ116:BQ135)</f>
        <v>0</v>
      </c>
      <c r="BR138" s="381">
        <f t="shared" ref="BR138:CJ138" si="180">SUM(BR116:BR135)</f>
        <v>0</v>
      </c>
      <c r="BS138" s="381">
        <f t="shared" si="180"/>
        <v>0</v>
      </c>
      <c r="BT138" s="381">
        <f t="shared" si="180"/>
        <v>0</v>
      </c>
      <c r="BU138" s="381">
        <f t="shared" si="180"/>
        <v>0</v>
      </c>
      <c r="BV138" s="381">
        <f t="shared" si="180"/>
        <v>0</v>
      </c>
      <c r="BW138" s="381">
        <f t="shared" si="180"/>
        <v>0</v>
      </c>
      <c r="BX138" s="381">
        <f t="shared" si="180"/>
        <v>0</v>
      </c>
      <c r="BY138" s="381">
        <f t="shared" si="180"/>
        <v>0</v>
      </c>
      <c r="BZ138" s="381">
        <f t="shared" si="180"/>
        <v>0</v>
      </c>
      <c r="CA138" s="381">
        <f t="shared" si="180"/>
        <v>0</v>
      </c>
      <c r="CB138" s="381">
        <f t="shared" si="180"/>
        <v>0</v>
      </c>
      <c r="CC138" s="381">
        <f t="shared" si="180"/>
        <v>0</v>
      </c>
      <c r="CD138" s="381">
        <f t="shared" si="180"/>
        <v>0</v>
      </c>
      <c r="CE138" s="381">
        <f t="shared" si="180"/>
        <v>0</v>
      </c>
      <c r="CF138" s="381">
        <f t="shared" si="180"/>
        <v>0</v>
      </c>
      <c r="CG138" s="381">
        <f t="shared" si="180"/>
        <v>0</v>
      </c>
      <c r="CH138" s="381">
        <f t="shared" si="180"/>
        <v>0</v>
      </c>
      <c r="CI138" s="381">
        <f t="shared" si="180"/>
        <v>0</v>
      </c>
      <c r="CJ138" s="381">
        <f t="shared" si="180"/>
        <v>0</v>
      </c>
      <c r="CK138" s="330"/>
      <c r="CL138" s="330"/>
      <c r="CM138" s="330"/>
      <c r="CN138" s="330"/>
      <c r="CO138" s="330"/>
      <c r="CP138" s="330"/>
      <c r="CQ138" s="330"/>
      <c r="CR138" s="330"/>
      <c r="CS138" s="330"/>
      <c r="CT138" s="330"/>
      <c r="CU138" s="330"/>
      <c r="CV138" s="330"/>
      <c r="CW138" s="330"/>
      <c r="CX138" s="330"/>
      <c r="CY138" s="330"/>
      <c r="CZ138" s="330"/>
      <c r="DA138" s="330"/>
      <c r="DB138" s="330"/>
      <c r="DC138" s="330"/>
      <c r="DD138" s="330"/>
      <c r="DE138" s="328"/>
      <c r="DF138" s="328"/>
      <c r="DG138" s="328"/>
      <c r="DH138" s="328"/>
      <c r="DI138" s="328"/>
      <c r="DJ138" s="328"/>
      <c r="DK138" s="328"/>
      <c r="DL138" s="328"/>
      <c r="DM138" s="328"/>
      <c r="DN138" s="328"/>
      <c r="DO138" s="328"/>
      <c r="DP138" s="328"/>
      <c r="DQ138" s="328"/>
      <c r="DR138" s="328"/>
      <c r="DS138" s="328"/>
      <c r="DT138" s="328"/>
      <c r="DU138" s="328"/>
      <c r="DV138" s="328"/>
      <c r="DW138" s="328"/>
      <c r="DX138" s="328"/>
      <c r="DY138" s="328"/>
      <c r="DZ138" s="328"/>
      <c r="EA138" s="328"/>
      <c r="EB138" s="328"/>
      <c r="EC138" s="328"/>
      <c r="ED138" s="328"/>
      <c r="EE138" s="328"/>
      <c r="EF138" s="328"/>
      <c r="EG138" s="326">
        <v>2</v>
      </c>
      <c r="EH138" s="206" t="s">
        <v>84</v>
      </c>
      <c r="EI138" s="330">
        <f>SUM(EI121:EI124)</f>
        <v>0</v>
      </c>
      <c r="EJ138" s="330">
        <f>SUM(EJ121:EJ124)</f>
        <v>0</v>
      </c>
      <c r="EK138" s="330">
        <f t="shared" ref="EK138:FB138" si="181">SUM(EK121:EK124)</f>
        <v>0</v>
      </c>
      <c r="EL138" s="330">
        <f t="shared" si="181"/>
        <v>0</v>
      </c>
      <c r="EM138" s="330">
        <f t="shared" si="181"/>
        <v>0</v>
      </c>
      <c r="EN138" s="330">
        <f t="shared" si="181"/>
        <v>0</v>
      </c>
      <c r="EO138" s="330">
        <f t="shared" si="181"/>
        <v>0</v>
      </c>
      <c r="EP138" s="330">
        <f t="shared" si="181"/>
        <v>0</v>
      </c>
      <c r="EQ138" s="330">
        <f t="shared" si="181"/>
        <v>0</v>
      </c>
      <c r="ER138" s="330">
        <f t="shared" si="181"/>
        <v>0</v>
      </c>
      <c r="ES138" s="330">
        <f t="shared" si="181"/>
        <v>0</v>
      </c>
      <c r="ET138" s="330">
        <f t="shared" si="181"/>
        <v>0</v>
      </c>
      <c r="EU138" s="330">
        <f t="shared" si="181"/>
        <v>0</v>
      </c>
      <c r="EV138" s="330">
        <f t="shared" si="181"/>
        <v>0</v>
      </c>
      <c r="EW138" s="330">
        <f t="shared" si="181"/>
        <v>0</v>
      </c>
      <c r="EX138" s="330">
        <f t="shared" si="181"/>
        <v>0</v>
      </c>
      <c r="EY138" s="330">
        <f t="shared" si="181"/>
        <v>0</v>
      </c>
      <c r="EZ138" s="330">
        <f t="shared" si="181"/>
        <v>0</v>
      </c>
      <c r="FA138" s="330">
        <f t="shared" si="181"/>
        <v>0</v>
      </c>
      <c r="FB138" s="330">
        <f t="shared" si="181"/>
        <v>0</v>
      </c>
      <c r="FC138" s="330"/>
      <c r="FD138" s="330"/>
      <c r="FE138" s="330"/>
      <c r="FF138" s="330"/>
      <c r="FG138" s="330"/>
      <c r="FH138" s="330"/>
      <c r="FI138" s="330"/>
      <c r="FJ138" s="330"/>
      <c r="FK138" s="330"/>
      <c r="FL138" s="330"/>
      <c r="FM138" s="330"/>
      <c r="FN138" s="330"/>
      <c r="FO138" s="330"/>
      <c r="FP138" s="330"/>
      <c r="FQ138" s="330"/>
      <c r="FR138" s="330"/>
      <c r="FS138" s="330"/>
      <c r="FT138" s="330"/>
      <c r="FU138" s="330"/>
      <c r="FV138" s="330"/>
      <c r="FW138" s="330"/>
      <c r="FX138" s="206"/>
      <c r="FY138" s="206"/>
      <c r="FZ138" s="206"/>
      <c r="GA138" s="206"/>
      <c r="GB138" s="206"/>
      <c r="GC138" s="206"/>
      <c r="GD138" s="206"/>
      <c r="GE138" s="206"/>
      <c r="GF138" s="206"/>
      <c r="GG138" s="206"/>
      <c r="GH138" s="206"/>
      <c r="GI138" s="206"/>
      <c r="GJ138" s="206"/>
      <c r="GK138" s="206"/>
      <c r="GL138" s="206"/>
      <c r="GM138" s="206"/>
      <c r="GN138" s="206"/>
      <c r="GO138" s="206"/>
      <c r="GP138" s="206"/>
      <c r="GQ138" s="206"/>
      <c r="GR138" s="206"/>
      <c r="GS138" s="206"/>
    </row>
    <row r="139" spans="1:201" ht="15" customHeight="1">
      <c r="A139" s="628" t="s">
        <v>94</v>
      </c>
      <c r="B139" s="629"/>
      <c r="C139" s="323">
        <f>C137-C138</f>
        <v>0</v>
      </c>
      <c r="D139" s="323">
        <f t="shared" ref="D139:I139" si="182">D137-D138</f>
        <v>0</v>
      </c>
      <c r="E139" s="323">
        <f t="shared" si="182"/>
        <v>0</v>
      </c>
      <c r="F139" s="323">
        <f t="shared" si="182"/>
        <v>0</v>
      </c>
      <c r="G139" s="323">
        <f t="shared" si="182"/>
        <v>0</v>
      </c>
      <c r="H139" s="323">
        <f t="shared" si="182"/>
        <v>0</v>
      </c>
      <c r="I139" s="323">
        <f t="shared" si="182"/>
        <v>0</v>
      </c>
      <c r="J139" s="323" t="s">
        <v>113</v>
      </c>
      <c r="K139" s="323">
        <f t="shared" ref="K139:V139" si="183">K137-K138</f>
        <v>0</v>
      </c>
      <c r="L139" s="323">
        <f t="shared" si="183"/>
        <v>0</v>
      </c>
      <c r="M139" s="323">
        <f t="shared" si="183"/>
        <v>0</v>
      </c>
      <c r="N139" s="323">
        <f t="shared" si="183"/>
        <v>0</v>
      </c>
      <c r="O139" s="323">
        <f t="shared" si="183"/>
        <v>0</v>
      </c>
      <c r="P139" s="323">
        <f t="shared" si="183"/>
        <v>0</v>
      </c>
      <c r="Q139" s="323">
        <f t="shared" si="183"/>
        <v>0</v>
      </c>
      <c r="R139" s="323">
        <f t="shared" si="183"/>
        <v>0</v>
      </c>
      <c r="S139" s="323">
        <f t="shared" si="183"/>
        <v>0</v>
      </c>
      <c r="T139" s="323">
        <f t="shared" si="183"/>
        <v>0</v>
      </c>
      <c r="U139" s="323">
        <f t="shared" si="183"/>
        <v>0</v>
      </c>
      <c r="V139" s="324">
        <f t="shared" si="183"/>
        <v>0</v>
      </c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3"/>
      <c r="AH139" s="323"/>
      <c r="AI139" s="323"/>
      <c r="AJ139" s="323"/>
      <c r="AK139" s="323"/>
      <c r="AL139" s="323"/>
      <c r="AM139" s="323"/>
      <c r="AN139" s="323"/>
      <c r="AO139" s="323"/>
      <c r="AP139" s="323"/>
      <c r="AQ139" s="206"/>
      <c r="AR139" s="206"/>
      <c r="AS139" s="206"/>
      <c r="AT139" s="206"/>
      <c r="AU139" s="206"/>
      <c r="AV139" s="206"/>
      <c r="AW139" s="206"/>
      <c r="AX139" s="206"/>
      <c r="AY139" s="206"/>
      <c r="AZ139" s="206"/>
      <c r="BA139" s="206"/>
      <c r="BB139" s="206"/>
      <c r="BC139" s="206"/>
      <c r="BD139" s="206"/>
      <c r="BE139" s="206"/>
      <c r="BF139" s="206"/>
      <c r="BG139" s="206"/>
      <c r="BH139" s="206"/>
      <c r="BI139" s="206"/>
      <c r="BJ139" s="206"/>
      <c r="BK139" s="206"/>
      <c r="BL139" s="206"/>
      <c r="BM139" s="206"/>
      <c r="BN139" s="206"/>
      <c r="BO139" s="206"/>
      <c r="BP139" s="206"/>
      <c r="BQ139" s="206"/>
      <c r="BR139" s="206"/>
      <c r="BS139" s="206"/>
      <c r="BT139" s="206"/>
      <c r="BU139" s="206"/>
      <c r="BV139" s="206"/>
      <c r="BW139" s="206"/>
      <c r="BX139" s="206"/>
      <c r="BY139" s="206"/>
      <c r="BZ139" s="206"/>
      <c r="CA139" s="206"/>
      <c r="CB139" s="206"/>
      <c r="CC139" s="206"/>
      <c r="CD139" s="206"/>
      <c r="CE139" s="206"/>
      <c r="CF139" s="206"/>
      <c r="CG139" s="206"/>
      <c r="CH139" s="206"/>
      <c r="CI139" s="206"/>
      <c r="CJ139" s="206"/>
      <c r="CK139" s="206"/>
      <c r="CL139" s="206"/>
      <c r="CM139" s="206"/>
      <c r="CN139" s="206"/>
      <c r="CO139" s="206"/>
      <c r="CP139" s="206"/>
      <c r="CQ139" s="206"/>
      <c r="CR139" s="206"/>
      <c r="CS139" s="206"/>
      <c r="CT139" s="206"/>
      <c r="CU139" s="206"/>
      <c r="CV139" s="206"/>
      <c r="CW139" s="206"/>
      <c r="CX139" s="206"/>
      <c r="CY139" s="206"/>
      <c r="CZ139" s="206"/>
      <c r="DA139" s="206"/>
      <c r="DB139" s="206"/>
      <c r="DC139" s="206"/>
      <c r="DD139" s="206"/>
      <c r="DE139" s="328"/>
      <c r="DF139" s="328"/>
      <c r="DG139" s="328"/>
      <c r="DH139" s="328"/>
      <c r="DI139" s="328"/>
      <c r="DJ139" s="328"/>
      <c r="DK139" s="328"/>
      <c r="DL139" s="328"/>
      <c r="DM139" s="328"/>
      <c r="DN139" s="328"/>
      <c r="DO139" s="328"/>
      <c r="DP139" s="328"/>
      <c r="DQ139" s="328"/>
      <c r="DR139" s="328"/>
      <c r="DS139" s="328"/>
      <c r="DT139" s="328"/>
      <c r="DU139" s="328"/>
      <c r="DV139" s="328"/>
      <c r="DW139" s="328"/>
      <c r="DX139" s="328"/>
      <c r="DY139" s="328"/>
      <c r="DZ139" s="328"/>
      <c r="EA139" s="328"/>
      <c r="EB139" s="328"/>
      <c r="EC139" s="328"/>
      <c r="ED139" s="328"/>
      <c r="EE139" s="328"/>
      <c r="EF139" s="328"/>
      <c r="EG139" s="326">
        <v>3</v>
      </c>
      <c r="EH139" s="206" t="s">
        <v>84</v>
      </c>
      <c r="EI139" s="330">
        <f>SUM(EI125:EI128)</f>
        <v>0</v>
      </c>
      <c r="EJ139" s="330">
        <f t="shared" ref="EJ139:EP139" si="184">SUM(EJ125:EJ129)</f>
        <v>0</v>
      </c>
      <c r="EK139" s="330">
        <f t="shared" si="184"/>
        <v>0</v>
      </c>
      <c r="EL139" s="330">
        <f t="shared" si="184"/>
        <v>0</v>
      </c>
      <c r="EM139" s="330">
        <f t="shared" si="184"/>
        <v>0</v>
      </c>
      <c r="EN139" s="330">
        <f t="shared" si="184"/>
        <v>0</v>
      </c>
      <c r="EO139" s="330">
        <f t="shared" si="184"/>
        <v>0</v>
      </c>
      <c r="EP139" s="330">
        <f t="shared" si="184"/>
        <v>0</v>
      </c>
      <c r="EQ139" s="330">
        <f>SUM(EQ125:EQ128)</f>
        <v>0</v>
      </c>
      <c r="ER139" s="330">
        <f>SUM(ER125:ER128)</f>
        <v>0</v>
      </c>
      <c r="ES139" s="330">
        <f t="shared" ref="ES139:FB139" si="185">SUM(ES125:ES128)</f>
        <v>0</v>
      </c>
      <c r="ET139" s="330">
        <f t="shared" si="185"/>
        <v>0</v>
      </c>
      <c r="EU139" s="330">
        <f t="shared" si="185"/>
        <v>0</v>
      </c>
      <c r="EV139" s="330">
        <f t="shared" si="185"/>
        <v>0</v>
      </c>
      <c r="EW139" s="330">
        <f t="shared" si="185"/>
        <v>0</v>
      </c>
      <c r="EX139" s="330">
        <f t="shared" si="185"/>
        <v>0</v>
      </c>
      <c r="EY139" s="330">
        <f t="shared" si="185"/>
        <v>0</v>
      </c>
      <c r="EZ139" s="330">
        <f t="shared" si="185"/>
        <v>0</v>
      </c>
      <c r="FA139" s="330">
        <f t="shared" si="185"/>
        <v>0</v>
      </c>
      <c r="FB139" s="330">
        <f t="shared" si="185"/>
        <v>0</v>
      </c>
      <c r="FC139" s="330"/>
      <c r="FD139" s="330"/>
      <c r="FE139" s="330"/>
      <c r="FF139" s="330"/>
      <c r="FG139" s="330"/>
      <c r="FH139" s="330"/>
      <c r="FI139" s="330"/>
      <c r="FJ139" s="330"/>
      <c r="FK139" s="330"/>
      <c r="FL139" s="330"/>
      <c r="FM139" s="330"/>
      <c r="FN139" s="330"/>
      <c r="FO139" s="330"/>
      <c r="FP139" s="330"/>
      <c r="FQ139" s="330"/>
      <c r="FR139" s="330"/>
      <c r="FS139" s="330"/>
      <c r="FT139" s="330"/>
      <c r="FU139" s="330"/>
      <c r="FV139" s="330"/>
      <c r="FW139" s="330"/>
      <c r="FX139" s="206"/>
      <c r="FY139" s="206"/>
      <c r="FZ139" s="206"/>
      <c r="GA139" s="206"/>
      <c r="GB139" s="206"/>
      <c r="GC139" s="206"/>
      <c r="GD139" s="206"/>
      <c r="GE139" s="206"/>
      <c r="GF139" s="206"/>
      <c r="GG139" s="206"/>
      <c r="GH139" s="206"/>
      <c r="GI139" s="206"/>
      <c r="GJ139" s="206"/>
      <c r="GK139" s="206"/>
      <c r="GL139" s="206"/>
      <c r="GM139" s="206"/>
      <c r="GN139" s="206"/>
      <c r="GO139" s="206"/>
      <c r="GP139" s="206"/>
      <c r="GQ139" s="206"/>
      <c r="GR139" s="206"/>
      <c r="GS139" s="206"/>
    </row>
    <row r="140" spans="1:201" ht="15" customHeight="1">
      <c r="A140" s="629"/>
      <c r="B140" s="629"/>
      <c r="C140" s="323"/>
      <c r="D140" s="323"/>
      <c r="E140" s="323"/>
      <c r="F140" s="323"/>
      <c r="G140" s="323"/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3"/>
      <c r="AH140" s="323"/>
      <c r="AI140" s="323"/>
      <c r="AJ140" s="323"/>
      <c r="AK140" s="323"/>
      <c r="AL140" s="323"/>
      <c r="AM140" s="323"/>
      <c r="AN140" s="323"/>
      <c r="AO140" s="323"/>
      <c r="AP140" s="323"/>
      <c r="AQ140" s="206"/>
      <c r="AR140" s="206"/>
      <c r="AS140" s="206"/>
      <c r="AT140" s="206"/>
      <c r="AU140" s="206"/>
      <c r="AV140" s="206"/>
      <c r="AW140" s="206"/>
      <c r="AX140" s="206"/>
      <c r="AY140" s="206"/>
      <c r="AZ140" s="206"/>
      <c r="BA140" s="206"/>
      <c r="BB140" s="206"/>
      <c r="BC140" s="206"/>
      <c r="BD140" s="206"/>
      <c r="BE140" s="206"/>
      <c r="BF140" s="206"/>
      <c r="BG140" s="206"/>
      <c r="BH140" s="206"/>
      <c r="BI140" s="206"/>
      <c r="BJ140" s="206"/>
      <c r="BK140" s="206"/>
      <c r="BL140" s="206"/>
      <c r="BM140" s="206"/>
      <c r="BN140" s="206"/>
      <c r="BO140" s="206"/>
      <c r="BP140" s="206"/>
      <c r="BQ140" s="206"/>
      <c r="BR140" s="206"/>
      <c r="BS140" s="206"/>
      <c r="BT140" s="206"/>
      <c r="BU140" s="206"/>
      <c r="BV140" s="206"/>
      <c r="BW140" s="206"/>
      <c r="BX140" s="206"/>
      <c r="BY140" s="206"/>
      <c r="BZ140" s="206"/>
      <c r="CA140" s="206"/>
      <c r="CB140" s="206"/>
      <c r="CC140" s="206"/>
      <c r="CD140" s="206"/>
      <c r="CE140" s="206"/>
      <c r="CF140" s="206"/>
      <c r="CG140" s="206"/>
      <c r="CH140" s="206"/>
      <c r="CI140" s="206"/>
      <c r="CJ140" s="206"/>
      <c r="CK140" s="206"/>
      <c r="CL140" s="206"/>
      <c r="CM140" s="206"/>
      <c r="CN140" s="206"/>
      <c r="CO140" s="206"/>
      <c r="CP140" s="206"/>
      <c r="CQ140" s="206"/>
      <c r="CR140" s="206"/>
      <c r="CS140" s="206"/>
      <c r="CT140" s="206"/>
      <c r="CU140" s="206"/>
      <c r="CV140" s="206"/>
      <c r="CW140" s="206"/>
      <c r="CX140" s="206"/>
      <c r="CY140" s="206"/>
      <c r="CZ140" s="206"/>
      <c r="DA140" s="206"/>
      <c r="DB140" s="206"/>
      <c r="DC140" s="206"/>
      <c r="DD140" s="206"/>
      <c r="DE140" s="328"/>
      <c r="DF140" s="328"/>
      <c r="DG140" s="328"/>
      <c r="DH140" s="328"/>
      <c r="DI140" s="328"/>
      <c r="DJ140" s="328"/>
      <c r="DK140" s="328"/>
      <c r="DL140" s="328"/>
      <c r="DM140" s="328"/>
      <c r="DN140" s="328"/>
      <c r="DO140" s="328"/>
      <c r="DP140" s="328"/>
      <c r="DQ140" s="328"/>
      <c r="DR140" s="328"/>
      <c r="DS140" s="328"/>
      <c r="DT140" s="328"/>
      <c r="DU140" s="328"/>
      <c r="DV140" s="328"/>
      <c r="DW140" s="328"/>
      <c r="DX140" s="328"/>
      <c r="DY140" s="328"/>
      <c r="DZ140" s="328"/>
      <c r="EA140" s="328"/>
      <c r="EB140" s="328"/>
      <c r="EC140" s="328"/>
      <c r="ED140" s="328"/>
      <c r="EE140" s="328"/>
      <c r="EF140" s="328"/>
      <c r="EG140" s="326">
        <v>4</v>
      </c>
      <c r="EH140" s="206" t="s">
        <v>84</v>
      </c>
      <c r="EI140" s="330">
        <f>SUM(EI129:EI132)</f>
        <v>0</v>
      </c>
      <c r="EJ140" s="330">
        <f t="shared" ref="EJ140:FB140" si="186">SUM(EJ129:EJ132)</f>
        <v>0</v>
      </c>
      <c r="EK140" s="330">
        <f t="shared" si="186"/>
        <v>0</v>
      </c>
      <c r="EL140" s="330">
        <f t="shared" si="186"/>
        <v>0</v>
      </c>
      <c r="EM140" s="330">
        <f t="shared" si="186"/>
        <v>0</v>
      </c>
      <c r="EN140" s="330">
        <f t="shared" si="186"/>
        <v>0</v>
      </c>
      <c r="EO140" s="330">
        <f t="shared" si="186"/>
        <v>0</v>
      </c>
      <c r="EP140" s="330">
        <f t="shared" si="186"/>
        <v>0</v>
      </c>
      <c r="EQ140" s="330">
        <f t="shared" si="186"/>
        <v>0</v>
      </c>
      <c r="ER140" s="330">
        <f t="shared" si="186"/>
        <v>0</v>
      </c>
      <c r="ES140" s="330">
        <f t="shared" si="186"/>
        <v>0</v>
      </c>
      <c r="ET140" s="330">
        <f t="shared" si="186"/>
        <v>0</v>
      </c>
      <c r="EU140" s="330">
        <f t="shared" si="186"/>
        <v>0</v>
      </c>
      <c r="EV140" s="330">
        <f t="shared" si="186"/>
        <v>0</v>
      </c>
      <c r="EW140" s="330">
        <f t="shared" si="186"/>
        <v>0</v>
      </c>
      <c r="EX140" s="330">
        <f t="shared" si="186"/>
        <v>0</v>
      </c>
      <c r="EY140" s="330">
        <f t="shared" si="186"/>
        <v>0</v>
      </c>
      <c r="EZ140" s="330">
        <f t="shared" si="186"/>
        <v>0</v>
      </c>
      <c r="FA140" s="330">
        <f t="shared" si="186"/>
        <v>0</v>
      </c>
      <c r="FB140" s="330">
        <f t="shared" si="186"/>
        <v>0</v>
      </c>
      <c r="FC140" s="330"/>
      <c r="FD140" s="330"/>
      <c r="FE140" s="330"/>
      <c r="FF140" s="330"/>
      <c r="FG140" s="330"/>
      <c r="FH140" s="330"/>
      <c r="FI140" s="330"/>
      <c r="FJ140" s="330"/>
      <c r="FK140" s="330"/>
      <c r="FL140" s="330"/>
      <c r="FM140" s="330"/>
      <c r="FN140" s="330"/>
      <c r="FO140" s="330"/>
      <c r="FP140" s="330"/>
      <c r="FQ140" s="330"/>
      <c r="FR140" s="330"/>
      <c r="FS140" s="330"/>
      <c r="FT140" s="330"/>
      <c r="FU140" s="330"/>
      <c r="FV140" s="330"/>
      <c r="FW140" s="330"/>
      <c r="FX140" s="206"/>
      <c r="FY140" s="206"/>
      <c r="FZ140" s="206"/>
      <c r="GA140" s="206"/>
      <c r="GB140" s="206"/>
      <c r="GC140" s="206"/>
      <c r="GD140" s="206"/>
      <c r="GE140" s="206"/>
      <c r="GF140" s="206"/>
      <c r="GG140" s="206"/>
      <c r="GH140" s="206"/>
      <c r="GI140" s="206"/>
      <c r="GJ140" s="206"/>
      <c r="GK140" s="206"/>
      <c r="GL140" s="206"/>
      <c r="GM140" s="206"/>
      <c r="GN140" s="206"/>
      <c r="GO140" s="206"/>
      <c r="GP140" s="206"/>
      <c r="GQ140" s="206"/>
      <c r="GR140" s="206"/>
      <c r="GS140" s="206"/>
    </row>
    <row r="141" spans="1:201">
      <c r="A141" s="629"/>
      <c r="B141" s="629"/>
      <c r="C141" s="323"/>
      <c r="D141" s="323"/>
      <c r="E141" s="386"/>
      <c r="F141" s="386"/>
      <c r="G141" s="386"/>
      <c r="H141" s="386"/>
      <c r="I141" s="386"/>
      <c r="J141" s="386"/>
      <c r="K141" s="386"/>
      <c r="L141" s="386"/>
      <c r="M141" s="386"/>
      <c r="N141" s="386"/>
      <c r="O141" s="386"/>
      <c r="P141" s="386"/>
      <c r="Q141" s="386"/>
      <c r="R141" s="386"/>
      <c r="S141" s="386"/>
      <c r="T141" s="386"/>
      <c r="U141" s="386"/>
      <c r="V141" s="386"/>
      <c r="W141" s="386"/>
      <c r="X141" s="386"/>
      <c r="Y141" s="386"/>
      <c r="Z141" s="386"/>
      <c r="AA141" s="386"/>
      <c r="AB141" s="386"/>
      <c r="AC141" s="386"/>
      <c r="AD141" s="386"/>
      <c r="AE141" s="386"/>
      <c r="AF141" s="386"/>
      <c r="AG141" s="386"/>
      <c r="AH141" s="386"/>
      <c r="AI141" s="386"/>
      <c r="AJ141" s="386"/>
      <c r="AK141" s="386"/>
      <c r="AL141" s="386"/>
      <c r="AM141" s="386"/>
      <c r="AN141" s="386"/>
      <c r="AO141" s="386"/>
      <c r="AP141" s="386"/>
      <c r="AQ141" s="206"/>
      <c r="AR141" s="206"/>
      <c r="AS141" s="206"/>
      <c r="AT141" s="206"/>
      <c r="AU141" s="206"/>
      <c r="AV141" s="206"/>
      <c r="AW141" s="206"/>
      <c r="AX141" s="206"/>
      <c r="AY141" s="206"/>
      <c r="AZ141" s="206"/>
      <c r="BA141" s="206"/>
      <c r="BB141" s="206"/>
      <c r="BC141" s="206"/>
      <c r="BD141" s="206"/>
      <c r="BE141" s="206"/>
      <c r="BF141" s="206"/>
      <c r="BG141" s="206"/>
      <c r="BH141" s="206"/>
      <c r="BI141" s="206"/>
      <c r="BJ141" s="206"/>
      <c r="BK141" s="206"/>
      <c r="BL141" s="206"/>
      <c r="BM141" s="206"/>
      <c r="BN141" s="206"/>
      <c r="BO141" s="206"/>
      <c r="BP141" s="206"/>
      <c r="BQ141" s="206"/>
      <c r="BR141" s="206"/>
      <c r="BS141" s="206"/>
      <c r="BT141" s="206"/>
      <c r="BU141" s="206"/>
      <c r="BV141" s="206"/>
      <c r="BW141" s="206"/>
      <c r="BX141" s="206"/>
      <c r="BY141" s="206"/>
      <c r="BZ141" s="206"/>
      <c r="CA141" s="206"/>
      <c r="CB141" s="206"/>
      <c r="CC141" s="206"/>
      <c r="CD141" s="206"/>
      <c r="CE141" s="206"/>
      <c r="CF141" s="206"/>
      <c r="CG141" s="206"/>
      <c r="CH141" s="206"/>
      <c r="CI141" s="206"/>
      <c r="CJ141" s="206"/>
      <c r="CK141" s="206"/>
      <c r="CL141" s="206"/>
      <c r="CM141" s="206"/>
      <c r="CN141" s="206"/>
      <c r="CO141" s="206"/>
      <c r="CP141" s="206"/>
      <c r="CQ141" s="206"/>
      <c r="CR141" s="206"/>
      <c r="CS141" s="206"/>
      <c r="CT141" s="206"/>
      <c r="CU141" s="206"/>
      <c r="CV141" s="206"/>
      <c r="CW141" s="206"/>
      <c r="CX141" s="206"/>
      <c r="CY141" s="206"/>
      <c r="CZ141" s="206"/>
      <c r="DA141" s="206"/>
      <c r="DB141" s="206"/>
      <c r="DC141" s="206"/>
      <c r="DD141" s="206"/>
      <c r="DE141" s="206"/>
      <c r="DF141" s="206"/>
      <c r="DG141" s="206"/>
      <c r="DH141" s="206"/>
      <c r="DI141" s="206"/>
      <c r="DJ141" s="206"/>
      <c r="DK141" s="206"/>
      <c r="DL141" s="206"/>
      <c r="DM141" s="206"/>
      <c r="DN141" s="206"/>
      <c r="DO141" s="206"/>
      <c r="DP141" s="206"/>
      <c r="DQ141" s="206"/>
      <c r="DR141" s="206"/>
      <c r="DS141" s="206"/>
      <c r="DT141" s="206"/>
      <c r="DU141" s="206"/>
      <c r="DV141" s="206"/>
      <c r="DW141" s="206"/>
      <c r="DX141" s="206"/>
      <c r="DY141" s="206"/>
      <c r="DZ141" s="206"/>
      <c r="EA141" s="206"/>
      <c r="EB141" s="206"/>
      <c r="EC141" s="206"/>
      <c r="ED141" s="206"/>
      <c r="EE141" s="206"/>
      <c r="EF141" s="206"/>
      <c r="EG141" s="629" t="s">
        <v>91</v>
      </c>
      <c r="EH141" s="629"/>
      <c r="EI141" s="629"/>
      <c r="EJ141" s="629"/>
      <c r="EK141" s="629"/>
      <c r="EL141" s="629"/>
      <c r="EM141" s="629"/>
      <c r="EN141" s="629"/>
      <c r="EO141" s="629"/>
      <c r="EP141" s="629"/>
      <c r="EQ141" s="629"/>
      <c r="ER141" s="629"/>
      <c r="ES141" s="629"/>
      <c r="ET141" s="629"/>
      <c r="EU141" s="629"/>
      <c r="EV141" s="629"/>
      <c r="EW141" s="629"/>
      <c r="EX141" s="629"/>
      <c r="EY141" s="629"/>
      <c r="EZ141" s="629"/>
      <c r="FA141" s="629"/>
      <c r="FB141" s="629"/>
      <c r="FC141" s="322"/>
      <c r="FD141" s="322"/>
      <c r="FE141" s="322"/>
      <c r="FF141" s="322"/>
      <c r="FG141" s="322"/>
      <c r="FH141" s="322"/>
      <c r="FI141" s="322"/>
      <c r="FJ141" s="322"/>
      <c r="FK141" s="322"/>
      <c r="FL141" s="322"/>
      <c r="FM141" s="322"/>
      <c r="FN141" s="322"/>
      <c r="FO141" s="322"/>
      <c r="FP141" s="322"/>
      <c r="FQ141" s="322"/>
      <c r="FR141" s="322"/>
      <c r="FS141" s="322"/>
      <c r="FT141" s="322"/>
      <c r="FU141" s="322"/>
      <c r="FV141" s="322"/>
      <c r="FW141" s="322"/>
      <c r="FX141" s="206"/>
      <c r="FY141" s="206" t="s">
        <v>109</v>
      </c>
      <c r="FZ141" s="206"/>
      <c r="GA141" s="206"/>
      <c r="GB141" s="206"/>
      <c r="GC141" s="206"/>
      <c r="GD141" s="206"/>
      <c r="GE141" s="206"/>
      <c r="GF141" s="206"/>
      <c r="GG141" s="206"/>
      <c r="GH141" s="206"/>
      <c r="GI141" s="206"/>
      <c r="GJ141" s="206"/>
      <c r="GK141" s="206"/>
      <c r="GL141" s="206"/>
      <c r="GM141" s="206"/>
      <c r="GN141" s="206"/>
      <c r="GO141" s="206"/>
      <c r="GP141" s="206"/>
      <c r="GQ141" s="206"/>
      <c r="GR141" s="206"/>
      <c r="GS141" s="206"/>
    </row>
    <row r="142" spans="1:201">
      <c r="A142" s="629"/>
      <c r="B142" s="629"/>
      <c r="C142" s="323"/>
      <c r="D142" s="323"/>
      <c r="E142" s="323"/>
      <c r="F142" s="323"/>
      <c r="G142" s="323"/>
      <c r="H142" s="323"/>
      <c r="I142" s="323"/>
      <c r="J142" s="323"/>
      <c r="K142" s="323"/>
      <c r="L142" s="323"/>
      <c r="M142" s="323"/>
      <c r="N142" s="323"/>
      <c r="O142" s="323"/>
      <c r="P142" s="323"/>
      <c r="Q142" s="323"/>
      <c r="R142" s="323"/>
      <c r="S142" s="323"/>
      <c r="T142" s="323"/>
      <c r="U142" s="323"/>
      <c r="V142" s="323"/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3"/>
      <c r="AH142" s="323"/>
      <c r="AI142" s="323"/>
      <c r="AJ142" s="323"/>
      <c r="AK142" s="323"/>
      <c r="AL142" s="323"/>
      <c r="AM142" s="323"/>
      <c r="AN142" s="323"/>
      <c r="AO142" s="323"/>
      <c r="AP142" s="323"/>
      <c r="AQ142" s="206"/>
      <c r="AR142" s="206"/>
      <c r="AS142" s="206"/>
      <c r="AT142" s="206"/>
      <c r="AU142" s="206"/>
      <c r="AV142" s="206"/>
      <c r="AW142" s="206"/>
      <c r="AX142" s="206"/>
      <c r="AY142" s="206"/>
      <c r="AZ142" s="206"/>
      <c r="BA142" s="206"/>
      <c r="BB142" s="206"/>
      <c r="BC142" s="206"/>
      <c r="BD142" s="206"/>
      <c r="BE142" s="206"/>
      <c r="BF142" s="206"/>
      <c r="BG142" s="206"/>
      <c r="BH142" s="206"/>
      <c r="BI142" s="206"/>
      <c r="BJ142" s="206"/>
      <c r="BK142" s="206"/>
      <c r="BL142" s="206"/>
      <c r="BM142" s="206"/>
      <c r="BN142" s="206"/>
      <c r="BO142" s="206"/>
      <c r="BP142" s="206"/>
      <c r="BQ142" s="206"/>
      <c r="BR142" s="206"/>
      <c r="BS142" s="206"/>
      <c r="BT142" s="206"/>
      <c r="BU142" s="206"/>
      <c r="BV142" s="206"/>
      <c r="BW142" s="206"/>
      <c r="BX142" s="206"/>
      <c r="BY142" s="206"/>
      <c r="BZ142" s="206"/>
      <c r="CA142" s="206"/>
      <c r="CB142" s="206"/>
      <c r="CC142" s="206"/>
      <c r="CD142" s="206"/>
      <c r="CE142" s="206"/>
      <c r="CF142" s="206"/>
      <c r="CG142" s="206"/>
      <c r="CH142" s="206"/>
      <c r="CI142" s="206"/>
      <c r="CJ142" s="206"/>
      <c r="CK142" s="206"/>
      <c r="CL142" s="206"/>
      <c r="CM142" s="206"/>
      <c r="CN142" s="206"/>
      <c r="CO142" s="206"/>
      <c r="CP142" s="206"/>
      <c r="CQ142" s="206"/>
      <c r="CR142" s="206"/>
      <c r="CS142" s="206"/>
      <c r="CT142" s="206"/>
      <c r="CU142" s="206"/>
      <c r="CV142" s="206"/>
      <c r="CW142" s="206"/>
      <c r="CX142" s="206"/>
      <c r="CY142" s="206"/>
      <c r="CZ142" s="206"/>
      <c r="DA142" s="206"/>
      <c r="DB142" s="206"/>
      <c r="DC142" s="206"/>
      <c r="DD142" s="206"/>
      <c r="DE142" s="206"/>
      <c r="DF142" s="206"/>
      <c r="DG142" s="206"/>
      <c r="DH142" s="206"/>
      <c r="DI142" s="206"/>
      <c r="DJ142" s="206"/>
      <c r="DK142" s="206"/>
      <c r="DL142" s="206"/>
      <c r="DM142" s="206"/>
      <c r="DN142" s="206"/>
      <c r="DO142" s="206"/>
      <c r="DP142" s="206"/>
      <c r="DQ142" s="206"/>
      <c r="DR142" s="206"/>
      <c r="DS142" s="206"/>
      <c r="DT142" s="206"/>
      <c r="DU142" s="206"/>
      <c r="DV142" s="206"/>
      <c r="DW142" s="206"/>
      <c r="DX142" s="206"/>
      <c r="DY142" s="206"/>
      <c r="DZ142" s="206"/>
      <c r="EA142" s="206"/>
      <c r="EB142" s="206"/>
      <c r="EC142" s="206"/>
      <c r="ED142" s="206"/>
      <c r="EE142" s="206"/>
      <c r="EF142" s="206"/>
      <c r="EG142" s="326">
        <v>1</v>
      </c>
      <c r="EH142" s="206" t="s">
        <v>84</v>
      </c>
      <c r="EI142" s="330" cm="1">
        <f t="array" ref="EI142:FB145">EI137:FB140</f>
        <v>0</v>
      </c>
      <c r="EJ142" s="330">
        <v>0</v>
      </c>
      <c r="EK142" s="330">
        <v>0</v>
      </c>
      <c r="EL142" s="330">
        <v>0</v>
      </c>
      <c r="EM142" s="330">
        <v>0</v>
      </c>
      <c r="EN142" s="330">
        <v>0</v>
      </c>
      <c r="EO142" s="330">
        <v>0</v>
      </c>
      <c r="EP142" s="330">
        <v>0</v>
      </c>
      <c r="EQ142" s="330">
        <v>0</v>
      </c>
      <c r="ER142" s="330">
        <v>0</v>
      </c>
      <c r="ES142" s="330">
        <v>0</v>
      </c>
      <c r="ET142" s="330">
        <v>0</v>
      </c>
      <c r="EU142" s="330">
        <v>0</v>
      </c>
      <c r="EV142" s="330">
        <v>0</v>
      </c>
      <c r="EW142" s="330">
        <v>0</v>
      </c>
      <c r="EX142" s="330">
        <v>0</v>
      </c>
      <c r="EY142" s="330">
        <v>0</v>
      </c>
      <c r="EZ142" s="330">
        <v>0</v>
      </c>
      <c r="FA142" s="330">
        <v>0</v>
      </c>
      <c r="FB142" s="330">
        <v>0</v>
      </c>
      <c r="FC142" s="330"/>
      <c r="FD142" s="330"/>
      <c r="FE142" s="330"/>
      <c r="FF142" s="330"/>
      <c r="FG142" s="330"/>
      <c r="FH142" s="330"/>
      <c r="FI142" s="330"/>
      <c r="FJ142" s="330"/>
      <c r="FK142" s="330"/>
      <c r="FL142" s="330"/>
      <c r="FM142" s="330"/>
      <c r="FN142" s="330"/>
      <c r="FO142" s="330"/>
      <c r="FP142" s="330"/>
      <c r="FQ142" s="330"/>
      <c r="FR142" s="330"/>
      <c r="FS142" s="330"/>
      <c r="FT142" s="330"/>
      <c r="FU142" s="330"/>
      <c r="FV142" s="330"/>
      <c r="FW142" s="330"/>
      <c r="FX142" s="206"/>
      <c r="FY142" s="330">
        <f>SUM(EI137:FB137)</f>
        <v>0</v>
      </c>
      <c r="FZ142" s="206"/>
      <c r="GA142" s="206"/>
      <c r="GB142" s="206"/>
      <c r="GC142" s="206"/>
      <c r="GD142" s="206"/>
      <c r="GE142" s="206"/>
      <c r="GF142" s="206"/>
      <c r="GG142" s="206"/>
      <c r="GH142" s="206"/>
      <c r="GI142" s="206"/>
      <c r="GJ142" s="206"/>
      <c r="GK142" s="206"/>
      <c r="GL142" s="206"/>
      <c r="GM142" s="206"/>
      <c r="GN142" s="206"/>
      <c r="GO142" s="206"/>
      <c r="GP142" s="206"/>
      <c r="GQ142" s="206"/>
      <c r="GR142" s="206"/>
      <c r="GS142" s="206"/>
    </row>
    <row r="143" spans="1:201">
      <c r="A143" s="206"/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6"/>
      <c r="AE143" s="206"/>
      <c r="AF143" s="206"/>
      <c r="AG143" s="206"/>
      <c r="AH143" s="206"/>
      <c r="AI143" s="206"/>
      <c r="AJ143" s="206"/>
      <c r="AK143" s="206"/>
      <c r="AL143" s="206"/>
      <c r="AM143" s="206"/>
      <c r="AN143" s="206"/>
      <c r="AO143" s="206"/>
      <c r="AP143" s="206"/>
      <c r="AQ143" s="206"/>
      <c r="AR143" s="206"/>
      <c r="AS143" s="206"/>
      <c r="AT143" s="206"/>
      <c r="AU143" s="206"/>
      <c r="AV143" s="206"/>
      <c r="AW143" s="206"/>
      <c r="AX143" s="206"/>
      <c r="AY143" s="206"/>
      <c r="AZ143" s="206"/>
      <c r="BA143" s="206"/>
      <c r="BB143" s="206"/>
      <c r="BC143" s="206"/>
      <c r="BD143" s="206"/>
      <c r="BE143" s="206"/>
      <c r="BF143" s="206"/>
      <c r="BG143" s="206"/>
      <c r="BH143" s="206"/>
      <c r="BI143" s="206"/>
      <c r="BJ143" s="206"/>
      <c r="BK143" s="206"/>
      <c r="BL143" s="206"/>
      <c r="BM143" s="206"/>
      <c r="BN143" s="206"/>
      <c r="BO143" s="206"/>
      <c r="BP143" s="206"/>
      <c r="BQ143" s="206"/>
      <c r="BR143" s="206"/>
      <c r="BS143" s="206"/>
      <c r="BT143" s="206"/>
      <c r="BU143" s="206"/>
      <c r="BV143" s="206"/>
      <c r="BW143" s="206"/>
      <c r="BX143" s="206"/>
      <c r="BY143" s="206"/>
      <c r="BZ143" s="206"/>
      <c r="CA143" s="206"/>
      <c r="CB143" s="206"/>
      <c r="CC143" s="206"/>
      <c r="CD143" s="206"/>
      <c r="CE143" s="206"/>
      <c r="CF143" s="206"/>
      <c r="CG143" s="206"/>
      <c r="CH143" s="206"/>
      <c r="CI143" s="206"/>
      <c r="CJ143" s="206"/>
      <c r="CK143" s="206"/>
      <c r="CL143" s="206"/>
      <c r="CM143" s="206"/>
      <c r="CN143" s="206"/>
      <c r="CO143" s="206"/>
      <c r="CP143" s="206"/>
      <c r="CQ143" s="206"/>
      <c r="CR143" s="206"/>
      <c r="CS143" s="206"/>
      <c r="CT143" s="206"/>
      <c r="CU143" s="206"/>
      <c r="CV143" s="206"/>
      <c r="CW143" s="206"/>
      <c r="CX143" s="206"/>
      <c r="CY143" s="206"/>
      <c r="CZ143" s="206"/>
      <c r="DA143" s="206"/>
      <c r="DB143" s="206"/>
      <c r="DC143" s="206"/>
      <c r="DD143" s="206"/>
      <c r="DE143" s="206"/>
      <c r="DF143" s="206"/>
      <c r="DG143" s="206"/>
      <c r="DH143" s="206"/>
      <c r="DI143" s="206"/>
      <c r="DJ143" s="206"/>
      <c r="DK143" s="206"/>
      <c r="DL143" s="206"/>
      <c r="DM143" s="206"/>
      <c r="DN143" s="206"/>
      <c r="DO143" s="206"/>
      <c r="DP143" s="206"/>
      <c r="DQ143" s="206"/>
      <c r="DR143" s="206"/>
      <c r="DS143" s="206"/>
      <c r="DT143" s="206"/>
      <c r="DU143" s="206"/>
      <c r="DV143" s="206"/>
      <c r="DW143" s="206"/>
      <c r="DX143" s="206"/>
      <c r="DY143" s="206"/>
      <c r="DZ143" s="206"/>
      <c r="EA143" s="206"/>
      <c r="EB143" s="206"/>
      <c r="EC143" s="206"/>
      <c r="ED143" s="206"/>
      <c r="EE143" s="206"/>
      <c r="EF143" s="206"/>
      <c r="EG143" s="326">
        <v>2</v>
      </c>
      <c r="EH143" s="206" t="s">
        <v>84</v>
      </c>
      <c r="EI143" s="330">
        <v>0</v>
      </c>
      <c r="EJ143" s="330">
        <v>0</v>
      </c>
      <c r="EK143" s="330">
        <v>0</v>
      </c>
      <c r="EL143" s="330">
        <v>0</v>
      </c>
      <c r="EM143" s="330">
        <v>0</v>
      </c>
      <c r="EN143" s="330">
        <v>0</v>
      </c>
      <c r="EO143" s="330">
        <v>0</v>
      </c>
      <c r="EP143" s="330">
        <v>0</v>
      </c>
      <c r="EQ143" s="330">
        <v>0</v>
      </c>
      <c r="ER143" s="330">
        <v>0</v>
      </c>
      <c r="ES143" s="330">
        <v>0</v>
      </c>
      <c r="ET143" s="330">
        <v>0</v>
      </c>
      <c r="EU143" s="330">
        <v>0</v>
      </c>
      <c r="EV143" s="330">
        <v>0</v>
      </c>
      <c r="EW143" s="330">
        <v>0</v>
      </c>
      <c r="EX143" s="330">
        <v>0</v>
      </c>
      <c r="EY143" s="330">
        <v>0</v>
      </c>
      <c r="EZ143" s="330">
        <v>0</v>
      </c>
      <c r="FA143" s="330">
        <v>0</v>
      </c>
      <c r="FB143" s="330">
        <v>0</v>
      </c>
      <c r="FC143" s="330"/>
      <c r="FD143" s="330"/>
      <c r="FE143" s="330"/>
      <c r="FF143" s="330"/>
      <c r="FG143" s="330"/>
      <c r="FH143" s="330"/>
      <c r="FI143" s="330"/>
      <c r="FJ143" s="330"/>
      <c r="FK143" s="330"/>
      <c r="FL143" s="330"/>
      <c r="FM143" s="330"/>
      <c r="FN143" s="330"/>
      <c r="FO143" s="330"/>
      <c r="FP143" s="330"/>
      <c r="FQ143" s="330"/>
      <c r="FR143" s="330"/>
      <c r="FS143" s="330"/>
      <c r="FT143" s="330"/>
      <c r="FU143" s="330"/>
      <c r="FV143" s="330"/>
      <c r="FW143" s="330"/>
      <c r="FX143" s="206"/>
      <c r="FY143" s="330">
        <f>SUM(EI138:FB138)</f>
        <v>0</v>
      </c>
      <c r="FZ143" s="206"/>
      <c r="GA143" s="206"/>
      <c r="GB143" s="206"/>
      <c r="GC143" s="206"/>
      <c r="GD143" s="206"/>
      <c r="GE143" s="206"/>
      <c r="GF143" s="206"/>
      <c r="GG143" s="206"/>
      <c r="GH143" s="206"/>
      <c r="GI143" s="206"/>
      <c r="GJ143" s="206"/>
      <c r="GK143" s="206"/>
      <c r="GL143" s="206"/>
      <c r="GM143" s="206"/>
      <c r="GN143" s="206"/>
      <c r="GO143" s="206"/>
      <c r="GP143" s="206"/>
      <c r="GQ143" s="206"/>
      <c r="GR143" s="206"/>
      <c r="GS143" s="206"/>
    </row>
    <row r="144" spans="1:201">
      <c r="A144" s="206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6"/>
      <c r="AE144" s="206"/>
      <c r="AF144" s="206"/>
      <c r="AG144" s="206"/>
      <c r="AH144" s="206"/>
      <c r="AI144" s="206"/>
      <c r="AJ144" s="206"/>
      <c r="AK144" s="206"/>
      <c r="AL144" s="206"/>
      <c r="AM144" s="206"/>
      <c r="AN144" s="206"/>
      <c r="AO144" s="206"/>
      <c r="AP144" s="206"/>
      <c r="AQ144" s="206"/>
      <c r="AR144" s="206"/>
      <c r="AS144" s="206"/>
      <c r="AT144" s="206"/>
      <c r="AU144" s="206"/>
      <c r="AV144" s="206"/>
      <c r="AW144" s="206"/>
      <c r="AX144" s="206"/>
      <c r="AY144" s="206"/>
      <c r="AZ144" s="206"/>
      <c r="BA144" s="206"/>
      <c r="BB144" s="206"/>
      <c r="BC144" s="206"/>
      <c r="BD144" s="206"/>
      <c r="BE144" s="206"/>
      <c r="BF144" s="206"/>
      <c r="BG144" s="206"/>
      <c r="BH144" s="206"/>
      <c r="BI144" s="206"/>
      <c r="BJ144" s="206"/>
      <c r="BK144" s="206"/>
      <c r="BL144" s="206"/>
      <c r="BM144" s="206"/>
      <c r="BN144" s="206"/>
      <c r="BO144" s="206"/>
      <c r="BP144" s="206"/>
      <c r="BQ144" s="206"/>
      <c r="BR144" s="206"/>
      <c r="BS144" s="206"/>
      <c r="BT144" s="206"/>
      <c r="BU144" s="206"/>
      <c r="BV144" s="206"/>
      <c r="BW144" s="206"/>
      <c r="BX144" s="206"/>
      <c r="BY144" s="206"/>
      <c r="BZ144" s="206"/>
      <c r="CA144" s="206"/>
      <c r="CB144" s="206"/>
      <c r="CC144" s="206"/>
      <c r="CD144" s="206"/>
      <c r="CE144" s="206"/>
      <c r="CF144" s="206"/>
      <c r="CG144" s="206"/>
      <c r="CH144" s="206"/>
      <c r="CI144" s="206"/>
      <c r="CJ144" s="206"/>
      <c r="CK144" s="206"/>
      <c r="CL144" s="206"/>
      <c r="CM144" s="206"/>
      <c r="CN144" s="206"/>
      <c r="CO144" s="206"/>
      <c r="CP144" s="206"/>
      <c r="CQ144" s="206"/>
      <c r="CR144" s="206"/>
      <c r="CS144" s="206"/>
      <c r="CT144" s="206"/>
      <c r="CU144" s="206"/>
      <c r="CV144" s="206"/>
      <c r="CW144" s="206"/>
      <c r="CX144" s="206"/>
      <c r="CY144" s="206"/>
      <c r="CZ144" s="206"/>
      <c r="DA144" s="206"/>
      <c r="DB144" s="206"/>
      <c r="DC144" s="206"/>
      <c r="DD144" s="206"/>
      <c r="DE144" s="206"/>
      <c r="DF144" s="206"/>
      <c r="DG144" s="206"/>
      <c r="DH144" s="206"/>
      <c r="DI144" s="206"/>
      <c r="DJ144" s="206"/>
      <c r="DK144" s="206"/>
      <c r="DL144" s="206"/>
      <c r="DM144" s="206"/>
      <c r="DN144" s="206"/>
      <c r="DO144" s="206"/>
      <c r="DP144" s="206"/>
      <c r="DQ144" s="206"/>
      <c r="DR144" s="206"/>
      <c r="DS144" s="206"/>
      <c r="DT144" s="206"/>
      <c r="DU144" s="206"/>
      <c r="DV144" s="206"/>
      <c r="DW144" s="206"/>
      <c r="DX144" s="206"/>
      <c r="DY144" s="206"/>
      <c r="DZ144" s="206"/>
      <c r="EA144" s="206"/>
      <c r="EB144" s="206"/>
      <c r="EC144" s="206"/>
      <c r="ED144" s="206"/>
      <c r="EE144" s="206"/>
      <c r="EF144" s="206"/>
      <c r="EG144" s="326">
        <v>3</v>
      </c>
      <c r="EH144" s="206" t="s">
        <v>84</v>
      </c>
      <c r="EI144" s="330">
        <v>0</v>
      </c>
      <c r="EJ144" s="330">
        <v>0</v>
      </c>
      <c r="EK144" s="330">
        <v>0</v>
      </c>
      <c r="EL144" s="330">
        <v>0</v>
      </c>
      <c r="EM144" s="330">
        <v>0</v>
      </c>
      <c r="EN144" s="330">
        <v>0</v>
      </c>
      <c r="EO144" s="330">
        <v>0</v>
      </c>
      <c r="EP144" s="330">
        <v>0</v>
      </c>
      <c r="EQ144" s="330">
        <v>0</v>
      </c>
      <c r="ER144" s="330">
        <v>0</v>
      </c>
      <c r="ES144" s="330">
        <v>0</v>
      </c>
      <c r="ET144" s="330">
        <v>0</v>
      </c>
      <c r="EU144" s="330">
        <v>0</v>
      </c>
      <c r="EV144" s="330">
        <v>0</v>
      </c>
      <c r="EW144" s="330">
        <v>0</v>
      </c>
      <c r="EX144" s="330">
        <v>0</v>
      </c>
      <c r="EY144" s="330">
        <v>0</v>
      </c>
      <c r="EZ144" s="330">
        <v>0</v>
      </c>
      <c r="FA144" s="330">
        <v>0</v>
      </c>
      <c r="FB144" s="330">
        <v>0</v>
      </c>
      <c r="FC144" s="330"/>
      <c r="FD144" s="330"/>
      <c r="FE144" s="330"/>
      <c r="FF144" s="330"/>
      <c r="FG144" s="330"/>
      <c r="FH144" s="330"/>
      <c r="FI144" s="330"/>
      <c r="FJ144" s="330"/>
      <c r="FK144" s="330"/>
      <c r="FL144" s="330"/>
      <c r="FM144" s="330"/>
      <c r="FN144" s="330"/>
      <c r="FO144" s="330"/>
      <c r="FP144" s="330"/>
      <c r="FQ144" s="330"/>
      <c r="FR144" s="330"/>
      <c r="FS144" s="330"/>
      <c r="FT144" s="330"/>
      <c r="FU144" s="330"/>
      <c r="FV144" s="330"/>
      <c r="FW144" s="330"/>
      <c r="FX144" s="206"/>
      <c r="FY144" s="330">
        <f>SUM(EI139:FB139)</f>
        <v>0</v>
      </c>
      <c r="FZ144" s="206"/>
      <c r="GA144" s="206"/>
      <c r="GB144" s="206"/>
      <c r="GC144" s="206"/>
      <c r="GD144" s="206"/>
      <c r="GE144" s="206"/>
      <c r="GF144" s="206"/>
      <c r="GG144" s="206"/>
      <c r="GH144" s="206"/>
      <c r="GI144" s="206"/>
      <c r="GJ144" s="206"/>
      <c r="GK144" s="206"/>
      <c r="GL144" s="206"/>
      <c r="GM144" s="206"/>
      <c r="GN144" s="206"/>
      <c r="GO144" s="206"/>
      <c r="GP144" s="206"/>
      <c r="GQ144" s="206"/>
      <c r="GR144" s="206"/>
      <c r="GS144" s="206"/>
    </row>
    <row r="145" spans="1:201">
      <c r="A145" s="206"/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6"/>
      <c r="AE145" s="206"/>
      <c r="AF145" s="206"/>
      <c r="AG145" s="206"/>
      <c r="AH145" s="206"/>
      <c r="AI145" s="206"/>
      <c r="AJ145" s="206"/>
      <c r="AK145" s="206"/>
      <c r="AL145" s="206"/>
      <c r="AM145" s="206"/>
      <c r="AN145" s="206"/>
      <c r="AO145" s="206"/>
      <c r="AP145" s="206"/>
      <c r="AQ145" s="206"/>
      <c r="AR145" s="206"/>
      <c r="AS145" s="206"/>
      <c r="AT145" s="206"/>
      <c r="AU145" s="206"/>
      <c r="AV145" s="206"/>
      <c r="AW145" s="206"/>
      <c r="AX145" s="206"/>
      <c r="AY145" s="206"/>
      <c r="AZ145" s="206"/>
      <c r="BA145" s="206"/>
      <c r="BB145" s="206"/>
      <c r="BC145" s="206"/>
      <c r="BD145" s="206"/>
      <c r="BE145" s="206"/>
      <c r="BF145" s="206"/>
      <c r="BG145" s="206"/>
      <c r="BH145" s="206"/>
      <c r="BI145" s="206"/>
      <c r="BJ145" s="206"/>
      <c r="BK145" s="206"/>
      <c r="BL145" s="206"/>
      <c r="BM145" s="206"/>
      <c r="BN145" s="206"/>
      <c r="BO145" s="206"/>
      <c r="BP145" s="206"/>
      <c r="BQ145" s="206"/>
      <c r="BR145" s="206"/>
      <c r="BS145" s="206"/>
      <c r="BT145" s="206"/>
      <c r="BU145" s="206"/>
      <c r="BV145" s="206"/>
      <c r="BW145" s="206"/>
      <c r="BX145" s="206"/>
      <c r="BY145" s="206"/>
      <c r="BZ145" s="206"/>
      <c r="CA145" s="206"/>
      <c r="CB145" s="206"/>
      <c r="CC145" s="206"/>
      <c r="CD145" s="206"/>
      <c r="CE145" s="206"/>
      <c r="CF145" s="206"/>
      <c r="CG145" s="206"/>
      <c r="CH145" s="206"/>
      <c r="CI145" s="206"/>
      <c r="CJ145" s="206"/>
      <c r="CK145" s="206"/>
      <c r="CL145" s="206"/>
      <c r="CM145" s="206"/>
      <c r="CN145" s="206"/>
      <c r="CO145" s="206"/>
      <c r="CP145" s="206"/>
      <c r="CQ145" s="206"/>
      <c r="CR145" s="206"/>
      <c r="CS145" s="206"/>
      <c r="CT145" s="206"/>
      <c r="CU145" s="206"/>
      <c r="CV145" s="206"/>
      <c r="CW145" s="206"/>
      <c r="CX145" s="206"/>
      <c r="CY145" s="206"/>
      <c r="CZ145" s="206"/>
      <c r="DA145" s="206"/>
      <c r="DB145" s="206"/>
      <c r="DC145" s="206"/>
      <c r="DD145" s="206"/>
      <c r="DE145" s="206"/>
      <c r="DF145" s="206"/>
      <c r="DG145" s="206"/>
      <c r="DH145" s="206"/>
      <c r="DI145" s="206"/>
      <c r="DJ145" s="206"/>
      <c r="DK145" s="206"/>
      <c r="DL145" s="206"/>
      <c r="DM145" s="206"/>
      <c r="DN145" s="206"/>
      <c r="DO145" s="206"/>
      <c r="DP145" s="206"/>
      <c r="DQ145" s="206"/>
      <c r="DR145" s="206"/>
      <c r="DS145" s="206"/>
      <c r="DT145" s="206"/>
      <c r="DU145" s="206"/>
      <c r="DV145" s="206"/>
      <c r="DW145" s="206"/>
      <c r="DX145" s="206"/>
      <c r="DY145" s="206"/>
      <c r="DZ145" s="206"/>
      <c r="EA145" s="206"/>
      <c r="EB145" s="206"/>
      <c r="EC145" s="206"/>
      <c r="ED145" s="206"/>
      <c r="EE145" s="206"/>
      <c r="EF145" s="206"/>
      <c r="EG145" s="326">
        <v>4</v>
      </c>
      <c r="EH145" s="206" t="s">
        <v>84</v>
      </c>
      <c r="EI145" s="330">
        <v>0</v>
      </c>
      <c r="EJ145" s="330">
        <v>0</v>
      </c>
      <c r="EK145" s="330">
        <v>0</v>
      </c>
      <c r="EL145" s="330">
        <v>0</v>
      </c>
      <c r="EM145" s="330">
        <v>0</v>
      </c>
      <c r="EN145" s="330">
        <v>0</v>
      </c>
      <c r="EO145" s="330">
        <v>0</v>
      </c>
      <c r="EP145" s="330">
        <v>0</v>
      </c>
      <c r="EQ145" s="330">
        <v>0</v>
      </c>
      <c r="ER145" s="330">
        <v>0</v>
      </c>
      <c r="ES145" s="330">
        <v>0</v>
      </c>
      <c r="ET145" s="330">
        <v>0</v>
      </c>
      <c r="EU145" s="330">
        <v>0</v>
      </c>
      <c r="EV145" s="330">
        <v>0</v>
      </c>
      <c r="EW145" s="330">
        <v>0</v>
      </c>
      <c r="EX145" s="330">
        <v>0</v>
      </c>
      <c r="EY145" s="330">
        <v>0</v>
      </c>
      <c r="EZ145" s="330">
        <v>0</v>
      </c>
      <c r="FA145" s="330">
        <v>0</v>
      </c>
      <c r="FB145" s="330">
        <v>0</v>
      </c>
      <c r="FC145" s="330"/>
      <c r="FD145" s="330"/>
      <c r="FE145" s="330"/>
      <c r="FF145" s="330"/>
      <c r="FG145" s="330"/>
      <c r="FH145" s="330"/>
      <c r="FI145" s="330"/>
      <c r="FJ145" s="330"/>
      <c r="FK145" s="330"/>
      <c r="FL145" s="330"/>
      <c r="FM145" s="330"/>
      <c r="FN145" s="330"/>
      <c r="FO145" s="330"/>
      <c r="FP145" s="330"/>
      <c r="FQ145" s="330"/>
      <c r="FR145" s="330"/>
      <c r="FS145" s="330"/>
      <c r="FT145" s="330"/>
      <c r="FU145" s="330"/>
      <c r="FV145" s="330"/>
      <c r="FW145" s="330"/>
      <c r="FX145" s="206"/>
      <c r="FY145" s="330">
        <f>SUM(EI140:FB140)</f>
        <v>0</v>
      </c>
      <c r="FZ145" s="206"/>
      <c r="GA145" s="206"/>
      <c r="GB145" s="206"/>
      <c r="GC145" s="206"/>
      <c r="GD145" s="206"/>
      <c r="GE145" s="206"/>
      <c r="GF145" s="206"/>
      <c r="GG145" s="206"/>
      <c r="GH145" s="206"/>
      <c r="GI145" s="206"/>
      <c r="GJ145" s="206"/>
      <c r="GK145" s="206"/>
      <c r="GL145" s="206"/>
      <c r="GM145" s="206"/>
      <c r="GN145" s="206"/>
      <c r="GO145" s="206"/>
      <c r="GP145" s="206"/>
      <c r="GQ145" s="206"/>
      <c r="GR145" s="206"/>
      <c r="GS145" s="206"/>
    </row>
    <row r="146" spans="1:201">
      <c r="A146" s="206"/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6"/>
      <c r="AE146" s="206"/>
      <c r="AF146" s="206"/>
      <c r="AG146" s="206"/>
      <c r="AH146" s="206"/>
      <c r="AI146" s="206"/>
      <c r="AJ146" s="206"/>
      <c r="AK146" s="206"/>
      <c r="AL146" s="206"/>
      <c r="AM146" s="206"/>
      <c r="AN146" s="206"/>
      <c r="AO146" s="206"/>
      <c r="AP146" s="206"/>
      <c r="AQ146" s="206"/>
      <c r="AR146" s="206"/>
      <c r="AS146" s="206"/>
      <c r="AT146" s="206"/>
      <c r="AU146" s="206"/>
      <c r="AV146" s="206"/>
      <c r="AW146" s="206"/>
      <c r="AX146" s="206"/>
      <c r="AY146" s="206"/>
      <c r="AZ146" s="206"/>
      <c r="BA146" s="206"/>
      <c r="BB146" s="206"/>
      <c r="BC146" s="206"/>
      <c r="BD146" s="206"/>
      <c r="BE146" s="206"/>
      <c r="BF146" s="206"/>
      <c r="BG146" s="206"/>
      <c r="BH146" s="206"/>
      <c r="BI146" s="206"/>
      <c r="BJ146" s="206"/>
      <c r="BK146" s="206"/>
      <c r="BL146" s="206"/>
      <c r="BM146" s="206"/>
      <c r="BN146" s="206"/>
      <c r="BO146" s="206"/>
      <c r="BP146" s="206"/>
      <c r="BQ146" s="206"/>
      <c r="BR146" s="206"/>
      <c r="BS146" s="206"/>
      <c r="BT146" s="206"/>
      <c r="BU146" s="206"/>
      <c r="BV146" s="206"/>
      <c r="BW146" s="206"/>
      <c r="BX146" s="206"/>
      <c r="BY146" s="206"/>
      <c r="BZ146" s="206"/>
      <c r="CA146" s="206"/>
      <c r="CB146" s="206"/>
      <c r="CC146" s="206"/>
      <c r="CD146" s="206"/>
      <c r="CE146" s="206"/>
      <c r="CF146" s="206"/>
      <c r="CG146" s="206"/>
      <c r="CH146" s="206"/>
      <c r="CI146" s="206"/>
      <c r="CJ146" s="206"/>
      <c r="CK146" s="206"/>
      <c r="CL146" s="206"/>
      <c r="CM146" s="206"/>
      <c r="CN146" s="206"/>
      <c r="CO146" s="206"/>
      <c r="CP146" s="206"/>
      <c r="CQ146" s="206"/>
      <c r="CR146" s="206"/>
      <c r="CS146" s="206"/>
      <c r="CT146" s="206"/>
      <c r="CU146" s="206"/>
      <c r="CV146" s="206"/>
      <c r="CW146" s="206"/>
      <c r="CX146" s="206"/>
      <c r="CY146" s="206"/>
      <c r="CZ146" s="206"/>
      <c r="DA146" s="206"/>
      <c r="DB146" s="206"/>
      <c r="DC146" s="206"/>
      <c r="DD146" s="206"/>
      <c r="DE146" s="206"/>
      <c r="DF146" s="206"/>
      <c r="DG146" s="206"/>
      <c r="DH146" s="206"/>
      <c r="DI146" s="206"/>
      <c r="DJ146" s="206"/>
      <c r="DK146" s="206"/>
      <c r="DL146" s="206"/>
      <c r="DM146" s="206"/>
      <c r="DN146" s="206"/>
      <c r="DO146" s="206"/>
      <c r="DP146" s="206"/>
      <c r="DQ146" s="206"/>
      <c r="DR146" s="206"/>
      <c r="DS146" s="206"/>
      <c r="DT146" s="206"/>
      <c r="DU146" s="206"/>
      <c r="DV146" s="206"/>
      <c r="DW146" s="206"/>
      <c r="DX146" s="206"/>
      <c r="DY146" s="206"/>
      <c r="DZ146" s="206"/>
      <c r="EA146" s="206"/>
      <c r="EB146" s="206"/>
      <c r="EC146" s="206"/>
      <c r="ED146" s="206"/>
      <c r="EE146" s="206"/>
      <c r="EF146" s="206"/>
      <c r="EG146" s="206"/>
      <c r="EH146" s="206"/>
      <c r="EI146" s="206"/>
      <c r="EJ146" s="206"/>
      <c r="EK146" s="206"/>
      <c r="EL146" s="206"/>
      <c r="EM146" s="206"/>
      <c r="EN146" s="206"/>
      <c r="EO146" s="206"/>
      <c r="EP146" s="206"/>
      <c r="EQ146" s="206"/>
      <c r="ER146" s="206"/>
      <c r="ES146" s="206"/>
      <c r="ET146" s="206"/>
      <c r="EU146" s="206"/>
      <c r="EV146" s="206"/>
      <c r="EW146" s="206"/>
      <c r="EX146" s="206"/>
      <c r="EY146" s="206"/>
      <c r="EZ146" s="206"/>
      <c r="FA146" s="206"/>
      <c r="FB146" s="206"/>
      <c r="FC146" s="206"/>
      <c r="FD146" s="206"/>
      <c r="FE146" s="206"/>
      <c r="FF146" s="206"/>
      <c r="FG146" s="206"/>
      <c r="FH146" s="206"/>
      <c r="FI146" s="206"/>
      <c r="FJ146" s="206"/>
      <c r="FK146" s="206"/>
      <c r="FL146" s="206"/>
      <c r="FM146" s="206"/>
      <c r="FN146" s="206"/>
      <c r="FO146" s="206"/>
      <c r="FP146" s="206"/>
      <c r="FQ146" s="206"/>
      <c r="FR146" s="206"/>
      <c r="FS146" s="206"/>
      <c r="FT146" s="206"/>
      <c r="FU146" s="206"/>
      <c r="FV146" s="206"/>
      <c r="FW146" s="206"/>
      <c r="FX146" s="206"/>
      <c r="FY146" s="206"/>
      <c r="FZ146" s="206"/>
      <c r="GA146" s="206"/>
      <c r="GB146" s="206"/>
      <c r="GC146" s="206"/>
      <c r="GD146" s="206"/>
      <c r="GE146" s="206"/>
      <c r="GF146" s="206"/>
      <c r="GG146" s="206"/>
      <c r="GH146" s="206"/>
      <c r="GI146" s="206"/>
      <c r="GJ146" s="206"/>
      <c r="GK146" s="206"/>
      <c r="GL146" s="206"/>
      <c r="GM146" s="206"/>
      <c r="GN146" s="206"/>
      <c r="GO146" s="206"/>
      <c r="GP146" s="206"/>
      <c r="GQ146" s="206"/>
      <c r="GR146" s="206"/>
      <c r="GS146" s="206"/>
    </row>
    <row r="147" spans="1:201">
      <c r="A147" s="206"/>
      <c r="B147" s="206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06"/>
      <c r="AJ147" s="206"/>
      <c r="AK147" s="206"/>
      <c r="AL147" s="206"/>
      <c r="AM147" s="206"/>
      <c r="AN147" s="206"/>
      <c r="AO147" s="206"/>
      <c r="AP147" s="206"/>
      <c r="AQ147" s="206"/>
      <c r="AR147" s="206"/>
      <c r="AS147" s="206"/>
      <c r="AT147" s="206"/>
      <c r="AU147" s="206"/>
      <c r="AV147" s="206"/>
      <c r="AW147" s="206"/>
      <c r="AX147" s="206"/>
      <c r="AY147" s="206"/>
      <c r="AZ147" s="206"/>
      <c r="BA147" s="206"/>
      <c r="BB147" s="206"/>
      <c r="BC147" s="206"/>
      <c r="BD147" s="206"/>
      <c r="BE147" s="206"/>
      <c r="BF147" s="206"/>
      <c r="BG147" s="206"/>
      <c r="BH147" s="206"/>
      <c r="BI147" s="206"/>
      <c r="BJ147" s="206"/>
      <c r="BK147" s="206"/>
      <c r="BL147" s="206"/>
      <c r="BM147" s="206"/>
      <c r="BN147" s="206"/>
      <c r="BO147" s="206"/>
      <c r="BP147" s="206"/>
      <c r="BQ147" s="206"/>
      <c r="BR147" s="206"/>
      <c r="BS147" s="206"/>
      <c r="BT147" s="206"/>
      <c r="BU147" s="206"/>
      <c r="BV147" s="206"/>
      <c r="BW147" s="206"/>
      <c r="BX147" s="206"/>
      <c r="BY147" s="206"/>
      <c r="BZ147" s="206"/>
      <c r="CA147" s="206"/>
      <c r="CB147" s="206"/>
      <c r="CC147" s="206"/>
      <c r="CD147" s="206"/>
      <c r="CE147" s="206"/>
      <c r="CF147" s="206"/>
      <c r="CG147" s="206"/>
      <c r="CH147" s="206"/>
      <c r="CI147" s="206"/>
      <c r="CJ147" s="206"/>
      <c r="CK147" s="206"/>
      <c r="CL147" s="206"/>
      <c r="CM147" s="206"/>
      <c r="CN147" s="206"/>
      <c r="CO147" s="206"/>
      <c r="CP147" s="206"/>
      <c r="CQ147" s="206"/>
      <c r="CR147" s="206"/>
      <c r="CS147" s="206"/>
      <c r="CT147" s="206"/>
      <c r="CU147" s="206"/>
      <c r="CV147" s="206"/>
      <c r="CW147" s="206"/>
      <c r="CX147" s="206"/>
      <c r="CY147" s="206"/>
      <c r="CZ147" s="206"/>
      <c r="DA147" s="206"/>
      <c r="DB147" s="206"/>
      <c r="DC147" s="206"/>
      <c r="DD147" s="206"/>
      <c r="DE147" s="206"/>
      <c r="DF147" s="206"/>
      <c r="DG147" s="206"/>
      <c r="DH147" s="206"/>
      <c r="DI147" s="206"/>
      <c r="DJ147" s="206"/>
      <c r="DK147" s="206"/>
      <c r="DL147" s="206"/>
      <c r="DM147" s="206"/>
      <c r="DN147" s="206"/>
      <c r="DO147" s="206"/>
      <c r="DP147" s="206"/>
      <c r="DQ147" s="206"/>
      <c r="DR147" s="206"/>
      <c r="DS147" s="206"/>
      <c r="DT147" s="206"/>
      <c r="DU147" s="206"/>
      <c r="DV147" s="206"/>
      <c r="DW147" s="206"/>
      <c r="DX147" s="206"/>
      <c r="DY147" s="206"/>
      <c r="DZ147" s="206"/>
      <c r="EA147" s="206"/>
      <c r="EB147" s="206"/>
      <c r="EC147" s="206"/>
      <c r="ED147" s="206"/>
      <c r="EE147" s="206"/>
      <c r="EF147" s="206"/>
      <c r="EG147" s="206"/>
      <c r="EH147" s="206"/>
      <c r="EI147" s="206"/>
      <c r="EJ147" s="206"/>
      <c r="EK147" s="206"/>
      <c r="EL147" s="206"/>
      <c r="EM147" s="206"/>
      <c r="EN147" s="206"/>
      <c r="EO147" s="206"/>
      <c r="EP147" s="206"/>
      <c r="EQ147" s="206"/>
      <c r="ER147" s="206"/>
      <c r="ES147" s="206"/>
      <c r="ET147" s="206"/>
      <c r="EU147" s="206"/>
      <c r="EV147" s="206"/>
      <c r="EW147" s="206"/>
      <c r="EX147" s="206"/>
      <c r="EY147" s="330"/>
      <c r="EZ147" s="206"/>
      <c r="FA147" s="206"/>
      <c r="FB147" s="206"/>
      <c r="FC147" s="206"/>
      <c r="FD147" s="206"/>
      <c r="FE147" s="206"/>
      <c r="FF147" s="206"/>
      <c r="FG147" s="206"/>
      <c r="FH147" s="206"/>
      <c r="FI147" s="206"/>
      <c r="FJ147" s="206"/>
      <c r="FK147" s="206"/>
      <c r="FL147" s="206"/>
      <c r="FM147" s="206"/>
      <c r="FN147" s="206"/>
      <c r="FO147" s="206"/>
      <c r="FP147" s="206"/>
      <c r="FQ147" s="206"/>
      <c r="FR147" s="206"/>
      <c r="FS147" s="206"/>
      <c r="FT147" s="206"/>
      <c r="FU147" s="206"/>
      <c r="FV147" s="206"/>
      <c r="FW147" s="206"/>
      <c r="FX147" s="206"/>
      <c r="FY147" s="206"/>
      <c r="FZ147" s="206"/>
      <c r="GA147" s="206"/>
      <c r="GB147" s="206"/>
      <c r="GC147" s="206"/>
      <c r="GD147" s="206"/>
      <c r="GE147" s="206"/>
      <c r="GF147" s="206"/>
      <c r="GG147" s="206"/>
      <c r="GH147" s="206"/>
      <c r="GI147" s="206"/>
      <c r="GJ147" s="206"/>
      <c r="GK147" s="206"/>
      <c r="GL147" s="206"/>
      <c r="GM147" s="206"/>
      <c r="GN147" s="206"/>
      <c r="GO147" s="206"/>
      <c r="GP147" s="206"/>
      <c r="GQ147" s="206"/>
      <c r="GR147" s="206"/>
      <c r="GS147" s="206"/>
    </row>
    <row r="148" spans="1:201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06"/>
      <c r="AK148" s="206"/>
      <c r="AL148" s="206"/>
      <c r="AM148" s="206"/>
      <c r="AN148" s="206"/>
      <c r="AO148" s="206"/>
      <c r="AP148" s="206"/>
      <c r="AQ148" s="206"/>
      <c r="AR148" s="206"/>
      <c r="AS148" s="206"/>
      <c r="AT148" s="206"/>
      <c r="AU148" s="206"/>
      <c r="AV148" s="206"/>
      <c r="AW148" s="206"/>
      <c r="AX148" s="206"/>
      <c r="AY148" s="206"/>
      <c r="AZ148" s="206"/>
      <c r="BA148" s="206"/>
      <c r="BB148" s="206"/>
      <c r="BC148" s="206"/>
      <c r="BD148" s="206"/>
      <c r="BE148" s="206"/>
      <c r="BF148" s="206"/>
      <c r="BG148" s="206"/>
      <c r="BH148" s="206"/>
      <c r="BI148" s="206"/>
      <c r="BJ148" s="206"/>
      <c r="BK148" s="206"/>
      <c r="BL148" s="206"/>
      <c r="BM148" s="206"/>
      <c r="BN148" s="206"/>
      <c r="BO148" s="206"/>
      <c r="BP148" s="206"/>
      <c r="BQ148" s="206"/>
      <c r="BR148" s="206"/>
      <c r="BS148" s="206"/>
      <c r="BT148" s="206"/>
      <c r="BU148" s="206"/>
      <c r="BV148" s="206"/>
      <c r="BW148" s="206"/>
      <c r="BX148" s="206"/>
      <c r="BY148" s="206"/>
      <c r="BZ148" s="206"/>
      <c r="CA148" s="206"/>
      <c r="CB148" s="206"/>
      <c r="CC148" s="206"/>
      <c r="CD148" s="206"/>
      <c r="CE148" s="206"/>
      <c r="CF148" s="206"/>
      <c r="CG148" s="206"/>
      <c r="CH148" s="206"/>
      <c r="CI148" s="206"/>
      <c r="CJ148" s="206"/>
      <c r="CK148" s="206"/>
      <c r="CL148" s="206"/>
      <c r="CM148" s="206"/>
      <c r="CN148" s="206"/>
      <c r="CO148" s="206"/>
      <c r="CP148" s="206"/>
      <c r="CQ148" s="206"/>
      <c r="CR148" s="206"/>
      <c r="CS148" s="206"/>
      <c r="CT148" s="206"/>
      <c r="CU148" s="206"/>
      <c r="CV148" s="206"/>
      <c r="CW148" s="206"/>
      <c r="CX148" s="206"/>
      <c r="CY148" s="206"/>
      <c r="CZ148" s="206"/>
      <c r="DA148" s="206"/>
      <c r="DB148" s="206"/>
      <c r="DC148" s="206"/>
      <c r="DD148" s="206"/>
      <c r="DE148" s="206"/>
      <c r="DF148" s="206"/>
      <c r="DG148" s="206"/>
      <c r="DH148" s="206"/>
      <c r="DI148" s="206"/>
      <c r="DJ148" s="206"/>
      <c r="DK148" s="206"/>
      <c r="DL148" s="206"/>
      <c r="DM148" s="206"/>
      <c r="DN148" s="206"/>
      <c r="DO148" s="206"/>
      <c r="DP148" s="206"/>
      <c r="DQ148" s="206"/>
      <c r="DR148" s="206"/>
      <c r="DS148" s="206"/>
      <c r="DT148" s="206"/>
      <c r="DU148" s="206"/>
      <c r="DV148" s="206"/>
      <c r="DW148" s="206"/>
      <c r="DX148" s="206"/>
      <c r="DY148" s="206"/>
      <c r="DZ148" s="206"/>
      <c r="EA148" s="206"/>
      <c r="EB148" s="206"/>
      <c r="EC148" s="206"/>
      <c r="ED148" s="206"/>
      <c r="EE148" s="206"/>
      <c r="EF148" s="206"/>
      <c r="EG148" s="206"/>
      <c r="EH148" s="206"/>
      <c r="EI148" s="206"/>
      <c r="EJ148" s="206"/>
      <c r="EK148" s="206"/>
      <c r="EL148" s="206"/>
      <c r="EM148" s="206"/>
      <c r="EN148" s="206"/>
      <c r="EO148" s="206"/>
      <c r="EP148" s="206"/>
      <c r="EQ148" s="206"/>
      <c r="ER148" s="206"/>
      <c r="ES148" s="206"/>
      <c r="ET148" s="206"/>
      <c r="EU148" s="206"/>
      <c r="EV148" s="206"/>
      <c r="EW148" s="206"/>
      <c r="EX148" s="206"/>
      <c r="EY148" s="206"/>
      <c r="EZ148" s="206"/>
      <c r="FA148" s="206"/>
      <c r="FB148" s="206"/>
      <c r="FC148" s="206"/>
      <c r="FD148" s="206"/>
      <c r="FE148" s="206"/>
      <c r="FF148" s="206"/>
      <c r="FG148" s="206"/>
      <c r="FH148" s="206"/>
      <c r="FI148" s="206"/>
      <c r="FJ148" s="206"/>
      <c r="FK148" s="206"/>
      <c r="FL148" s="206"/>
      <c r="FM148" s="206"/>
      <c r="FN148" s="206"/>
      <c r="FO148" s="206"/>
      <c r="FP148" s="206"/>
      <c r="FQ148" s="206"/>
      <c r="FR148" s="206"/>
      <c r="FS148" s="206"/>
      <c r="FT148" s="206"/>
      <c r="FU148" s="206"/>
      <c r="FV148" s="206"/>
      <c r="FW148" s="206"/>
      <c r="FX148" s="206"/>
      <c r="FY148" s="206"/>
      <c r="FZ148" s="206"/>
      <c r="GA148" s="206"/>
      <c r="GB148" s="206"/>
      <c r="GC148" s="206"/>
      <c r="GD148" s="206"/>
      <c r="GE148" s="206"/>
      <c r="GF148" s="206"/>
      <c r="GG148" s="206"/>
      <c r="GH148" s="206"/>
      <c r="GI148" s="206"/>
      <c r="GJ148" s="206"/>
      <c r="GK148" s="206"/>
      <c r="GL148" s="206"/>
      <c r="GM148" s="206"/>
      <c r="GN148" s="206"/>
      <c r="GO148" s="206"/>
      <c r="GP148" s="206"/>
      <c r="GQ148" s="206"/>
      <c r="GR148" s="206"/>
      <c r="GS148" s="206"/>
    </row>
    <row r="149" spans="1:201">
      <c r="A149" s="206"/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  <c r="AJ149" s="206"/>
      <c r="AK149" s="206"/>
      <c r="AL149" s="206"/>
      <c r="AM149" s="206"/>
      <c r="AN149" s="206"/>
      <c r="AO149" s="206"/>
      <c r="AP149" s="206"/>
      <c r="AQ149" s="206"/>
      <c r="AR149" s="206"/>
      <c r="AS149" s="206"/>
      <c r="AT149" s="206"/>
      <c r="AU149" s="206"/>
      <c r="AV149" s="206"/>
      <c r="AW149" s="206"/>
      <c r="AX149" s="206"/>
      <c r="AY149" s="206"/>
      <c r="AZ149" s="206"/>
      <c r="BA149" s="206"/>
      <c r="BB149" s="206"/>
      <c r="BC149" s="206"/>
      <c r="BD149" s="206"/>
      <c r="BE149" s="206"/>
      <c r="BF149" s="206"/>
      <c r="BG149" s="206"/>
      <c r="BH149" s="206"/>
      <c r="BI149" s="206"/>
      <c r="BJ149" s="206"/>
      <c r="BK149" s="206"/>
      <c r="BL149" s="206"/>
      <c r="BM149" s="206"/>
      <c r="BN149" s="206"/>
      <c r="BO149" s="206"/>
      <c r="BP149" s="206"/>
      <c r="BQ149" s="206"/>
      <c r="BR149" s="206"/>
      <c r="BS149" s="206"/>
      <c r="BT149" s="206"/>
      <c r="BU149" s="206"/>
      <c r="BV149" s="206"/>
      <c r="BW149" s="206"/>
      <c r="BX149" s="206"/>
      <c r="BY149" s="206"/>
      <c r="BZ149" s="206"/>
      <c r="CA149" s="206"/>
      <c r="CB149" s="206"/>
      <c r="CC149" s="206"/>
      <c r="CD149" s="206"/>
      <c r="CE149" s="206"/>
      <c r="CF149" s="206"/>
      <c r="CG149" s="206"/>
      <c r="CH149" s="206"/>
      <c r="CI149" s="206"/>
      <c r="CJ149" s="206"/>
      <c r="CK149" s="206"/>
      <c r="CL149" s="206"/>
      <c r="CM149" s="206"/>
      <c r="CN149" s="206"/>
      <c r="CO149" s="206"/>
      <c r="CP149" s="206"/>
      <c r="CQ149" s="206"/>
      <c r="CR149" s="206"/>
      <c r="CS149" s="206"/>
      <c r="CT149" s="206"/>
      <c r="CU149" s="206"/>
      <c r="CV149" s="206"/>
      <c r="CW149" s="206"/>
      <c r="CX149" s="206"/>
      <c r="CY149" s="206"/>
      <c r="CZ149" s="206"/>
      <c r="DA149" s="206"/>
      <c r="DB149" s="206"/>
      <c r="DC149" s="206"/>
      <c r="DD149" s="206"/>
      <c r="DE149" s="206"/>
      <c r="DF149" s="206"/>
      <c r="DG149" s="206"/>
      <c r="DH149" s="206"/>
      <c r="DI149" s="206"/>
      <c r="DJ149" s="206"/>
      <c r="DK149" s="206"/>
      <c r="DL149" s="206"/>
      <c r="DM149" s="206"/>
      <c r="DN149" s="206"/>
      <c r="DO149" s="206"/>
      <c r="DP149" s="206"/>
      <c r="DQ149" s="206"/>
      <c r="DR149" s="206"/>
      <c r="DS149" s="206"/>
      <c r="DT149" s="206"/>
      <c r="DU149" s="206"/>
      <c r="DV149" s="206"/>
      <c r="DW149" s="206"/>
      <c r="DX149" s="206"/>
      <c r="DY149" s="206"/>
      <c r="DZ149" s="206"/>
      <c r="EA149" s="206"/>
      <c r="EB149" s="206"/>
      <c r="EC149" s="206"/>
      <c r="ED149" s="206"/>
      <c r="EE149" s="206"/>
      <c r="EF149" s="206"/>
      <c r="EG149" s="206"/>
      <c r="EH149" s="206"/>
      <c r="EI149" s="206"/>
      <c r="EJ149" s="206"/>
      <c r="EK149" s="206"/>
      <c r="EL149" s="206"/>
      <c r="EM149" s="206"/>
      <c r="EN149" s="206"/>
      <c r="EO149" s="206"/>
      <c r="EP149" s="206"/>
      <c r="EQ149" s="206"/>
      <c r="ER149" s="206"/>
      <c r="ES149" s="206"/>
      <c r="ET149" s="206"/>
      <c r="EU149" s="206"/>
      <c r="EV149" s="206"/>
      <c r="EW149" s="206"/>
      <c r="EX149" s="206"/>
      <c r="EY149" s="206"/>
      <c r="EZ149" s="206"/>
      <c r="FA149" s="206"/>
      <c r="FB149" s="206"/>
      <c r="FC149" s="206"/>
      <c r="FD149" s="206"/>
      <c r="FE149" s="206"/>
      <c r="FF149" s="206"/>
      <c r="FG149" s="206"/>
      <c r="FH149" s="206"/>
      <c r="FI149" s="206"/>
      <c r="FJ149" s="206"/>
      <c r="FK149" s="206"/>
      <c r="FL149" s="206"/>
      <c r="FM149" s="206"/>
      <c r="FN149" s="206"/>
      <c r="FO149" s="206"/>
      <c r="FP149" s="206"/>
      <c r="FQ149" s="206"/>
      <c r="FR149" s="206"/>
      <c r="FS149" s="206"/>
      <c r="FT149" s="206"/>
      <c r="FU149" s="206"/>
      <c r="FV149" s="206"/>
      <c r="FW149" s="206"/>
      <c r="FX149" s="206"/>
      <c r="FY149" s="206"/>
      <c r="FZ149" s="206"/>
      <c r="GA149" s="206"/>
      <c r="GB149" s="206"/>
      <c r="GC149" s="206"/>
      <c r="GD149" s="206"/>
      <c r="GE149" s="206"/>
      <c r="GF149" s="206"/>
      <c r="GG149" s="206"/>
      <c r="GH149" s="206"/>
      <c r="GI149" s="206"/>
      <c r="GJ149" s="206"/>
      <c r="GK149" s="206"/>
      <c r="GL149" s="206"/>
      <c r="GM149" s="206"/>
      <c r="GN149" s="206"/>
      <c r="GO149" s="206"/>
      <c r="GP149" s="206"/>
      <c r="GQ149" s="206"/>
      <c r="GR149" s="206"/>
      <c r="GS149" s="206"/>
    </row>
    <row r="150" spans="1:201" ht="23.65" customHeight="1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06"/>
      <c r="AK150" s="206"/>
      <c r="AL150" s="206"/>
      <c r="AM150" s="206"/>
      <c r="AN150" s="206"/>
      <c r="AO150" s="206"/>
      <c r="AP150" s="206"/>
      <c r="AQ150" s="206" t="str" cm="1">
        <f t="array" ref="AQ150:BE150">TRANSPOSE((B4:B18))</f>
        <v>PLM-SUB</v>
      </c>
      <c r="AR150" s="206" t="str">
        <v>SUB-CGK</v>
      </c>
      <c r="AS150" s="206" t="str">
        <v>CGK-PKY</v>
      </c>
      <c r="AT150" s="206" t="str">
        <v>PKY-CGK</v>
      </c>
      <c r="AU150" s="206" t="str">
        <v>CGK-PLM</v>
      </c>
      <c r="AV150" s="206" t="str">
        <v>MDC-SRG</v>
      </c>
      <c r="AW150" s="206" t="str">
        <v>SRG-KDI</v>
      </c>
      <c r="AX150" s="206" t="str">
        <v>KDI-PNK</v>
      </c>
      <c r="AY150" s="206" t="str">
        <v>PNK-MDC</v>
      </c>
      <c r="AZ150" s="206" t="str">
        <v>TTE-KNO</v>
      </c>
      <c r="BA150" s="206" t="str">
        <v>KNO-PKU</v>
      </c>
      <c r="BB150" s="206" t="str">
        <v>PKU-BDO</v>
      </c>
      <c r="BC150" s="206" t="str">
        <v>BDO-TTE</v>
      </c>
      <c r="BD150" s="206" t="str">
        <v>LOP-TIM</v>
      </c>
      <c r="BE150" s="206" t="str">
        <v>TIM-AMQ</v>
      </c>
      <c r="BF150" s="206"/>
      <c r="BG150" s="206"/>
      <c r="BH150" s="206"/>
      <c r="BI150" s="206"/>
      <c r="BJ150" s="206"/>
      <c r="BK150" s="206"/>
      <c r="BL150" s="206"/>
      <c r="BM150" s="206"/>
      <c r="BN150" s="206"/>
      <c r="BO150" s="206"/>
      <c r="BP150" s="206"/>
      <c r="BQ150" s="206"/>
      <c r="BR150" s="206"/>
      <c r="BS150" s="206"/>
      <c r="BT150" s="206"/>
      <c r="BU150" s="206"/>
      <c r="BV150" s="206"/>
      <c r="BW150" s="206"/>
      <c r="BX150" s="206"/>
      <c r="BY150" s="206"/>
      <c r="BZ150" s="206"/>
      <c r="CA150" s="206"/>
      <c r="CB150" s="206"/>
      <c r="CC150" s="206"/>
      <c r="CD150" s="206"/>
      <c r="CE150" s="206"/>
      <c r="CF150" s="206"/>
      <c r="CG150" s="206"/>
      <c r="CH150" s="206"/>
      <c r="CI150" s="206"/>
      <c r="CJ150" s="206"/>
      <c r="CK150" s="206"/>
      <c r="CL150" s="206"/>
      <c r="CM150" s="206"/>
      <c r="CN150" s="206"/>
      <c r="CO150" s="206"/>
      <c r="CP150" s="206"/>
      <c r="CQ150" s="206"/>
      <c r="CR150" s="206"/>
      <c r="CS150" s="206"/>
      <c r="CT150" s="206"/>
      <c r="CU150" s="206"/>
      <c r="CV150" s="206"/>
      <c r="CW150" s="206"/>
      <c r="CX150" s="206"/>
      <c r="CY150" s="206"/>
      <c r="CZ150" s="206"/>
      <c r="DA150" s="206"/>
      <c r="DB150" s="206"/>
      <c r="DC150" s="206"/>
      <c r="DD150" s="206"/>
      <c r="DE150" s="206"/>
      <c r="DF150" s="206"/>
      <c r="DG150" s="206"/>
      <c r="DH150" s="206"/>
      <c r="DI150" s="206"/>
      <c r="DJ150" s="206"/>
      <c r="DK150" s="206"/>
      <c r="DL150" s="206"/>
      <c r="DM150" s="206"/>
      <c r="DN150" s="206"/>
      <c r="DO150" s="206"/>
      <c r="DP150" s="206"/>
      <c r="DQ150" s="206"/>
      <c r="DR150" s="206"/>
      <c r="DS150" s="206"/>
      <c r="DT150" s="206"/>
      <c r="DU150" s="206"/>
      <c r="DV150" s="206"/>
      <c r="DW150" s="206"/>
      <c r="DX150" s="206"/>
      <c r="DY150" s="206"/>
      <c r="DZ150" s="206"/>
      <c r="EA150" s="206"/>
      <c r="EB150" s="206"/>
      <c r="EC150" s="206"/>
      <c r="ED150" s="206"/>
      <c r="EE150" s="206"/>
      <c r="EF150" s="206"/>
      <c r="EG150" s="206"/>
      <c r="EH150" s="206"/>
      <c r="EI150" s="206"/>
      <c r="EJ150" s="206"/>
      <c r="EK150" s="206"/>
      <c r="EL150" s="206"/>
      <c r="EM150" s="206"/>
      <c r="EN150" s="206"/>
      <c r="EO150" s="206"/>
      <c r="EP150" s="206"/>
      <c r="EQ150" s="206"/>
      <c r="ER150" s="206"/>
      <c r="ES150" s="206"/>
      <c r="ET150" s="206"/>
      <c r="EU150" s="206"/>
      <c r="EV150" s="206"/>
      <c r="EW150" s="206"/>
      <c r="EX150" s="206"/>
      <c r="EY150" s="206"/>
      <c r="EZ150" s="206"/>
      <c r="FA150" s="206"/>
      <c r="FB150" s="206"/>
      <c r="FC150" s="206"/>
      <c r="FD150" s="206"/>
      <c r="FE150" s="206"/>
      <c r="FF150" s="206"/>
      <c r="FG150" s="206"/>
      <c r="FH150" s="206"/>
      <c r="FI150" s="206"/>
      <c r="FJ150" s="206"/>
      <c r="FK150" s="206"/>
      <c r="FL150" s="206"/>
      <c r="FM150" s="206"/>
      <c r="FN150" s="206"/>
      <c r="FO150" s="206"/>
      <c r="FP150" s="206"/>
      <c r="FQ150" s="206"/>
      <c r="FR150" s="206"/>
      <c r="FS150" s="206"/>
      <c r="FT150" s="206"/>
      <c r="FU150" s="206"/>
      <c r="FV150" s="206"/>
      <c r="FW150" s="206"/>
      <c r="FX150" s="206"/>
      <c r="FY150" s="206"/>
      <c r="FZ150" s="206"/>
      <c r="GA150" s="206"/>
      <c r="GB150" s="206"/>
      <c r="GC150" s="206"/>
      <c r="GD150" s="206"/>
      <c r="GE150" s="206"/>
      <c r="GF150" s="206"/>
      <c r="GG150" s="206"/>
      <c r="GH150" s="206"/>
      <c r="GI150" s="206"/>
      <c r="GJ150" s="206"/>
      <c r="GK150" s="206"/>
      <c r="GL150" s="206"/>
      <c r="GM150" s="206"/>
      <c r="GN150" s="206"/>
      <c r="GO150" s="206"/>
      <c r="GP150" s="206"/>
      <c r="GQ150" s="206"/>
      <c r="GR150" s="206"/>
      <c r="GS150" s="206"/>
    </row>
    <row r="151" spans="1:201" ht="23.65" customHeight="1">
      <c r="A151" s="206"/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 t="s">
        <v>114</v>
      </c>
      <c r="W151" s="206"/>
      <c r="X151" s="206"/>
      <c r="Y151" s="206"/>
      <c r="Z151" s="206"/>
      <c r="AA151" s="206"/>
      <c r="AB151" s="206"/>
      <c r="AC151" s="206"/>
      <c r="AD151" s="206"/>
      <c r="AE151" s="206"/>
      <c r="AF151" s="206"/>
      <c r="AG151" s="206"/>
      <c r="AH151" s="206"/>
      <c r="AI151" s="206"/>
      <c r="AJ151" s="206"/>
      <c r="AK151" s="206"/>
      <c r="AL151" s="206"/>
      <c r="AM151" s="206"/>
      <c r="AN151" s="206"/>
      <c r="AO151" s="206"/>
      <c r="AP151" s="206"/>
      <c r="AQ151" s="206" cm="1">
        <f t="array" ref="AQ151:BJ151">TRANSPOSE(AQ4:AQ23)</f>
        <v>0</v>
      </c>
      <c r="AR151" s="206">
        <v>0</v>
      </c>
      <c r="AS151" s="206">
        <v>0</v>
      </c>
      <c r="AT151" s="206">
        <v>0</v>
      </c>
      <c r="AU151" s="206">
        <v>0</v>
      </c>
      <c r="AV151" s="206">
        <v>0</v>
      </c>
      <c r="AW151" s="206">
        <v>0</v>
      </c>
      <c r="AX151" s="206">
        <v>0</v>
      </c>
      <c r="AY151" s="206">
        <v>0</v>
      </c>
      <c r="AZ151" s="206">
        <v>0</v>
      </c>
      <c r="BA151" s="206">
        <v>0</v>
      </c>
      <c r="BB151" s="206">
        <v>0</v>
      </c>
      <c r="BC151" s="206">
        <v>0</v>
      </c>
      <c r="BD151" s="206">
        <v>0</v>
      </c>
      <c r="BE151" s="206">
        <v>0</v>
      </c>
      <c r="BF151" s="206">
        <v>0</v>
      </c>
      <c r="BG151" s="206">
        <v>0</v>
      </c>
      <c r="BH151" s="206">
        <v>0</v>
      </c>
      <c r="BI151" s="206">
        <v>0</v>
      </c>
      <c r="BJ151" s="206">
        <v>0</v>
      </c>
      <c r="BK151" s="206"/>
      <c r="BL151" s="206"/>
      <c r="BM151" s="206"/>
      <c r="BN151" s="206"/>
      <c r="BO151" s="206"/>
      <c r="BP151" s="206"/>
      <c r="BQ151" s="206"/>
      <c r="BR151" s="206"/>
      <c r="BS151" s="206"/>
      <c r="BT151" s="206"/>
      <c r="BU151" s="206"/>
      <c r="BV151" s="206"/>
      <c r="BW151" s="206"/>
      <c r="BX151" s="206"/>
      <c r="BY151" s="206"/>
      <c r="BZ151" s="206"/>
      <c r="CA151" s="206"/>
      <c r="CB151" s="206"/>
      <c r="CC151" s="206"/>
      <c r="CD151" s="206"/>
      <c r="CE151" s="206"/>
      <c r="CF151" s="206"/>
      <c r="CG151" s="206"/>
      <c r="CH151" s="206"/>
      <c r="CI151" s="206"/>
      <c r="CJ151" s="206"/>
      <c r="CK151" s="206"/>
      <c r="CL151" s="206"/>
      <c r="CM151" s="206"/>
      <c r="CN151" s="206"/>
      <c r="CO151" s="206"/>
      <c r="CP151" s="206"/>
      <c r="CQ151" s="206"/>
      <c r="CR151" s="206"/>
      <c r="CS151" s="206"/>
      <c r="CT151" s="206"/>
      <c r="CU151" s="206"/>
      <c r="CV151" s="206"/>
      <c r="CW151" s="206"/>
      <c r="CX151" s="206"/>
      <c r="CY151" s="206"/>
      <c r="CZ151" s="206"/>
      <c r="DA151" s="206"/>
      <c r="DB151" s="206"/>
      <c r="DC151" s="206"/>
      <c r="DD151" s="206"/>
      <c r="DE151" s="206"/>
      <c r="DF151" s="206"/>
      <c r="DG151" s="206"/>
      <c r="DH151" s="206"/>
      <c r="DI151" s="206"/>
      <c r="DJ151" s="206"/>
      <c r="DK151" s="206"/>
      <c r="DL151" s="206"/>
      <c r="DM151" s="206"/>
      <c r="DN151" s="206"/>
      <c r="DO151" s="206"/>
      <c r="DP151" s="206"/>
      <c r="DQ151" s="206"/>
      <c r="DR151" s="206"/>
      <c r="DS151" s="206"/>
      <c r="DT151" s="206"/>
      <c r="DU151" s="206"/>
      <c r="DV151" s="206"/>
      <c r="DW151" s="206"/>
      <c r="DX151" s="206"/>
      <c r="DY151" s="206"/>
      <c r="DZ151" s="206"/>
      <c r="EA151" s="206"/>
      <c r="EB151" s="206"/>
      <c r="EC151" s="206"/>
      <c r="ED151" s="206"/>
      <c r="EE151" s="206"/>
      <c r="EF151" s="206"/>
      <c r="EG151" s="206"/>
      <c r="EH151" s="206"/>
      <c r="EI151" s="206"/>
      <c r="EJ151" s="206"/>
      <c r="EK151" s="206"/>
      <c r="EL151" s="206"/>
      <c r="EM151" s="206"/>
      <c r="EN151" s="206"/>
      <c r="EO151" s="206"/>
      <c r="EP151" s="206"/>
      <c r="EQ151" s="206"/>
      <c r="ER151" s="206"/>
      <c r="ES151" s="206"/>
      <c r="ET151" s="206"/>
      <c r="EU151" s="206"/>
      <c r="EV151" s="206"/>
      <c r="EW151" s="206"/>
      <c r="EX151" s="206"/>
      <c r="EY151" s="206"/>
      <c r="EZ151" s="206"/>
      <c r="FA151" s="206"/>
      <c r="FB151" s="206"/>
      <c r="FC151" s="206"/>
      <c r="FD151" s="206"/>
      <c r="FE151" s="206"/>
      <c r="FF151" s="206"/>
      <c r="FG151" s="206"/>
      <c r="FH151" s="206"/>
      <c r="FI151" s="206"/>
      <c r="FJ151" s="206"/>
      <c r="FK151" s="206"/>
      <c r="FL151" s="206"/>
      <c r="FM151" s="206"/>
      <c r="FN151" s="206"/>
      <c r="FO151" s="206"/>
      <c r="FP151" s="206"/>
      <c r="FQ151" s="206"/>
      <c r="FR151" s="206"/>
      <c r="FS151" s="206"/>
      <c r="FT151" s="206"/>
      <c r="FU151" s="206"/>
      <c r="FV151" s="206"/>
      <c r="FW151" s="206"/>
      <c r="FX151" s="206"/>
      <c r="FY151" s="206"/>
      <c r="FZ151" s="206"/>
      <c r="GA151" s="206"/>
      <c r="GB151" s="206"/>
      <c r="GC151" s="206"/>
      <c r="GD151" s="206"/>
      <c r="GE151" s="206"/>
      <c r="GF151" s="206"/>
      <c r="GG151" s="206"/>
      <c r="GH151" s="206"/>
      <c r="GI151" s="206"/>
      <c r="GJ151" s="206"/>
      <c r="GK151" s="206"/>
      <c r="GL151" s="206"/>
      <c r="GM151" s="206"/>
      <c r="GN151" s="206"/>
      <c r="GO151" s="206"/>
      <c r="GP151" s="206"/>
      <c r="GQ151" s="206"/>
      <c r="GR151" s="206"/>
      <c r="GS151" s="206"/>
    </row>
    <row r="152" spans="1:201" ht="23.65" customHeight="1">
      <c r="A152" s="206"/>
      <c r="B152" s="206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6"/>
      <c r="AE152" s="206"/>
      <c r="AF152" s="206"/>
      <c r="AG152" s="206"/>
      <c r="AH152" s="206"/>
      <c r="AI152" s="206"/>
      <c r="AJ152" s="206"/>
      <c r="AK152" s="206"/>
      <c r="AL152" s="206"/>
      <c r="AM152" s="206"/>
      <c r="AN152" s="206"/>
      <c r="AO152" s="206"/>
      <c r="AP152" s="206"/>
      <c r="AQ152" s="206"/>
      <c r="AR152" s="206"/>
      <c r="AS152" s="206"/>
      <c r="AT152" s="206"/>
      <c r="AU152" s="206"/>
      <c r="AV152" s="206"/>
      <c r="AW152" s="206"/>
      <c r="AX152" s="206"/>
      <c r="AY152" s="206"/>
      <c r="AZ152" s="206"/>
      <c r="BA152" s="206"/>
      <c r="BB152" s="206"/>
      <c r="BC152" s="206"/>
      <c r="BD152" s="206"/>
      <c r="BE152" s="206"/>
      <c r="BF152" s="206"/>
      <c r="BG152" s="206"/>
      <c r="BH152" s="206"/>
      <c r="BI152" s="206"/>
      <c r="BJ152" s="206"/>
      <c r="BK152" s="206"/>
      <c r="BL152" s="206"/>
      <c r="BM152" s="206"/>
      <c r="BN152" s="206"/>
      <c r="BO152" s="206"/>
      <c r="BP152" s="206"/>
      <c r="BQ152" s="206"/>
      <c r="BR152" s="206"/>
      <c r="BS152" s="206"/>
      <c r="BT152" s="206"/>
      <c r="BU152" s="206"/>
      <c r="BV152" s="206"/>
      <c r="BW152" s="206"/>
      <c r="BX152" s="206"/>
      <c r="BY152" s="206"/>
      <c r="BZ152" s="206"/>
      <c r="CA152" s="206"/>
      <c r="CB152" s="206"/>
      <c r="CC152" s="206"/>
      <c r="CD152" s="206"/>
      <c r="CE152" s="206"/>
      <c r="CF152" s="206"/>
      <c r="CG152" s="206"/>
      <c r="CH152" s="206"/>
      <c r="CI152" s="206"/>
      <c r="CJ152" s="206"/>
      <c r="CK152" s="206"/>
      <c r="CL152" s="206"/>
      <c r="CM152" s="206"/>
      <c r="CN152" s="206"/>
      <c r="CO152" s="206"/>
      <c r="CP152" s="206"/>
      <c r="CQ152" s="206"/>
      <c r="CR152" s="206"/>
      <c r="CS152" s="206"/>
      <c r="CT152" s="206"/>
      <c r="CU152" s="206"/>
      <c r="CV152" s="206"/>
      <c r="CW152" s="206"/>
      <c r="CX152" s="206"/>
      <c r="CY152" s="206"/>
      <c r="CZ152" s="206"/>
      <c r="DA152" s="206"/>
      <c r="DB152" s="206"/>
      <c r="DC152" s="206"/>
      <c r="DD152" s="206"/>
      <c r="DE152" s="206"/>
      <c r="DF152" s="206"/>
      <c r="DG152" s="206"/>
      <c r="DH152" s="206"/>
      <c r="DI152" s="206"/>
      <c r="DJ152" s="206"/>
      <c r="DK152" s="206"/>
      <c r="DL152" s="206"/>
      <c r="DM152" s="206"/>
      <c r="DN152" s="206"/>
      <c r="DO152" s="206"/>
      <c r="DP152" s="206"/>
      <c r="DQ152" s="206"/>
      <c r="DR152" s="206"/>
      <c r="DS152" s="206"/>
      <c r="DT152" s="206"/>
      <c r="DU152" s="206"/>
      <c r="DV152" s="206"/>
      <c r="DW152" s="206"/>
      <c r="DX152" s="206"/>
      <c r="DY152" s="206"/>
      <c r="DZ152" s="206"/>
      <c r="EA152" s="206"/>
      <c r="EB152" s="206"/>
      <c r="EC152" s="206"/>
      <c r="ED152" s="206"/>
      <c r="EE152" s="206"/>
      <c r="EF152" s="206"/>
      <c r="EG152" s="206"/>
      <c r="EH152" s="206"/>
      <c r="EI152" s="206"/>
      <c r="EJ152" s="206"/>
      <c r="EK152" s="206"/>
      <c r="EL152" s="206"/>
      <c r="EM152" s="206"/>
      <c r="EN152" s="206"/>
      <c r="EO152" s="206"/>
      <c r="EP152" s="206"/>
      <c r="EQ152" s="206"/>
      <c r="ER152" s="206"/>
      <c r="ES152" s="206"/>
      <c r="ET152" s="206"/>
      <c r="EU152" s="206"/>
      <c r="EV152" s="206"/>
      <c r="EW152" s="206"/>
      <c r="EX152" s="206"/>
      <c r="EY152" s="206"/>
      <c r="EZ152" s="206"/>
      <c r="FA152" s="206"/>
      <c r="FB152" s="206"/>
      <c r="FC152" s="206"/>
      <c r="FD152" s="206"/>
      <c r="FE152" s="206"/>
      <c r="FF152" s="206"/>
      <c r="FG152" s="206"/>
      <c r="FH152" s="206"/>
      <c r="FI152" s="206"/>
      <c r="FJ152" s="206"/>
      <c r="FK152" s="206"/>
      <c r="FL152" s="206"/>
      <c r="FM152" s="206"/>
      <c r="FN152" s="206"/>
      <c r="FO152" s="206"/>
      <c r="FP152" s="206"/>
      <c r="FQ152" s="206"/>
      <c r="FR152" s="206"/>
      <c r="FS152" s="206"/>
      <c r="FT152" s="206"/>
      <c r="FU152" s="206"/>
      <c r="FV152" s="206"/>
      <c r="FW152" s="206"/>
      <c r="FX152" s="206"/>
      <c r="FY152" s="206"/>
      <c r="FZ152" s="206"/>
      <c r="GA152" s="206"/>
      <c r="GB152" s="206"/>
      <c r="GC152" s="206"/>
      <c r="GD152" s="206"/>
      <c r="GE152" s="206"/>
      <c r="GF152" s="206"/>
      <c r="GG152" s="206"/>
      <c r="GH152" s="206"/>
      <c r="GI152" s="206"/>
      <c r="GJ152" s="206"/>
      <c r="GK152" s="206"/>
      <c r="GL152" s="206"/>
      <c r="GM152" s="206"/>
      <c r="GN152" s="206"/>
      <c r="GO152" s="206"/>
      <c r="GP152" s="206"/>
      <c r="GQ152" s="206"/>
      <c r="GR152" s="206"/>
      <c r="GS152" s="206"/>
    </row>
    <row r="153" spans="1:201">
      <c r="A153" s="206"/>
      <c r="B153" s="206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6"/>
      <c r="AE153" s="206"/>
      <c r="AF153" s="206"/>
      <c r="AG153" s="206"/>
      <c r="AH153" s="206"/>
      <c r="AI153" s="206"/>
      <c r="AJ153" s="206"/>
      <c r="AK153" s="206"/>
      <c r="AL153" s="206"/>
      <c r="AM153" s="206"/>
      <c r="AN153" s="206"/>
      <c r="AO153" s="206"/>
      <c r="AP153" s="206"/>
      <c r="AQ153" s="206"/>
      <c r="AR153" s="206"/>
      <c r="AS153" s="206"/>
      <c r="AT153" s="206"/>
      <c r="AU153" s="206"/>
      <c r="AV153" s="206"/>
      <c r="AW153" s="206"/>
      <c r="AX153" s="206"/>
      <c r="AY153" s="206"/>
      <c r="AZ153" s="206"/>
      <c r="BA153" s="206"/>
      <c r="BB153" s="206"/>
      <c r="BC153" s="206"/>
      <c r="BD153" s="206"/>
      <c r="BE153" s="206"/>
      <c r="BF153" s="206"/>
      <c r="BG153" s="206"/>
      <c r="BH153" s="206"/>
      <c r="BI153" s="206"/>
      <c r="BJ153" s="206"/>
      <c r="BK153" s="206"/>
      <c r="BL153" s="206"/>
      <c r="BM153" s="206"/>
      <c r="BN153" s="206"/>
      <c r="BO153" s="206"/>
      <c r="BP153" s="206"/>
      <c r="BQ153" s="206"/>
      <c r="BR153" s="206"/>
      <c r="BS153" s="206"/>
      <c r="BT153" s="206"/>
      <c r="BU153" s="206"/>
      <c r="BV153" s="206"/>
      <c r="BW153" s="206"/>
      <c r="BX153" s="206"/>
      <c r="BY153" s="206"/>
      <c r="BZ153" s="206"/>
      <c r="CA153" s="206"/>
      <c r="CB153" s="206"/>
      <c r="CC153" s="206"/>
      <c r="CD153" s="206"/>
      <c r="CE153" s="206"/>
      <c r="CF153" s="206"/>
      <c r="CG153" s="206"/>
      <c r="CH153" s="206"/>
      <c r="CI153" s="206"/>
      <c r="CJ153" s="206"/>
      <c r="CK153" s="206"/>
      <c r="CL153" s="206"/>
      <c r="CM153" s="206"/>
      <c r="CN153" s="206"/>
      <c r="CO153" s="206"/>
      <c r="CP153" s="206"/>
      <c r="CQ153" s="206"/>
      <c r="CR153" s="206"/>
      <c r="CS153" s="206"/>
      <c r="CT153" s="206"/>
      <c r="CU153" s="206"/>
      <c r="CV153" s="206"/>
      <c r="CW153" s="206"/>
      <c r="CX153" s="206"/>
      <c r="CY153" s="206"/>
      <c r="CZ153" s="206"/>
      <c r="DA153" s="206"/>
      <c r="DB153" s="206"/>
      <c r="DC153" s="206"/>
      <c r="DD153" s="206"/>
      <c r="DE153" s="206"/>
      <c r="DF153" s="206"/>
      <c r="DG153" s="206"/>
      <c r="DH153" s="206"/>
      <c r="DI153" s="206"/>
      <c r="DJ153" s="206"/>
      <c r="DK153" s="206"/>
      <c r="DL153" s="206"/>
      <c r="DM153" s="206"/>
      <c r="DN153" s="206"/>
      <c r="DO153" s="206"/>
      <c r="DP153" s="206"/>
      <c r="DQ153" s="206"/>
      <c r="DR153" s="206"/>
      <c r="DS153" s="206"/>
      <c r="DT153" s="206"/>
      <c r="DU153" s="206"/>
      <c r="DV153" s="206"/>
      <c r="DW153" s="206"/>
      <c r="DX153" s="206"/>
      <c r="DY153" s="206"/>
      <c r="DZ153" s="206"/>
      <c r="EA153" s="206"/>
      <c r="EB153" s="206"/>
      <c r="EC153" s="206"/>
      <c r="ED153" s="206"/>
      <c r="EE153" s="206"/>
      <c r="EF153" s="206"/>
      <c r="EG153" s="206"/>
      <c r="EH153" s="206"/>
      <c r="EI153" s="206"/>
      <c r="EJ153" s="206"/>
      <c r="EK153" s="206"/>
      <c r="EL153" s="206"/>
      <c r="EM153" s="206"/>
      <c r="EN153" s="206"/>
      <c r="EO153" s="206"/>
      <c r="EP153" s="206"/>
      <c r="EQ153" s="206"/>
      <c r="ER153" s="206"/>
      <c r="ES153" s="206"/>
      <c r="ET153" s="206"/>
      <c r="EU153" s="206"/>
      <c r="EV153" s="206"/>
      <c r="EW153" s="206"/>
      <c r="EX153" s="206"/>
      <c r="EY153" s="206"/>
      <c r="EZ153" s="206"/>
      <c r="FA153" s="206"/>
      <c r="FB153" s="206"/>
      <c r="FC153" s="206"/>
      <c r="FD153" s="206"/>
      <c r="FE153" s="206"/>
      <c r="FF153" s="206"/>
      <c r="FG153" s="206"/>
      <c r="FH153" s="206"/>
      <c r="FI153" s="206"/>
      <c r="FJ153" s="206"/>
      <c r="FK153" s="206"/>
      <c r="FL153" s="206"/>
      <c r="FM153" s="206"/>
      <c r="FN153" s="206"/>
      <c r="FO153" s="206"/>
      <c r="FP153" s="206"/>
      <c r="FQ153" s="206"/>
      <c r="FR153" s="206"/>
      <c r="FS153" s="206"/>
      <c r="FT153" s="206"/>
      <c r="FU153" s="206"/>
      <c r="FV153" s="206"/>
      <c r="FW153" s="206"/>
      <c r="FX153" s="206"/>
      <c r="FY153" s="206"/>
      <c r="FZ153" s="206"/>
      <c r="GA153" s="206"/>
      <c r="GB153" s="206"/>
      <c r="GC153" s="206"/>
      <c r="GD153" s="206"/>
      <c r="GE153" s="206"/>
      <c r="GF153" s="206"/>
      <c r="GG153" s="206"/>
      <c r="GH153" s="206"/>
      <c r="GI153" s="206"/>
      <c r="GJ153" s="206"/>
      <c r="GK153" s="206"/>
      <c r="GL153" s="206"/>
      <c r="GM153" s="206"/>
      <c r="GN153" s="206"/>
      <c r="GO153" s="206"/>
      <c r="GP153" s="206"/>
      <c r="GQ153" s="206"/>
      <c r="GR153" s="206"/>
      <c r="GS153" s="206"/>
    </row>
    <row r="154" spans="1:201" ht="15" thickBot="1">
      <c r="A154" s="206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  <c r="AF154" s="206"/>
      <c r="AG154" s="206"/>
      <c r="AH154" s="206"/>
      <c r="AI154" s="206"/>
      <c r="AJ154" s="206"/>
      <c r="AK154" s="206"/>
      <c r="AL154" s="206"/>
      <c r="AM154" s="206"/>
      <c r="AN154" s="206"/>
      <c r="AO154" s="206"/>
      <c r="AP154" s="206"/>
      <c r="AQ154" s="206"/>
      <c r="AR154" s="206"/>
      <c r="AS154" s="206"/>
      <c r="AT154" s="206"/>
      <c r="AU154" s="206"/>
      <c r="AV154" s="206"/>
      <c r="AW154" s="206"/>
      <c r="AX154" s="206"/>
      <c r="AY154" s="206"/>
      <c r="AZ154" s="206"/>
      <c r="BA154" s="206"/>
      <c r="BB154" s="206"/>
      <c r="BC154" s="206"/>
      <c r="BD154" s="206"/>
      <c r="BE154" s="206"/>
      <c r="BF154" s="206"/>
      <c r="BG154" s="206"/>
      <c r="BH154" s="206"/>
      <c r="BI154" s="206"/>
      <c r="BJ154" s="206"/>
      <c r="BK154" s="206"/>
      <c r="BL154" s="206"/>
      <c r="BM154" s="206"/>
      <c r="BN154" s="206"/>
      <c r="BO154" s="206"/>
      <c r="BP154" s="206"/>
      <c r="BQ154" s="206"/>
      <c r="BR154" s="206"/>
      <c r="BS154" s="206"/>
      <c r="BT154" s="206"/>
      <c r="BU154" s="206"/>
      <c r="BV154" s="206"/>
      <c r="BW154" s="206"/>
      <c r="BX154" s="206"/>
      <c r="BY154" s="206"/>
      <c r="BZ154" s="206"/>
      <c r="CA154" s="206"/>
      <c r="CB154" s="206"/>
      <c r="CC154" s="206"/>
      <c r="CD154" s="206"/>
      <c r="CE154" s="206"/>
      <c r="CF154" s="206"/>
      <c r="CG154" s="206"/>
      <c r="CH154" s="206"/>
      <c r="CI154" s="206"/>
      <c r="CJ154" s="206"/>
      <c r="CK154" s="206"/>
      <c r="CL154" s="206"/>
      <c r="CM154" s="206"/>
      <c r="CN154" s="206"/>
      <c r="CO154" s="206"/>
      <c r="CP154" s="206"/>
      <c r="CQ154" s="206"/>
      <c r="CR154" s="206"/>
      <c r="CS154" s="206"/>
      <c r="CT154" s="206"/>
      <c r="CU154" s="206"/>
      <c r="CV154" s="206"/>
      <c r="CW154" s="206"/>
      <c r="CX154" s="206"/>
      <c r="CY154" s="206"/>
      <c r="CZ154" s="206"/>
      <c r="DA154" s="206"/>
      <c r="DB154" s="206"/>
      <c r="DC154" s="206"/>
      <c r="DD154" s="206"/>
      <c r="DE154" s="206"/>
      <c r="DF154" s="206"/>
      <c r="DG154" s="206"/>
      <c r="DH154" s="206"/>
      <c r="DI154" s="206"/>
      <c r="DJ154" s="206"/>
      <c r="DK154" s="206"/>
      <c r="DL154" s="206"/>
      <c r="DM154" s="206"/>
      <c r="DN154" s="206"/>
      <c r="DO154" s="206"/>
      <c r="DP154" s="206"/>
      <c r="DQ154" s="206"/>
      <c r="DR154" s="206"/>
      <c r="DS154" s="206"/>
      <c r="DT154" s="206"/>
      <c r="DU154" s="206"/>
      <c r="DV154" s="206"/>
      <c r="DW154" s="206"/>
      <c r="DX154" s="206"/>
      <c r="DY154" s="206"/>
      <c r="DZ154" s="206"/>
      <c r="EA154" s="206"/>
      <c r="EB154" s="206"/>
      <c r="EC154" s="206"/>
      <c r="ED154" s="206"/>
      <c r="EE154" s="206"/>
      <c r="EF154" s="206"/>
      <c r="EG154" s="206"/>
      <c r="EH154" s="206"/>
      <c r="EI154" s="206"/>
      <c r="EJ154" s="206"/>
      <c r="EK154" s="206"/>
      <c r="EL154" s="206"/>
      <c r="EM154" s="206"/>
      <c r="EN154" s="206"/>
      <c r="EO154" s="206"/>
      <c r="EP154" s="206"/>
      <c r="EQ154" s="206"/>
      <c r="ER154" s="206"/>
      <c r="ES154" s="206"/>
      <c r="ET154" s="206"/>
      <c r="EU154" s="206"/>
      <c r="EV154" s="206"/>
      <c r="EW154" s="206"/>
      <c r="EX154" s="206"/>
      <c r="EY154" s="206"/>
      <c r="EZ154" s="206"/>
      <c r="FA154" s="206"/>
      <c r="FB154" s="206"/>
      <c r="FC154" s="206"/>
      <c r="FD154" s="206"/>
      <c r="FE154" s="206"/>
      <c r="FF154" s="206"/>
      <c r="FG154" s="206"/>
      <c r="FH154" s="206"/>
      <c r="FI154" s="206"/>
      <c r="FJ154" s="206"/>
      <c r="FK154" s="206"/>
      <c r="FL154" s="206"/>
      <c r="FM154" s="206"/>
      <c r="FN154" s="206"/>
      <c r="FO154" s="206"/>
      <c r="FP154" s="206"/>
      <c r="FQ154" s="206"/>
      <c r="FR154" s="206"/>
      <c r="FS154" s="206"/>
      <c r="FT154" s="206"/>
      <c r="FU154" s="206"/>
      <c r="FV154" s="206"/>
      <c r="FW154" s="206"/>
      <c r="FX154" s="206"/>
      <c r="FY154" s="206"/>
      <c r="FZ154" s="206"/>
      <c r="GA154" s="206"/>
      <c r="GB154" s="206"/>
      <c r="GC154" s="206"/>
      <c r="GD154" s="206"/>
      <c r="GE154" s="206"/>
      <c r="GF154" s="206"/>
      <c r="GG154" s="206"/>
      <c r="GH154" s="206"/>
      <c r="GI154" s="206"/>
      <c r="GJ154" s="206"/>
      <c r="GK154" s="206"/>
      <c r="GL154" s="206"/>
      <c r="GM154" s="206"/>
      <c r="GN154" s="206"/>
      <c r="GO154" s="206"/>
      <c r="GP154" s="206"/>
      <c r="GQ154" s="206"/>
      <c r="GR154" s="206"/>
      <c r="GS154" s="206"/>
    </row>
    <row r="155" spans="1:201" ht="15" thickBot="1">
      <c r="A155" s="669" t="s">
        <v>115</v>
      </c>
      <c r="B155" s="670"/>
      <c r="C155" s="670"/>
      <c r="D155" s="670"/>
      <c r="E155" s="670"/>
      <c r="F155" s="670"/>
      <c r="G155" s="670"/>
      <c r="H155" s="670"/>
      <c r="I155" s="670"/>
      <c r="J155" s="670"/>
      <c r="K155" s="670"/>
      <c r="L155" s="670"/>
      <c r="M155" s="670"/>
      <c r="N155" s="670"/>
      <c r="O155" s="670"/>
      <c r="P155" s="670"/>
      <c r="Q155" s="670"/>
      <c r="R155" s="670"/>
      <c r="S155" s="670"/>
      <c r="T155" s="670"/>
      <c r="U155" s="670"/>
      <c r="V155" s="671"/>
      <c r="W155" s="335"/>
      <c r="X155" s="335"/>
      <c r="Y155" s="335"/>
      <c r="Z155" s="335"/>
      <c r="AA155" s="335"/>
      <c r="AB155" s="335"/>
      <c r="AC155" s="335"/>
      <c r="AD155" s="335"/>
      <c r="AE155" s="335"/>
      <c r="AF155" s="335"/>
      <c r="AG155" s="335"/>
      <c r="AH155" s="335"/>
      <c r="AI155" s="335"/>
      <c r="AJ155" s="335"/>
      <c r="AK155" s="335"/>
      <c r="AL155" s="335"/>
      <c r="AM155" s="335"/>
      <c r="AN155" s="335"/>
      <c r="AO155" s="335"/>
      <c r="AP155" s="335"/>
      <c r="AQ155" s="672" t="s">
        <v>51</v>
      </c>
      <c r="AR155" s="672"/>
      <c r="AS155" s="672"/>
      <c r="AT155" s="672"/>
      <c r="AU155" s="673"/>
      <c r="AV155" s="336"/>
      <c r="AW155" s="336"/>
      <c r="AX155" s="336"/>
      <c r="AY155" s="336"/>
      <c r="AZ155" s="336"/>
      <c r="BA155" s="336"/>
      <c r="BB155" s="336"/>
      <c r="BC155" s="336"/>
      <c r="BD155" s="336"/>
      <c r="BE155" s="336"/>
      <c r="BF155" s="336"/>
      <c r="BG155" s="206"/>
      <c r="BH155" s="206"/>
      <c r="BI155" s="206"/>
      <c r="BJ155" s="206"/>
      <c r="BK155" s="206"/>
      <c r="BL155" s="206"/>
      <c r="BM155" s="206"/>
      <c r="BN155" s="206"/>
      <c r="BO155" s="675" t="s">
        <v>116</v>
      </c>
      <c r="BP155" s="676"/>
      <c r="BQ155" s="676"/>
      <c r="BR155" s="676"/>
      <c r="BS155" s="676"/>
      <c r="BT155" s="676"/>
      <c r="BU155" s="676"/>
      <c r="BV155" s="676"/>
      <c r="BW155" s="676"/>
      <c r="BX155" s="676"/>
      <c r="BY155" s="676"/>
      <c r="BZ155" s="676"/>
      <c r="CA155" s="676"/>
      <c r="CB155" s="676"/>
      <c r="CC155" s="676"/>
      <c r="CD155" s="676"/>
      <c r="CE155" s="676"/>
      <c r="CF155" s="676"/>
      <c r="CG155" s="676"/>
      <c r="CH155" s="676"/>
      <c r="CI155" s="676"/>
      <c r="CJ155" s="677"/>
      <c r="CK155" s="337"/>
      <c r="CL155" s="337"/>
      <c r="CM155" s="337"/>
      <c r="CN155" s="337"/>
      <c r="CO155" s="337"/>
      <c r="CP155" s="337"/>
      <c r="CQ155" s="337"/>
      <c r="CR155" s="337"/>
      <c r="CS155" s="337"/>
      <c r="CT155" s="337"/>
      <c r="CU155" s="337"/>
      <c r="CV155" s="337"/>
      <c r="CW155" s="337"/>
      <c r="CX155" s="337"/>
      <c r="CY155" s="337"/>
      <c r="CZ155" s="337"/>
      <c r="DA155" s="337"/>
      <c r="DB155" s="337"/>
      <c r="DC155" s="337"/>
      <c r="DD155" s="337"/>
      <c r="DE155" s="678" t="s">
        <v>53</v>
      </c>
      <c r="DF155" s="672"/>
      <c r="DG155" s="672"/>
      <c r="DH155" s="672"/>
      <c r="DI155" s="673"/>
      <c r="DJ155" s="338"/>
      <c r="DK155" s="338"/>
      <c r="DL155" s="338"/>
      <c r="DM155" s="338"/>
      <c r="DN155" s="338"/>
      <c r="DO155" s="678" t="s">
        <v>99</v>
      </c>
      <c r="DP155" s="672"/>
      <c r="DQ155" s="672"/>
      <c r="DR155" s="672"/>
      <c r="DS155" s="673"/>
      <c r="DT155" s="336"/>
      <c r="DU155" s="336"/>
      <c r="DV155" s="336"/>
      <c r="DW155" s="336"/>
      <c r="DX155" s="336"/>
      <c r="DY155" s="336"/>
      <c r="DZ155" s="206"/>
      <c r="EA155" s="206"/>
      <c r="EB155" s="206"/>
      <c r="EC155" s="206"/>
      <c r="ED155" s="206"/>
      <c r="EE155" s="206"/>
      <c r="EF155" s="206"/>
      <c r="EG155" s="675" t="s">
        <v>117</v>
      </c>
      <c r="EH155" s="676"/>
      <c r="EI155" s="676"/>
      <c r="EJ155" s="676"/>
      <c r="EK155" s="676"/>
      <c r="EL155" s="676"/>
      <c r="EM155" s="676"/>
      <c r="EN155" s="676"/>
      <c r="EO155" s="676"/>
      <c r="EP155" s="676"/>
      <c r="EQ155" s="676"/>
      <c r="ER155" s="676"/>
      <c r="ES155" s="676"/>
      <c r="ET155" s="676"/>
      <c r="EU155" s="676"/>
      <c r="EV155" s="676"/>
      <c r="EW155" s="676"/>
      <c r="EX155" s="676"/>
      <c r="EY155" s="676"/>
      <c r="EZ155" s="676"/>
      <c r="FA155" s="676"/>
      <c r="FB155" s="676"/>
      <c r="FC155" s="676"/>
      <c r="FD155" s="676"/>
      <c r="FE155" s="676"/>
      <c r="FF155" s="676"/>
      <c r="FG155" s="676"/>
      <c r="FH155" s="676"/>
      <c r="FI155" s="676"/>
      <c r="FJ155" s="676"/>
      <c r="FK155" s="676"/>
      <c r="FL155" s="676"/>
      <c r="FM155" s="676"/>
      <c r="FN155" s="676"/>
      <c r="FO155" s="676"/>
      <c r="FP155" s="676"/>
      <c r="FQ155" s="676"/>
      <c r="FR155" s="676"/>
      <c r="FS155" s="676"/>
      <c r="FT155" s="676"/>
      <c r="FU155" s="676"/>
      <c r="FV155" s="676"/>
      <c r="FW155" s="676"/>
      <c r="FX155" s="676"/>
      <c r="FY155" s="676"/>
      <c r="FZ155" s="676"/>
      <c r="GA155" s="676"/>
      <c r="GB155" s="676"/>
      <c r="GC155" s="676"/>
      <c r="GD155" s="676"/>
      <c r="GE155" s="676"/>
      <c r="GF155" s="676"/>
      <c r="GG155" s="677"/>
      <c r="GH155" s="206"/>
      <c r="GI155" s="206"/>
      <c r="GJ155" s="206"/>
      <c r="GK155" s="206"/>
      <c r="GL155" s="206"/>
      <c r="GM155" s="206"/>
      <c r="GN155" s="206"/>
      <c r="GO155" s="206"/>
      <c r="GP155" s="206"/>
      <c r="GQ155" s="206"/>
      <c r="GR155" s="206"/>
      <c r="GS155" s="206"/>
    </row>
    <row r="156" spans="1:201" ht="15" thickBot="1">
      <c r="A156" s="339"/>
      <c r="B156" s="340"/>
      <c r="C156" s="681">
        <v>2023</v>
      </c>
      <c r="D156" s="682"/>
      <c r="E156" s="682"/>
      <c r="F156" s="683"/>
      <c r="G156" s="681">
        <v>2024</v>
      </c>
      <c r="H156" s="682"/>
      <c r="I156" s="682"/>
      <c r="J156" s="683"/>
      <c r="K156" s="681">
        <v>2025</v>
      </c>
      <c r="L156" s="682"/>
      <c r="M156" s="682"/>
      <c r="N156" s="683"/>
      <c r="O156" s="681">
        <v>2026</v>
      </c>
      <c r="P156" s="682"/>
      <c r="Q156" s="682"/>
      <c r="R156" s="683"/>
      <c r="S156" s="684">
        <v>2027</v>
      </c>
      <c r="T156" s="685"/>
      <c r="U156" s="685"/>
      <c r="V156" s="686"/>
      <c r="W156" s="341"/>
      <c r="X156" s="341"/>
      <c r="Y156" s="341"/>
      <c r="Z156" s="341"/>
      <c r="AA156" s="341"/>
      <c r="AB156" s="341"/>
      <c r="AC156" s="341"/>
      <c r="AD156" s="341"/>
      <c r="AE156" s="341"/>
      <c r="AF156" s="341"/>
      <c r="AG156" s="341"/>
      <c r="AH156" s="341"/>
      <c r="AI156" s="341"/>
      <c r="AJ156" s="341"/>
      <c r="AK156" s="341"/>
      <c r="AL156" s="341"/>
      <c r="AM156" s="341"/>
      <c r="AN156" s="341"/>
      <c r="AO156" s="341"/>
      <c r="AP156" s="341"/>
      <c r="AQ156" s="674"/>
      <c r="AR156" s="674"/>
      <c r="AS156" s="674"/>
      <c r="AT156" s="674"/>
      <c r="AU156" s="674"/>
      <c r="AV156" s="336"/>
      <c r="AW156" s="336"/>
      <c r="AX156" s="336"/>
      <c r="AY156" s="336"/>
      <c r="AZ156" s="336"/>
      <c r="BA156" s="336"/>
      <c r="BB156" s="336"/>
      <c r="BC156" s="336"/>
      <c r="BD156" s="336"/>
      <c r="BE156" s="336"/>
      <c r="BF156" s="336"/>
      <c r="BG156" s="206"/>
      <c r="BH156" s="206"/>
      <c r="BI156" s="206"/>
      <c r="BJ156" s="206"/>
      <c r="BK156" s="206"/>
      <c r="BL156" s="206"/>
      <c r="BM156" s="206"/>
      <c r="BN156" s="206"/>
      <c r="BO156" s="342"/>
      <c r="BP156" s="343"/>
      <c r="BQ156" s="668">
        <v>2022</v>
      </c>
      <c r="BR156" s="668"/>
      <c r="BS156" s="668"/>
      <c r="BT156" s="668"/>
      <c r="BU156" s="668">
        <v>2023</v>
      </c>
      <c r="BV156" s="668"/>
      <c r="BW156" s="668"/>
      <c r="BX156" s="668"/>
      <c r="BY156" s="668">
        <v>2024</v>
      </c>
      <c r="BZ156" s="668"/>
      <c r="CA156" s="668"/>
      <c r="CB156" s="668"/>
      <c r="CC156" s="668">
        <v>2025</v>
      </c>
      <c r="CD156" s="668"/>
      <c r="CE156" s="668"/>
      <c r="CF156" s="668"/>
      <c r="CG156" s="666">
        <v>2026</v>
      </c>
      <c r="CH156" s="666"/>
      <c r="CI156" s="666"/>
      <c r="CJ156" s="667"/>
      <c r="CK156" s="341"/>
      <c r="CL156" s="341"/>
      <c r="CM156" s="341"/>
      <c r="CN156" s="341"/>
      <c r="CO156" s="341"/>
      <c r="CP156" s="341"/>
      <c r="CQ156" s="341"/>
      <c r="CR156" s="341"/>
      <c r="CS156" s="341"/>
      <c r="CT156" s="341"/>
      <c r="CU156" s="341"/>
      <c r="CV156" s="341"/>
      <c r="CW156" s="341"/>
      <c r="CX156" s="341"/>
      <c r="CY156" s="341"/>
      <c r="CZ156" s="341"/>
      <c r="DA156" s="341"/>
      <c r="DB156" s="341"/>
      <c r="DC156" s="341"/>
      <c r="DD156" s="341"/>
      <c r="DE156" s="679"/>
      <c r="DF156" s="674"/>
      <c r="DG156" s="674"/>
      <c r="DH156" s="674"/>
      <c r="DI156" s="680"/>
      <c r="DJ156" s="344"/>
      <c r="DK156" s="344"/>
      <c r="DL156" s="344"/>
      <c r="DM156" s="344"/>
      <c r="DN156" s="344"/>
      <c r="DO156" s="679"/>
      <c r="DP156" s="674"/>
      <c r="DQ156" s="674"/>
      <c r="DR156" s="674"/>
      <c r="DS156" s="680"/>
      <c r="DT156" s="336"/>
      <c r="DU156" s="336"/>
      <c r="DV156" s="336"/>
      <c r="DW156" s="336"/>
      <c r="DX156" s="336"/>
      <c r="DY156" s="336"/>
      <c r="DZ156" s="206"/>
      <c r="EA156" s="206"/>
      <c r="EB156" s="206"/>
      <c r="EC156" s="206"/>
      <c r="ED156" s="206"/>
      <c r="EE156" s="206"/>
      <c r="EF156" s="206"/>
      <c r="EG156" s="342"/>
      <c r="EH156" s="343"/>
      <c r="EI156" s="668">
        <v>2022</v>
      </c>
      <c r="EJ156" s="668"/>
      <c r="EK156" s="668"/>
      <c r="EL156" s="668"/>
      <c r="EM156" s="668">
        <v>2023</v>
      </c>
      <c r="EN156" s="668"/>
      <c r="EO156" s="668"/>
      <c r="EP156" s="668"/>
      <c r="EQ156" s="668">
        <v>2024</v>
      </c>
      <c r="ER156" s="668"/>
      <c r="ES156" s="668"/>
      <c r="ET156" s="668"/>
      <c r="EU156" s="668">
        <v>2025</v>
      </c>
      <c r="EV156" s="668"/>
      <c r="EW156" s="668"/>
      <c r="EX156" s="668"/>
      <c r="EY156" s="666">
        <v>2026</v>
      </c>
      <c r="EZ156" s="666"/>
      <c r="FA156" s="666"/>
      <c r="FB156" s="666"/>
      <c r="FC156" s="341"/>
      <c r="FD156" s="341"/>
      <c r="FE156" s="341"/>
      <c r="FF156" s="341"/>
      <c r="FG156" s="341"/>
      <c r="FH156" s="341"/>
      <c r="FI156" s="341"/>
      <c r="FJ156" s="341"/>
      <c r="FK156" s="341"/>
      <c r="FL156" s="341"/>
      <c r="FM156" s="341"/>
      <c r="FN156" s="341"/>
      <c r="FO156" s="341"/>
      <c r="FP156" s="341"/>
      <c r="FQ156" s="341"/>
      <c r="FR156" s="341"/>
      <c r="FS156" s="341"/>
      <c r="FT156" s="341"/>
      <c r="FU156" s="341"/>
      <c r="FV156" s="341"/>
      <c r="FW156" s="341"/>
      <c r="FX156" s="659" t="s">
        <v>58</v>
      </c>
      <c r="FY156" s="660"/>
      <c r="FZ156" s="659" t="s">
        <v>59</v>
      </c>
      <c r="GA156" s="663"/>
      <c r="GB156" s="659" t="s">
        <v>60</v>
      </c>
      <c r="GC156" s="663"/>
      <c r="GD156" s="659" t="s">
        <v>61</v>
      </c>
      <c r="GE156" s="663"/>
      <c r="GF156" s="659" t="s">
        <v>62</v>
      </c>
      <c r="GG156" s="663"/>
      <c r="GH156" s="665" t="s">
        <v>63</v>
      </c>
      <c r="GI156" s="206"/>
      <c r="GJ156" s="206"/>
      <c r="GK156" s="655" t="s">
        <v>64</v>
      </c>
      <c r="GL156" s="206"/>
      <c r="GM156" s="206"/>
      <c r="GN156" s="206"/>
      <c r="GO156" s="206"/>
      <c r="GP156" s="206"/>
      <c r="GQ156" s="206"/>
      <c r="GR156" s="206"/>
      <c r="GS156" s="206"/>
    </row>
    <row r="157" spans="1:201" ht="15" thickBot="1">
      <c r="A157" s="339"/>
      <c r="B157" s="340"/>
      <c r="C157" s="340">
        <v>1</v>
      </c>
      <c r="D157" s="340">
        <v>2</v>
      </c>
      <c r="E157" s="340">
        <v>3</v>
      </c>
      <c r="F157" s="340">
        <v>4</v>
      </c>
      <c r="G157" s="340">
        <v>1</v>
      </c>
      <c r="H157" s="340">
        <v>2</v>
      </c>
      <c r="I157" s="340">
        <v>3</v>
      </c>
      <c r="J157" s="340">
        <v>4</v>
      </c>
      <c r="K157" s="340">
        <v>1</v>
      </c>
      <c r="L157" s="340">
        <v>2</v>
      </c>
      <c r="M157" s="340">
        <v>3</v>
      </c>
      <c r="N157" s="340">
        <v>4</v>
      </c>
      <c r="O157" s="340">
        <v>1</v>
      </c>
      <c r="P157" s="340">
        <v>2</v>
      </c>
      <c r="Q157" s="340">
        <v>3</v>
      </c>
      <c r="R157" s="340">
        <v>4</v>
      </c>
      <c r="S157" s="340">
        <v>1</v>
      </c>
      <c r="T157" s="340">
        <v>2</v>
      </c>
      <c r="U157" s="340">
        <v>3</v>
      </c>
      <c r="V157" s="346">
        <v>4</v>
      </c>
      <c r="W157" s="346"/>
      <c r="X157" s="346"/>
      <c r="Y157" s="346"/>
      <c r="Z157" s="346"/>
      <c r="AA157" s="346"/>
      <c r="AB157" s="346"/>
      <c r="AC157" s="346"/>
      <c r="AD157" s="346"/>
      <c r="AE157" s="346"/>
      <c r="AF157" s="346"/>
      <c r="AG157" s="346"/>
      <c r="AH157" s="346"/>
      <c r="AI157" s="346"/>
      <c r="AJ157" s="346"/>
      <c r="AK157" s="346"/>
      <c r="AL157" s="346"/>
      <c r="AM157" s="346"/>
      <c r="AN157" s="346"/>
      <c r="AO157" s="346"/>
      <c r="AP157" s="346"/>
      <c r="AQ157" s="347" t="s">
        <v>101</v>
      </c>
      <c r="AR157" s="220" t="s">
        <v>102</v>
      </c>
      <c r="AS157" s="220" t="s">
        <v>103</v>
      </c>
      <c r="AT157" s="220" t="s">
        <v>104</v>
      </c>
      <c r="AU157" s="348" t="s">
        <v>105</v>
      </c>
      <c r="AV157" s="336"/>
      <c r="AW157" s="336"/>
      <c r="AX157" s="336"/>
      <c r="AY157" s="336"/>
      <c r="AZ157" s="336"/>
      <c r="BA157" s="336"/>
      <c r="BB157" s="336"/>
      <c r="BC157" s="336"/>
      <c r="BD157" s="336"/>
      <c r="BE157" s="336"/>
      <c r="BF157" s="336"/>
      <c r="BG157" s="206"/>
      <c r="BH157" s="206"/>
      <c r="BI157" s="206"/>
      <c r="BJ157" s="206"/>
      <c r="BK157" s="206"/>
      <c r="BL157" s="206"/>
      <c r="BM157" s="206"/>
      <c r="BN157" s="206"/>
      <c r="BO157" s="342"/>
      <c r="BP157" s="343"/>
      <c r="BQ157" s="343">
        <v>1</v>
      </c>
      <c r="BR157" s="343">
        <v>2</v>
      </c>
      <c r="BS157" s="343">
        <v>3</v>
      </c>
      <c r="BT157" s="343">
        <v>4</v>
      </c>
      <c r="BU157" s="343">
        <v>1</v>
      </c>
      <c r="BV157" s="343">
        <v>2</v>
      </c>
      <c r="BW157" s="343">
        <v>3</v>
      </c>
      <c r="BX157" s="343">
        <v>4</v>
      </c>
      <c r="BY157" s="343">
        <v>1</v>
      </c>
      <c r="BZ157" s="343">
        <v>2</v>
      </c>
      <c r="CA157" s="343">
        <v>3</v>
      </c>
      <c r="CB157" s="343">
        <v>4</v>
      </c>
      <c r="CC157" s="343">
        <v>1</v>
      </c>
      <c r="CD157" s="343">
        <v>2</v>
      </c>
      <c r="CE157" s="343">
        <v>3</v>
      </c>
      <c r="CF157" s="343">
        <v>4</v>
      </c>
      <c r="CG157" s="343">
        <v>1</v>
      </c>
      <c r="CH157" s="343">
        <v>2</v>
      </c>
      <c r="CI157" s="343">
        <v>3</v>
      </c>
      <c r="CJ157" s="349">
        <v>4</v>
      </c>
      <c r="CK157" s="349"/>
      <c r="CL157" s="349"/>
      <c r="CM157" s="349"/>
      <c r="CN157" s="349"/>
      <c r="CO157" s="349"/>
      <c r="CP157" s="349"/>
      <c r="CQ157" s="349"/>
      <c r="CR157" s="349"/>
      <c r="CS157" s="349"/>
      <c r="CT157" s="349"/>
      <c r="CU157" s="349"/>
      <c r="CV157" s="349"/>
      <c r="CW157" s="349"/>
      <c r="CX157" s="349"/>
      <c r="CY157" s="349"/>
      <c r="CZ157" s="349"/>
      <c r="DA157" s="349"/>
      <c r="DB157" s="349"/>
      <c r="DC157" s="349"/>
      <c r="DD157" s="349"/>
      <c r="DE157" s="220" t="s">
        <v>101</v>
      </c>
      <c r="DF157" s="220" t="s">
        <v>102</v>
      </c>
      <c r="DG157" s="220" t="s">
        <v>103</v>
      </c>
      <c r="DH157" s="220" t="s">
        <v>104</v>
      </c>
      <c r="DI157" s="220" t="s">
        <v>105</v>
      </c>
      <c r="DJ157" s="220"/>
      <c r="DK157" s="220"/>
      <c r="DL157" s="220"/>
      <c r="DM157" s="220"/>
      <c r="DN157" s="220"/>
      <c r="DO157" s="220" t="s">
        <v>101</v>
      </c>
      <c r="DP157" s="220" t="s">
        <v>102</v>
      </c>
      <c r="DQ157" s="220" t="s">
        <v>103</v>
      </c>
      <c r="DR157" s="220" t="s">
        <v>104</v>
      </c>
      <c r="DS157" s="220" t="s">
        <v>105</v>
      </c>
      <c r="DT157" s="336"/>
      <c r="DU157" s="336"/>
      <c r="DV157" s="336"/>
      <c r="DW157" s="336"/>
      <c r="DX157" s="336"/>
      <c r="DY157" s="336"/>
      <c r="DZ157" s="206"/>
      <c r="EA157" s="206"/>
      <c r="EB157" s="206"/>
      <c r="EC157" s="206"/>
      <c r="ED157" s="206"/>
      <c r="EE157" s="206"/>
      <c r="EF157" s="206"/>
      <c r="EG157" s="342"/>
      <c r="EH157" s="343"/>
      <c r="EI157" s="343">
        <v>1</v>
      </c>
      <c r="EJ157" s="343">
        <v>2</v>
      </c>
      <c r="EK157" s="343">
        <v>3</v>
      </c>
      <c r="EL157" s="343">
        <v>4</v>
      </c>
      <c r="EM157" s="343">
        <v>1</v>
      </c>
      <c r="EN157" s="343">
        <v>2</v>
      </c>
      <c r="EO157" s="343">
        <v>3</v>
      </c>
      <c r="EP157" s="343">
        <v>4</v>
      </c>
      <c r="EQ157" s="343">
        <v>1</v>
      </c>
      <c r="ER157" s="343">
        <v>2</v>
      </c>
      <c r="ES157" s="343">
        <v>3</v>
      </c>
      <c r="ET157" s="343">
        <v>4</v>
      </c>
      <c r="EU157" s="343">
        <v>1</v>
      </c>
      <c r="EV157" s="343">
        <v>2</v>
      </c>
      <c r="EW157" s="343">
        <v>3</v>
      </c>
      <c r="EX157" s="343">
        <v>4</v>
      </c>
      <c r="EY157" s="343">
        <v>1</v>
      </c>
      <c r="EZ157" s="343">
        <v>2</v>
      </c>
      <c r="FA157" s="343">
        <v>3</v>
      </c>
      <c r="FB157" s="343">
        <v>4</v>
      </c>
      <c r="FC157" s="343"/>
      <c r="FD157" s="343"/>
      <c r="FE157" s="343"/>
      <c r="FF157" s="343"/>
      <c r="FG157" s="343"/>
      <c r="FH157" s="343"/>
      <c r="FI157" s="343"/>
      <c r="FJ157" s="343"/>
      <c r="FK157" s="343"/>
      <c r="FL157" s="343"/>
      <c r="FM157" s="343"/>
      <c r="FN157" s="343"/>
      <c r="FO157" s="343"/>
      <c r="FP157" s="343"/>
      <c r="FQ157" s="343"/>
      <c r="FR157" s="343"/>
      <c r="FS157" s="343"/>
      <c r="FT157" s="343"/>
      <c r="FU157" s="343"/>
      <c r="FV157" s="343"/>
      <c r="FW157" s="343"/>
      <c r="FX157" s="661"/>
      <c r="FY157" s="662"/>
      <c r="FZ157" s="661"/>
      <c r="GA157" s="664"/>
      <c r="GB157" s="661"/>
      <c r="GC157" s="664"/>
      <c r="GD157" s="661"/>
      <c r="GE157" s="664"/>
      <c r="GF157" s="661"/>
      <c r="GG157" s="664"/>
      <c r="GH157" s="665"/>
      <c r="GI157" s="206"/>
      <c r="GJ157" s="206"/>
      <c r="GK157" s="655"/>
      <c r="GL157" s="206"/>
      <c r="GM157" s="206"/>
      <c r="GN157" s="206"/>
      <c r="GO157" s="206"/>
      <c r="GP157" s="206"/>
      <c r="GQ157" s="206"/>
      <c r="GR157" s="206"/>
      <c r="GS157" s="206"/>
    </row>
    <row r="158" spans="1:201">
      <c r="A158" s="636">
        <v>1</v>
      </c>
      <c r="B158" s="208" t="s">
        <v>15</v>
      </c>
      <c r="C158" s="353">
        <f t="shared" ref="C158:V170" si="187">(IF(GV4=1,IF(C4&lt;=$BJ$49,C4*1000*$BI4,$BJ$49*1000*$BI4),IF(GV4*$BJ$49&gt;=C4,C4*1000*$BI4,GV4*1000*$BJ$49*$BI4)))*90*$C$26</f>
        <v>1029369.5999999997</v>
      </c>
      <c r="D158" s="353">
        <f t="shared" si="187"/>
        <v>1055103.8399999999</v>
      </c>
      <c r="E158" s="353">
        <f t="shared" si="187"/>
        <v>1080838.0799999998</v>
      </c>
      <c r="F158" s="353">
        <f t="shared" si="187"/>
        <v>1106572.3199999998</v>
      </c>
      <c r="G158" s="353">
        <f t="shared" si="187"/>
        <v>1189387.3206660287</v>
      </c>
      <c r="H158" s="353">
        <f t="shared" si="187"/>
        <v>1222875.4418194445</v>
      </c>
      <c r="I158" s="353">
        <f t="shared" si="187"/>
        <v>1243501.6253029667</v>
      </c>
      <c r="J158" s="353">
        <f t="shared" si="187"/>
        <v>1270558.7776214359</v>
      </c>
      <c r="K158" s="353">
        <f t="shared" si="187"/>
        <v>1341359.9999999998</v>
      </c>
      <c r="L158" s="353">
        <f t="shared" si="187"/>
        <v>1341359.9999999998</v>
      </c>
      <c r="M158" s="353">
        <f t="shared" si="187"/>
        <v>1341359.9999999998</v>
      </c>
      <c r="N158" s="353">
        <f t="shared" si="187"/>
        <v>1341359.9999999998</v>
      </c>
      <c r="O158" s="353">
        <f t="shared" si="187"/>
        <v>1341359.9999999998</v>
      </c>
      <c r="P158" s="353">
        <f t="shared" si="187"/>
        <v>1341359.9999999998</v>
      </c>
      <c r="Q158" s="353">
        <f t="shared" si="187"/>
        <v>1341359.9999999998</v>
      </c>
      <c r="R158" s="353">
        <f t="shared" si="187"/>
        <v>1341359.9999999998</v>
      </c>
      <c r="S158" s="353">
        <f t="shared" si="187"/>
        <v>1341359.9999999998</v>
      </c>
      <c r="T158" s="353">
        <f t="shared" si="187"/>
        <v>1341359.9999999998</v>
      </c>
      <c r="U158" s="353">
        <f t="shared" si="187"/>
        <v>1341359.9999999998</v>
      </c>
      <c r="V158" s="353">
        <f t="shared" si="187"/>
        <v>1341359.9999999998</v>
      </c>
      <c r="W158" s="353"/>
      <c r="X158" s="353"/>
      <c r="Y158" s="353"/>
      <c r="Z158" s="353"/>
      <c r="AA158" s="353"/>
      <c r="AB158" s="353"/>
      <c r="AC158" s="353"/>
      <c r="AD158" s="353"/>
      <c r="AE158" s="353"/>
      <c r="AF158" s="353"/>
      <c r="AG158" s="353"/>
      <c r="AH158" s="353"/>
      <c r="AI158" s="353"/>
      <c r="AJ158" s="353"/>
      <c r="AK158" s="353"/>
      <c r="AL158" s="353"/>
      <c r="AM158" s="353"/>
      <c r="AN158" s="353"/>
      <c r="AO158" s="353"/>
      <c r="AP158" s="353"/>
      <c r="AQ158" s="235">
        <f>SUM(C158:F158)</f>
        <v>4271883.84</v>
      </c>
      <c r="AR158" s="235">
        <f t="shared" ref="AR158:AR166" si="188">SUM(G158:J158)</f>
        <v>4926323.165409876</v>
      </c>
      <c r="AS158" s="235">
        <f t="shared" ref="AS158:AS171" si="189">SUM(K158:N158)</f>
        <v>5365439.9999999991</v>
      </c>
      <c r="AT158" s="235">
        <f t="shared" ref="AT158:AT177" si="190">SUM(O158:R158)</f>
        <v>5365439.9999999991</v>
      </c>
      <c r="AU158" s="235">
        <f t="shared" ref="AU158:AU177" si="191">SUM(S158:V158)</f>
        <v>5365439.9999999991</v>
      </c>
      <c r="AV158" s="354"/>
      <c r="AW158" s="354"/>
      <c r="AX158" s="354"/>
      <c r="AY158" s="354"/>
      <c r="AZ158" s="354"/>
      <c r="BA158" s="354"/>
      <c r="BB158" s="354"/>
      <c r="BC158" s="354"/>
      <c r="BD158" s="354"/>
      <c r="BE158" s="354"/>
      <c r="BF158" s="354"/>
      <c r="BG158" s="206"/>
      <c r="BH158" s="206"/>
      <c r="BI158" s="206"/>
      <c r="BJ158" s="206"/>
      <c r="BK158" s="206"/>
      <c r="BL158" s="206"/>
      <c r="BM158" s="206"/>
      <c r="BN158" s="206"/>
      <c r="BO158" s="636">
        <v>1</v>
      </c>
      <c r="BP158" s="208" t="s">
        <v>15</v>
      </c>
      <c r="BQ158" s="355">
        <f t="shared" ref="BQ158:CJ170" si="192">GV4*$DR4*90</f>
        <v>1018838.3216779405</v>
      </c>
      <c r="BR158" s="355">
        <f t="shared" si="192"/>
        <v>1018838.3216779405</v>
      </c>
      <c r="BS158" s="355">
        <f t="shared" si="192"/>
        <v>1018838.3216779405</v>
      </c>
      <c r="BT158" s="355">
        <f t="shared" si="192"/>
        <v>1018838.3216779405</v>
      </c>
      <c r="BU158" s="355">
        <f t="shared" si="192"/>
        <v>1018838.3216779405</v>
      </c>
      <c r="BV158" s="355">
        <f t="shared" si="192"/>
        <v>1018838.3216779405</v>
      </c>
      <c r="BW158" s="355">
        <f t="shared" si="192"/>
        <v>1018838.3216779405</v>
      </c>
      <c r="BX158" s="355">
        <f t="shared" si="192"/>
        <v>1018838.3216779405</v>
      </c>
      <c r="BY158" s="355">
        <f t="shared" si="192"/>
        <v>1018838.3216779405</v>
      </c>
      <c r="BZ158" s="355">
        <f t="shared" si="192"/>
        <v>1018838.3216779405</v>
      </c>
      <c r="CA158" s="355">
        <f t="shared" si="192"/>
        <v>1018838.3216779405</v>
      </c>
      <c r="CB158" s="355">
        <f t="shared" si="192"/>
        <v>1018838.3216779405</v>
      </c>
      <c r="CC158" s="355">
        <f t="shared" si="192"/>
        <v>1018838.3216779405</v>
      </c>
      <c r="CD158" s="355">
        <f t="shared" si="192"/>
        <v>1018838.3216779405</v>
      </c>
      <c r="CE158" s="355">
        <f t="shared" si="192"/>
        <v>1018838.3216779405</v>
      </c>
      <c r="CF158" s="355">
        <f t="shared" si="192"/>
        <v>1018838.3216779405</v>
      </c>
      <c r="CG158" s="355">
        <f t="shared" si="192"/>
        <v>1018838.3216779405</v>
      </c>
      <c r="CH158" s="355">
        <f t="shared" si="192"/>
        <v>1018838.3216779405</v>
      </c>
      <c r="CI158" s="355">
        <f t="shared" si="192"/>
        <v>1018838.3216779405</v>
      </c>
      <c r="CJ158" s="355">
        <f t="shared" si="192"/>
        <v>1018838.3216779405</v>
      </c>
      <c r="CK158" s="355"/>
      <c r="CL158" s="355"/>
      <c r="CM158" s="355"/>
      <c r="CN158" s="355"/>
      <c r="CO158" s="355"/>
      <c r="CP158" s="355"/>
      <c r="CQ158" s="355"/>
      <c r="CR158" s="355"/>
      <c r="CS158" s="355"/>
      <c r="CT158" s="355"/>
      <c r="CU158" s="355"/>
      <c r="CV158" s="355"/>
      <c r="CW158" s="355"/>
      <c r="CX158" s="355"/>
      <c r="CY158" s="355"/>
      <c r="CZ158" s="355"/>
      <c r="DA158" s="355"/>
      <c r="DB158" s="355"/>
      <c r="DC158" s="355"/>
      <c r="DD158" s="355"/>
      <c r="DE158" s="234">
        <f>SUM(BQ158:BT158)</f>
        <v>4075353.2867117622</v>
      </c>
      <c r="DF158" s="235">
        <f>SUM(BU158:BX158)</f>
        <v>4075353.2867117622</v>
      </c>
      <c r="DG158" s="235">
        <f>SUM(BY158:CB158)</f>
        <v>4075353.2867117622</v>
      </c>
      <c r="DH158" s="235">
        <f>SUM(CC158:CF158)</f>
        <v>4075353.2867117622</v>
      </c>
      <c r="DI158" s="236">
        <f>SUM(CG158:CJ158)</f>
        <v>4075353.2867117622</v>
      </c>
      <c r="DJ158" s="356"/>
      <c r="DK158" s="356"/>
      <c r="DL158" s="356"/>
      <c r="DM158" s="356"/>
      <c r="DN158" s="356"/>
      <c r="DO158" s="234">
        <f t="shared" ref="DO158:DS173" si="193">AQ158-DE158</f>
        <v>196530.55328823766</v>
      </c>
      <c r="DP158" s="235">
        <f t="shared" si="193"/>
        <v>850969.87869811384</v>
      </c>
      <c r="DQ158" s="235">
        <f t="shared" si="193"/>
        <v>1290086.7132882369</v>
      </c>
      <c r="DR158" s="235">
        <f t="shared" si="193"/>
        <v>1290086.7132882369</v>
      </c>
      <c r="DS158" s="236">
        <f t="shared" si="193"/>
        <v>1290086.7132882369</v>
      </c>
      <c r="DT158" s="354"/>
      <c r="DU158" s="354"/>
      <c r="DV158" s="354"/>
      <c r="DW158" s="354"/>
      <c r="DX158" s="354"/>
      <c r="DY158" s="354"/>
      <c r="DZ158" s="206"/>
      <c r="EA158" s="206"/>
      <c r="EB158" s="206"/>
      <c r="EC158" s="206"/>
      <c r="ED158" s="206"/>
      <c r="EE158" s="206"/>
      <c r="EF158" s="206"/>
      <c r="EG158" s="656">
        <v>1</v>
      </c>
      <c r="EH158" s="359" t="s">
        <v>15</v>
      </c>
      <c r="EI158" s="355">
        <f t="shared" ref="EI158:EX173" si="194">C158-BQ158</f>
        <v>10531.278322059195</v>
      </c>
      <c r="EJ158" s="355">
        <f t="shared" si="194"/>
        <v>36265.518322059303</v>
      </c>
      <c r="EK158" s="355">
        <f t="shared" si="194"/>
        <v>61999.758322059293</v>
      </c>
      <c r="EL158" s="355">
        <f t="shared" si="194"/>
        <v>87733.998322059284</v>
      </c>
      <c r="EM158" s="355">
        <f t="shared" si="194"/>
        <v>170548.9989880881</v>
      </c>
      <c r="EN158" s="355">
        <f t="shared" si="194"/>
        <v>204037.12014150398</v>
      </c>
      <c r="EO158" s="355">
        <f t="shared" si="194"/>
        <v>224663.30362502614</v>
      </c>
      <c r="EP158" s="355">
        <f t="shared" si="194"/>
        <v>251720.45594349538</v>
      </c>
      <c r="EQ158" s="355">
        <f t="shared" si="194"/>
        <v>322521.67832205922</v>
      </c>
      <c r="ER158" s="355">
        <f t="shared" si="194"/>
        <v>322521.67832205922</v>
      </c>
      <c r="ES158" s="355">
        <f t="shared" si="194"/>
        <v>322521.67832205922</v>
      </c>
      <c r="ET158" s="355">
        <f t="shared" si="194"/>
        <v>322521.67832205922</v>
      </c>
      <c r="EU158" s="355">
        <f t="shared" si="194"/>
        <v>322521.67832205922</v>
      </c>
      <c r="EV158" s="355">
        <f t="shared" si="194"/>
        <v>322521.67832205922</v>
      </c>
      <c r="EW158" s="355">
        <f t="shared" si="194"/>
        <v>322521.67832205922</v>
      </c>
      <c r="EX158" s="355">
        <f t="shared" si="194"/>
        <v>322521.67832205922</v>
      </c>
      <c r="EY158" s="355">
        <f t="shared" ref="EY158:FB174" si="195">S158-CG158</f>
        <v>322521.67832205922</v>
      </c>
      <c r="EZ158" s="355">
        <f t="shared" si="195"/>
        <v>322521.67832205922</v>
      </c>
      <c r="FA158" s="355">
        <f t="shared" si="195"/>
        <v>322521.67832205922</v>
      </c>
      <c r="FB158" s="355">
        <f t="shared" si="195"/>
        <v>322521.67832205922</v>
      </c>
      <c r="FC158" s="355"/>
      <c r="FD158" s="355"/>
      <c r="FE158" s="355"/>
      <c r="FF158" s="355"/>
      <c r="FG158" s="355"/>
      <c r="FH158" s="355"/>
      <c r="FI158" s="355"/>
      <c r="FJ158" s="355"/>
      <c r="FK158" s="355"/>
      <c r="FL158" s="355"/>
      <c r="FM158" s="355"/>
      <c r="FN158" s="355"/>
      <c r="FO158" s="355"/>
      <c r="FP158" s="355"/>
      <c r="FQ158" s="355"/>
      <c r="FR158" s="355"/>
      <c r="FS158" s="355"/>
      <c r="FT158" s="355"/>
      <c r="FU158" s="355"/>
      <c r="FV158" s="355"/>
      <c r="FW158" s="355"/>
      <c r="FX158" s="360">
        <f>AVERAGE(EI158:EL158)</f>
        <v>49132.638322059269</v>
      </c>
      <c r="FY158" s="657">
        <f>SUM(FX158:FX162)</f>
        <v>-939191.26365090022</v>
      </c>
      <c r="FZ158" s="360">
        <f t="shared" ref="FZ158:FZ166" si="196">AVERAGE(EM158:EP158)</f>
        <v>212742.4696745284</v>
      </c>
      <c r="GA158" s="657">
        <f>SUM(FZ158:FZ162)</f>
        <v>-435676.20578164957</v>
      </c>
      <c r="GB158" s="360">
        <f t="shared" ref="GB158:GB170" si="197">AVERAGE(EQ158:ET158)</f>
        <v>322521.67832205922</v>
      </c>
      <c r="GC158" s="657">
        <f>SUM(GB158:GB162)</f>
        <v>7268.0580438866455</v>
      </c>
      <c r="GD158" s="360">
        <f t="shared" ref="GD158:GD174" si="198">AVERAGE(EU158:EX158)</f>
        <v>322521.67832205922</v>
      </c>
      <c r="GE158" s="657">
        <f>SUM(GD158:GD162)</f>
        <v>329589.76458417228</v>
      </c>
      <c r="GF158" s="360">
        <f t="shared" ref="GF158:GF174" si="199">AVERAGE(EY158:FB158)</f>
        <v>322521.67832205922</v>
      </c>
      <c r="GG158" s="657">
        <f>SUM(GF158:GF162)</f>
        <v>676792.46352548292</v>
      </c>
      <c r="GH158" s="639">
        <f>GG158+GE158+GC158+GA158+FY158</f>
        <v>-361217.18327900791</v>
      </c>
      <c r="GI158" s="206"/>
      <c r="GJ158" s="656">
        <v>1</v>
      </c>
      <c r="GK158" s="635">
        <f>SUM(EK158:FB162)</f>
        <v>577620.55949099327</v>
      </c>
      <c r="GL158" s="206"/>
      <c r="GM158" s="206"/>
      <c r="GN158" s="206"/>
      <c r="GO158" s="206"/>
      <c r="GP158" s="206"/>
      <c r="GQ158" s="206"/>
      <c r="GR158" s="206"/>
      <c r="GS158" s="206"/>
    </row>
    <row r="159" spans="1:201">
      <c r="A159" s="636"/>
      <c r="B159" s="208" t="s">
        <v>16</v>
      </c>
      <c r="C159" s="353">
        <f t="shared" si="187"/>
        <v>461048.96234984981</v>
      </c>
      <c r="D159" s="353">
        <f t="shared" si="187"/>
        <v>472575.18640859606</v>
      </c>
      <c r="E159" s="353">
        <f t="shared" si="187"/>
        <v>484101.41046734247</v>
      </c>
      <c r="F159" s="353">
        <f t="shared" si="187"/>
        <v>495627.63452608866</v>
      </c>
      <c r="G159" s="353">
        <f t="shared" si="187"/>
        <v>532720.01623628754</v>
      </c>
      <c r="H159" s="353">
        <f t="shared" si="187"/>
        <v>547719.16086697055</v>
      </c>
      <c r="I159" s="353">
        <f t="shared" si="187"/>
        <v>556957.51460533193</v>
      </c>
      <c r="J159" s="353">
        <f t="shared" si="187"/>
        <v>569076.26378985425</v>
      </c>
      <c r="K159" s="353">
        <f t="shared" si="187"/>
        <v>590527.60832286277</v>
      </c>
      <c r="L159" s="353">
        <f t="shared" si="187"/>
        <v>590527.60832286277</v>
      </c>
      <c r="M159" s="353">
        <f t="shared" si="187"/>
        <v>590527.60832286277</v>
      </c>
      <c r="N159" s="353">
        <f t="shared" si="187"/>
        <v>590527.60832286277</v>
      </c>
      <c r="O159" s="353">
        <f t="shared" si="187"/>
        <v>590527.60832286277</v>
      </c>
      <c r="P159" s="353">
        <f t="shared" si="187"/>
        <v>590527.60832286277</v>
      </c>
      <c r="Q159" s="353">
        <f t="shared" si="187"/>
        <v>590527.60832286277</v>
      </c>
      <c r="R159" s="353">
        <f t="shared" si="187"/>
        <v>590527.60832286277</v>
      </c>
      <c r="S159" s="353">
        <f t="shared" si="187"/>
        <v>590527.60832286277</v>
      </c>
      <c r="T159" s="353">
        <f t="shared" si="187"/>
        <v>590527.60832286277</v>
      </c>
      <c r="U159" s="353">
        <f t="shared" si="187"/>
        <v>590527.60832286277</v>
      </c>
      <c r="V159" s="353">
        <f t="shared" si="187"/>
        <v>590527.60832286277</v>
      </c>
      <c r="W159" s="353"/>
      <c r="X159" s="353"/>
      <c r="Y159" s="353"/>
      <c r="Z159" s="353"/>
      <c r="AA159" s="353"/>
      <c r="AB159" s="353"/>
      <c r="AC159" s="353"/>
      <c r="AD159" s="353"/>
      <c r="AE159" s="353"/>
      <c r="AF159" s="353"/>
      <c r="AG159" s="353"/>
      <c r="AH159" s="353"/>
      <c r="AI159" s="353"/>
      <c r="AJ159" s="353"/>
      <c r="AK159" s="353"/>
      <c r="AL159" s="353"/>
      <c r="AM159" s="353"/>
      <c r="AN159" s="353"/>
      <c r="AO159" s="353"/>
      <c r="AP159" s="353"/>
      <c r="AQ159" s="235">
        <f>SUM(C159:F159)</f>
        <v>1913353.1937518769</v>
      </c>
      <c r="AR159" s="235">
        <f t="shared" si="188"/>
        <v>2206472.9554984444</v>
      </c>
      <c r="AS159" s="235">
        <f t="shared" si="189"/>
        <v>2362110.4332914511</v>
      </c>
      <c r="AT159" s="235">
        <f t="shared" si="190"/>
        <v>2362110.4332914511</v>
      </c>
      <c r="AU159" s="235">
        <f t="shared" si="191"/>
        <v>2362110.4332914511</v>
      </c>
      <c r="AV159" s="354"/>
      <c r="AW159" s="354"/>
      <c r="AX159" s="354"/>
      <c r="AY159" s="354"/>
      <c r="AZ159" s="354"/>
      <c r="BA159" s="354"/>
      <c r="BB159" s="354"/>
      <c r="BC159" s="354"/>
      <c r="BD159" s="354"/>
      <c r="BE159" s="354"/>
      <c r="BF159" s="354"/>
      <c r="BG159" s="206"/>
      <c r="BH159" s="206"/>
      <c r="BI159" s="206"/>
      <c r="BJ159" s="206"/>
      <c r="BK159" s="206"/>
      <c r="BL159" s="206"/>
      <c r="BM159" s="206"/>
      <c r="BN159" s="206"/>
      <c r="BO159" s="636"/>
      <c r="BP159" s="208" t="s">
        <v>16</v>
      </c>
      <c r="BQ159" s="355">
        <f t="shared" si="192"/>
        <v>762812.29128885025</v>
      </c>
      <c r="BR159" s="355">
        <f t="shared" si="192"/>
        <v>762812.29128885025</v>
      </c>
      <c r="BS159" s="355">
        <f t="shared" si="192"/>
        <v>762812.29128885025</v>
      </c>
      <c r="BT159" s="355">
        <f t="shared" si="192"/>
        <v>762812.29128885025</v>
      </c>
      <c r="BU159" s="355">
        <f t="shared" si="192"/>
        <v>762812.29128885025</v>
      </c>
      <c r="BV159" s="355">
        <f t="shared" si="192"/>
        <v>762812.29128885025</v>
      </c>
      <c r="BW159" s="355">
        <f t="shared" si="192"/>
        <v>762812.29128885025</v>
      </c>
      <c r="BX159" s="355">
        <f t="shared" si="192"/>
        <v>762812.29128885025</v>
      </c>
      <c r="BY159" s="355">
        <f t="shared" si="192"/>
        <v>762812.29128885025</v>
      </c>
      <c r="BZ159" s="355">
        <f t="shared" si="192"/>
        <v>762812.29128885025</v>
      </c>
      <c r="CA159" s="355">
        <f t="shared" si="192"/>
        <v>762812.29128885025</v>
      </c>
      <c r="CB159" s="355">
        <f t="shared" si="192"/>
        <v>762812.29128885025</v>
      </c>
      <c r="CC159" s="355">
        <f t="shared" si="192"/>
        <v>762812.29128885025</v>
      </c>
      <c r="CD159" s="355">
        <f t="shared" si="192"/>
        <v>762812.29128885025</v>
      </c>
      <c r="CE159" s="355">
        <f t="shared" si="192"/>
        <v>762812.29128885025</v>
      </c>
      <c r="CF159" s="355">
        <f t="shared" si="192"/>
        <v>762812.29128885025</v>
      </c>
      <c r="CG159" s="355">
        <f t="shared" si="192"/>
        <v>762812.29128885025</v>
      </c>
      <c r="CH159" s="355">
        <f t="shared" si="192"/>
        <v>762812.29128885025</v>
      </c>
      <c r="CI159" s="355">
        <f t="shared" si="192"/>
        <v>762812.29128885025</v>
      </c>
      <c r="CJ159" s="355">
        <f t="shared" si="192"/>
        <v>762812.29128885025</v>
      </c>
      <c r="CK159" s="355"/>
      <c r="CL159" s="355"/>
      <c r="CM159" s="355"/>
      <c r="CN159" s="355"/>
      <c r="CO159" s="355"/>
      <c r="CP159" s="355"/>
      <c r="CQ159" s="355"/>
      <c r="CR159" s="355"/>
      <c r="CS159" s="355"/>
      <c r="CT159" s="355"/>
      <c r="CU159" s="355"/>
      <c r="CV159" s="355"/>
      <c r="CW159" s="355"/>
      <c r="CX159" s="355"/>
      <c r="CY159" s="355"/>
      <c r="CZ159" s="355"/>
      <c r="DA159" s="355"/>
      <c r="DB159" s="355"/>
      <c r="DC159" s="355"/>
      <c r="DD159" s="355"/>
      <c r="DE159" s="234">
        <f t="shared" ref="DE159:DE162" si="200">SUM(BQ159:BT159)</f>
        <v>3051249.165155401</v>
      </c>
      <c r="DF159" s="235">
        <f t="shared" ref="DF159:DF166" si="201">SUM(BU159:BX159)</f>
        <v>3051249.165155401</v>
      </c>
      <c r="DG159" s="235">
        <f t="shared" ref="DG159:DG170" si="202">SUM(BY159:CB159)</f>
        <v>3051249.165155401</v>
      </c>
      <c r="DH159" s="235">
        <f t="shared" ref="DH159:DH174" si="203">SUM(CC159:CF159)</f>
        <v>3051249.165155401</v>
      </c>
      <c r="DI159" s="236">
        <f t="shared" ref="DI159:DI174" si="204">SUM(CG159:CJ159)</f>
        <v>3051249.165155401</v>
      </c>
      <c r="DJ159" s="356"/>
      <c r="DK159" s="356"/>
      <c r="DL159" s="356"/>
      <c r="DM159" s="356"/>
      <c r="DN159" s="356"/>
      <c r="DO159" s="234">
        <f t="shared" si="193"/>
        <v>-1137895.971403524</v>
      </c>
      <c r="DP159" s="235">
        <f t="shared" si="193"/>
        <v>-844776.20965695661</v>
      </c>
      <c r="DQ159" s="235">
        <f t="shared" si="193"/>
        <v>-689138.73186394991</v>
      </c>
      <c r="DR159" s="235">
        <f t="shared" si="193"/>
        <v>-689138.73186394991</v>
      </c>
      <c r="DS159" s="236">
        <f t="shared" si="193"/>
        <v>-689138.73186394991</v>
      </c>
      <c r="DT159" s="354"/>
      <c r="DU159" s="354"/>
      <c r="DV159" s="354"/>
      <c r="DW159" s="354"/>
      <c r="DX159" s="354"/>
      <c r="DY159" s="354"/>
      <c r="DZ159" s="206"/>
      <c r="EA159" s="206"/>
      <c r="EB159" s="206"/>
      <c r="EC159" s="206"/>
      <c r="ED159" s="206"/>
      <c r="EE159" s="206"/>
      <c r="EF159" s="206"/>
      <c r="EG159" s="636"/>
      <c r="EH159" s="361" t="s">
        <v>16</v>
      </c>
      <c r="EI159" s="355">
        <f t="shared" si="194"/>
        <v>-301763.32893900044</v>
      </c>
      <c r="EJ159" s="355">
        <f t="shared" si="194"/>
        <v>-290237.10488025419</v>
      </c>
      <c r="EK159" s="355">
        <f t="shared" si="194"/>
        <v>-278710.88082150777</v>
      </c>
      <c r="EL159" s="355">
        <f t="shared" si="194"/>
        <v>-267184.65676276159</v>
      </c>
      <c r="EM159" s="355">
        <f t="shared" si="194"/>
        <v>-230092.27505256271</v>
      </c>
      <c r="EN159" s="355">
        <f t="shared" si="194"/>
        <v>-215093.1304218797</v>
      </c>
      <c r="EO159" s="355">
        <f t="shared" si="194"/>
        <v>-205854.77668351831</v>
      </c>
      <c r="EP159" s="355">
        <f t="shared" si="194"/>
        <v>-193736.027498996</v>
      </c>
      <c r="EQ159" s="355">
        <f t="shared" si="194"/>
        <v>-172284.68296598748</v>
      </c>
      <c r="ER159" s="355">
        <f t="shared" si="194"/>
        <v>-172284.68296598748</v>
      </c>
      <c r="ES159" s="355">
        <f t="shared" si="194"/>
        <v>-172284.68296598748</v>
      </c>
      <c r="ET159" s="355">
        <f t="shared" si="194"/>
        <v>-172284.68296598748</v>
      </c>
      <c r="EU159" s="355">
        <f t="shared" si="194"/>
        <v>-172284.68296598748</v>
      </c>
      <c r="EV159" s="355">
        <f t="shared" si="194"/>
        <v>-172284.68296598748</v>
      </c>
      <c r="EW159" s="355">
        <f t="shared" si="194"/>
        <v>-172284.68296598748</v>
      </c>
      <c r="EX159" s="355">
        <f t="shared" si="194"/>
        <v>-172284.68296598748</v>
      </c>
      <c r="EY159" s="355">
        <f t="shared" si="195"/>
        <v>-172284.68296598748</v>
      </c>
      <c r="EZ159" s="355">
        <f t="shared" si="195"/>
        <v>-172284.68296598748</v>
      </c>
      <c r="FA159" s="355">
        <f t="shared" si="195"/>
        <v>-172284.68296598748</v>
      </c>
      <c r="FB159" s="355">
        <f t="shared" si="195"/>
        <v>-172284.68296598748</v>
      </c>
      <c r="FC159" s="355"/>
      <c r="FD159" s="355"/>
      <c r="FE159" s="355"/>
      <c r="FF159" s="355"/>
      <c r="FG159" s="355"/>
      <c r="FH159" s="355"/>
      <c r="FI159" s="355"/>
      <c r="FJ159" s="355"/>
      <c r="FK159" s="355"/>
      <c r="FL159" s="355"/>
      <c r="FM159" s="355"/>
      <c r="FN159" s="355"/>
      <c r="FO159" s="355"/>
      <c r="FP159" s="355"/>
      <c r="FQ159" s="355"/>
      <c r="FR159" s="355"/>
      <c r="FS159" s="355"/>
      <c r="FT159" s="355"/>
      <c r="FU159" s="355"/>
      <c r="FV159" s="355"/>
      <c r="FW159" s="355"/>
      <c r="FX159" s="360">
        <f>AVERAGE(EI159:EL159)</f>
        <v>-284473.99285088101</v>
      </c>
      <c r="FY159" s="637"/>
      <c r="FZ159" s="360">
        <f t="shared" si="196"/>
        <v>-211194.05241423918</v>
      </c>
      <c r="GA159" s="637"/>
      <c r="GB159" s="360">
        <f t="shared" si="197"/>
        <v>-172284.68296598748</v>
      </c>
      <c r="GC159" s="637"/>
      <c r="GD159" s="360">
        <f t="shared" si="198"/>
        <v>-172284.68296598748</v>
      </c>
      <c r="GE159" s="637"/>
      <c r="GF159" s="360">
        <f t="shared" si="199"/>
        <v>-172284.68296598748</v>
      </c>
      <c r="GG159" s="637"/>
      <c r="GH159" s="640"/>
      <c r="GI159" s="206"/>
      <c r="GJ159" s="636"/>
      <c r="GK159" s="635"/>
      <c r="GL159" s="206"/>
      <c r="GM159" s="206"/>
      <c r="GN159" s="206"/>
      <c r="GO159" s="206"/>
      <c r="GP159" s="206"/>
      <c r="GQ159" s="206"/>
      <c r="GR159" s="206"/>
      <c r="GS159" s="206"/>
    </row>
    <row r="160" spans="1:201">
      <c r="A160" s="636"/>
      <c r="B160" s="208" t="s">
        <v>17</v>
      </c>
      <c r="C160" s="353">
        <f t="shared" si="187"/>
        <v>1020527.9999999995</v>
      </c>
      <c r="D160" s="353">
        <f t="shared" si="187"/>
        <v>1046041.1999999997</v>
      </c>
      <c r="E160" s="353">
        <f t="shared" si="187"/>
        <v>1071554.3999999997</v>
      </c>
      <c r="F160" s="353">
        <f t="shared" si="187"/>
        <v>1097067.5999999996</v>
      </c>
      <c r="G160" s="353">
        <f t="shared" si="187"/>
        <v>1179171.2749090907</v>
      </c>
      <c r="H160" s="353">
        <f t="shared" si="187"/>
        <v>1212371.7553822401</v>
      </c>
      <c r="I160" s="353">
        <f t="shared" si="187"/>
        <v>1232820.7736727269</v>
      </c>
      <c r="J160" s="353">
        <f t="shared" si="187"/>
        <v>1259645.523054546</v>
      </c>
      <c r="K160" s="353">
        <f t="shared" si="187"/>
        <v>1351433.9028707629</v>
      </c>
      <c r="L160" s="353">
        <f t="shared" si="187"/>
        <v>1379637.6240581234</v>
      </c>
      <c r="M160" s="353">
        <f t="shared" si="187"/>
        <v>1407841.3452454829</v>
      </c>
      <c r="N160" s="353">
        <f t="shared" si="187"/>
        <v>1436045.0664328432</v>
      </c>
      <c r="O160" s="353">
        <f t="shared" si="187"/>
        <v>1538297.1570549302</v>
      </c>
      <c r="P160" s="353">
        <f t="shared" si="187"/>
        <v>1567950.7384357695</v>
      </c>
      <c r="Q160" s="353">
        <f t="shared" si="187"/>
        <v>1597604.3198166073</v>
      </c>
      <c r="R160" s="353">
        <f t="shared" si="187"/>
        <v>1627257.9011974458</v>
      </c>
      <c r="S160" s="353">
        <f t="shared" si="187"/>
        <v>1740807.2195424719</v>
      </c>
      <c r="T160" s="353">
        <f t="shared" si="187"/>
        <v>1771985.1936427155</v>
      </c>
      <c r="U160" s="353">
        <f t="shared" si="187"/>
        <v>1803163.1677429602</v>
      </c>
      <c r="V160" s="353">
        <f t="shared" si="187"/>
        <v>1834341.1418432032</v>
      </c>
      <c r="W160" s="353"/>
      <c r="X160" s="353"/>
      <c r="Y160" s="353"/>
      <c r="Z160" s="353"/>
      <c r="AA160" s="353"/>
      <c r="AB160" s="353"/>
      <c r="AC160" s="353"/>
      <c r="AD160" s="353"/>
      <c r="AE160" s="353"/>
      <c r="AF160" s="353"/>
      <c r="AG160" s="353"/>
      <c r="AH160" s="353"/>
      <c r="AI160" s="353"/>
      <c r="AJ160" s="353"/>
      <c r="AK160" s="353"/>
      <c r="AL160" s="353"/>
      <c r="AM160" s="353"/>
      <c r="AN160" s="353"/>
      <c r="AO160" s="353"/>
      <c r="AP160" s="353"/>
      <c r="AQ160" s="235">
        <f>SUM(C160:F160)</f>
        <v>4235191.1999999983</v>
      </c>
      <c r="AR160" s="235">
        <f t="shared" si="188"/>
        <v>4884009.3270186037</v>
      </c>
      <c r="AS160" s="235">
        <f t="shared" si="189"/>
        <v>5574957.9386072122</v>
      </c>
      <c r="AT160" s="235">
        <f t="shared" si="190"/>
        <v>6331110.1165047521</v>
      </c>
      <c r="AU160" s="235">
        <f t="shared" si="191"/>
        <v>7150296.7227713512</v>
      </c>
      <c r="AV160" s="354"/>
      <c r="AW160" s="354"/>
      <c r="AX160" s="354"/>
      <c r="AY160" s="354"/>
      <c r="AZ160" s="354"/>
      <c r="BA160" s="354"/>
      <c r="BB160" s="354"/>
      <c r="BC160" s="354"/>
      <c r="BD160" s="354"/>
      <c r="BE160" s="354"/>
      <c r="BF160" s="354"/>
      <c r="BG160" s="206"/>
      <c r="BH160" s="206"/>
      <c r="BI160" s="206"/>
      <c r="BJ160" s="206"/>
      <c r="BK160" s="206"/>
      <c r="BL160" s="206"/>
      <c r="BM160" s="206"/>
      <c r="BN160" s="206"/>
      <c r="BO160" s="636"/>
      <c r="BP160" s="208" t="s">
        <v>17</v>
      </c>
      <c r="BQ160" s="355">
        <f t="shared" si="192"/>
        <v>874842.20450109208</v>
      </c>
      <c r="BR160" s="355">
        <f t="shared" si="192"/>
        <v>874842.20450109208</v>
      </c>
      <c r="BS160" s="355">
        <f t="shared" si="192"/>
        <v>874842.20450109208</v>
      </c>
      <c r="BT160" s="355">
        <f t="shared" si="192"/>
        <v>874842.20450109208</v>
      </c>
      <c r="BU160" s="355">
        <f t="shared" si="192"/>
        <v>874842.20450109208</v>
      </c>
      <c r="BV160" s="355">
        <f t="shared" si="192"/>
        <v>874842.20450109208</v>
      </c>
      <c r="BW160" s="355">
        <f t="shared" si="192"/>
        <v>874842.20450109208</v>
      </c>
      <c r="BX160" s="355">
        <f t="shared" si="192"/>
        <v>874842.20450109208</v>
      </c>
      <c r="BY160" s="355">
        <f t="shared" si="192"/>
        <v>874842.20450109208</v>
      </c>
      <c r="BZ160" s="355">
        <f t="shared" si="192"/>
        <v>874842.20450109208</v>
      </c>
      <c r="CA160" s="355">
        <f t="shared" si="192"/>
        <v>874842.20450109208</v>
      </c>
      <c r="CB160" s="355">
        <f t="shared" si="192"/>
        <v>874842.20450109208</v>
      </c>
      <c r="CC160" s="355">
        <f t="shared" si="192"/>
        <v>874842.20450109208</v>
      </c>
      <c r="CD160" s="355">
        <f t="shared" si="192"/>
        <v>874842.20450109208</v>
      </c>
      <c r="CE160" s="355">
        <f t="shared" si="192"/>
        <v>874842.20450109208</v>
      </c>
      <c r="CF160" s="355">
        <f t="shared" si="192"/>
        <v>874842.20450109208</v>
      </c>
      <c r="CG160" s="355">
        <f t="shared" si="192"/>
        <v>874842.20450109208</v>
      </c>
      <c r="CH160" s="355">
        <f t="shared" si="192"/>
        <v>874842.20450109208</v>
      </c>
      <c r="CI160" s="355">
        <f t="shared" si="192"/>
        <v>874842.20450109208</v>
      </c>
      <c r="CJ160" s="355">
        <f t="shared" si="192"/>
        <v>874842.20450109208</v>
      </c>
      <c r="CK160" s="355"/>
      <c r="CL160" s="355"/>
      <c r="CM160" s="355"/>
      <c r="CN160" s="355"/>
      <c r="CO160" s="355"/>
      <c r="CP160" s="355"/>
      <c r="CQ160" s="355"/>
      <c r="CR160" s="355"/>
      <c r="CS160" s="355"/>
      <c r="CT160" s="355"/>
      <c r="CU160" s="355"/>
      <c r="CV160" s="355"/>
      <c r="CW160" s="355"/>
      <c r="CX160" s="355"/>
      <c r="CY160" s="355"/>
      <c r="CZ160" s="355"/>
      <c r="DA160" s="355"/>
      <c r="DB160" s="355"/>
      <c r="DC160" s="355"/>
      <c r="DD160" s="355"/>
      <c r="DE160" s="234">
        <f t="shared" si="200"/>
        <v>3499368.8180043683</v>
      </c>
      <c r="DF160" s="235">
        <f t="shared" si="201"/>
        <v>3499368.8180043683</v>
      </c>
      <c r="DG160" s="235">
        <f t="shared" si="202"/>
        <v>3499368.8180043683</v>
      </c>
      <c r="DH160" s="235">
        <f t="shared" si="203"/>
        <v>3499368.8180043683</v>
      </c>
      <c r="DI160" s="236">
        <f t="shared" si="204"/>
        <v>3499368.8180043683</v>
      </c>
      <c r="DJ160" s="356"/>
      <c r="DK160" s="356"/>
      <c r="DL160" s="356"/>
      <c r="DM160" s="356"/>
      <c r="DN160" s="356"/>
      <c r="DO160" s="234">
        <f t="shared" si="193"/>
        <v>735822.38199562998</v>
      </c>
      <c r="DP160" s="235">
        <f t="shared" si="193"/>
        <v>1384640.5090142353</v>
      </c>
      <c r="DQ160" s="235">
        <f t="shared" si="193"/>
        <v>2075589.1206028438</v>
      </c>
      <c r="DR160" s="235">
        <f t="shared" si="193"/>
        <v>2831741.2985003837</v>
      </c>
      <c r="DS160" s="236">
        <f t="shared" si="193"/>
        <v>3650927.9047669829</v>
      </c>
      <c r="DT160" s="354"/>
      <c r="DU160" s="354"/>
      <c r="DV160" s="354"/>
      <c r="DW160" s="354"/>
      <c r="DX160" s="354"/>
      <c r="DY160" s="354"/>
      <c r="DZ160" s="206"/>
      <c r="EA160" s="206"/>
      <c r="EB160" s="206"/>
      <c r="EC160" s="206"/>
      <c r="ED160" s="206"/>
      <c r="EE160" s="206"/>
      <c r="EF160" s="206"/>
      <c r="EG160" s="636"/>
      <c r="EH160" s="361" t="s">
        <v>17</v>
      </c>
      <c r="EI160" s="355">
        <f t="shared" si="194"/>
        <v>145685.79549890745</v>
      </c>
      <c r="EJ160" s="355">
        <f t="shared" si="194"/>
        <v>171198.99549890764</v>
      </c>
      <c r="EK160" s="355">
        <f t="shared" si="194"/>
        <v>196712.19549890759</v>
      </c>
      <c r="EL160" s="355">
        <f t="shared" si="194"/>
        <v>222225.39549890754</v>
      </c>
      <c r="EM160" s="355">
        <f t="shared" si="194"/>
        <v>304329.07040799863</v>
      </c>
      <c r="EN160" s="355">
        <f t="shared" si="194"/>
        <v>337529.55088114797</v>
      </c>
      <c r="EO160" s="355">
        <f t="shared" si="194"/>
        <v>357978.56917163485</v>
      </c>
      <c r="EP160" s="355">
        <f t="shared" si="194"/>
        <v>384803.31855345389</v>
      </c>
      <c r="EQ160" s="355">
        <f t="shared" si="194"/>
        <v>476591.69836967078</v>
      </c>
      <c r="ER160" s="355">
        <f t="shared" si="194"/>
        <v>504795.41955703136</v>
      </c>
      <c r="ES160" s="355">
        <f t="shared" si="194"/>
        <v>532999.14074439078</v>
      </c>
      <c r="ET160" s="355">
        <f t="shared" si="194"/>
        <v>561202.86193175113</v>
      </c>
      <c r="EU160" s="355">
        <f t="shared" si="194"/>
        <v>663454.95255383814</v>
      </c>
      <c r="EV160" s="355">
        <f t="shared" si="194"/>
        <v>693108.53393467737</v>
      </c>
      <c r="EW160" s="355">
        <f t="shared" si="194"/>
        <v>722762.1153155152</v>
      </c>
      <c r="EX160" s="355">
        <f t="shared" si="194"/>
        <v>752415.69669635373</v>
      </c>
      <c r="EY160" s="355">
        <f t="shared" si="195"/>
        <v>865965.01504137984</v>
      </c>
      <c r="EZ160" s="355">
        <f t="shared" si="195"/>
        <v>897142.98914162337</v>
      </c>
      <c r="FA160" s="355">
        <f t="shared" si="195"/>
        <v>928320.96324186807</v>
      </c>
      <c r="FB160" s="355">
        <f t="shared" si="195"/>
        <v>959498.93734211114</v>
      </c>
      <c r="FC160" s="355"/>
      <c r="FD160" s="355"/>
      <c r="FE160" s="355"/>
      <c r="FF160" s="355"/>
      <c r="FG160" s="355"/>
      <c r="FH160" s="355"/>
      <c r="FI160" s="355"/>
      <c r="FJ160" s="355"/>
      <c r="FK160" s="355"/>
      <c r="FL160" s="355"/>
      <c r="FM160" s="355"/>
      <c r="FN160" s="355"/>
      <c r="FO160" s="355"/>
      <c r="FP160" s="355"/>
      <c r="FQ160" s="355"/>
      <c r="FR160" s="355"/>
      <c r="FS160" s="355"/>
      <c r="FT160" s="355"/>
      <c r="FU160" s="355"/>
      <c r="FV160" s="355"/>
      <c r="FW160" s="355"/>
      <c r="FX160" s="360">
        <f>AVERAGE(EI160:EL160)</f>
        <v>183955.59549890755</v>
      </c>
      <c r="FY160" s="637"/>
      <c r="FZ160" s="360">
        <f t="shared" si="196"/>
        <v>346160.12725355884</v>
      </c>
      <c r="GA160" s="637"/>
      <c r="GB160" s="360">
        <f t="shared" si="197"/>
        <v>518897.28015071095</v>
      </c>
      <c r="GC160" s="637"/>
      <c r="GD160" s="360">
        <f t="shared" si="198"/>
        <v>707935.32462509605</v>
      </c>
      <c r="GE160" s="637"/>
      <c r="GF160" s="360">
        <f t="shared" si="199"/>
        <v>912731.97619174561</v>
      </c>
      <c r="GG160" s="637"/>
      <c r="GH160" s="640"/>
      <c r="GI160" s="206"/>
      <c r="GJ160" s="636"/>
      <c r="GK160" s="635"/>
      <c r="GL160" s="206"/>
      <c r="GM160" s="206"/>
      <c r="GN160" s="206"/>
      <c r="GO160" s="206"/>
      <c r="GP160" s="206"/>
      <c r="GQ160" s="206"/>
      <c r="GR160" s="206"/>
      <c r="GS160" s="206"/>
    </row>
    <row r="161" spans="1:201" ht="15" thickBot="1">
      <c r="A161" s="636"/>
      <c r="B161" s="208" t="s">
        <v>18</v>
      </c>
      <c r="C161" s="353">
        <f t="shared" si="187"/>
        <v>345628.74375458062</v>
      </c>
      <c r="D161" s="353">
        <f t="shared" si="187"/>
        <v>354269.4623484452</v>
      </c>
      <c r="E161" s="353">
        <f t="shared" si="187"/>
        <v>362910.18094230967</v>
      </c>
      <c r="F161" s="353">
        <f t="shared" si="187"/>
        <v>371550.8995361742</v>
      </c>
      <c r="G161" s="353">
        <f t="shared" si="187"/>
        <v>399357.47614795144</v>
      </c>
      <c r="H161" s="353">
        <f t="shared" si="187"/>
        <v>410601.69517769164</v>
      </c>
      <c r="I161" s="353">
        <f t="shared" si="187"/>
        <v>417527.29496795259</v>
      </c>
      <c r="J161" s="353">
        <f t="shared" si="187"/>
        <v>426612.20437795372</v>
      </c>
      <c r="K161" s="353">
        <f t="shared" si="187"/>
        <v>457698.76193163969</v>
      </c>
      <c r="L161" s="353">
        <f t="shared" si="187"/>
        <v>467250.69654116617</v>
      </c>
      <c r="M161" s="353">
        <f t="shared" si="187"/>
        <v>476802.63115069375</v>
      </c>
      <c r="N161" s="353">
        <f t="shared" si="187"/>
        <v>486354.56576022151</v>
      </c>
      <c r="O161" s="353">
        <f t="shared" si="187"/>
        <v>520984.9351650704</v>
      </c>
      <c r="P161" s="353">
        <f t="shared" si="187"/>
        <v>531027.90319777781</v>
      </c>
      <c r="Q161" s="353">
        <f t="shared" si="187"/>
        <v>541070.87123048643</v>
      </c>
      <c r="R161" s="353">
        <f t="shared" si="187"/>
        <v>551113.83926319389</v>
      </c>
      <c r="S161" s="353">
        <f t="shared" si="187"/>
        <v>589570.31302361959</v>
      </c>
      <c r="T161" s="353">
        <f t="shared" si="187"/>
        <v>600129.55688667949</v>
      </c>
      <c r="U161" s="353">
        <f t="shared" si="187"/>
        <v>610688.80074973928</v>
      </c>
      <c r="V161" s="353">
        <f t="shared" si="187"/>
        <v>612334.38854157995</v>
      </c>
      <c r="W161" s="353"/>
      <c r="X161" s="353"/>
      <c r="Y161" s="353"/>
      <c r="Z161" s="353"/>
      <c r="AA161" s="353"/>
      <c r="AB161" s="353"/>
      <c r="AC161" s="353"/>
      <c r="AD161" s="353"/>
      <c r="AE161" s="353"/>
      <c r="AF161" s="353"/>
      <c r="AG161" s="353"/>
      <c r="AH161" s="353"/>
      <c r="AI161" s="353"/>
      <c r="AJ161" s="353"/>
      <c r="AK161" s="353"/>
      <c r="AL161" s="353"/>
      <c r="AM161" s="353"/>
      <c r="AN161" s="353"/>
      <c r="AO161" s="353"/>
      <c r="AP161" s="353"/>
      <c r="AQ161" s="235">
        <f>SUM(C161:F161)</f>
        <v>1434359.2865815097</v>
      </c>
      <c r="AR161" s="235">
        <f t="shared" si="188"/>
        <v>1654098.6706715494</v>
      </c>
      <c r="AS161" s="235">
        <f t="shared" si="189"/>
        <v>1888106.6553837212</v>
      </c>
      <c r="AT161" s="235">
        <f t="shared" si="190"/>
        <v>2144197.5488565285</v>
      </c>
      <c r="AU161" s="235">
        <f t="shared" si="191"/>
        <v>2412723.0592016187</v>
      </c>
      <c r="AV161" s="354"/>
      <c r="AW161" s="354"/>
      <c r="AX161" s="354"/>
      <c r="AY161" s="354"/>
      <c r="AZ161" s="354"/>
      <c r="BA161" s="354"/>
      <c r="BB161" s="354"/>
      <c r="BC161" s="354"/>
      <c r="BD161" s="354"/>
      <c r="BE161" s="354"/>
      <c r="BF161" s="354"/>
      <c r="BG161" s="206"/>
      <c r="BH161" s="206"/>
      <c r="BI161" s="206"/>
      <c r="BJ161" s="206"/>
      <c r="BK161" s="206"/>
      <c r="BL161" s="206"/>
      <c r="BM161" s="206"/>
      <c r="BN161" s="206"/>
      <c r="BO161" s="636"/>
      <c r="BP161" s="208" t="s">
        <v>18</v>
      </c>
      <c r="BQ161" s="355">
        <f t="shared" si="192"/>
        <v>961609.94360109209</v>
      </c>
      <c r="BR161" s="355">
        <f t="shared" si="192"/>
        <v>961609.94360109209</v>
      </c>
      <c r="BS161" s="355">
        <f t="shared" si="192"/>
        <v>961609.94360109209</v>
      </c>
      <c r="BT161" s="355">
        <f t="shared" si="192"/>
        <v>961609.94360109209</v>
      </c>
      <c r="BU161" s="355">
        <f t="shared" si="192"/>
        <v>961609.94360109209</v>
      </c>
      <c r="BV161" s="355">
        <f t="shared" si="192"/>
        <v>961609.94360109209</v>
      </c>
      <c r="BW161" s="355">
        <f t="shared" si="192"/>
        <v>961609.94360109209</v>
      </c>
      <c r="BX161" s="355">
        <f t="shared" si="192"/>
        <v>961609.94360109209</v>
      </c>
      <c r="BY161" s="355">
        <f t="shared" si="192"/>
        <v>961609.94360109209</v>
      </c>
      <c r="BZ161" s="355">
        <f t="shared" si="192"/>
        <v>961609.94360109209</v>
      </c>
      <c r="CA161" s="355">
        <f t="shared" si="192"/>
        <v>961609.94360109209</v>
      </c>
      <c r="CB161" s="355">
        <f t="shared" si="192"/>
        <v>961609.94360109209</v>
      </c>
      <c r="CC161" s="355">
        <f t="shared" si="192"/>
        <v>961609.94360109209</v>
      </c>
      <c r="CD161" s="355">
        <f t="shared" si="192"/>
        <v>961609.94360109209</v>
      </c>
      <c r="CE161" s="355">
        <f t="shared" si="192"/>
        <v>961609.94360109209</v>
      </c>
      <c r="CF161" s="355">
        <f t="shared" si="192"/>
        <v>961609.94360109209</v>
      </c>
      <c r="CG161" s="355">
        <f t="shared" si="192"/>
        <v>961609.94360109209</v>
      </c>
      <c r="CH161" s="355">
        <f t="shared" si="192"/>
        <v>961609.94360109209</v>
      </c>
      <c r="CI161" s="355">
        <f t="shared" si="192"/>
        <v>961609.94360109209</v>
      </c>
      <c r="CJ161" s="355">
        <f t="shared" si="192"/>
        <v>961609.94360109209</v>
      </c>
      <c r="CK161" s="355"/>
      <c r="CL161" s="355"/>
      <c r="CM161" s="355"/>
      <c r="CN161" s="355"/>
      <c r="CO161" s="355"/>
      <c r="CP161" s="355"/>
      <c r="CQ161" s="355"/>
      <c r="CR161" s="355"/>
      <c r="CS161" s="355"/>
      <c r="CT161" s="355"/>
      <c r="CU161" s="355"/>
      <c r="CV161" s="355"/>
      <c r="CW161" s="355"/>
      <c r="CX161" s="355"/>
      <c r="CY161" s="355"/>
      <c r="CZ161" s="355"/>
      <c r="DA161" s="355"/>
      <c r="DB161" s="355"/>
      <c r="DC161" s="355"/>
      <c r="DD161" s="355"/>
      <c r="DE161" s="234">
        <f t="shared" si="200"/>
        <v>3846439.7744043684</v>
      </c>
      <c r="DF161" s="235">
        <f t="shared" si="201"/>
        <v>3846439.7744043684</v>
      </c>
      <c r="DG161" s="235">
        <f t="shared" si="202"/>
        <v>3846439.7744043684</v>
      </c>
      <c r="DH161" s="235">
        <f t="shared" si="203"/>
        <v>3846439.7744043684</v>
      </c>
      <c r="DI161" s="236">
        <f t="shared" si="204"/>
        <v>3846439.7744043684</v>
      </c>
      <c r="DJ161" s="356"/>
      <c r="DK161" s="356"/>
      <c r="DL161" s="356"/>
      <c r="DM161" s="356"/>
      <c r="DN161" s="356"/>
      <c r="DO161" s="234">
        <f t="shared" si="193"/>
        <v>-2412080.4878228586</v>
      </c>
      <c r="DP161" s="235">
        <f t="shared" si="193"/>
        <v>-2192341.1037328187</v>
      </c>
      <c r="DQ161" s="235">
        <f t="shared" si="193"/>
        <v>-1958333.1190206471</v>
      </c>
      <c r="DR161" s="235">
        <f t="shared" si="193"/>
        <v>-1702242.2255478399</v>
      </c>
      <c r="DS161" s="236">
        <f t="shared" si="193"/>
        <v>-1433716.7152027497</v>
      </c>
      <c r="DT161" s="354"/>
      <c r="DU161" s="354"/>
      <c r="DV161" s="354"/>
      <c r="DW161" s="354"/>
      <c r="DX161" s="354"/>
      <c r="DY161" s="354"/>
      <c r="DZ161" s="206"/>
      <c r="EA161" s="206"/>
      <c r="EB161" s="206"/>
      <c r="EC161" s="206"/>
      <c r="ED161" s="206"/>
      <c r="EE161" s="206"/>
      <c r="EF161" s="206"/>
      <c r="EG161" s="636"/>
      <c r="EH161" s="361" t="s">
        <v>18</v>
      </c>
      <c r="EI161" s="355">
        <f t="shared" si="194"/>
        <v>-615981.19984651147</v>
      </c>
      <c r="EJ161" s="355">
        <f t="shared" si="194"/>
        <v>-607340.48125264689</v>
      </c>
      <c r="EK161" s="355">
        <f t="shared" si="194"/>
        <v>-598699.76265878242</v>
      </c>
      <c r="EL161" s="355">
        <f t="shared" si="194"/>
        <v>-590059.04406491783</v>
      </c>
      <c r="EM161" s="355">
        <f t="shared" si="194"/>
        <v>-562252.46745314065</v>
      </c>
      <c r="EN161" s="355">
        <f t="shared" si="194"/>
        <v>-551008.24842340045</v>
      </c>
      <c r="EO161" s="355">
        <f t="shared" si="194"/>
        <v>-544082.64863313944</v>
      </c>
      <c r="EP161" s="355">
        <f t="shared" si="194"/>
        <v>-534997.73922313843</v>
      </c>
      <c r="EQ161" s="355">
        <f t="shared" si="194"/>
        <v>-503911.1816694524</v>
      </c>
      <c r="ER161" s="355">
        <f t="shared" si="194"/>
        <v>-494359.24705992592</v>
      </c>
      <c r="ES161" s="355">
        <f t="shared" si="194"/>
        <v>-484807.31245039834</v>
      </c>
      <c r="ET161" s="355">
        <f t="shared" si="194"/>
        <v>-475255.37784087058</v>
      </c>
      <c r="EU161" s="355">
        <f t="shared" si="194"/>
        <v>-440625.00843602169</v>
      </c>
      <c r="EV161" s="355">
        <f t="shared" si="194"/>
        <v>-430582.04040331428</v>
      </c>
      <c r="EW161" s="355">
        <f t="shared" si="194"/>
        <v>-420539.07237060566</v>
      </c>
      <c r="EX161" s="355">
        <f t="shared" si="194"/>
        <v>-410496.1043378982</v>
      </c>
      <c r="EY161" s="355">
        <f t="shared" si="195"/>
        <v>-372039.6305774725</v>
      </c>
      <c r="EZ161" s="355">
        <f t="shared" si="195"/>
        <v>-361480.3867144126</v>
      </c>
      <c r="FA161" s="355">
        <f t="shared" si="195"/>
        <v>-350921.14285135281</v>
      </c>
      <c r="FB161" s="355">
        <f t="shared" si="195"/>
        <v>-349275.55505951215</v>
      </c>
      <c r="FC161" s="355"/>
      <c r="FD161" s="355"/>
      <c r="FE161" s="355"/>
      <c r="FF161" s="355"/>
      <c r="FG161" s="355"/>
      <c r="FH161" s="355"/>
      <c r="FI161" s="355"/>
      <c r="FJ161" s="355"/>
      <c r="FK161" s="355"/>
      <c r="FL161" s="355"/>
      <c r="FM161" s="355"/>
      <c r="FN161" s="355"/>
      <c r="FO161" s="355"/>
      <c r="FP161" s="355"/>
      <c r="FQ161" s="355"/>
      <c r="FR161" s="355"/>
      <c r="FS161" s="355"/>
      <c r="FT161" s="355"/>
      <c r="FU161" s="355"/>
      <c r="FV161" s="355"/>
      <c r="FW161" s="355"/>
      <c r="FX161" s="360">
        <f>AVERAGE(EI161:EL161)</f>
        <v>-603020.12195571465</v>
      </c>
      <c r="FY161" s="637"/>
      <c r="FZ161" s="363">
        <f t="shared" si="196"/>
        <v>-548085.27593320468</v>
      </c>
      <c r="GA161" s="637"/>
      <c r="GB161" s="364">
        <f t="shared" si="197"/>
        <v>-489583.27975516184</v>
      </c>
      <c r="GC161" s="637"/>
      <c r="GD161" s="364">
        <f t="shared" si="198"/>
        <v>-425560.55638695997</v>
      </c>
      <c r="GE161" s="637"/>
      <c r="GF161" s="364">
        <f t="shared" si="199"/>
        <v>-358429.17880068754</v>
      </c>
      <c r="GG161" s="637"/>
      <c r="GH161" s="640"/>
      <c r="GI161" s="206"/>
      <c r="GJ161" s="636"/>
      <c r="GK161" s="635"/>
      <c r="GL161" s="206"/>
      <c r="GM161" s="206"/>
      <c r="GN161" s="206"/>
      <c r="GO161" s="206"/>
      <c r="GP161" s="206"/>
      <c r="GQ161" s="206"/>
      <c r="GR161" s="206"/>
      <c r="GS161" s="206"/>
    </row>
    <row r="162" spans="1:201" ht="15" thickBot="1">
      <c r="A162" s="636"/>
      <c r="B162" s="208" t="s">
        <v>19</v>
      </c>
      <c r="C162" s="353">
        <f t="shared" si="187"/>
        <v>319500</v>
      </c>
      <c r="D162" s="353">
        <f t="shared" si="187"/>
        <v>291383.99999999988</v>
      </c>
      <c r="E162" s="353">
        <f t="shared" si="187"/>
        <v>301607.99999999988</v>
      </c>
      <c r="F162" s="353">
        <f t="shared" si="187"/>
        <v>311831.99999999994</v>
      </c>
      <c r="G162" s="353">
        <f t="shared" si="187"/>
        <v>338803.79253588553</v>
      </c>
      <c r="H162" s="353">
        <f t="shared" si="187"/>
        <v>352108.34517363633</v>
      </c>
      <c r="I162" s="353">
        <f t="shared" si="187"/>
        <v>360302.95670813374</v>
      </c>
      <c r="J162" s="353">
        <f t="shared" si="187"/>
        <v>371052.53879425843</v>
      </c>
      <c r="K162" s="353">
        <f t="shared" si="187"/>
        <v>401630.17103935592</v>
      </c>
      <c r="L162" s="353">
        <f t="shared" si="187"/>
        <v>412932.35365147603</v>
      </c>
      <c r="M162" s="353">
        <f t="shared" si="187"/>
        <v>424234.53626359772</v>
      </c>
      <c r="N162" s="353">
        <f t="shared" si="187"/>
        <v>435536.71887571912</v>
      </c>
      <c r="O162" s="353">
        <f t="shared" si="187"/>
        <v>470019.59789505956</v>
      </c>
      <c r="P162" s="353">
        <f t="shared" si="187"/>
        <v>481902.78840184328</v>
      </c>
      <c r="Q162" s="353">
        <f t="shared" si="187"/>
        <v>493785.9789086284</v>
      </c>
      <c r="R162" s="353">
        <f t="shared" si="187"/>
        <v>505669.16941541212</v>
      </c>
      <c r="S162" s="353">
        <f t="shared" si="187"/>
        <v>544377.95429489552</v>
      </c>
      <c r="T162" s="353">
        <f t="shared" si="187"/>
        <v>556872.02039404842</v>
      </c>
      <c r="U162" s="353">
        <f t="shared" si="187"/>
        <v>569366.08649320144</v>
      </c>
      <c r="V162" s="353">
        <f t="shared" si="187"/>
        <v>581860.15259235294</v>
      </c>
      <c r="W162" s="353"/>
      <c r="X162" s="353"/>
      <c r="Y162" s="353"/>
      <c r="Z162" s="353"/>
      <c r="AA162" s="353"/>
      <c r="AB162" s="353"/>
      <c r="AC162" s="353"/>
      <c r="AD162" s="353"/>
      <c r="AE162" s="353"/>
      <c r="AF162" s="353"/>
      <c r="AG162" s="353"/>
      <c r="AH162" s="353"/>
      <c r="AI162" s="353"/>
      <c r="AJ162" s="353"/>
      <c r="AK162" s="353"/>
      <c r="AL162" s="353"/>
      <c r="AM162" s="353"/>
      <c r="AN162" s="353"/>
      <c r="AO162" s="353"/>
      <c r="AP162" s="353"/>
      <c r="AQ162" s="235">
        <f>SUM(C162:F162)</f>
        <v>1224323.9999999998</v>
      </c>
      <c r="AR162" s="235">
        <f t="shared" si="188"/>
        <v>1422267.633211914</v>
      </c>
      <c r="AS162" s="235">
        <f t="shared" si="189"/>
        <v>1674333.7798301489</v>
      </c>
      <c r="AT162" s="235">
        <f t="shared" si="190"/>
        <v>1951377.5346209435</v>
      </c>
      <c r="AU162" s="235">
        <f t="shared" si="191"/>
        <v>2252476.2137744986</v>
      </c>
      <c r="AV162" s="354"/>
      <c r="AW162" s="354"/>
      <c r="AX162" s="354"/>
      <c r="AY162" s="354"/>
      <c r="AZ162" s="354"/>
      <c r="BA162" s="354"/>
      <c r="BB162" s="354"/>
      <c r="BC162" s="354"/>
      <c r="BD162" s="354"/>
      <c r="BE162" s="354"/>
      <c r="BF162" s="354"/>
      <c r="BG162" s="206"/>
      <c r="BH162" s="206"/>
      <c r="BI162" s="206"/>
      <c r="BJ162" s="206"/>
      <c r="BK162" s="206"/>
      <c r="BL162" s="206"/>
      <c r="BM162" s="206"/>
      <c r="BN162" s="206"/>
      <c r="BO162" s="636"/>
      <c r="BP162" s="208" t="s">
        <v>19</v>
      </c>
      <c r="BQ162" s="355">
        <f t="shared" si="192"/>
        <v>590866.38266527141</v>
      </c>
      <c r="BR162" s="355">
        <f t="shared" si="192"/>
        <v>590866.38266527141</v>
      </c>
      <c r="BS162" s="355">
        <f t="shared" si="192"/>
        <v>590866.38266527141</v>
      </c>
      <c r="BT162" s="355">
        <f t="shared" si="192"/>
        <v>590866.38266527141</v>
      </c>
      <c r="BU162" s="355">
        <f t="shared" si="192"/>
        <v>590866.38266527141</v>
      </c>
      <c r="BV162" s="355">
        <f t="shared" si="192"/>
        <v>590866.38266527141</v>
      </c>
      <c r="BW162" s="355">
        <f t="shared" si="192"/>
        <v>590866.38266527141</v>
      </c>
      <c r="BX162" s="355">
        <f t="shared" si="192"/>
        <v>590866.38266527141</v>
      </c>
      <c r="BY162" s="355">
        <f t="shared" si="192"/>
        <v>590866.38266527141</v>
      </c>
      <c r="BZ162" s="355">
        <f t="shared" si="192"/>
        <v>590866.38266527141</v>
      </c>
      <c r="CA162" s="355">
        <f t="shared" si="192"/>
        <v>590866.38266527141</v>
      </c>
      <c r="CB162" s="355">
        <f t="shared" si="192"/>
        <v>590866.38266527141</v>
      </c>
      <c r="CC162" s="355">
        <f t="shared" si="192"/>
        <v>590866.38266527141</v>
      </c>
      <c r="CD162" s="355">
        <f t="shared" si="192"/>
        <v>590866.38266527141</v>
      </c>
      <c r="CE162" s="355">
        <f t="shared" si="192"/>
        <v>590866.38266527141</v>
      </c>
      <c r="CF162" s="355">
        <f t="shared" si="192"/>
        <v>590866.38266527141</v>
      </c>
      <c r="CG162" s="355">
        <f t="shared" si="192"/>
        <v>590866.38266527141</v>
      </c>
      <c r="CH162" s="355">
        <f t="shared" si="192"/>
        <v>590866.38266527141</v>
      </c>
      <c r="CI162" s="355">
        <f t="shared" si="192"/>
        <v>590866.38266527141</v>
      </c>
      <c r="CJ162" s="355">
        <f t="shared" si="192"/>
        <v>590866.38266527141</v>
      </c>
      <c r="CK162" s="355"/>
      <c r="CL162" s="355"/>
      <c r="CM162" s="355"/>
      <c r="CN162" s="355"/>
      <c r="CO162" s="355"/>
      <c r="CP162" s="355"/>
      <c r="CQ162" s="355"/>
      <c r="CR162" s="355"/>
      <c r="CS162" s="355"/>
      <c r="CT162" s="355"/>
      <c r="CU162" s="355"/>
      <c r="CV162" s="355"/>
      <c r="CW162" s="355"/>
      <c r="CX162" s="355"/>
      <c r="CY162" s="355"/>
      <c r="CZ162" s="355"/>
      <c r="DA162" s="355"/>
      <c r="DB162" s="355"/>
      <c r="DC162" s="355"/>
      <c r="DD162" s="355"/>
      <c r="DE162" s="234">
        <f t="shared" si="200"/>
        <v>2363465.5306610856</v>
      </c>
      <c r="DF162" s="235">
        <f t="shared" si="201"/>
        <v>2363465.5306610856</v>
      </c>
      <c r="DG162" s="235">
        <f t="shared" si="202"/>
        <v>2363465.5306610856</v>
      </c>
      <c r="DH162" s="235">
        <f t="shared" si="203"/>
        <v>2363465.5306610856</v>
      </c>
      <c r="DI162" s="236">
        <f t="shared" si="204"/>
        <v>2363465.5306610856</v>
      </c>
      <c r="DJ162" s="356"/>
      <c r="DK162" s="356"/>
      <c r="DL162" s="356"/>
      <c r="DM162" s="356"/>
      <c r="DN162" s="356"/>
      <c r="DO162" s="234">
        <f t="shared" si="193"/>
        <v>-1139141.5306610859</v>
      </c>
      <c r="DP162" s="235">
        <f t="shared" si="193"/>
        <v>-941197.89744917164</v>
      </c>
      <c r="DQ162" s="235">
        <f t="shared" si="193"/>
        <v>-689131.75083093671</v>
      </c>
      <c r="DR162" s="235">
        <f t="shared" si="193"/>
        <v>-412087.99604014214</v>
      </c>
      <c r="DS162" s="236">
        <f t="shared" si="193"/>
        <v>-110989.31688658707</v>
      </c>
      <c r="DT162" s="354"/>
      <c r="DU162" s="354"/>
      <c r="DV162" s="354"/>
      <c r="DW162" s="354"/>
      <c r="DX162" s="354"/>
      <c r="DY162" s="354"/>
      <c r="DZ162" s="206"/>
      <c r="EA162" s="206"/>
      <c r="EB162" s="206"/>
      <c r="EC162" s="206"/>
      <c r="ED162" s="206"/>
      <c r="EE162" s="206"/>
      <c r="EF162" s="206"/>
      <c r="EG162" s="636"/>
      <c r="EH162" s="361" t="s">
        <v>19</v>
      </c>
      <c r="EI162" s="355">
        <f t="shared" si="194"/>
        <v>-271366.38266527141</v>
      </c>
      <c r="EJ162" s="355">
        <f t="shared" si="194"/>
        <v>-299482.38266527152</v>
      </c>
      <c r="EK162" s="355">
        <f t="shared" si="194"/>
        <v>-289258.38266527152</v>
      </c>
      <c r="EL162" s="355">
        <f t="shared" si="194"/>
        <v>-279034.38266527146</v>
      </c>
      <c r="EM162" s="355">
        <f t="shared" si="194"/>
        <v>-252062.59012938588</v>
      </c>
      <c r="EN162" s="355">
        <f t="shared" si="194"/>
        <v>-238758.03749163507</v>
      </c>
      <c r="EO162" s="355">
        <f t="shared" si="194"/>
        <v>-230563.42595713766</v>
      </c>
      <c r="EP162" s="355">
        <f t="shared" si="194"/>
        <v>-219813.84387101297</v>
      </c>
      <c r="EQ162" s="355">
        <f t="shared" si="194"/>
        <v>-189236.21162591549</v>
      </c>
      <c r="ER162" s="355">
        <f t="shared" si="194"/>
        <v>-177934.02901379537</v>
      </c>
      <c r="ES162" s="355">
        <f t="shared" si="194"/>
        <v>-166631.84640167368</v>
      </c>
      <c r="ET162" s="355">
        <f t="shared" si="194"/>
        <v>-155329.66378955229</v>
      </c>
      <c r="EU162" s="355">
        <f t="shared" si="194"/>
        <v>-120846.78477021185</v>
      </c>
      <c r="EV162" s="355">
        <f t="shared" si="194"/>
        <v>-108963.59426342812</v>
      </c>
      <c r="EW162" s="355">
        <f t="shared" si="194"/>
        <v>-97080.403756643005</v>
      </c>
      <c r="EX162" s="355">
        <f t="shared" si="194"/>
        <v>-85197.213249859284</v>
      </c>
      <c r="EY162" s="355">
        <f t="shared" si="195"/>
        <v>-46488.428370375885</v>
      </c>
      <c r="EZ162" s="355">
        <f t="shared" si="195"/>
        <v>-33994.362271222984</v>
      </c>
      <c r="FA162" s="355">
        <f t="shared" si="195"/>
        <v>-21500.296172069968</v>
      </c>
      <c r="FB162" s="355">
        <f t="shared" si="195"/>
        <v>-9006.2300729184644</v>
      </c>
      <c r="FC162" s="355"/>
      <c r="FD162" s="355"/>
      <c r="FE162" s="355"/>
      <c r="FF162" s="355"/>
      <c r="FG162" s="355"/>
      <c r="FH162" s="355"/>
      <c r="FI162" s="355"/>
      <c r="FJ162" s="355"/>
      <c r="FK162" s="355"/>
      <c r="FL162" s="355"/>
      <c r="FM162" s="355"/>
      <c r="FN162" s="355"/>
      <c r="FO162" s="355"/>
      <c r="FP162" s="355"/>
      <c r="FQ162" s="355"/>
      <c r="FR162" s="355"/>
      <c r="FS162" s="355"/>
      <c r="FT162" s="355"/>
      <c r="FU162" s="355"/>
      <c r="FV162" s="355"/>
      <c r="FW162" s="355"/>
      <c r="FX162" s="360">
        <f>AVERAGE(EI162:EL162)</f>
        <v>-284785.38266527146</v>
      </c>
      <c r="FY162" s="637"/>
      <c r="FZ162" s="366">
        <f t="shared" si="196"/>
        <v>-235299.47436229291</v>
      </c>
      <c r="GA162" s="658"/>
      <c r="GB162" s="367">
        <f t="shared" si="197"/>
        <v>-172282.93770773421</v>
      </c>
      <c r="GC162" s="658"/>
      <c r="GD162" s="367">
        <f t="shared" si="198"/>
        <v>-103021.99901003556</v>
      </c>
      <c r="GE162" s="658"/>
      <c r="GF162" s="367">
        <f t="shared" si="199"/>
        <v>-27747.329221646825</v>
      </c>
      <c r="GG162" s="658"/>
      <c r="GH162" s="641"/>
      <c r="GI162" s="206"/>
      <c r="GJ162" s="636"/>
      <c r="GK162" s="635"/>
      <c r="GL162" s="206"/>
      <c r="GM162" s="206"/>
      <c r="GN162" s="206"/>
      <c r="GO162" s="206"/>
      <c r="GP162" s="206"/>
      <c r="GQ162" s="206"/>
      <c r="GR162" s="206"/>
      <c r="GS162" s="206"/>
    </row>
    <row r="163" spans="1:201" ht="15" thickBot="1">
      <c r="A163" s="636">
        <v>2</v>
      </c>
      <c r="B163" s="208" t="s">
        <v>20</v>
      </c>
      <c r="C163" s="353">
        <f t="shared" si="187"/>
        <v>0</v>
      </c>
      <c r="D163" s="353">
        <f t="shared" si="187"/>
        <v>0</v>
      </c>
      <c r="E163" s="353">
        <f t="shared" si="187"/>
        <v>0</v>
      </c>
      <c r="F163" s="353">
        <f t="shared" si="187"/>
        <v>0</v>
      </c>
      <c r="G163" s="353">
        <f t="shared" si="187"/>
        <v>951655.96000765543</v>
      </c>
      <c r="H163" s="353">
        <f t="shared" si="187"/>
        <v>964737.14158851688</v>
      </c>
      <c r="I163" s="353">
        <f t="shared" si="187"/>
        <v>977818.32316937798</v>
      </c>
      <c r="J163" s="353">
        <f t="shared" si="187"/>
        <v>990899.50475023931</v>
      </c>
      <c r="K163" s="353">
        <f t="shared" si="187"/>
        <v>1055592.0188379972</v>
      </c>
      <c r="L163" s="353">
        <f t="shared" si="187"/>
        <v>1069345.6607772545</v>
      </c>
      <c r="M163" s="353">
        <f t="shared" si="187"/>
        <v>1083099.3027165118</v>
      </c>
      <c r="N163" s="353">
        <f t="shared" si="187"/>
        <v>1096852.944655769</v>
      </c>
      <c r="O163" s="353">
        <f t="shared" si="187"/>
        <v>1167699.2046159687</v>
      </c>
      <c r="P163" s="353">
        <f t="shared" si="187"/>
        <v>1182159.8758805627</v>
      </c>
      <c r="Q163" s="353">
        <f t="shared" si="187"/>
        <v>1196620.5471451569</v>
      </c>
      <c r="R163" s="353">
        <f t="shared" si="187"/>
        <v>1211081.2184097511</v>
      </c>
      <c r="S163" s="353">
        <f t="shared" si="187"/>
        <v>1288542.9521751162</v>
      </c>
      <c r="T163" s="353">
        <f t="shared" si="187"/>
        <v>1303746.998808451</v>
      </c>
      <c r="U163" s="353">
        <f t="shared" si="187"/>
        <v>1318951.0454417856</v>
      </c>
      <c r="V163" s="353">
        <f t="shared" si="187"/>
        <v>1334155.0920751202</v>
      </c>
      <c r="W163" s="353"/>
      <c r="X163" s="353"/>
      <c r="Y163" s="353"/>
      <c r="Z163" s="353"/>
      <c r="AA163" s="353"/>
      <c r="AB163" s="353"/>
      <c r="AC163" s="353"/>
      <c r="AD163" s="353"/>
      <c r="AE163" s="353"/>
      <c r="AF163" s="353"/>
      <c r="AG163" s="353"/>
      <c r="AH163" s="353"/>
      <c r="AI163" s="353"/>
      <c r="AJ163" s="353"/>
      <c r="AK163" s="353"/>
      <c r="AL163" s="353"/>
      <c r="AM163" s="353"/>
      <c r="AN163" s="353"/>
      <c r="AO163" s="353"/>
      <c r="AP163" s="353"/>
      <c r="AQ163" s="642"/>
      <c r="AR163" s="235">
        <f t="shared" si="188"/>
        <v>3885110.9295157897</v>
      </c>
      <c r="AS163" s="235">
        <f t="shared" si="189"/>
        <v>4304889.9269875325</v>
      </c>
      <c r="AT163" s="235">
        <f t="shared" si="190"/>
        <v>4757560.8460514396</v>
      </c>
      <c r="AU163" s="235">
        <f t="shared" si="191"/>
        <v>5245396.0885004736</v>
      </c>
      <c r="AV163" s="354"/>
      <c r="AW163" s="354"/>
      <c r="AX163" s="354"/>
      <c r="AY163" s="354"/>
      <c r="AZ163" s="354"/>
      <c r="BA163" s="354"/>
      <c r="BB163" s="354"/>
      <c r="BC163" s="354"/>
      <c r="BD163" s="354"/>
      <c r="BE163" s="354"/>
      <c r="BF163" s="354"/>
      <c r="BG163" s="206"/>
      <c r="BH163" s="206"/>
      <c r="BI163" s="206"/>
      <c r="BJ163" s="206"/>
      <c r="BK163" s="206"/>
      <c r="BL163" s="206"/>
      <c r="BM163" s="206"/>
      <c r="BN163" s="206"/>
      <c r="BO163" s="636">
        <v>2</v>
      </c>
      <c r="BP163" s="208" t="s">
        <v>20</v>
      </c>
      <c r="BQ163" s="355">
        <f t="shared" si="192"/>
        <v>0</v>
      </c>
      <c r="BR163" s="355">
        <f t="shared" si="192"/>
        <v>0</v>
      </c>
      <c r="BS163" s="355">
        <f t="shared" si="192"/>
        <v>0</v>
      </c>
      <c r="BT163" s="355">
        <f t="shared" si="192"/>
        <v>0</v>
      </c>
      <c r="BU163" s="355">
        <f t="shared" si="192"/>
        <v>1331124.103070901</v>
      </c>
      <c r="BV163" s="355">
        <f t="shared" si="192"/>
        <v>1331124.103070901</v>
      </c>
      <c r="BW163" s="355">
        <f t="shared" si="192"/>
        <v>1331124.103070901</v>
      </c>
      <c r="BX163" s="355">
        <f t="shared" si="192"/>
        <v>1331124.103070901</v>
      </c>
      <c r="BY163" s="355">
        <f t="shared" si="192"/>
        <v>1331124.103070901</v>
      </c>
      <c r="BZ163" s="355">
        <f t="shared" si="192"/>
        <v>1331124.103070901</v>
      </c>
      <c r="CA163" s="355">
        <f t="shared" si="192"/>
        <v>1331124.103070901</v>
      </c>
      <c r="CB163" s="355">
        <f t="shared" si="192"/>
        <v>1331124.103070901</v>
      </c>
      <c r="CC163" s="355">
        <f t="shared" si="192"/>
        <v>1331124.103070901</v>
      </c>
      <c r="CD163" s="355">
        <f t="shared" si="192"/>
        <v>1331124.103070901</v>
      </c>
      <c r="CE163" s="355">
        <f t="shared" si="192"/>
        <v>1331124.103070901</v>
      </c>
      <c r="CF163" s="355">
        <f t="shared" si="192"/>
        <v>1331124.103070901</v>
      </c>
      <c r="CG163" s="355">
        <f t="shared" si="192"/>
        <v>1331124.103070901</v>
      </c>
      <c r="CH163" s="355">
        <f t="shared" si="192"/>
        <v>1331124.103070901</v>
      </c>
      <c r="CI163" s="355">
        <f t="shared" si="192"/>
        <v>1331124.103070901</v>
      </c>
      <c r="CJ163" s="355">
        <f t="shared" si="192"/>
        <v>1331124.103070901</v>
      </c>
      <c r="CK163" s="355"/>
      <c r="CL163" s="355"/>
      <c r="CM163" s="355"/>
      <c r="CN163" s="355"/>
      <c r="CO163" s="355"/>
      <c r="CP163" s="355"/>
      <c r="CQ163" s="355"/>
      <c r="CR163" s="355"/>
      <c r="CS163" s="355"/>
      <c r="CT163" s="355"/>
      <c r="CU163" s="355"/>
      <c r="CV163" s="355"/>
      <c r="CW163" s="355"/>
      <c r="CX163" s="355"/>
      <c r="CY163" s="355"/>
      <c r="CZ163" s="355"/>
      <c r="DA163" s="355"/>
      <c r="DB163" s="355"/>
      <c r="DC163" s="355"/>
      <c r="DD163" s="355"/>
      <c r="DE163" s="653"/>
      <c r="DF163" s="235">
        <f t="shared" si="201"/>
        <v>5324496.412283604</v>
      </c>
      <c r="DG163" s="235">
        <f t="shared" si="202"/>
        <v>5324496.412283604</v>
      </c>
      <c r="DH163" s="235">
        <f t="shared" si="203"/>
        <v>5324496.412283604</v>
      </c>
      <c r="DI163" s="236">
        <f t="shared" si="204"/>
        <v>5324496.412283604</v>
      </c>
      <c r="DJ163" s="368"/>
      <c r="DK163" s="368"/>
      <c r="DL163" s="368"/>
      <c r="DM163" s="368"/>
      <c r="DN163" s="368"/>
      <c r="DO163" s="653"/>
      <c r="DP163" s="235">
        <f t="shared" si="193"/>
        <v>-1439385.4827678143</v>
      </c>
      <c r="DQ163" s="235">
        <f t="shared" si="193"/>
        <v>-1019606.4852960715</v>
      </c>
      <c r="DR163" s="235">
        <f t="shared" si="193"/>
        <v>-566935.56623216439</v>
      </c>
      <c r="DS163" s="236">
        <f t="shared" si="193"/>
        <v>-79100.323783130385</v>
      </c>
      <c r="DT163" s="354"/>
      <c r="DU163" s="354"/>
      <c r="DV163" s="354"/>
      <c r="DW163" s="354"/>
      <c r="DX163" s="354"/>
      <c r="DY163" s="354"/>
      <c r="DZ163" s="206"/>
      <c r="EA163" s="206"/>
      <c r="EB163" s="206"/>
      <c r="EC163" s="206"/>
      <c r="ED163" s="206"/>
      <c r="EE163" s="206"/>
      <c r="EF163" s="206"/>
      <c r="EG163" s="636">
        <v>2</v>
      </c>
      <c r="EH163" s="361" t="s">
        <v>20</v>
      </c>
      <c r="EI163" s="355">
        <f t="shared" si="194"/>
        <v>0</v>
      </c>
      <c r="EJ163" s="355">
        <f t="shared" si="194"/>
        <v>0</v>
      </c>
      <c r="EK163" s="355">
        <f t="shared" si="194"/>
        <v>0</v>
      </c>
      <c r="EL163" s="355">
        <f t="shared" si="194"/>
        <v>0</v>
      </c>
      <c r="EM163" s="355">
        <f t="shared" si="194"/>
        <v>-379468.14306324557</v>
      </c>
      <c r="EN163" s="355">
        <f t="shared" si="194"/>
        <v>-366386.96148238413</v>
      </c>
      <c r="EO163" s="355">
        <f t="shared" si="194"/>
        <v>-353305.77990152303</v>
      </c>
      <c r="EP163" s="355">
        <f t="shared" si="194"/>
        <v>-340224.59832066169</v>
      </c>
      <c r="EQ163" s="355">
        <f t="shared" si="194"/>
        <v>-275532.08423290378</v>
      </c>
      <c r="ER163" s="355">
        <f t="shared" si="194"/>
        <v>-261778.44229364651</v>
      </c>
      <c r="ES163" s="355">
        <f t="shared" si="194"/>
        <v>-248024.80035438924</v>
      </c>
      <c r="ET163" s="355">
        <f t="shared" si="194"/>
        <v>-234271.15841513197</v>
      </c>
      <c r="EU163" s="355">
        <f t="shared" si="194"/>
        <v>-163424.89845493226</v>
      </c>
      <c r="EV163" s="355">
        <f t="shared" si="194"/>
        <v>-148964.22719033831</v>
      </c>
      <c r="EW163" s="355">
        <f t="shared" si="194"/>
        <v>-134503.55592574412</v>
      </c>
      <c r="EX163" s="355">
        <f t="shared" si="194"/>
        <v>-120042.88466114993</v>
      </c>
      <c r="EY163" s="355">
        <f t="shared" si="195"/>
        <v>-42581.150895784842</v>
      </c>
      <c r="EZ163" s="355">
        <f t="shared" si="195"/>
        <v>-27377.104262450011</v>
      </c>
      <c r="FA163" s="355">
        <f t="shared" si="195"/>
        <v>-12173.057629115414</v>
      </c>
      <c r="FB163" s="355">
        <f t="shared" si="195"/>
        <v>3030.9890042191837</v>
      </c>
      <c r="FC163" s="355"/>
      <c r="FD163" s="355"/>
      <c r="FE163" s="355"/>
      <c r="FF163" s="355"/>
      <c r="FG163" s="355"/>
      <c r="FH163" s="355"/>
      <c r="FI163" s="355"/>
      <c r="FJ163" s="355"/>
      <c r="FK163" s="355"/>
      <c r="FL163" s="355"/>
      <c r="FM163" s="355"/>
      <c r="FN163" s="355"/>
      <c r="FO163" s="355"/>
      <c r="FP163" s="355"/>
      <c r="FQ163" s="355"/>
      <c r="FR163" s="355"/>
      <c r="FS163" s="355"/>
      <c r="FT163" s="355"/>
      <c r="FU163" s="355"/>
      <c r="FV163" s="355"/>
      <c r="FW163" s="355"/>
      <c r="FX163" s="369"/>
      <c r="FY163" s="370"/>
      <c r="FZ163" s="366">
        <f t="shared" si="196"/>
        <v>-359846.37069195358</v>
      </c>
      <c r="GA163" s="638">
        <f>SUM(FZ163:FZ166)</f>
        <v>-518994.07971787965</v>
      </c>
      <c r="GB163" s="364">
        <f t="shared" si="197"/>
        <v>-254901.62132401788</v>
      </c>
      <c r="GC163" s="638">
        <f>SUM(GB163:GB166)</f>
        <v>-320583.71698662487</v>
      </c>
      <c r="GD163" s="364">
        <f t="shared" si="198"/>
        <v>-141733.89155804116</v>
      </c>
      <c r="GE163" s="638">
        <f>SUM(GD163:GD166)</f>
        <v>169539.90640016494</v>
      </c>
      <c r="GF163" s="364">
        <f t="shared" si="199"/>
        <v>-19775.080945782771</v>
      </c>
      <c r="GG163" s="638">
        <f>SUM(GF163:GF166)</f>
        <v>670157.25287025305</v>
      </c>
      <c r="GH163" s="639">
        <f>GG163+GE163+GC163+GA163</f>
        <v>119.36256591347046</v>
      </c>
      <c r="GI163" s="206"/>
      <c r="GJ163" s="636">
        <v>2</v>
      </c>
      <c r="GK163" s="635">
        <f>SUM(EK163:FB167)</f>
        <v>-7340538.6531422418</v>
      </c>
      <c r="GL163" s="206"/>
      <c r="GM163" s="206"/>
      <c r="GN163" s="206"/>
      <c r="GO163" s="206"/>
      <c r="GP163" s="206"/>
      <c r="GQ163" s="206"/>
      <c r="GR163" s="206"/>
      <c r="GS163" s="206"/>
    </row>
    <row r="164" spans="1:201" ht="15" thickBot="1">
      <c r="A164" s="636"/>
      <c r="B164" s="208" t="s">
        <v>21</v>
      </c>
      <c r="C164" s="353">
        <f t="shared" si="187"/>
        <v>0</v>
      </c>
      <c r="D164" s="353">
        <f t="shared" si="187"/>
        <v>0</v>
      </c>
      <c r="E164" s="353">
        <f t="shared" si="187"/>
        <v>0</v>
      </c>
      <c r="F164" s="353">
        <f t="shared" si="187"/>
        <v>0</v>
      </c>
      <c r="G164" s="353">
        <f t="shared" si="187"/>
        <v>1100814.3600872732</v>
      </c>
      <c r="H164" s="353">
        <f t="shared" si="187"/>
        <v>1117367.9594870817</v>
      </c>
      <c r="I164" s="353">
        <f t="shared" si="187"/>
        <v>1133921.5588868905</v>
      </c>
      <c r="J164" s="353">
        <f t="shared" si="187"/>
        <v>1150475.1582866989</v>
      </c>
      <c r="K164" s="353">
        <f t="shared" si="187"/>
        <v>1227021.8532491098</v>
      </c>
      <c r="L164" s="353">
        <f t="shared" si="187"/>
        <v>1244426.4185434233</v>
      </c>
      <c r="M164" s="353">
        <f t="shared" si="187"/>
        <v>1261830.9838377368</v>
      </c>
      <c r="N164" s="353">
        <f t="shared" si="187"/>
        <v>1279235.5491320505</v>
      </c>
      <c r="O164" s="353">
        <f t="shared" si="187"/>
        <v>1363296.1019354402</v>
      </c>
      <c r="P164" s="353">
        <f t="shared" si="187"/>
        <v>1381595.3784714863</v>
      </c>
      <c r="Q164" s="353">
        <f t="shared" si="187"/>
        <v>1399894.6550075326</v>
      </c>
      <c r="R164" s="353">
        <f t="shared" si="187"/>
        <v>1418193.9315435786</v>
      </c>
      <c r="S164" s="353">
        <f t="shared" si="187"/>
        <v>1510338.5814174595</v>
      </c>
      <c r="T164" s="353">
        <f t="shared" si="187"/>
        <v>1529578.5633463445</v>
      </c>
      <c r="U164" s="353">
        <f t="shared" si="187"/>
        <v>1548818.5452752293</v>
      </c>
      <c r="V164" s="353">
        <f t="shared" si="187"/>
        <v>1568058.5272041145</v>
      </c>
      <c r="W164" s="353"/>
      <c r="X164" s="353"/>
      <c r="Y164" s="353"/>
      <c r="Z164" s="353"/>
      <c r="AA164" s="353"/>
      <c r="AB164" s="353"/>
      <c r="AC164" s="353"/>
      <c r="AD164" s="353"/>
      <c r="AE164" s="353"/>
      <c r="AF164" s="353"/>
      <c r="AG164" s="353"/>
      <c r="AH164" s="353"/>
      <c r="AI164" s="353"/>
      <c r="AJ164" s="353"/>
      <c r="AK164" s="353"/>
      <c r="AL164" s="353"/>
      <c r="AM164" s="353"/>
      <c r="AN164" s="353"/>
      <c r="AO164" s="353"/>
      <c r="AP164" s="353"/>
      <c r="AQ164" s="643"/>
      <c r="AR164" s="235">
        <f t="shared" si="188"/>
        <v>4502579.0367479445</v>
      </c>
      <c r="AS164" s="235">
        <f t="shared" si="189"/>
        <v>5012514.8047623206</v>
      </c>
      <c r="AT164" s="235">
        <f t="shared" si="190"/>
        <v>5562980.0669580372</v>
      </c>
      <c r="AU164" s="235">
        <f t="shared" si="191"/>
        <v>6156794.217243148</v>
      </c>
      <c r="AV164" s="354"/>
      <c r="AW164" s="354"/>
      <c r="AX164" s="354"/>
      <c r="AY164" s="354"/>
      <c r="AZ164" s="354"/>
      <c r="BA164" s="354"/>
      <c r="BB164" s="354"/>
      <c r="BC164" s="354"/>
      <c r="BD164" s="354"/>
      <c r="BE164" s="354"/>
      <c r="BF164" s="354"/>
      <c r="BG164" s="206"/>
      <c r="BH164" s="206"/>
      <c r="BI164" s="206"/>
      <c r="BJ164" s="206"/>
      <c r="BK164" s="206"/>
      <c r="BL164" s="206"/>
      <c r="BM164" s="206"/>
      <c r="BN164" s="206"/>
      <c r="BO164" s="636"/>
      <c r="BP164" s="208" t="s">
        <v>21</v>
      </c>
      <c r="BQ164" s="355">
        <f t="shared" si="192"/>
        <v>0</v>
      </c>
      <c r="BR164" s="355">
        <f t="shared" si="192"/>
        <v>0</v>
      </c>
      <c r="BS164" s="355">
        <f t="shared" si="192"/>
        <v>0</v>
      </c>
      <c r="BT164" s="355">
        <f t="shared" si="192"/>
        <v>0</v>
      </c>
      <c r="BU164" s="355">
        <f t="shared" si="192"/>
        <v>1077158.2069890117</v>
      </c>
      <c r="BV164" s="355">
        <f t="shared" si="192"/>
        <v>1077158.2069890117</v>
      </c>
      <c r="BW164" s="355">
        <f t="shared" si="192"/>
        <v>1077158.2069890117</v>
      </c>
      <c r="BX164" s="355">
        <f t="shared" si="192"/>
        <v>1077158.2069890117</v>
      </c>
      <c r="BY164" s="355">
        <f t="shared" si="192"/>
        <v>1077158.2069890117</v>
      </c>
      <c r="BZ164" s="355">
        <f t="shared" si="192"/>
        <v>1077158.2069890117</v>
      </c>
      <c r="CA164" s="355">
        <f t="shared" si="192"/>
        <v>1077158.2069890117</v>
      </c>
      <c r="CB164" s="355">
        <f t="shared" si="192"/>
        <v>1077158.2069890117</v>
      </c>
      <c r="CC164" s="355">
        <f t="shared" si="192"/>
        <v>1077158.2069890117</v>
      </c>
      <c r="CD164" s="355">
        <f t="shared" si="192"/>
        <v>1077158.2069890117</v>
      </c>
      <c r="CE164" s="355">
        <f t="shared" si="192"/>
        <v>1077158.2069890117</v>
      </c>
      <c r="CF164" s="355">
        <f t="shared" si="192"/>
        <v>1077158.2069890117</v>
      </c>
      <c r="CG164" s="355">
        <f t="shared" si="192"/>
        <v>1077158.2069890117</v>
      </c>
      <c r="CH164" s="355">
        <f t="shared" si="192"/>
        <v>1077158.2069890117</v>
      </c>
      <c r="CI164" s="355">
        <f t="shared" si="192"/>
        <v>1077158.2069890117</v>
      </c>
      <c r="CJ164" s="355">
        <f t="shared" si="192"/>
        <v>1077158.2069890117</v>
      </c>
      <c r="CK164" s="355"/>
      <c r="CL164" s="355"/>
      <c r="CM164" s="355"/>
      <c r="CN164" s="355"/>
      <c r="CO164" s="355"/>
      <c r="CP164" s="355"/>
      <c r="CQ164" s="355"/>
      <c r="CR164" s="355"/>
      <c r="CS164" s="355"/>
      <c r="CT164" s="355"/>
      <c r="CU164" s="355"/>
      <c r="CV164" s="355"/>
      <c r="CW164" s="355"/>
      <c r="CX164" s="355"/>
      <c r="CY164" s="355"/>
      <c r="CZ164" s="355"/>
      <c r="DA164" s="355"/>
      <c r="DB164" s="355"/>
      <c r="DC164" s="355"/>
      <c r="DD164" s="355"/>
      <c r="DE164" s="654"/>
      <c r="DF164" s="235">
        <f t="shared" si="201"/>
        <v>4308632.8279560469</v>
      </c>
      <c r="DG164" s="235">
        <f t="shared" si="202"/>
        <v>4308632.8279560469</v>
      </c>
      <c r="DH164" s="235">
        <f t="shared" si="203"/>
        <v>4308632.8279560469</v>
      </c>
      <c r="DI164" s="236">
        <f t="shared" si="204"/>
        <v>4308632.8279560469</v>
      </c>
      <c r="DJ164" s="354"/>
      <c r="DK164" s="354"/>
      <c r="DL164" s="354"/>
      <c r="DM164" s="354"/>
      <c r="DN164" s="354"/>
      <c r="DO164" s="654"/>
      <c r="DP164" s="235">
        <f t="shared" si="193"/>
        <v>193946.20879189763</v>
      </c>
      <c r="DQ164" s="235">
        <f t="shared" si="193"/>
        <v>703881.97680627368</v>
      </c>
      <c r="DR164" s="235">
        <f t="shared" si="193"/>
        <v>1254347.2390019903</v>
      </c>
      <c r="DS164" s="236">
        <f t="shared" si="193"/>
        <v>1848161.3892871011</v>
      </c>
      <c r="DT164" s="354"/>
      <c r="DU164" s="354"/>
      <c r="DV164" s="354"/>
      <c r="DW164" s="354"/>
      <c r="DX164" s="354"/>
      <c r="DY164" s="354"/>
      <c r="DZ164" s="206"/>
      <c r="EA164" s="206"/>
      <c r="EB164" s="206"/>
      <c r="EC164" s="206"/>
      <c r="ED164" s="206"/>
      <c r="EE164" s="206"/>
      <c r="EF164" s="206"/>
      <c r="EG164" s="636"/>
      <c r="EH164" s="361" t="s">
        <v>21</v>
      </c>
      <c r="EI164" s="355">
        <f t="shared" si="194"/>
        <v>0</v>
      </c>
      <c r="EJ164" s="355">
        <f t="shared" si="194"/>
        <v>0</v>
      </c>
      <c r="EK164" s="355">
        <f t="shared" si="194"/>
        <v>0</v>
      </c>
      <c r="EL164" s="355">
        <f t="shared" si="194"/>
        <v>0</v>
      </c>
      <c r="EM164" s="355">
        <f t="shared" si="194"/>
        <v>23656.153098261449</v>
      </c>
      <c r="EN164" s="355">
        <f t="shared" si="194"/>
        <v>40209.752498070011</v>
      </c>
      <c r="EO164" s="355">
        <f t="shared" si="194"/>
        <v>56763.351897878805</v>
      </c>
      <c r="EP164" s="355">
        <f t="shared" si="194"/>
        <v>73316.951297687134</v>
      </c>
      <c r="EQ164" s="355">
        <f t="shared" si="194"/>
        <v>149863.64626009809</v>
      </c>
      <c r="ER164" s="355">
        <f t="shared" si="194"/>
        <v>167268.21155441157</v>
      </c>
      <c r="ES164" s="355">
        <f t="shared" si="194"/>
        <v>184672.77684872504</v>
      </c>
      <c r="ET164" s="355">
        <f t="shared" si="194"/>
        <v>202077.34214303875</v>
      </c>
      <c r="EU164" s="355">
        <f t="shared" si="194"/>
        <v>286137.89494642848</v>
      </c>
      <c r="EV164" s="355">
        <f t="shared" si="194"/>
        <v>304437.17148247454</v>
      </c>
      <c r="EW164" s="355">
        <f t="shared" si="194"/>
        <v>322736.44801852084</v>
      </c>
      <c r="EX164" s="355">
        <f t="shared" si="194"/>
        <v>341035.7245545669</v>
      </c>
      <c r="EY164" s="355">
        <f t="shared" si="195"/>
        <v>433180.3744284478</v>
      </c>
      <c r="EZ164" s="355">
        <f t="shared" si="195"/>
        <v>452420.35635733278</v>
      </c>
      <c r="FA164" s="355">
        <f t="shared" si="195"/>
        <v>471660.33828621753</v>
      </c>
      <c r="FB164" s="355">
        <f t="shared" si="195"/>
        <v>490900.32021510275</v>
      </c>
      <c r="FC164" s="355"/>
      <c r="FD164" s="355"/>
      <c r="FE164" s="355"/>
      <c r="FF164" s="355"/>
      <c r="FG164" s="355"/>
      <c r="FH164" s="355"/>
      <c r="FI164" s="355"/>
      <c r="FJ164" s="355"/>
      <c r="FK164" s="355"/>
      <c r="FL164" s="355"/>
      <c r="FM164" s="355"/>
      <c r="FN164" s="355"/>
      <c r="FO164" s="355"/>
      <c r="FP164" s="355"/>
      <c r="FQ164" s="355"/>
      <c r="FR164" s="355"/>
      <c r="FS164" s="355"/>
      <c r="FT164" s="355"/>
      <c r="FU164" s="355"/>
      <c r="FV164" s="355"/>
      <c r="FW164" s="355"/>
      <c r="FX164" s="369"/>
      <c r="FY164" s="370"/>
      <c r="FZ164" s="366">
        <f t="shared" si="196"/>
        <v>48486.55219797435</v>
      </c>
      <c r="GA164" s="637"/>
      <c r="GB164" s="364">
        <f t="shared" si="197"/>
        <v>175970.49420156836</v>
      </c>
      <c r="GC164" s="637"/>
      <c r="GD164" s="364">
        <f t="shared" si="198"/>
        <v>313586.80975049769</v>
      </c>
      <c r="GE164" s="637"/>
      <c r="GF164" s="364">
        <f t="shared" si="199"/>
        <v>462040.34732177522</v>
      </c>
      <c r="GG164" s="637"/>
      <c r="GH164" s="640"/>
      <c r="GI164" s="206"/>
      <c r="GJ164" s="636"/>
      <c r="GK164" s="635"/>
      <c r="GL164" s="206"/>
      <c r="GM164" s="206"/>
      <c r="GN164" s="206"/>
      <c r="GO164" s="206"/>
      <c r="GP164" s="206"/>
      <c r="GQ164" s="206"/>
      <c r="GR164" s="206"/>
      <c r="GS164" s="206"/>
    </row>
    <row r="165" spans="1:201" ht="15" thickBot="1">
      <c r="A165" s="636"/>
      <c r="B165" s="208" t="s">
        <v>23</v>
      </c>
      <c r="C165" s="353">
        <f t="shared" si="187"/>
        <v>0</v>
      </c>
      <c r="D165" s="353">
        <f t="shared" si="187"/>
        <v>0</v>
      </c>
      <c r="E165" s="353">
        <f t="shared" si="187"/>
        <v>0</v>
      </c>
      <c r="F165" s="353">
        <f t="shared" si="187"/>
        <v>0</v>
      </c>
      <c r="G165" s="353">
        <f t="shared" si="187"/>
        <v>901462.60328727285</v>
      </c>
      <c r="H165" s="353">
        <f t="shared" si="187"/>
        <v>915018.43190813414</v>
      </c>
      <c r="I165" s="353">
        <f t="shared" si="187"/>
        <v>928574.26052899531</v>
      </c>
      <c r="J165" s="353">
        <f t="shared" si="187"/>
        <v>942130.08914985671</v>
      </c>
      <c r="K165" s="353">
        <f t="shared" si="187"/>
        <v>1004814.5756679839</v>
      </c>
      <c r="L165" s="353">
        <f t="shared" si="187"/>
        <v>1019067.264684551</v>
      </c>
      <c r="M165" s="353">
        <f t="shared" si="187"/>
        <v>1033319.9537011182</v>
      </c>
      <c r="N165" s="353">
        <f t="shared" si="187"/>
        <v>1047572.6427176852</v>
      </c>
      <c r="O165" s="353">
        <f t="shared" si="187"/>
        <v>1116410.2664909647</v>
      </c>
      <c r="P165" s="353">
        <f t="shared" si="187"/>
        <v>1131395.6391955416</v>
      </c>
      <c r="Q165" s="353">
        <f t="shared" si="187"/>
        <v>1146381.0119001181</v>
      </c>
      <c r="R165" s="353">
        <f t="shared" si="187"/>
        <v>1161366.3846046946</v>
      </c>
      <c r="S165" s="353">
        <f t="shared" si="187"/>
        <v>1232328.5674849066</v>
      </c>
      <c r="T165" s="353">
        <f t="shared" si="187"/>
        <v>1232328.5674849066</v>
      </c>
      <c r="U165" s="353">
        <f t="shared" si="187"/>
        <v>1232328.5674849066</v>
      </c>
      <c r="V165" s="353">
        <f t="shared" si="187"/>
        <v>1232328.5674849066</v>
      </c>
      <c r="W165" s="353"/>
      <c r="X165" s="353"/>
      <c r="Y165" s="353"/>
      <c r="Z165" s="353"/>
      <c r="AA165" s="353"/>
      <c r="AB165" s="353"/>
      <c r="AC165" s="353"/>
      <c r="AD165" s="353"/>
      <c r="AE165" s="353"/>
      <c r="AF165" s="353"/>
      <c r="AG165" s="353"/>
      <c r="AH165" s="353"/>
      <c r="AI165" s="353"/>
      <c r="AJ165" s="353"/>
      <c r="AK165" s="353"/>
      <c r="AL165" s="353"/>
      <c r="AM165" s="353"/>
      <c r="AN165" s="353"/>
      <c r="AO165" s="353"/>
      <c r="AP165" s="353"/>
      <c r="AQ165" s="643"/>
      <c r="AR165" s="235">
        <f t="shared" si="188"/>
        <v>3687185.3848742591</v>
      </c>
      <c r="AS165" s="235">
        <f t="shared" si="189"/>
        <v>4104774.4367713383</v>
      </c>
      <c r="AT165" s="235">
        <f t="shared" si="190"/>
        <v>4555553.3021913189</v>
      </c>
      <c r="AU165" s="235">
        <f t="shared" si="191"/>
        <v>4929314.2699396266</v>
      </c>
      <c r="AV165" s="354"/>
      <c r="AW165" s="354"/>
      <c r="AX165" s="354"/>
      <c r="AY165" s="354"/>
      <c r="AZ165" s="354"/>
      <c r="BA165" s="354"/>
      <c r="BB165" s="354"/>
      <c r="BC165" s="354"/>
      <c r="BD165" s="354"/>
      <c r="BE165" s="354"/>
      <c r="BF165" s="354"/>
      <c r="BG165" s="206"/>
      <c r="BH165" s="206"/>
      <c r="BI165" s="206"/>
      <c r="BJ165" s="206"/>
      <c r="BK165" s="206"/>
      <c r="BL165" s="206"/>
      <c r="BM165" s="206"/>
      <c r="BN165" s="206"/>
      <c r="BO165" s="636"/>
      <c r="BP165" s="208" t="s">
        <v>23</v>
      </c>
      <c r="BQ165" s="355">
        <f t="shared" si="192"/>
        <v>0</v>
      </c>
      <c r="BR165" s="355">
        <f t="shared" si="192"/>
        <v>0</v>
      </c>
      <c r="BS165" s="355">
        <f t="shared" si="192"/>
        <v>0</v>
      </c>
      <c r="BT165" s="355">
        <f t="shared" si="192"/>
        <v>0</v>
      </c>
      <c r="BU165" s="355">
        <f t="shared" si="192"/>
        <v>1129430.6074424651</v>
      </c>
      <c r="BV165" s="355">
        <f t="shared" si="192"/>
        <v>1129430.6074424651</v>
      </c>
      <c r="BW165" s="355">
        <f t="shared" si="192"/>
        <v>1129430.6074424651</v>
      </c>
      <c r="BX165" s="355">
        <f t="shared" si="192"/>
        <v>1129430.6074424651</v>
      </c>
      <c r="BY165" s="355">
        <f t="shared" si="192"/>
        <v>1129430.6074424651</v>
      </c>
      <c r="BZ165" s="355">
        <f t="shared" si="192"/>
        <v>1129430.6074424651</v>
      </c>
      <c r="CA165" s="355">
        <f t="shared" si="192"/>
        <v>1129430.6074424651</v>
      </c>
      <c r="CB165" s="355">
        <f t="shared" si="192"/>
        <v>1129430.6074424651</v>
      </c>
      <c r="CC165" s="355">
        <f t="shared" si="192"/>
        <v>1129430.6074424651</v>
      </c>
      <c r="CD165" s="355">
        <f t="shared" si="192"/>
        <v>1129430.6074424651</v>
      </c>
      <c r="CE165" s="355">
        <f t="shared" si="192"/>
        <v>1129430.6074424651</v>
      </c>
      <c r="CF165" s="355">
        <f t="shared" si="192"/>
        <v>1129430.6074424651</v>
      </c>
      <c r="CG165" s="355">
        <f t="shared" si="192"/>
        <v>1129430.6074424651</v>
      </c>
      <c r="CH165" s="355">
        <f t="shared" si="192"/>
        <v>1129430.6074424651</v>
      </c>
      <c r="CI165" s="355">
        <f t="shared" si="192"/>
        <v>1129430.6074424651</v>
      </c>
      <c r="CJ165" s="355">
        <f t="shared" si="192"/>
        <v>1129430.6074424651</v>
      </c>
      <c r="CK165" s="355"/>
      <c r="CL165" s="355"/>
      <c r="CM165" s="355"/>
      <c r="CN165" s="355"/>
      <c r="CO165" s="355"/>
      <c r="CP165" s="355"/>
      <c r="CQ165" s="355"/>
      <c r="CR165" s="355"/>
      <c r="CS165" s="355"/>
      <c r="CT165" s="355"/>
      <c r="CU165" s="355"/>
      <c r="CV165" s="355"/>
      <c r="CW165" s="355"/>
      <c r="CX165" s="355"/>
      <c r="CY165" s="355"/>
      <c r="CZ165" s="355"/>
      <c r="DA165" s="355"/>
      <c r="DB165" s="355"/>
      <c r="DC165" s="355"/>
      <c r="DD165" s="355"/>
      <c r="DE165" s="654"/>
      <c r="DF165" s="235">
        <f t="shared" si="201"/>
        <v>4517722.4297698606</v>
      </c>
      <c r="DG165" s="235">
        <f t="shared" si="202"/>
        <v>4517722.4297698606</v>
      </c>
      <c r="DH165" s="235">
        <f t="shared" si="203"/>
        <v>4517722.4297698606</v>
      </c>
      <c r="DI165" s="236">
        <f t="shared" si="204"/>
        <v>4517722.4297698606</v>
      </c>
      <c r="DJ165" s="354"/>
      <c r="DK165" s="354"/>
      <c r="DL165" s="354"/>
      <c r="DM165" s="354"/>
      <c r="DN165" s="354"/>
      <c r="DO165" s="654"/>
      <c r="DP165" s="235">
        <f t="shared" si="193"/>
        <v>-830537.04489560146</v>
      </c>
      <c r="DQ165" s="235">
        <f t="shared" si="193"/>
        <v>-412947.99299852224</v>
      </c>
      <c r="DR165" s="235">
        <f t="shared" si="193"/>
        <v>37830.872421458364</v>
      </c>
      <c r="DS165" s="236">
        <f t="shared" si="193"/>
        <v>411591.84016976599</v>
      </c>
      <c r="DT165" s="354"/>
      <c r="DU165" s="354"/>
      <c r="DV165" s="354"/>
      <c r="DW165" s="354"/>
      <c r="DX165" s="354"/>
      <c r="DY165" s="354"/>
      <c r="DZ165" s="206"/>
      <c r="EA165" s="206"/>
      <c r="EB165" s="206"/>
      <c r="EC165" s="206"/>
      <c r="ED165" s="206"/>
      <c r="EE165" s="206"/>
      <c r="EF165" s="206"/>
      <c r="EG165" s="636"/>
      <c r="EH165" s="361" t="s">
        <v>23</v>
      </c>
      <c r="EI165" s="355">
        <f t="shared" si="194"/>
        <v>0</v>
      </c>
      <c r="EJ165" s="355">
        <f t="shared" si="194"/>
        <v>0</v>
      </c>
      <c r="EK165" s="355">
        <f t="shared" si="194"/>
        <v>0</v>
      </c>
      <c r="EL165" s="355">
        <f t="shared" si="194"/>
        <v>0</v>
      </c>
      <c r="EM165" s="355">
        <f t="shared" si="194"/>
        <v>-227968.00415519229</v>
      </c>
      <c r="EN165" s="355">
        <f t="shared" si="194"/>
        <v>-214412.17553433101</v>
      </c>
      <c r="EO165" s="355">
        <f t="shared" si="194"/>
        <v>-200856.34691346984</v>
      </c>
      <c r="EP165" s="355">
        <f t="shared" si="194"/>
        <v>-187300.51829260844</v>
      </c>
      <c r="EQ165" s="355">
        <f t="shared" si="194"/>
        <v>-124616.03177448129</v>
      </c>
      <c r="ER165" s="355">
        <f t="shared" si="194"/>
        <v>-110363.3427579141</v>
      </c>
      <c r="ES165" s="355">
        <f t="shared" si="194"/>
        <v>-96110.653741346905</v>
      </c>
      <c r="ET165" s="355">
        <f t="shared" si="194"/>
        <v>-81857.964724779944</v>
      </c>
      <c r="EU165" s="355">
        <f t="shared" si="194"/>
        <v>-13020.340951500461</v>
      </c>
      <c r="EV165" s="355">
        <f t="shared" si="194"/>
        <v>1965.0317530764733</v>
      </c>
      <c r="EW165" s="355">
        <f t="shared" si="194"/>
        <v>16950.404457652941</v>
      </c>
      <c r="EX165" s="355">
        <f t="shared" si="194"/>
        <v>31935.777162229409</v>
      </c>
      <c r="EY165" s="355">
        <f t="shared" si="195"/>
        <v>102897.9600424415</v>
      </c>
      <c r="EZ165" s="355">
        <f t="shared" si="195"/>
        <v>102897.9600424415</v>
      </c>
      <c r="FA165" s="355">
        <f t="shared" si="195"/>
        <v>102897.9600424415</v>
      </c>
      <c r="FB165" s="355">
        <f t="shared" si="195"/>
        <v>102897.9600424415</v>
      </c>
      <c r="FC165" s="355"/>
      <c r="FD165" s="355"/>
      <c r="FE165" s="355"/>
      <c r="FF165" s="355"/>
      <c r="FG165" s="355"/>
      <c r="FH165" s="355"/>
      <c r="FI165" s="355"/>
      <c r="FJ165" s="355"/>
      <c r="FK165" s="355"/>
      <c r="FL165" s="355"/>
      <c r="FM165" s="355"/>
      <c r="FN165" s="355"/>
      <c r="FO165" s="355"/>
      <c r="FP165" s="355"/>
      <c r="FQ165" s="355"/>
      <c r="FR165" s="355"/>
      <c r="FS165" s="355"/>
      <c r="FT165" s="355"/>
      <c r="FU165" s="355"/>
      <c r="FV165" s="355"/>
      <c r="FW165" s="355"/>
      <c r="FX165" s="369"/>
      <c r="FY165" s="370"/>
      <c r="FZ165" s="371">
        <f t="shared" si="196"/>
        <v>-207634.26122390039</v>
      </c>
      <c r="GA165" s="637"/>
      <c r="GB165" s="364">
        <f t="shared" si="197"/>
        <v>-103236.99824963056</v>
      </c>
      <c r="GC165" s="637"/>
      <c r="GD165" s="364">
        <f t="shared" si="198"/>
        <v>9457.7181053645909</v>
      </c>
      <c r="GE165" s="637"/>
      <c r="GF165" s="364">
        <f t="shared" si="199"/>
        <v>102897.9600424415</v>
      </c>
      <c r="GG165" s="637"/>
      <c r="GH165" s="640"/>
      <c r="GI165" s="206"/>
      <c r="GJ165" s="636"/>
      <c r="GK165" s="635"/>
      <c r="GL165" s="206"/>
      <c r="GM165" s="206"/>
      <c r="GN165" s="206"/>
      <c r="GO165" s="206"/>
      <c r="GP165" s="206"/>
      <c r="GQ165" s="206"/>
      <c r="GR165" s="206"/>
      <c r="GS165" s="206"/>
    </row>
    <row r="166" spans="1:201" ht="15" thickBot="1">
      <c r="A166" s="636"/>
      <c r="B166" s="372" t="s">
        <v>25</v>
      </c>
      <c r="C166" s="353">
        <f t="shared" si="187"/>
        <v>0</v>
      </c>
      <c r="D166" s="353">
        <f t="shared" si="187"/>
        <v>0</v>
      </c>
      <c r="E166" s="353">
        <f t="shared" si="187"/>
        <v>0</v>
      </c>
      <c r="F166" s="353">
        <f t="shared" si="187"/>
        <v>0</v>
      </c>
      <c r="G166" s="353">
        <f t="shared" si="187"/>
        <v>0</v>
      </c>
      <c r="H166" s="353">
        <f t="shared" si="187"/>
        <v>0</v>
      </c>
      <c r="I166" s="353">
        <f t="shared" si="187"/>
        <v>0</v>
      </c>
      <c r="J166" s="353">
        <f t="shared" si="187"/>
        <v>0</v>
      </c>
      <c r="K166" s="353">
        <f t="shared" si="187"/>
        <v>1072679.0087194771</v>
      </c>
      <c r="L166" s="353">
        <f t="shared" si="187"/>
        <v>1089374.4018512978</v>
      </c>
      <c r="M166" s="353">
        <f t="shared" si="187"/>
        <v>1106069.7949831185</v>
      </c>
      <c r="N166" s="353">
        <f t="shared" si="187"/>
        <v>1122765.188114939</v>
      </c>
      <c r="O166" s="353">
        <f t="shared" si="187"/>
        <v>1198036.4878731482</v>
      </c>
      <c r="P166" s="353">
        <f t="shared" si="187"/>
        <v>1215590.1360471139</v>
      </c>
      <c r="Q166" s="353">
        <f t="shared" si="187"/>
        <v>1233143.7842210797</v>
      </c>
      <c r="R166" s="353">
        <f t="shared" si="187"/>
        <v>1250697.4323950452</v>
      </c>
      <c r="S166" s="353">
        <f t="shared" si="187"/>
        <v>1333447.6815720419</v>
      </c>
      <c r="T166" s="353">
        <f t="shared" si="187"/>
        <v>1351903.7048463952</v>
      </c>
      <c r="U166" s="353">
        <f t="shared" si="187"/>
        <v>1370359.7281207487</v>
      </c>
      <c r="V166" s="353">
        <f t="shared" si="187"/>
        <v>1388815.7513951024</v>
      </c>
      <c r="W166" s="353"/>
      <c r="X166" s="353"/>
      <c r="Y166" s="353"/>
      <c r="Z166" s="353"/>
      <c r="AA166" s="353"/>
      <c r="AB166" s="353"/>
      <c r="AC166" s="353"/>
      <c r="AD166" s="353"/>
      <c r="AE166" s="353"/>
      <c r="AF166" s="353"/>
      <c r="AG166" s="353"/>
      <c r="AH166" s="353"/>
      <c r="AI166" s="353"/>
      <c r="AJ166" s="353"/>
      <c r="AK166" s="353"/>
      <c r="AL166" s="353"/>
      <c r="AM166" s="353"/>
      <c r="AN166" s="353"/>
      <c r="AO166" s="353"/>
      <c r="AP166" s="353"/>
      <c r="AQ166" s="643"/>
      <c r="AR166" s="235">
        <f t="shared" si="188"/>
        <v>0</v>
      </c>
      <c r="AS166" s="235">
        <f t="shared" si="189"/>
        <v>4390888.3936688332</v>
      </c>
      <c r="AT166" s="235">
        <f t="shared" si="190"/>
        <v>4897467.8405363867</v>
      </c>
      <c r="AU166" s="235">
        <f t="shared" si="191"/>
        <v>5444526.8659342881</v>
      </c>
      <c r="AV166" s="354"/>
      <c r="AW166" s="354"/>
      <c r="AX166" s="354"/>
      <c r="AY166" s="354"/>
      <c r="AZ166" s="354"/>
      <c r="BA166" s="354"/>
      <c r="BB166" s="354"/>
      <c r="BC166" s="354"/>
      <c r="BD166" s="354"/>
      <c r="BE166" s="354"/>
      <c r="BF166" s="354"/>
      <c r="BG166" s="206"/>
      <c r="BH166" s="206"/>
      <c r="BI166" s="206"/>
      <c r="BJ166" s="206"/>
      <c r="BK166" s="206"/>
      <c r="BL166" s="206"/>
      <c r="BM166" s="206"/>
      <c r="BN166" s="206"/>
      <c r="BO166" s="636"/>
      <c r="BP166" s="372" t="s">
        <v>25</v>
      </c>
      <c r="BQ166" s="355">
        <f t="shared" si="192"/>
        <v>0</v>
      </c>
      <c r="BR166" s="355">
        <f t="shared" si="192"/>
        <v>0</v>
      </c>
      <c r="BS166" s="355">
        <f t="shared" si="192"/>
        <v>0</v>
      </c>
      <c r="BT166" s="355">
        <f t="shared" si="192"/>
        <v>0</v>
      </c>
      <c r="BU166" s="355">
        <f t="shared" si="192"/>
        <v>0</v>
      </c>
      <c r="BV166" s="355">
        <f t="shared" si="192"/>
        <v>0</v>
      </c>
      <c r="BW166" s="355">
        <f t="shared" si="192"/>
        <v>0</v>
      </c>
      <c r="BX166" s="355">
        <f t="shared" si="192"/>
        <v>0</v>
      </c>
      <c r="BY166" s="355">
        <f t="shared" si="192"/>
        <v>1236137.6900317529</v>
      </c>
      <c r="BZ166" s="355">
        <f t="shared" si="192"/>
        <v>1236137.6900317529</v>
      </c>
      <c r="CA166" s="355">
        <f t="shared" si="192"/>
        <v>1236137.6900317529</v>
      </c>
      <c r="CB166" s="355">
        <f t="shared" si="192"/>
        <v>1236137.6900317529</v>
      </c>
      <c r="CC166" s="355">
        <f t="shared" si="192"/>
        <v>1236137.6900317529</v>
      </c>
      <c r="CD166" s="355">
        <f t="shared" si="192"/>
        <v>1236137.6900317529</v>
      </c>
      <c r="CE166" s="355">
        <f t="shared" si="192"/>
        <v>1236137.6900317529</v>
      </c>
      <c r="CF166" s="355">
        <f t="shared" si="192"/>
        <v>1236137.6900317529</v>
      </c>
      <c r="CG166" s="355">
        <f t="shared" si="192"/>
        <v>1236137.6900317529</v>
      </c>
      <c r="CH166" s="355">
        <f t="shared" si="192"/>
        <v>1236137.6900317529</v>
      </c>
      <c r="CI166" s="355">
        <f t="shared" si="192"/>
        <v>1236137.6900317529</v>
      </c>
      <c r="CJ166" s="355">
        <f t="shared" si="192"/>
        <v>1236137.6900317529</v>
      </c>
      <c r="CK166" s="355"/>
      <c r="CL166" s="355"/>
      <c r="CM166" s="355"/>
      <c r="CN166" s="355"/>
      <c r="CO166" s="355"/>
      <c r="CP166" s="355"/>
      <c r="CQ166" s="355"/>
      <c r="CR166" s="355"/>
      <c r="CS166" s="355"/>
      <c r="CT166" s="355"/>
      <c r="CU166" s="355"/>
      <c r="CV166" s="355"/>
      <c r="CW166" s="355"/>
      <c r="CX166" s="355"/>
      <c r="CY166" s="355"/>
      <c r="CZ166" s="355"/>
      <c r="DA166" s="355"/>
      <c r="DB166" s="355"/>
      <c r="DC166" s="355"/>
      <c r="DD166" s="355"/>
      <c r="DE166" s="654"/>
      <c r="DF166" s="235">
        <f t="shared" si="201"/>
        <v>0</v>
      </c>
      <c r="DG166" s="235">
        <f t="shared" si="202"/>
        <v>4944550.7601270117</v>
      </c>
      <c r="DH166" s="235">
        <f t="shared" si="203"/>
        <v>4944550.7601270117</v>
      </c>
      <c r="DI166" s="236">
        <f t="shared" si="204"/>
        <v>4944550.7601270117</v>
      </c>
      <c r="DJ166" s="354"/>
      <c r="DK166" s="354"/>
      <c r="DL166" s="354"/>
      <c r="DM166" s="354"/>
      <c r="DN166" s="354"/>
      <c r="DO166" s="654"/>
      <c r="DP166" s="235">
        <f t="shared" si="193"/>
        <v>0</v>
      </c>
      <c r="DQ166" s="235">
        <f t="shared" si="193"/>
        <v>-553662.3664581785</v>
      </c>
      <c r="DR166" s="235">
        <f t="shared" si="193"/>
        <v>-47082.919590624981</v>
      </c>
      <c r="DS166" s="236">
        <f t="shared" si="193"/>
        <v>499976.10580727644</v>
      </c>
      <c r="DT166" s="354"/>
      <c r="DU166" s="354"/>
      <c r="DV166" s="354"/>
      <c r="DW166" s="354"/>
      <c r="DX166" s="354"/>
      <c r="DY166" s="354"/>
      <c r="DZ166" s="206"/>
      <c r="EA166" s="206"/>
      <c r="EB166" s="206"/>
      <c r="EC166" s="206"/>
      <c r="ED166" s="206"/>
      <c r="EE166" s="206"/>
      <c r="EF166" s="206"/>
      <c r="EG166" s="636"/>
      <c r="EH166" s="373" t="s">
        <v>25</v>
      </c>
      <c r="EI166" s="355">
        <f t="shared" si="194"/>
        <v>0</v>
      </c>
      <c r="EJ166" s="355">
        <f t="shared" si="194"/>
        <v>0</v>
      </c>
      <c r="EK166" s="355">
        <f t="shared" si="194"/>
        <v>0</v>
      </c>
      <c r="EL166" s="355">
        <f t="shared" si="194"/>
        <v>0</v>
      </c>
      <c r="EM166" s="355">
        <f t="shared" si="194"/>
        <v>0</v>
      </c>
      <c r="EN166" s="355">
        <f t="shared" si="194"/>
        <v>0</v>
      </c>
      <c r="EO166" s="355">
        <f t="shared" si="194"/>
        <v>0</v>
      </c>
      <c r="EP166" s="355">
        <f t="shared" si="194"/>
        <v>0</v>
      </c>
      <c r="EQ166" s="355">
        <f t="shared" si="194"/>
        <v>-163458.68131227582</v>
      </c>
      <c r="ER166" s="355">
        <f t="shared" si="194"/>
        <v>-146763.2881804551</v>
      </c>
      <c r="ES166" s="355">
        <f t="shared" si="194"/>
        <v>-130067.89504863438</v>
      </c>
      <c r="ET166" s="355">
        <f t="shared" si="194"/>
        <v>-113372.5019168139</v>
      </c>
      <c r="EU166" s="355">
        <f t="shared" si="194"/>
        <v>-38101.202158604749</v>
      </c>
      <c r="EV166" s="355">
        <f t="shared" si="194"/>
        <v>-20547.553984639002</v>
      </c>
      <c r="EW166" s="355">
        <f t="shared" si="194"/>
        <v>-2993.9058106732555</v>
      </c>
      <c r="EX166" s="355">
        <f t="shared" si="194"/>
        <v>14559.742363292258</v>
      </c>
      <c r="EY166" s="355">
        <f t="shared" si="195"/>
        <v>97309.991540289018</v>
      </c>
      <c r="EZ166" s="355">
        <f t="shared" si="195"/>
        <v>115766.01481464226</v>
      </c>
      <c r="FA166" s="355">
        <f t="shared" si="195"/>
        <v>134222.03808899573</v>
      </c>
      <c r="FB166" s="355">
        <f t="shared" si="195"/>
        <v>152678.06136334944</v>
      </c>
      <c r="FC166" s="355"/>
      <c r="FD166" s="355"/>
      <c r="FE166" s="355"/>
      <c r="FF166" s="355"/>
      <c r="FG166" s="355"/>
      <c r="FH166" s="355"/>
      <c r="FI166" s="355"/>
      <c r="FJ166" s="355"/>
      <c r="FK166" s="355"/>
      <c r="FL166" s="355"/>
      <c r="FM166" s="355"/>
      <c r="FN166" s="355"/>
      <c r="FO166" s="355"/>
      <c r="FP166" s="355"/>
      <c r="FQ166" s="355"/>
      <c r="FR166" s="355"/>
      <c r="FS166" s="355"/>
      <c r="FT166" s="355"/>
      <c r="FU166" s="355"/>
      <c r="FV166" s="355"/>
      <c r="FW166" s="355"/>
      <c r="FX166" s="369"/>
      <c r="FY166" s="370"/>
      <c r="FZ166" s="371">
        <f t="shared" si="196"/>
        <v>0</v>
      </c>
      <c r="GA166" s="637"/>
      <c r="GB166" s="364">
        <f t="shared" si="197"/>
        <v>-138415.5916145448</v>
      </c>
      <c r="GC166" s="637"/>
      <c r="GD166" s="364">
        <f t="shared" si="198"/>
        <v>-11770.729897656187</v>
      </c>
      <c r="GE166" s="637"/>
      <c r="GF166" s="364">
        <f t="shared" si="199"/>
        <v>124994.02645181911</v>
      </c>
      <c r="GG166" s="637"/>
      <c r="GH166" s="641"/>
      <c r="GI166" s="206"/>
      <c r="GJ166" s="636"/>
      <c r="GK166" s="635"/>
      <c r="GL166" s="206"/>
      <c r="GM166" s="206"/>
      <c r="GN166" s="206"/>
      <c r="GO166" s="206"/>
      <c r="GP166" s="206"/>
      <c r="GQ166" s="206"/>
      <c r="GR166" s="206"/>
      <c r="GS166" s="206"/>
    </row>
    <row r="167" spans="1:201" ht="15" thickBot="1">
      <c r="A167" s="636">
        <v>3</v>
      </c>
      <c r="B167" s="372" t="s">
        <v>27</v>
      </c>
      <c r="C167" s="353">
        <f t="shared" si="187"/>
        <v>0</v>
      </c>
      <c r="D167" s="353">
        <f t="shared" si="187"/>
        <v>0</v>
      </c>
      <c r="E167" s="353">
        <f t="shared" si="187"/>
        <v>0</v>
      </c>
      <c r="F167" s="353">
        <f t="shared" si="187"/>
        <v>0</v>
      </c>
      <c r="G167" s="353">
        <f t="shared" si="187"/>
        <v>0</v>
      </c>
      <c r="H167" s="353">
        <f t="shared" si="187"/>
        <v>0</v>
      </c>
      <c r="I167" s="353">
        <f t="shared" si="187"/>
        <v>0</v>
      </c>
      <c r="J167" s="353">
        <f t="shared" si="187"/>
        <v>0</v>
      </c>
      <c r="K167" s="353">
        <f t="shared" si="187"/>
        <v>1198402.2686888573</v>
      </c>
      <c r="L167" s="353">
        <f t="shared" si="187"/>
        <v>1215833.5744152393</v>
      </c>
      <c r="M167" s="353">
        <f t="shared" si="187"/>
        <v>1233264.8801416229</v>
      </c>
      <c r="N167" s="353">
        <f t="shared" si="187"/>
        <v>1250696.1858680064</v>
      </c>
      <c r="O167" s="353">
        <f t="shared" si="187"/>
        <v>1333317.7392962566</v>
      </c>
      <c r="P167" s="353">
        <f t="shared" si="187"/>
        <v>1351645.1309017036</v>
      </c>
      <c r="Q167" s="353">
        <f t="shared" si="187"/>
        <v>1369972.5225071502</v>
      </c>
      <c r="R167" s="353">
        <f t="shared" si="187"/>
        <v>1388299.914112597</v>
      </c>
      <c r="S167" s="353">
        <f t="shared" si="187"/>
        <v>1478937.3716158171</v>
      </c>
      <c r="T167" s="353">
        <f t="shared" si="187"/>
        <v>1498206.9139170002</v>
      </c>
      <c r="U167" s="353">
        <f t="shared" si="187"/>
        <v>1517476.456218184</v>
      </c>
      <c r="V167" s="353">
        <f t="shared" si="187"/>
        <v>1536745.9985193673</v>
      </c>
      <c r="W167" s="353"/>
      <c r="X167" s="353"/>
      <c r="Y167" s="353"/>
      <c r="Z167" s="353"/>
      <c r="AA167" s="353"/>
      <c r="AB167" s="353"/>
      <c r="AC167" s="353"/>
      <c r="AD167" s="353"/>
      <c r="AE167" s="353"/>
      <c r="AF167" s="353"/>
      <c r="AG167" s="353"/>
      <c r="AH167" s="353"/>
      <c r="AI167" s="353"/>
      <c r="AJ167" s="353"/>
      <c r="AK167" s="353"/>
      <c r="AL167" s="353"/>
      <c r="AM167" s="353"/>
      <c r="AN167" s="353"/>
      <c r="AO167" s="353"/>
      <c r="AP167" s="353"/>
      <c r="AQ167" s="643"/>
      <c r="AR167" s="642"/>
      <c r="AS167" s="235">
        <f t="shared" si="189"/>
        <v>4898196.9091137256</v>
      </c>
      <c r="AT167" s="235">
        <f t="shared" si="190"/>
        <v>5443235.3068177076</v>
      </c>
      <c r="AU167" s="235">
        <f t="shared" si="191"/>
        <v>6031366.7402703688</v>
      </c>
      <c r="AV167" s="354"/>
      <c r="AW167" s="354"/>
      <c r="AX167" s="354"/>
      <c r="AY167" s="354"/>
      <c r="AZ167" s="354"/>
      <c r="BA167" s="354"/>
      <c r="BB167" s="354"/>
      <c r="BC167" s="354"/>
      <c r="BD167" s="354"/>
      <c r="BE167" s="354"/>
      <c r="BF167" s="354"/>
      <c r="BG167" s="206"/>
      <c r="BH167" s="206"/>
      <c r="BI167" s="206"/>
      <c r="BJ167" s="206"/>
      <c r="BK167" s="206"/>
      <c r="BL167" s="206"/>
      <c r="BM167" s="206"/>
      <c r="BN167" s="206"/>
      <c r="BO167" s="636">
        <v>3</v>
      </c>
      <c r="BP167" s="372" t="s">
        <v>27</v>
      </c>
      <c r="BQ167" s="355">
        <f t="shared" si="192"/>
        <v>0</v>
      </c>
      <c r="BR167" s="355">
        <f t="shared" si="192"/>
        <v>0</v>
      </c>
      <c r="BS167" s="355">
        <f t="shared" si="192"/>
        <v>0</v>
      </c>
      <c r="BT167" s="355">
        <f t="shared" si="192"/>
        <v>0</v>
      </c>
      <c r="BU167" s="355">
        <f t="shared" si="192"/>
        <v>0</v>
      </c>
      <c r="BV167" s="355">
        <f t="shared" si="192"/>
        <v>0</v>
      </c>
      <c r="BW167" s="355">
        <f t="shared" si="192"/>
        <v>0</v>
      </c>
      <c r="BX167" s="355">
        <f t="shared" si="192"/>
        <v>0</v>
      </c>
      <c r="BY167" s="355">
        <f t="shared" si="192"/>
        <v>1976151.2549673081</v>
      </c>
      <c r="BZ167" s="355">
        <f t="shared" si="192"/>
        <v>1976151.2549673081</v>
      </c>
      <c r="CA167" s="355">
        <f t="shared" si="192"/>
        <v>1976151.2549673081</v>
      </c>
      <c r="CB167" s="355">
        <f t="shared" si="192"/>
        <v>1976151.2549673081</v>
      </c>
      <c r="CC167" s="355">
        <f t="shared" si="192"/>
        <v>1976151.2549673081</v>
      </c>
      <c r="CD167" s="355">
        <f t="shared" si="192"/>
        <v>1976151.2549673081</v>
      </c>
      <c r="CE167" s="355">
        <f t="shared" si="192"/>
        <v>1976151.2549673081</v>
      </c>
      <c r="CF167" s="355">
        <f t="shared" si="192"/>
        <v>1976151.2549673081</v>
      </c>
      <c r="CG167" s="355">
        <f t="shared" si="192"/>
        <v>1976151.2549673081</v>
      </c>
      <c r="CH167" s="355">
        <f t="shared" si="192"/>
        <v>1976151.2549673081</v>
      </c>
      <c r="CI167" s="355">
        <f t="shared" si="192"/>
        <v>1976151.2549673081</v>
      </c>
      <c r="CJ167" s="355">
        <f t="shared" si="192"/>
        <v>1976151.2549673081</v>
      </c>
      <c r="CK167" s="355"/>
      <c r="CL167" s="355"/>
      <c r="CM167" s="355"/>
      <c r="CN167" s="355"/>
      <c r="CO167" s="355"/>
      <c r="CP167" s="355"/>
      <c r="CQ167" s="355"/>
      <c r="CR167" s="355"/>
      <c r="CS167" s="355"/>
      <c r="CT167" s="355"/>
      <c r="CU167" s="355"/>
      <c r="CV167" s="355"/>
      <c r="CW167" s="355"/>
      <c r="CX167" s="355"/>
      <c r="CY167" s="355"/>
      <c r="CZ167" s="355"/>
      <c r="DA167" s="355"/>
      <c r="DB167" s="355"/>
      <c r="DC167" s="355"/>
      <c r="DD167" s="355"/>
      <c r="DE167" s="654"/>
      <c r="DF167" s="642"/>
      <c r="DG167" s="235">
        <f t="shared" si="202"/>
        <v>7904605.0198692326</v>
      </c>
      <c r="DH167" s="235">
        <f t="shared" si="203"/>
        <v>7904605.0198692326</v>
      </c>
      <c r="DI167" s="236">
        <f t="shared" si="204"/>
        <v>7904605.0198692326</v>
      </c>
      <c r="DJ167" s="354"/>
      <c r="DK167" s="354"/>
      <c r="DL167" s="354"/>
      <c r="DM167" s="354"/>
      <c r="DN167" s="354"/>
      <c r="DO167" s="654"/>
      <c r="DP167" s="642"/>
      <c r="DQ167" s="235">
        <f t="shared" si="193"/>
        <v>-3006408.1107555069</v>
      </c>
      <c r="DR167" s="235">
        <f t="shared" si="193"/>
        <v>-2461369.7130515249</v>
      </c>
      <c r="DS167" s="236">
        <f t="shared" si="193"/>
        <v>-1873238.2795988638</v>
      </c>
      <c r="DT167" s="354"/>
      <c r="DU167" s="354"/>
      <c r="DV167" s="354"/>
      <c r="DW167" s="354"/>
      <c r="DX167" s="354"/>
      <c r="DY167" s="354"/>
      <c r="DZ167" s="206"/>
      <c r="EA167" s="206"/>
      <c r="EB167" s="206"/>
      <c r="EC167" s="206"/>
      <c r="ED167" s="206"/>
      <c r="EE167" s="206"/>
      <c r="EF167" s="206"/>
      <c r="EG167" s="636">
        <v>3</v>
      </c>
      <c r="EH167" s="373" t="s">
        <v>27</v>
      </c>
      <c r="EI167" s="355">
        <f t="shared" si="194"/>
        <v>0</v>
      </c>
      <c r="EJ167" s="355">
        <f t="shared" si="194"/>
        <v>0</v>
      </c>
      <c r="EK167" s="355">
        <f t="shared" si="194"/>
        <v>0</v>
      </c>
      <c r="EL167" s="355">
        <f t="shared" si="194"/>
        <v>0</v>
      </c>
      <c r="EM167" s="355">
        <f t="shared" si="194"/>
        <v>0</v>
      </c>
      <c r="EN167" s="355">
        <f t="shared" si="194"/>
        <v>0</v>
      </c>
      <c r="EO167" s="355">
        <f t="shared" si="194"/>
        <v>0</v>
      </c>
      <c r="EP167" s="355">
        <f t="shared" si="194"/>
        <v>0</v>
      </c>
      <c r="EQ167" s="355">
        <f t="shared" si="194"/>
        <v>-777748.98627845082</v>
      </c>
      <c r="ER167" s="355">
        <f t="shared" si="194"/>
        <v>-760317.68055206886</v>
      </c>
      <c r="ES167" s="355">
        <f t="shared" si="194"/>
        <v>-742886.37482568529</v>
      </c>
      <c r="ET167" s="355">
        <f t="shared" si="194"/>
        <v>-725455.06909930171</v>
      </c>
      <c r="EU167" s="355">
        <f t="shared" si="194"/>
        <v>-642833.51567105157</v>
      </c>
      <c r="EV167" s="355">
        <f t="shared" si="194"/>
        <v>-624506.12406560453</v>
      </c>
      <c r="EW167" s="355">
        <f t="shared" si="194"/>
        <v>-606178.73246015795</v>
      </c>
      <c r="EX167" s="355">
        <f t="shared" si="194"/>
        <v>-587851.34085471113</v>
      </c>
      <c r="EY167" s="355">
        <f t="shared" si="195"/>
        <v>-497213.88335149107</v>
      </c>
      <c r="EZ167" s="355">
        <f t="shared" si="195"/>
        <v>-477944.34105030796</v>
      </c>
      <c r="FA167" s="355">
        <f t="shared" si="195"/>
        <v>-458674.79874912417</v>
      </c>
      <c r="FB167" s="355">
        <f t="shared" si="195"/>
        <v>-439405.25644794083</v>
      </c>
      <c r="FC167" s="355"/>
      <c r="FD167" s="355"/>
      <c r="FE167" s="355"/>
      <c r="FF167" s="355"/>
      <c r="FG167" s="355"/>
      <c r="FH167" s="355"/>
      <c r="FI167" s="355"/>
      <c r="FJ167" s="355"/>
      <c r="FK167" s="355"/>
      <c r="FL167" s="355"/>
      <c r="FM167" s="355"/>
      <c r="FN167" s="355"/>
      <c r="FO167" s="355"/>
      <c r="FP167" s="355"/>
      <c r="FQ167" s="355"/>
      <c r="FR167" s="355"/>
      <c r="FS167" s="355"/>
      <c r="FT167" s="355"/>
      <c r="FU167" s="355"/>
      <c r="FV167" s="355"/>
      <c r="FW167" s="355"/>
      <c r="FX167" s="369"/>
      <c r="FY167" s="370"/>
      <c r="FZ167" s="206"/>
      <c r="GA167" s="206"/>
      <c r="GB167" s="364">
        <f t="shared" si="197"/>
        <v>-751602.02768887673</v>
      </c>
      <c r="GC167" s="637">
        <f>SUM(GB167:GB170)</f>
        <v>-1311079.118695739</v>
      </c>
      <c r="GD167" s="364">
        <f t="shared" si="198"/>
        <v>-615342.42826288124</v>
      </c>
      <c r="GE167" s="637">
        <f>SUM(GD167:GD170)</f>
        <v>-406345.17719930923</v>
      </c>
      <c r="GF167" s="364">
        <f t="shared" si="199"/>
        <v>-468309.56989971601</v>
      </c>
      <c r="GG167" s="637">
        <f>SUM(GF167:GF170)</f>
        <v>61928.248655006406</v>
      </c>
      <c r="GH167" s="639">
        <f>GG167+GE167+GC167</f>
        <v>-1655496.0472400417</v>
      </c>
      <c r="GI167" s="206"/>
      <c r="GJ167" s="636">
        <v>3</v>
      </c>
      <c r="GK167" s="635">
        <f>SUM(EK167:FB170)</f>
        <v>-6621984.1889601666</v>
      </c>
      <c r="GL167" s="206"/>
      <c r="GM167" s="206"/>
      <c r="GN167" s="206"/>
      <c r="GO167" s="206"/>
      <c r="GP167" s="206"/>
      <c r="GQ167" s="206"/>
      <c r="GR167" s="206"/>
      <c r="GS167" s="206"/>
    </row>
    <row r="168" spans="1:201" ht="15" thickBot="1">
      <c r="A168" s="636"/>
      <c r="B168" s="372" t="s">
        <v>28</v>
      </c>
      <c r="C168" s="353">
        <f t="shared" si="187"/>
        <v>0</v>
      </c>
      <c r="D168" s="353">
        <f t="shared" si="187"/>
        <v>0</v>
      </c>
      <c r="E168" s="353">
        <f t="shared" si="187"/>
        <v>0</v>
      </c>
      <c r="F168" s="353">
        <f t="shared" si="187"/>
        <v>0</v>
      </c>
      <c r="G168" s="353">
        <f t="shared" si="187"/>
        <v>0</v>
      </c>
      <c r="H168" s="353">
        <f t="shared" si="187"/>
        <v>0</v>
      </c>
      <c r="I168" s="353">
        <f t="shared" si="187"/>
        <v>0</v>
      </c>
      <c r="J168" s="353">
        <f t="shared" si="187"/>
        <v>0</v>
      </c>
      <c r="K168" s="353">
        <f t="shared" si="187"/>
        <v>524040.03301879327</v>
      </c>
      <c r="L168" s="353">
        <f t="shared" si="187"/>
        <v>530029.06196757953</v>
      </c>
      <c r="M168" s="353">
        <f t="shared" si="187"/>
        <v>536018.09091636573</v>
      </c>
      <c r="N168" s="353">
        <f t="shared" si="187"/>
        <v>542007.11986515217</v>
      </c>
      <c r="O168" s="353">
        <f t="shared" si="187"/>
        <v>576166.82165057457</v>
      </c>
      <c r="P168" s="353">
        <f t="shared" si="187"/>
        <v>582463.72680522548</v>
      </c>
      <c r="Q168" s="353">
        <f t="shared" si="187"/>
        <v>588760.63195987674</v>
      </c>
      <c r="R168" s="353">
        <f t="shared" si="187"/>
        <v>595057.53711452754</v>
      </c>
      <c r="S168" s="353">
        <f t="shared" si="187"/>
        <v>632268.08881338977</v>
      </c>
      <c r="T168" s="353">
        <f t="shared" si="187"/>
        <v>638888.69707321597</v>
      </c>
      <c r="U168" s="353">
        <f t="shared" si="187"/>
        <v>645509.30533304182</v>
      </c>
      <c r="V168" s="353">
        <f t="shared" si="187"/>
        <v>652129.91359286802</v>
      </c>
      <c r="W168" s="353"/>
      <c r="X168" s="353"/>
      <c r="Y168" s="353"/>
      <c r="Z168" s="353"/>
      <c r="AA168" s="353"/>
      <c r="AB168" s="353"/>
      <c r="AC168" s="353"/>
      <c r="AD168" s="353"/>
      <c r="AE168" s="353"/>
      <c r="AF168" s="353"/>
      <c r="AG168" s="353"/>
      <c r="AH168" s="353"/>
      <c r="AI168" s="353"/>
      <c r="AJ168" s="353"/>
      <c r="AK168" s="353"/>
      <c r="AL168" s="353"/>
      <c r="AM168" s="353"/>
      <c r="AN168" s="353"/>
      <c r="AO168" s="353"/>
      <c r="AP168" s="353"/>
      <c r="AQ168" s="643"/>
      <c r="AR168" s="643"/>
      <c r="AS168" s="235">
        <f t="shared" si="189"/>
        <v>2132094.3057678905</v>
      </c>
      <c r="AT168" s="235">
        <f t="shared" si="190"/>
        <v>2342448.717530204</v>
      </c>
      <c r="AU168" s="235">
        <f t="shared" si="191"/>
        <v>2568796.0048125153</v>
      </c>
      <c r="AV168" s="354"/>
      <c r="AW168" s="354"/>
      <c r="AX168" s="354"/>
      <c r="AY168" s="354"/>
      <c r="AZ168" s="354"/>
      <c r="BA168" s="354"/>
      <c r="BB168" s="354"/>
      <c r="BC168" s="354"/>
      <c r="BD168" s="354"/>
      <c r="BE168" s="354"/>
      <c r="BF168" s="354"/>
      <c r="BG168" s="206"/>
      <c r="BH168" s="206"/>
      <c r="BI168" s="206"/>
      <c r="BJ168" s="206"/>
      <c r="BK168" s="206"/>
      <c r="BL168" s="206"/>
      <c r="BM168" s="206"/>
      <c r="BN168" s="206"/>
      <c r="BO168" s="636"/>
      <c r="BP168" s="372" t="s">
        <v>28</v>
      </c>
      <c r="BQ168" s="355">
        <f t="shared" si="192"/>
        <v>0</v>
      </c>
      <c r="BR168" s="355">
        <f t="shared" si="192"/>
        <v>0</v>
      </c>
      <c r="BS168" s="355">
        <f t="shared" si="192"/>
        <v>0</v>
      </c>
      <c r="BT168" s="355">
        <f t="shared" si="192"/>
        <v>0</v>
      </c>
      <c r="BU168" s="355">
        <f t="shared" si="192"/>
        <v>0</v>
      </c>
      <c r="BV168" s="355">
        <f t="shared" si="192"/>
        <v>0</v>
      </c>
      <c r="BW168" s="355">
        <f t="shared" si="192"/>
        <v>0</v>
      </c>
      <c r="BX168" s="355">
        <f t="shared" si="192"/>
        <v>0</v>
      </c>
      <c r="BY168" s="355">
        <f t="shared" si="192"/>
        <v>669866.77512473892</v>
      </c>
      <c r="BZ168" s="355">
        <f t="shared" si="192"/>
        <v>669866.77512473892</v>
      </c>
      <c r="CA168" s="355">
        <f t="shared" si="192"/>
        <v>669866.77512473892</v>
      </c>
      <c r="CB168" s="355">
        <f t="shared" si="192"/>
        <v>669866.77512473892</v>
      </c>
      <c r="CC168" s="355">
        <f t="shared" si="192"/>
        <v>669866.77512473892</v>
      </c>
      <c r="CD168" s="355">
        <f t="shared" si="192"/>
        <v>669866.77512473892</v>
      </c>
      <c r="CE168" s="355">
        <f t="shared" si="192"/>
        <v>669866.77512473892</v>
      </c>
      <c r="CF168" s="355">
        <f t="shared" si="192"/>
        <v>669866.77512473892</v>
      </c>
      <c r="CG168" s="355">
        <f t="shared" si="192"/>
        <v>669866.77512473892</v>
      </c>
      <c r="CH168" s="355">
        <f t="shared" si="192"/>
        <v>669866.77512473892</v>
      </c>
      <c r="CI168" s="355">
        <f t="shared" si="192"/>
        <v>669866.77512473892</v>
      </c>
      <c r="CJ168" s="355">
        <f t="shared" si="192"/>
        <v>669866.77512473892</v>
      </c>
      <c r="CK168" s="355"/>
      <c r="CL168" s="355"/>
      <c r="CM168" s="355"/>
      <c r="CN168" s="355"/>
      <c r="CO168" s="355"/>
      <c r="CP168" s="355"/>
      <c r="CQ168" s="355"/>
      <c r="CR168" s="355"/>
      <c r="CS168" s="355"/>
      <c r="CT168" s="355"/>
      <c r="CU168" s="355"/>
      <c r="CV168" s="355"/>
      <c r="CW168" s="355"/>
      <c r="CX168" s="355"/>
      <c r="CY168" s="355"/>
      <c r="CZ168" s="355"/>
      <c r="DA168" s="355"/>
      <c r="DB168" s="355"/>
      <c r="DC168" s="355"/>
      <c r="DD168" s="355"/>
      <c r="DE168" s="654"/>
      <c r="DF168" s="643"/>
      <c r="DG168" s="235">
        <f t="shared" si="202"/>
        <v>2679467.1004989557</v>
      </c>
      <c r="DH168" s="235">
        <f t="shared" si="203"/>
        <v>2679467.1004989557</v>
      </c>
      <c r="DI168" s="236">
        <f t="shared" si="204"/>
        <v>2679467.1004989557</v>
      </c>
      <c r="DJ168" s="354"/>
      <c r="DK168" s="354"/>
      <c r="DL168" s="354"/>
      <c r="DM168" s="354"/>
      <c r="DN168" s="354"/>
      <c r="DO168" s="654"/>
      <c r="DP168" s="643"/>
      <c r="DQ168" s="235">
        <f t="shared" si="193"/>
        <v>-547372.79473106517</v>
      </c>
      <c r="DR168" s="235">
        <f t="shared" si="193"/>
        <v>-337018.38296875171</v>
      </c>
      <c r="DS168" s="236">
        <f t="shared" si="193"/>
        <v>-110671.09568644036</v>
      </c>
      <c r="DT168" s="354"/>
      <c r="DU168" s="354"/>
      <c r="DV168" s="354"/>
      <c r="DW168" s="354"/>
      <c r="DX168" s="354"/>
      <c r="DY168" s="354"/>
      <c r="DZ168" s="206"/>
      <c r="EA168" s="206"/>
      <c r="EB168" s="206"/>
      <c r="EC168" s="206"/>
      <c r="ED168" s="206"/>
      <c r="EE168" s="206"/>
      <c r="EF168" s="206"/>
      <c r="EG168" s="636"/>
      <c r="EH168" s="373" t="s">
        <v>28</v>
      </c>
      <c r="EI168" s="355">
        <f t="shared" si="194"/>
        <v>0</v>
      </c>
      <c r="EJ168" s="355">
        <f t="shared" si="194"/>
        <v>0</v>
      </c>
      <c r="EK168" s="355">
        <f t="shared" si="194"/>
        <v>0</v>
      </c>
      <c r="EL168" s="355">
        <f t="shared" si="194"/>
        <v>0</v>
      </c>
      <c r="EM168" s="355">
        <f t="shared" si="194"/>
        <v>0</v>
      </c>
      <c r="EN168" s="355">
        <f t="shared" si="194"/>
        <v>0</v>
      </c>
      <c r="EO168" s="355">
        <f t="shared" si="194"/>
        <v>0</v>
      </c>
      <c r="EP168" s="355">
        <f t="shared" si="194"/>
        <v>0</v>
      </c>
      <c r="EQ168" s="355">
        <f t="shared" si="194"/>
        <v>-145826.74210594565</v>
      </c>
      <c r="ER168" s="355">
        <f t="shared" si="194"/>
        <v>-139837.71315715939</v>
      </c>
      <c r="ES168" s="355">
        <f t="shared" si="194"/>
        <v>-133848.68420837319</v>
      </c>
      <c r="ET168" s="355">
        <f t="shared" si="194"/>
        <v>-127859.65525958675</v>
      </c>
      <c r="EU168" s="355">
        <f t="shared" si="194"/>
        <v>-93699.953474164358</v>
      </c>
      <c r="EV168" s="355">
        <f t="shared" si="194"/>
        <v>-87403.048319513444</v>
      </c>
      <c r="EW168" s="355">
        <f t="shared" si="194"/>
        <v>-81106.14316486218</v>
      </c>
      <c r="EX168" s="355">
        <f t="shared" si="194"/>
        <v>-74809.238010211382</v>
      </c>
      <c r="EY168" s="355">
        <f t="shared" si="195"/>
        <v>-37598.686311349156</v>
      </c>
      <c r="EZ168" s="355">
        <f t="shared" si="195"/>
        <v>-30978.078051522956</v>
      </c>
      <c r="FA168" s="355">
        <f t="shared" si="195"/>
        <v>-24357.469791697105</v>
      </c>
      <c r="FB168" s="355">
        <f t="shared" si="195"/>
        <v>-17736.861531870905</v>
      </c>
      <c r="FC168" s="355"/>
      <c r="FD168" s="355"/>
      <c r="FE168" s="355"/>
      <c r="FF168" s="355"/>
      <c r="FG168" s="355"/>
      <c r="FH168" s="355"/>
      <c r="FI168" s="355"/>
      <c r="FJ168" s="355"/>
      <c r="FK168" s="355"/>
      <c r="FL168" s="355"/>
      <c r="FM168" s="355"/>
      <c r="FN168" s="355"/>
      <c r="FO168" s="355"/>
      <c r="FP168" s="355"/>
      <c r="FQ168" s="355"/>
      <c r="FR168" s="355"/>
      <c r="FS168" s="355"/>
      <c r="FT168" s="355"/>
      <c r="FU168" s="355"/>
      <c r="FV168" s="355"/>
      <c r="FW168" s="355"/>
      <c r="FX168" s="369"/>
      <c r="FY168" s="370"/>
      <c r="FZ168" s="206"/>
      <c r="GA168" s="206"/>
      <c r="GB168" s="364">
        <f t="shared" si="197"/>
        <v>-136843.19868276623</v>
      </c>
      <c r="GC168" s="637"/>
      <c r="GD168" s="364">
        <f t="shared" si="198"/>
        <v>-84254.595742187841</v>
      </c>
      <c r="GE168" s="637"/>
      <c r="GF168" s="364">
        <f t="shared" si="199"/>
        <v>-27667.773921610031</v>
      </c>
      <c r="GG168" s="637"/>
      <c r="GH168" s="640"/>
      <c r="GI168" s="206"/>
      <c r="GJ168" s="636"/>
      <c r="GK168" s="635"/>
      <c r="GL168" s="206"/>
      <c r="GM168" s="206"/>
      <c r="GN168" s="206"/>
      <c r="GO168" s="206"/>
      <c r="GP168" s="206"/>
      <c r="GQ168" s="206"/>
      <c r="GR168" s="206"/>
      <c r="GS168" s="206"/>
    </row>
    <row r="169" spans="1:201" ht="15" thickBot="1">
      <c r="A169" s="636"/>
      <c r="B169" s="372" t="s">
        <v>29</v>
      </c>
      <c r="C169" s="353">
        <f t="shared" si="187"/>
        <v>0</v>
      </c>
      <c r="D169" s="353">
        <f t="shared" si="187"/>
        <v>0</v>
      </c>
      <c r="E169" s="353">
        <f t="shared" si="187"/>
        <v>0</v>
      </c>
      <c r="F169" s="353">
        <f t="shared" si="187"/>
        <v>0</v>
      </c>
      <c r="G169" s="353">
        <f t="shared" si="187"/>
        <v>0</v>
      </c>
      <c r="H169" s="353">
        <f t="shared" si="187"/>
        <v>0</v>
      </c>
      <c r="I169" s="353">
        <f t="shared" si="187"/>
        <v>0</v>
      </c>
      <c r="J169" s="353">
        <f t="shared" si="187"/>
        <v>0</v>
      </c>
      <c r="K169" s="353">
        <f t="shared" si="187"/>
        <v>552028.60621003865</v>
      </c>
      <c r="L169" s="353">
        <f t="shared" si="187"/>
        <v>558337.50456672453</v>
      </c>
      <c r="M169" s="353">
        <f t="shared" si="187"/>
        <v>564646.40292341076</v>
      </c>
      <c r="N169" s="353">
        <f t="shared" si="187"/>
        <v>570955.30128009699</v>
      </c>
      <c r="O169" s="353">
        <f t="shared" si="187"/>
        <v>606939.44633964263</v>
      </c>
      <c r="P169" s="353">
        <f t="shared" si="187"/>
        <v>613572.66433242557</v>
      </c>
      <c r="Q169" s="353">
        <f t="shared" si="187"/>
        <v>620205.88232520863</v>
      </c>
      <c r="R169" s="353">
        <f t="shared" si="187"/>
        <v>626839.10031799157</v>
      </c>
      <c r="S169" s="353">
        <f t="shared" si="187"/>
        <v>666037.03882719064</v>
      </c>
      <c r="T169" s="353">
        <f t="shared" si="187"/>
        <v>673011.24865784193</v>
      </c>
      <c r="U169" s="353">
        <f t="shared" si="187"/>
        <v>679985.45848849311</v>
      </c>
      <c r="V169" s="353">
        <f t="shared" si="187"/>
        <v>686959.66831914452</v>
      </c>
      <c r="W169" s="353"/>
      <c r="X169" s="353"/>
      <c r="Y169" s="353"/>
      <c r="Z169" s="353"/>
      <c r="AA169" s="353"/>
      <c r="AB169" s="353"/>
      <c r="AC169" s="353"/>
      <c r="AD169" s="353"/>
      <c r="AE169" s="353"/>
      <c r="AF169" s="353"/>
      <c r="AG169" s="353"/>
      <c r="AH169" s="353"/>
      <c r="AI169" s="353"/>
      <c r="AJ169" s="353"/>
      <c r="AK169" s="353"/>
      <c r="AL169" s="353"/>
      <c r="AM169" s="353"/>
      <c r="AN169" s="353"/>
      <c r="AO169" s="353"/>
      <c r="AP169" s="353"/>
      <c r="AQ169" s="643"/>
      <c r="AR169" s="643"/>
      <c r="AS169" s="235">
        <f t="shared" si="189"/>
        <v>2245967.8149802708</v>
      </c>
      <c r="AT169" s="235">
        <f t="shared" si="190"/>
        <v>2467557.0933152689</v>
      </c>
      <c r="AU169" s="235">
        <f t="shared" si="191"/>
        <v>2705993.4142926699</v>
      </c>
      <c r="AV169" s="354"/>
      <c r="AW169" s="354"/>
      <c r="AX169" s="354"/>
      <c r="AY169" s="354"/>
      <c r="AZ169" s="354"/>
      <c r="BA169" s="354"/>
      <c r="BB169" s="354"/>
      <c r="BC169" s="354"/>
      <c r="BD169" s="354"/>
      <c r="BE169" s="354"/>
      <c r="BF169" s="354"/>
      <c r="BG169" s="206"/>
      <c r="BH169" s="206"/>
      <c r="BI169" s="206"/>
      <c r="BJ169" s="206"/>
      <c r="BK169" s="206"/>
      <c r="BL169" s="206"/>
      <c r="BM169" s="206"/>
      <c r="BN169" s="206"/>
      <c r="BO169" s="636"/>
      <c r="BP169" s="372" t="s">
        <v>29</v>
      </c>
      <c r="BQ169" s="355">
        <f t="shared" si="192"/>
        <v>0</v>
      </c>
      <c r="BR169" s="355">
        <f t="shared" si="192"/>
        <v>0</v>
      </c>
      <c r="BS169" s="355">
        <f t="shared" si="192"/>
        <v>0</v>
      </c>
      <c r="BT169" s="355">
        <f t="shared" si="192"/>
        <v>0</v>
      </c>
      <c r="BU169" s="355">
        <f t="shared" si="192"/>
        <v>0</v>
      </c>
      <c r="BV169" s="355">
        <f t="shared" si="192"/>
        <v>0</v>
      </c>
      <c r="BW169" s="355">
        <f t="shared" si="192"/>
        <v>0</v>
      </c>
      <c r="BX169" s="355">
        <f t="shared" si="192"/>
        <v>0</v>
      </c>
      <c r="BY169" s="355">
        <f t="shared" si="192"/>
        <v>984125.84606916376</v>
      </c>
      <c r="BZ169" s="355">
        <f t="shared" si="192"/>
        <v>984125.84606916376</v>
      </c>
      <c r="CA169" s="355">
        <f t="shared" si="192"/>
        <v>984125.84606916376</v>
      </c>
      <c r="CB169" s="355">
        <f t="shared" si="192"/>
        <v>984125.84606916376</v>
      </c>
      <c r="CC169" s="355">
        <f t="shared" si="192"/>
        <v>984125.84606916376</v>
      </c>
      <c r="CD169" s="355">
        <f t="shared" si="192"/>
        <v>984125.84606916376</v>
      </c>
      <c r="CE169" s="355">
        <f t="shared" si="192"/>
        <v>984125.84606916376</v>
      </c>
      <c r="CF169" s="355">
        <f t="shared" si="192"/>
        <v>984125.84606916376</v>
      </c>
      <c r="CG169" s="355">
        <f t="shared" si="192"/>
        <v>984125.84606916376</v>
      </c>
      <c r="CH169" s="355">
        <f t="shared" si="192"/>
        <v>984125.84606916376</v>
      </c>
      <c r="CI169" s="355">
        <f t="shared" si="192"/>
        <v>984125.84606916376</v>
      </c>
      <c r="CJ169" s="355">
        <f t="shared" si="192"/>
        <v>984125.84606916376</v>
      </c>
      <c r="CK169" s="355"/>
      <c r="CL169" s="355"/>
      <c r="CM169" s="355"/>
      <c r="CN169" s="355"/>
      <c r="CO169" s="355"/>
      <c r="CP169" s="355"/>
      <c r="CQ169" s="355"/>
      <c r="CR169" s="355"/>
      <c r="CS169" s="355"/>
      <c r="CT169" s="355"/>
      <c r="CU169" s="355"/>
      <c r="CV169" s="355"/>
      <c r="CW169" s="355"/>
      <c r="CX169" s="355"/>
      <c r="CY169" s="355"/>
      <c r="CZ169" s="355"/>
      <c r="DA169" s="355"/>
      <c r="DB169" s="355"/>
      <c r="DC169" s="355"/>
      <c r="DD169" s="355"/>
      <c r="DE169" s="654"/>
      <c r="DF169" s="643"/>
      <c r="DG169" s="235">
        <f t="shared" si="202"/>
        <v>3936503.384276655</v>
      </c>
      <c r="DH169" s="235">
        <f t="shared" si="203"/>
        <v>3936503.384276655</v>
      </c>
      <c r="DI169" s="236">
        <f t="shared" si="204"/>
        <v>3936503.384276655</v>
      </c>
      <c r="DJ169" s="354"/>
      <c r="DK169" s="354"/>
      <c r="DL169" s="354"/>
      <c r="DM169" s="354"/>
      <c r="DN169" s="354"/>
      <c r="DO169" s="654"/>
      <c r="DP169" s="643"/>
      <c r="DQ169" s="235">
        <f t="shared" si="193"/>
        <v>-1690535.5692963842</v>
      </c>
      <c r="DR169" s="235">
        <f t="shared" si="193"/>
        <v>-1468946.2909613862</v>
      </c>
      <c r="DS169" s="236">
        <f t="shared" si="193"/>
        <v>-1230509.9699839852</v>
      </c>
      <c r="DT169" s="354"/>
      <c r="DU169" s="354"/>
      <c r="DV169" s="354"/>
      <c r="DW169" s="354"/>
      <c r="DX169" s="354"/>
      <c r="DY169" s="354"/>
      <c r="DZ169" s="206"/>
      <c r="EA169" s="206"/>
      <c r="EB169" s="206"/>
      <c r="EC169" s="206"/>
      <c r="ED169" s="206"/>
      <c r="EE169" s="206"/>
      <c r="EF169" s="206"/>
      <c r="EG169" s="636"/>
      <c r="EH169" s="373" t="s">
        <v>29</v>
      </c>
      <c r="EI169" s="355">
        <f t="shared" si="194"/>
        <v>0</v>
      </c>
      <c r="EJ169" s="355">
        <f t="shared" si="194"/>
        <v>0</v>
      </c>
      <c r="EK169" s="355">
        <f t="shared" si="194"/>
        <v>0</v>
      </c>
      <c r="EL169" s="355">
        <f t="shared" si="194"/>
        <v>0</v>
      </c>
      <c r="EM169" s="355">
        <f t="shared" si="194"/>
        <v>0</v>
      </c>
      <c r="EN169" s="355">
        <f t="shared" si="194"/>
        <v>0</v>
      </c>
      <c r="EO169" s="355">
        <f t="shared" si="194"/>
        <v>0</v>
      </c>
      <c r="EP169" s="355">
        <f t="shared" si="194"/>
        <v>0</v>
      </c>
      <c r="EQ169" s="355">
        <f t="shared" si="194"/>
        <v>-432097.23985912511</v>
      </c>
      <c r="ER169" s="355">
        <f t="shared" si="194"/>
        <v>-425788.34150243923</v>
      </c>
      <c r="ES169" s="355">
        <f t="shared" si="194"/>
        <v>-419479.443145753</v>
      </c>
      <c r="ET169" s="355">
        <f t="shared" si="194"/>
        <v>-413170.54478906677</v>
      </c>
      <c r="EU169" s="355">
        <f t="shared" si="194"/>
        <v>-377186.39972952113</v>
      </c>
      <c r="EV169" s="355">
        <f t="shared" si="194"/>
        <v>-370553.18173673819</v>
      </c>
      <c r="EW169" s="355">
        <f t="shared" si="194"/>
        <v>-363919.96374395513</v>
      </c>
      <c r="EX169" s="355">
        <f t="shared" si="194"/>
        <v>-357286.74575117219</v>
      </c>
      <c r="EY169" s="355">
        <f t="shared" si="195"/>
        <v>-318088.80724197312</v>
      </c>
      <c r="EZ169" s="355">
        <f t="shared" si="195"/>
        <v>-311114.59741132183</v>
      </c>
      <c r="FA169" s="355">
        <f t="shared" si="195"/>
        <v>-304140.38758067065</v>
      </c>
      <c r="FB169" s="355">
        <f t="shared" si="195"/>
        <v>-297166.17775001924</v>
      </c>
      <c r="FC169" s="355"/>
      <c r="FD169" s="355"/>
      <c r="FE169" s="355"/>
      <c r="FF169" s="355"/>
      <c r="FG169" s="355"/>
      <c r="FH169" s="355"/>
      <c r="FI169" s="355"/>
      <c r="FJ169" s="355"/>
      <c r="FK169" s="355"/>
      <c r="FL169" s="355"/>
      <c r="FM169" s="355"/>
      <c r="FN169" s="355"/>
      <c r="FO169" s="355"/>
      <c r="FP169" s="355"/>
      <c r="FQ169" s="355"/>
      <c r="FR169" s="355"/>
      <c r="FS169" s="355"/>
      <c r="FT169" s="355"/>
      <c r="FU169" s="355"/>
      <c r="FV169" s="355"/>
      <c r="FW169" s="355"/>
      <c r="FX169" s="369"/>
      <c r="FY169" s="370"/>
      <c r="FZ169" s="206"/>
      <c r="GA169" s="206"/>
      <c r="GB169" s="364">
        <f t="shared" si="197"/>
        <v>-422633.892324096</v>
      </c>
      <c r="GC169" s="637"/>
      <c r="GD169" s="364">
        <f t="shared" si="198"/>
        <v>-367236.57274034666</v>
      </c>
      <c r="GE169" s="637"/>
      <c r="GF169" s="364">
        <f t="shared" si="199"/>
        <v>-307627.49249599618</v>
      </c>
      <c r="GG169" s="637"/>
      <c r="GH169" s="640"/>
      <c r="GI169" s="206"/>
      <c r="GJ169" s="636"/>
      <c r="GK169" s="635"/>
      <c r="GL169" s="206"/>
      <c r="GM169" s="206"/>
      <c r="GN169" s="206"/>
      <c r="GO169" s="206"/>
      <c r="GP169" s="206"/>
      <c r="GQ169" s="206"/>
      <c r="GR169" s="206"/>
      <c r="GS169" s="206"/>
    </row>
    <row r="170" spans="1:201" ht="15" thickBot="1">
      <c r="A170" s="636"/>
      <c r="B170" s="372" t="s">
        <v>30</v>
      </c>
      <c r="C170" s="353">
        <f t="shared" si="187"/>
        <v>0</v>
      </c>
      <c r="D170" s="353">
        <f t="shared" si="187"/>
        <v>0</v>
      </c>
      <c r="E170" s="353">
        <f t="shared" si="187"/>
        <v>0</v>
      </c>
      <c r="F170" s="353">
        <f t="shared" si="187"/>
        <v>0</v>
      </c>
      <c r="G170" s="353">
        <f t="shared" si="187"/>
        <v>0</v>
      </c>
      <c r="H170" s="353">
        <f t="shared" si="187"/>
        <v>0</v>
      </c>
      <c r="I170" s="353">
        <f t="shared" si="187"/>
        <v>0</v>
      </c>
      <c r="J170" s="353">
        <f t="shared" si="187"/>
        <v>0</v>
      </c>
      <c r="K170" s="353">
        <f t="shared" si="187"/>
        <v>0</v>
      </c>
      <c r="L170" s="353">
        <f t="shared" si="187"/>
        <v>0</v>
      </c>
      <c r="M170" s="353">
        <f t="shared" si="187"/>
        <v>0</v>
      </c>
      <c r="N170" s="353">
        <f t="shared" si="187"/>
        <v>0</v>
      </c>
      <c r="O170" s="353">
        <f t="shared" si="187"/>
        <v>1673977.9283004666</v>
      </c>
      <c r="P170" s="353">
        <f t="shared" si="187"/>
        <v>1701761.7943303499</v>
      </c>
      <c r="Q170" s="353">
        <f t="shared" si="187"/>
        <v>1729545.6603602332</v>
      </c>
      <c r="R170" s="353">
        <f t="shared" ref="R170:V174" si="205">(IF(HK16=1,IF(R16&lt;=$BJ$49,R16*1000*$BI16,$BJ$49*1000*$BI16),IF(HK16*$BJ$49&gt;=R16,R16*1000*$BI16,HK16*1000*$BJ$49*$BI16)))*90*$C$26</f>
        <v>1757329.5263901162</v>
      </c>
      <c r="S170" s="353">
        <f t="shared" si="205"/>
        <v>1876880.178487753</v>
      </c>
      <c r="T170" s="353">
        <f t="shared" si="205"/>
        <v>1906092.3213435935</v>
      </c>
      <c r="U170" s="353">
        <f t="shared" si="205"/>
        <v>1935304.464199434</v>
      </c>
      <c r="V170" s="353">
        <f t="shared" si="205"/>
        <v>1964516.6070552748</v>
      </c>
      <c r="W170" s="353"/>
      <c r="X170" s="353"/>
      <c r="Y170" s="353"/>
      <c r="Z170" s="353"/>
      <c r="AA170" s="353"/>
      <c r="AB170" s="353"/>
      <c r="AC170" s="353"/>
      <c r="AD170" s="353"/>
      <c r="AE170" s="353"/>
      <c r="AF170" s="353"/>
      <c r="AG170" s="353"/>
      <c r="AH170" s="353"/>
      <c r="AI170" s="353"/>
      <c r="AJ170" s="353"/>
      <c r="AK170" s="353"/>
      <c r="AL170" s="353"/>
      <c r="AM170" s="353"/>
      <c r="AN170" s="353"/>
      <c r="AO170" s="353"/>
      <c r="AP170" s="353"/>
      <c r="AQ170" s="643"/>
      <c r="AR170" s="643"/>
      <c r="AS170" s="235">
        <f t="shared" si="189"/>
        <v>0</v>
      </c>
      <c r="AT170" s="235">
        <f t="shared" si="190"/>
        <v>6862614.9093811661</v>
      </c>
      <c r="AU170" s="235">
        <f t="shared" si="191"/>
        <v>7682793.5710860556</v>
      </c>
      <c r="AV170" s="354"/>
      <c r="AW170" s="354"/>
      <c r="AX170" s="354"/>
      <c r="AY170" s="354"/>
      <c r="AZ170" s="354"/>
      <c r="BA170" s="354"/>
      <c r="BB170" s="354"/>
      <c r="BC170" s="354"/>
      <c r="BD170" s="354"/>
      <c r="BE170" s="354"/>
      <c r="BF170" s="354"/>
      <c r="BG170" s="206"/>
      <c r="BH170" s="206"/>
      <c r="BI170" s="206"/>
      <c r="BJ170" s="206"/>
      <c r="BK170" s="206"/>
      <c r="BL170" s="206"/>
      <c r="BM170" s="206"/>
      <c r="BN170" s="206"/>
      <c r="BO170" s="636"/>
      <c r="BP170" s="372" t="s">
        <v>30</v>
      </c>
      <c r="BQ170" s="355">
        <f t="shared" si="192"/>
        <v>0</v>
      </c>
      <c r="BR170" s="355">
        <f t="shared" si="192"/>
        <v>0</v>
      </c>
      <c r="BS170" s="355">
        <f t="shared" si="192"/>
        <v>0</v>
      </c>
      <c r="BT170" s="355">
        <f t="shared" si="192"/>
        <v>0</v>
      </c>
      <c r="BU170" s="355">
        <f t="shared" si="192"/>
        <v>0</v>
      </c>
      <c r="BV170" s="355">
        <f t="shared" si="192"/>
        <v>0</v>
      </c>
      <c r="BW170" s="355">
        <f t="shared" si="192"/>
        <v>0</v>
      </c>
      <c r="BX170" s="355">
        <f t="shared" si="192"/>
        <v>0</v>
      </c>
      <c r="BY170" s="355">
        <f t="shared" si="192"/>
        <v>0</v>
      </c>
      <c r="BZ170" s="355">
        <f t="shared" si="192"/>
        <v>0</v>
      </c>
      <c r="CA170" s="355">
        <f t="shared" si="192"/>
        <v>0</v>
      </c>
      <c r="CB170" s="355">
        <f t="shared" si="192"/>
        <v>0</v>
      </c>
      <c r="CC170" s="355">
        <f t="shared" si="192"/>
        <v>1055165.3077991852</v>
      </c>
      <c r="CD170" s="355">
        <f t="shared" si="192"/>
        <v>1055165.3077991852</v>
      </c>
      <c r="CE170" s="355">
        <f t="shared" si="192"/>
        <v>1055165.3077991852</v>
      </c>
      <c r="CF170" s="355">
        <f t="shared" ref="CF170:CJ174" si="206">HK16*$DR16*90</f>
        <v>1055165.3077991852</v>
      </c>
      <c r="CG170" s="355">
        <f t="shared" si="206"/>
        <v>1055165.3077991852</v>
      </c>
      <c r="CH170" s="355">
        <f t="shared" si="206"/>
        <v>1055165.3077991852</v>
      </c>
      <c r="CI170" s="355">
        <f t="shared" si="206"/>
        <v>1055165.3077991852</v>
      </c>
      <c r="CJ170" s="355">
        <f t="shared" si="206"/>
        <v>1055165.3077991852</v>
      </c>
      <c r="CK170" s="355"/>
      <c r="CL170" s="355"/>
      <c r="CM170" s="355"/>
      <c r="CN170" s="355"/>
      <c r="CO170" s="355"/>
      <c r="CP170" s="355"/>
      <c r="CQ170" s="355"/>
      <c r="CR170" s="355"/>
      <c r="CS170" s="355"/>
      <c r="CT170" s="355"/>
      <c r="CU170" s="355"/>
      <c r="CV170" s="355"/>
      <c r="CW170" s="355"/>
      <c r="CX170" s="355"/>
      <c r="CY170" s="355"/>
      <c r="CZ170" s="355"/>
      <c r="DA170" s="355"/>
      <c r="DB170" s="355"/>
      <c r="DC170" s="355"/>
      <c r="DD170" s="355"/>
      <c r="DE170" s="654"/>
      <c r="DF170" s="643"/>
      <c r="DG170" s="235">
        <f t="shared" si="202"/>
        <v>0</v>
      </c>
      <c r="DH170" s="235">
        <f t="shared" si="203"/>
        <v>4220661.2311967406</v>
      </c>
      <c r="DI170" s="236">
        <f t="shared" si="204"/>
        <v>4220661.2311967406</v>
      </c>
      <c r="DJ170" s="354"/>
      <c r="DK170" s="354"/>
      <c r="DL170" s="354"/>
      <c r="DM170" s="354"/>
      <c r="DN170" s="354"/>
      <c r="DO170" s="654"/>
      <c r="DP170" s="643"/>
      <c r="DQ170" s="235">
        <f t="shared" si="193"/>
        <v>0</v>
      </c>
      <c r="DR170" s="235">
        <f t="shared" si="193"/>
        <v>2641953.6781844255</v>
      </c>
      <c r="DS170" s="236">
        <f t="shared" si="193"/>
        <v>3462132.339889315</v>
      </c>
      <c r="DT170" s="354"/>
      <c r="DU170" s="354"/>
      <c r="DV170" s="354"/>
      <c r="DW170" s="354"/>
      <c r="DX170" s="354"/>
      <c r="DY170" s="354"/>
      <c r="DZ170" s="206"/>
      <c r="EA170" s="206"/>
      <c r="EB170" s="206"/>
      <c r="EC170" s="206"/>
      <c r="ED170" s="206"/>
      <c r="EE170" s="206"/>
      <c r="EF170" s="206"/>
      <c r="EG170" s="636"/>
      <c r="EH170" s="373" t="s">
        <v>30</v>
      </c>
      <c r="EI170" s="355">
        <f t="shared" si="194"/>
        <v>0</v>
      </c>
      <c r="EJ170" s="355">
        <f t="shared" si="194"/>
        <v>0</v>
      </c>
      <c r="EK170" s="355">
        <f t="shared" si="194"/>
        <v>0</v>
      </c>
      <c r="EL170" s="355">
        <f t="shared" si="194"/>
        <v>0</v>
      </c>
      <c r="EM170" s="355">
        <f t="shared" si="194"/>
        <v>0</v>
      </c>
      <c r="EN170" s="355">
        <f t="shared" si="194"/>
        <v>0</v>
      </c>
      <c r="EO170" s="355">
        <f t="shared" si="194"/>
        <v>0</v>
      </c>
      <c r="EP170" s="355">
        <f t="shared" si="194"/>
        <v>0</v>
      </c>
      <c r="EQ170" s="355">
        <f t="shared" si="194"/>
        <v>0</v>
      </c>
      <c r="ER170" s="355">
        <f t="shared" si="194"/>
        <v>0</v>
      </c>
      <c r="ES170" s="355">
        <f t="shared" si="194"/>
        <v>0</v>
      </c>
      <c r="ET170" s="355">
        <f t="shared" si="194"/>
        <v>0</v>
      </c>
      <c r="EU170" s="355">
        <f t="shared" si="194"/>
        <v>618812.62050128146</v>
      </c>
      <c r="EV170" s="355">
        <f t="shared" si="194"/>
        <v>646596.48653116473</v>
      </c>
      <c r="EW170" s="355">
        <f t="shared" si="194"/>
        <v>674380.352561048</v>
      </c>
      <c r="EX170" s="355">
        <f t="shared" si="194"/>
        <v>702164.21859093104</v>
      </c>
      <c r="EY170" s="355">
        <f t="shared" si="195"/>
        <v>821714.87068856787</v>
      </c>
      <c r="EZ170" s="355">
        <f t="shared" si="195"/>
        <v>850927.01354440837</v>
      </c>
      <c r="FA170" s="355">
        <f t="shared" si="195"/>
        <v>880139.15640024887</v>
      </c>
      <c r="FB170" s="355">
        <f t="shared" si="195"/>
        <v>909351.29925608961</v>
      </c>
      <c r="FC170" s="355"/>
      <c r="FD170" s="355"/>
      <c r="FE170" s="355"/>
      <c r="FF170" s="355"/>
      <c r="FG170" s="355"/>
      <c r="FH170" s="355"/>
      <c r="FI170" s="355"/>
      <c r="FJ170" s="355"/>
      <c r="FK170" s="355"/>
      <c r="FL170" s="355"/>
      <c r="FM170" s="355"/>
      <c r="FN170" s="355"/>
      <c r="FO170" s="355"/>
      <c r="FP170" s="355"/>
      <c r="FQ170" s="355"/>
      <c r="FR170" s="355"/>
      <c r="FS170" s="355"/>
      <c r="FT170" s="355"/>
      <c r="FU170" s="355"/>
      <c r="FV170" s="355"/>
      <c r="FW170" s="355"/>
      <c r="FX170" s="369"/>
      <c r="FY170" s="370"/>
      <c r="FZ170" s="206"/>
      <c r="GA170" s="206"/>
      <c r="GB170" s="363">
        <f t="shared" si="197"/>
        <v>0</v>
      </c>
      <c r="GC170" s="637"/>
      <c r="GD170" s="364">
        <f t="shared" si="198"/>
        <v>660488.41954610636</v>
      </c>
      <c r="GE170" s="637"/>
      <c r="GF170" s="364">
        <f t="shared" si="199"/>
        <v>865533.08497232862</v>
      </c>
      <c r="GG170" s="637"/>
      <c r="GH170" s="640"/>
      <c r="GI170" s="206"/>
      <c r="GJ170" s="636"/>
      <c r="GK170" s="635"/>
      <c r="GL170" s="206"/>
      <c r="GM170" s="206"/>
      <c r="GN170" s="206"/>
      <c r="GO170" s="206"/>
      <c r="GP170" s="206"/>
      <c r="GQ170" s="206"/>
      <c r="GR170" s="206"/>
      <c r="GS170" s="206"/>
    </row>
    <row r="171" spans="1:201" ht="23.65" customHeight="1" thickBot="1">
      <c r="A171" s="636">
        <v>4</v>
      </c>
      <c r="B171" s="372" t="s">
        <v>32</v>
      </c>
      <c r="C171" s="353">
        <f t="shared" ref="C171:Q174" si="207">(IF(GV17=1,IF(C17&lt;=$BJ$49,C17*1000*$BI17,$BJ$49*1000*$BI17),IF(GV17*$BJ$49&gt;=C17,C17*1000*$BI17,GV17*1000*$BJ$49*$BI17)))*90*$C$26</f>
        <v>0</v>
      </c>
      <c r="D171" s="353">
        <f t="shared" si="207"/>
        <v>0</v>
      </c>
      <c r="E171" s="353">
        <f t="shared" si="207"/>
        <v>0</v>
      </c>
      <c r="F171" s="353">
        <f t="shared" si="207"/>
        <v>0</v>
      </c>
      <c r="G171" s="353">
        <f t="shared" si="207"/>
        <v>0</v>
      </c>
      <c r="H171" s="353">
        <f t="shared" si="207"/>
        <v>0</v>
      </c>
      <c r="I171" s="353">
        <f t="shared" si="207"/>
        <v>0</v>
      </c>
      <c r="J171" s="353">
        <f t="shared" si="207"/>
        <v>0</v>
      </c>
      <c r="K171" s="353">
        <f t="shared" si="207"/>
        <v>0</v>
      </c>
      <c r="L171" s="353">
        <f t="shared" si="207"/>
        <v>0</v>
      </c>
      <c r="M171" s="353">
        <f t="shared" si="207"/>
        <v>0</v>
      </c>
      <c r="N171" s="353">
        <f t="shared" si="207"/>
        <v>0</v>
      </c>
      <c r="O171" s="353">
        <f t="shared" si="207"/>
        <v>1845117.1349884619</v>
      </c>
      <c r="P171" s="353">
        <f t="shared" si="207"/>
        <v>1866755.8814108698</v>
      </c>
      <c r="Q171" s="353">
        <f t="shared" si="207"/>
        <v>1889452.0015496039</v>
      </c>
      <c r="R171" s="353">
        <f t="shared" si="205"/>
        <v>1912148.1216883378</v>
      </c>
      <c r="S171" s="353">
        <f t="shared" si="205"/>
        <v>2036641.7876222357</v>
      </c>
      <c r="T171" s="353">
        <f t="shared" si="205"/>
        <v>2058171.0492814071</v>
      </c>
      <c r="U171" s="353">
        <f t="shared" si="205"/>
        <v>2082033.9020266992</v>
      </c>
      <c r="V171" s="353">
        <f t="shared" si="205"/>
        <v>2105896.7547719912</v>
      </c>
      <c r="W171" s="353"/>
      <c r="X171" s="353"/>
      <c r="Y171" s="353"/>
      <c r="Z171" s="353"/>
      <c r="AA171" s="353"/>
      <c r="AB171" s="353"/>
      <c r="AC171" s="353"/>
      <c r="AD171" s="353"/>
      <c r="AE171" s="353"/>
      <c r="AF171" s="353"/>
      <c r="AG171" s="353"/>
      <c r="AH171" s="353"/>
      <c r="AI171" s="353"/>
      <c r="AJ171" s="353"/>
      <c r="AK171" s="353"/>
      <c r="AL171" s="353"/>
      <c r="AM171" s="353"/>
      <c r="AN171" s="353"/>
      <c r="AO171" s="353"/>
      <c r="AP171" s="353"/>
      <c r="AQ171" s="643"/>
      <c r="AR171" s="643"/>
      <c r="AS171" s="235">
        <f t="shared" si="189"/>
        <v>0</v>
      </c>
      <c r="AT171" s="235">
        <f t="shared" si="190"/>
        <v>7513473.1396372728</v>
      </c>
      <c r="AU171" s="235">
        <f t="shared" si="191"/>
        <v>8282743.4937023334</v>
      </c>
      <c r="AV171" s="354"/>
      <c r="AW171" s="354"/>
      <c r="AX171" s="354"/>
      <c r="AY171" s="354"/>
      <c r="AZ171" s="354"/>
      <c r="BA171" s="354"/>
      <c r="BB171" s="354"/>
      <c r="BC171" s="354"/>
      <c r="BD171" s="354"/>
      <c r="BE171" s="354"/>
      <c r="BF171" s="354"/>
      <c r="BG171" s="206"/>
      <c r="BH171" s="206"/>
      <c r="BI171" s="206"/>
      <c r="BJ171" s="206"/>
      <c r="BK171" s="206"/>
      <c r="BL171" s="206"/>
      <c r="BM171" s="206"/>
      <c r="BN171" s="206"/>
      <c r="BO171" s="636">
        <v>4</v>
      </c>
      <c r="BP171" s="372" t="s">
        <v>32</v>
      </c>
      <c r="BQ171" s="355">
        <f t="shared" ref="BQ171:CE174" si="208">GV17*$DR17*90</f>
        <v>0</v>
      </c>
      <c r="BR171" s="355">
        <f t="shared" si="208"/>
        <v>0</v>
      </c>
      <c r="BS171" s="355">
        <f t="shared" si="208"/>
        <v>0</v>
      </c>
      <c r="BT171" s="355">
        <f t="shared" si="208"/>
        <v>0</v>
      </c>
      <c r="BU171" s="355">
        <f t="shared" si="208"/>
        <v>0</v>
      </c>
      <c r="BV171" s="355">
        <f t="shared" si="208"/>
        <v>0</v>
      </c>
      <c r="BW171" s="355">
        <f t="shared" si="208"/>
        <v>0</v>
      </c>
      <c r="BX171" s="355">
        <f t="shared" si="208"/>
        <v>0</v>
      </c>
      <c r="BY171" s="355">
        <f t="shared" si="208"/>
        <v>0</v>
      </c>
      <c r="BZ171" s="355">
        <f t="shared" si="208"/>
        <v>0</v>
      </c>
      <c r="CA171" s="355">
        <f t="shared" si="208"/>
        <v>0</v>
      </c>
      <c r="CB171" s="355">
        <f t="shared" si="208"/>
        <v>0</v>
      </c>
      <c r="CC171" s="355">
        <f t="shared" si="208"/>
        <v>1521797.6517872992</v>
      </c>
      <c r="CD171" s="355">
        <f t="shared" si="208"/>
        <v>1521797.6517872992</v>
      </c>
      <c r="CE171" s="355">
        <f t="shared" si="208"/>
        <v>1521797.6517872992</v>
      </c>
      <c r="CF171" s="355">
        <f t="shared" si="206"/>
        <v>1521797.6517872992</v>
      </c>
      <c r="CG171" s="355">
        <f t="shared" si="206"/>
        <v>1521797.6517872992</v>
      </c>
      <c r="CH171" s="355">
        <f t="shared" si="206"/>
        <v>1521797.6517872992</v>
      </c>
      <c r="CI171" s="355">
        <f t="shared" si="206"/>
        <v>1521797.6517872992</v>
      </c>
      <c r="CJ171" s="355">
        <f t="shared" si="206"/>
        <v>1521797.6517872992</v>
      </c>
      <c r="CK171" s="355"/>
      <c r="CL171" s="355"/>
      <c r="CM171" s="355"/>
      <c r="CN171" s="355"/>
      <c r="CO171" s="355"/>
      <c r="CP171" s="355"/>
      <c r="CQ171" s="355"/>
      <c r="CR171" s="355"/>
      <c r="CS171" s="355"/>
      <c r="CT171" s="355"/>
      <c r="CU171" s="355"/>
      <c r="CV171" s="355"/>
      <c r="CW171" s="355"/>
      <c r="CX171" s="355"/>
      <c r="CY171" s="355"/>
      <c r="CZ171" s="355"/>
      <c r="DA171" s="355"/>
      <c r="DB171" s="355"/>
      <c r="DC171" s="355"/>
      <c r="DD171" s="355"/>
      <c r="DE171" s="654"/>
      <c r="DF171" s="643"/>
      <c r="DG171" s="645"/>
      <c r="DH171" s="235">
        <f t="shared" si="203"/>
        <v>6087190.6071491968</v>
      </c>
      <c r="DI171" s="236">
        <f t="shared" si="204"/>
        <v>6087190.6071491968</v>
      </c>
      <c r="DJ171" s="354"/>
      <c r="DK171" s="354"/>
      <c r="DL171" s="354"/>
      <c r="DM171" s="354"/>
      <c r="DN171" s="354"/>
      <c r="DO171" s="654"/>
      <c r="DP171" s="643"/>
      <c r="DQ171" s="645"/>
      <c r="DR171" s="235">
        <f t="shared" si="193"/>
        <v>1426282.532488076</v>
      </c>
      <c r="DS171" s="236">
        <f t="shared" si="193"/>
        <v>2195552.8865531366</v>
      </c>
      <c r="DT171" s="354"/>
      <c r="DU171" s="354"/>
      <c r="DV171" s="354"/>
      <c r="DW171" s="354"/>
      <c r="DX171" s="354"/>
      <c r="DY171" s="354"/>
      <c r="DZ171" s="206"/>
      <c r="EA171" s="206"/>
      <c r="EB171" s="206"/>
      <c r="EC171" s="206"/>
      <c r="ED171" s="206"/>
      <c r="EE171" s="206"/>
      <c r="EF171" s="206"/>
      <c r="EG171" s="636">
        <v>4</v>
      </c>
      <c r="EH171" s="373" t="s">
        <v>32</v>
      </c>
      <c r="EI171" s="355">
        <f t="shared" si="194"/>
        <v>0</v>
      </c>
      <c r="EJ171" s="355">
        <f t="shared" si="194"/>
        <v>0</v>
      </c>
      <c r="EK171" s="355">
        <f t="shared" si="194"/>
        <v>0</v>
      </c>
      <c r="EL171" s="355">
        <f t="shared" si="194"/>
        <v>0</v>
      </c>
      <c r="EM171" s="355">
        <f t="shared" si="194"/>
        <v>0</v>
      </c>
      <c r="EN171" s="355">
        <f t="shared" si="194"/>
        <v>0</v>
      </c>
      <c r="EO171" s="355">
        <f t="shared" si="194"/>
        <v>0</v>
      </c>
      <c r="EP171" s="355">
        <f t="shared" si="194"/>
        <v>0</v>
      </c>
      <c r="EQ171" s="355">
        <f t="shared" si="194"/>
        <v>0</v>
      </c>
      <c r="ER171" s="355">
        <f t="shared" si="194"/>
        <v>0</v>
      </c>
      <c r="ES171" s="355">
        <f t="shared" si="194"/>
        <v>0</v>
      </c>
      <c r="ET171" s="355">
        <f t="shared" si="194"/>
        <v>0</v>
      </c>
      <c r="EU171" s="355">
        <f t="shared" si="194"/>
        <v>323319.48320116266</v>
      </c>
      <c r="EV171" s="355">
        <f t="shared" si="194"/>
        <v>344958.22962357057</v>
      </c>
      <c r="EW171" s="355">
        <f t="shared" si="194"/>
        <v>367654.34976230469</v>
      </c>
      <c r="EX171" s="355">
        <f t="shared" si="194"/>
        <v>390350.46990103857</v>
      </c>
      <c r="EY171" s="355">
        <f t="shared" si="195"/>
        <v>514844.13583493652</v>
      </c>
      <c r="EZ171" s="355">
        <f t="shared" si="195"/>
        <v>536373.39749410795</v>
      </c>
      <c r="FA171" s="355">
        <f t="shared" si="195"/>
        <v>560236.25023939996</v>
      </c>
      <c r="FB171" s="355">
        <f t="shared" si="195"/>
        <v>584099.10298469197</v>
      </c>
      <c r="FC171" s="355"/>
      <c r="FD171" s="355"/>
      <c r="FE171" s="355"/>
      <c r="FF171" s="355"/>
      <c r="FG171" s="355"/>
      <c r="FH171" s="355"/>
      <c r="FI171" s="355"/>
      <c r="FJ171" s="355"/>
      <c r="FK171" s="355"/>
      <c r="FL171" s="355"/>
      <c r="FM171" s="355"/>
      <c r="FN171" s="355"/>
      <c r="FO171" s="355"/>
      <c r="FP171" s="355"/>
      <c r="FQ171" s="355"/>
      <c r="FR171" s="355"/>
      <c r="FS171" s="355"/>
      <c r="FT171" s="355"/>
      <c r="FU171" s="355"/>
      <c r="FV171" s="355"/>
      <c r="FW171" s="355"/>
      <c r="FX171" s="369"/>
      <c r="FY171" s="370"/>
      <c r="FZ171" s="206"/>
      <c r="GA171" s="206"/>
      <c r="GB171" s="374"/>
      <c r="GC171" s="375"/>
      <c r="GD171" s="364">
        <f t="shared" si="198"/>
        <v>356570.63312201912</v>
      </c>
      <c r="GE171" s="637">
        <f>AVERAGE(GD171:GD174)</f>
        <v>-175810.17110806477</v>
      </c>
      <c r="GF171" s="364">
        <f t="shared" si="199"/>
        <v>548888.22163828416</v>
      </c>
      <c r="GG171" s="637">
        <f>SUM(GF171:GF174)</f>
        <v>-114200.31631571241</v>
      </c>
      <c r="GH171" s="641"/>
      <c r="GI171" s="206"/>
      <c r="GJ171" s="636">
        <v>4</v>
      </c>
      <c r="GK171" s="635"/>
      <c r="GL171" s="206"/>
      <c r="GM171" s="206"/>
      <c r="GN171" s="206"/>
      <c r="GO171" s="206"/>
      <c r="GP171" s="206"/>
      <c r="GQ171" s="206"/>
      <c r="GR171" s="206"/>
      <c r="GS171" s="206"/>
    </row>
    <row r="172" spans="1:201" ht="23.65" customHeight="1" thickBot="1">
      <c r="A172" s="636"/>
      <c r="B172" s="208" t="s">
        <v>34</v>
      </c>
      <c r="C172" s="353">
        <f t="shared" si="207"/>
        <v>0</v>
      </c>
      <c r="D172" s="353">
        <f t="shared" si="207"/>
        <v>0</v>
      </c>
      <c r="E172" s="353">
        <f t="shared" si="207"/>
        <v>0</v>
      </c>
      <c r="F172" s="353">
        <f t="shared" si="207"/>
        <v>0</v>
      </c>
      <c r="G172" s="353">
        <f t="shared" si="207"/>
        <v>0</v>
      </c>
      <c r="H172" s="353">
        <f t="shared" si="207"/>
        <v>0</v>
      </c>
      <c r="I172" s="353">
        <f t="shared" si="207"/>
        <v>0</v>
      </c>
      <c r="J172" s="353">
        <f t="shared" si="207"/>
        <v>0</v>
      </c>
      <c r="K172" s="353">
        <f t="shared" si="207"/>
        <v>0</v>
      </c>
      <c r="L172" s="353">
        <f t="shared" si="207"/>
        <v>0</v>
      </c>
      <c r="M172" s="353">
        <f t="shared" si="207"/>
        <v>0</v>
      </c>
      <c r="N172" s="353">
        <f t="shared" si="207"/>
        <v>0</v>
      </c>
      <c r="O172" s="353">
        <f t="shared" si="207"/>
        <v>1413625.0879533503</v>
      </c>
      <c r="P172" s="353">
        <f t="shared" si="207"/>
        <v>1431652.5207846332</v>
      </c>
      <c r="Q172" s="353">
        <f t="shared" si="207"/>
        <v>1450490.0539528518</v>
      </c>
      <c r="R172" s="353">
        <f t="shared" si="205"/>
        <v>1469327.5871210711</v>
      </c>
      <c r="S172" s="353">
        <f t="shared" si="205"/>
        <v>1566461.6331085137</v>
      </c>
      <c r="T172" s="353">
        <f t="shared" si="205"/>
        <v>1584472.6845998408</v>
      </c>
      <c r="U172" s="353">
        <f t="shared" si="205"/>
        <v>1604278.5931573394</v>
      </c>
      <c r="V172" s="353">
        <f t="shared" si="205"/>
        <v>1624084.501714837</v>
      </c>
      <c r="W172" s="353"/>
      <c r="X172" s="353"/>
      <c r="Y172" s="353"/>
      <c r="Z172" s="353"/>
      <c r="AA172" s="353"/>
      <c r="AB172" s="353"/>
      <c r="AC172" s="353"/>
      <c r="AD172" s="353"/>
      <c r="AE172" s="353"/>
      <c r="AF172" s="353"/>
      <c r="AG172" s="353"/>
      <c r="AH172" s="353"/>
      <c r="AI172" s="353"/>
      <c r="AJ172" s="353"/>
      <c r="AK172" s="353"/>
      <c r="AL172" s="353"/>
      <c r="AM172" s="353"/>
      <c r="AN172" s="353"/>
      <c r="AO172" s="353"/>
      <c r="AP172" s="353"/>
      <c r="AQ172" s="643"/>
      <c r="AR172" s="643"/>
      <c r="AS172" s="645"/>
      <c r="AT172" s="235">
        <f t="shared" si="190"/>
        <v>5765095.2498119064</v>
      </c>
      <c r="AU172" s="235">
        <f t="shared" si="191"/>
        <v>6379297.4125805311</v>
      </c>
      <c r="AV172" s="354"/>
      <c r="AW172" s="354"/>
      <c r="AX172" s="354"/>
      <c r="AY172" s="354"/>
      <c r="AZ172" s="354"/>
      <c r="BA172" s="354"/>
      <c r="BB172" s="354"/>
      <c r="BC172" s="354"/>
      <c r="BD172" s="354"/>
      <c r="BE172" s="354"/>
      <c r="BF172" s="354"/>
      <c r="BG172" s="206"/>
      <c r="BH172" s="206"/>
      <c r="BI172" s="206"/>
      <c r="BJ172" s="206"/>
      <c r="BK172" s="206"/>
      <c r="BL172" s="206"/>
      <c r="BM172" s="206"/>
      <c r="BN172" s="206"/>
      <c r="BO172" s="636"/>
      <c r="BP172" s="208" t="s">
        <v>34</v>
      </c>
      <c r="BQ172" s="355">
        <f t="shared" si="208"/>
        <v>0</v>
      </c>
      <c r="BR172" s="355">
        <f t="shared" si="208"/>
        <v>0</v>
      </c>
      <c r="BS172" s="355">
        <f t="shared" si="208"/>
        <v>0</v>
      </c>
      <c r="BT172" s="355">
        <f t="shared" si="208"/>
        <v>0</v>
      </c>
      <c r="BU172" s="355">
        <f t="shared" si="208"/>
        <v>0</v>
      </c>
      <c r="BV172" s="355">
        <f t="shared" si="208"/>
        <v>0</v>
      </c>
      <c r="BW172" s="355">
        <f t="shared" si="208"/>
        <v>0</v>
      </c>
      <c r="BX172" s="355">
        <f t="shared" si="208"/>
        <v>0</v>
      </c>
      <c r="BY172" s="355">
        <f t="shared" si="208"/>
        <v>0</v>
      </c>
      <c r="BZ172" s="355">
        <f t="shared" si="208"/>
        <v>0</v>
      </c>
      <c r="CA172" s="355">
        <f t="shared" si="208"/>
        <v>0</v>
      </c>
      <c r="CB172" s="355">
        <f t="shared" si="208"/>
        <v>0</v>
      </c>
      <c r="CC172" s="355">
        <f t="shared" si="208"/>
        <v>854143.37256377086</v>
      </c>
      <c r="CD172" s="355">
        <f t="shared" si="208"/>
        <v>854143.37256377086</v>
      </c>
      <c r="CE172" s="355">
        <f t="shared" si="208"/>
        <v>854143.37256377086</v>
      </c>
      <c r="CF172" s="355">
        <f t="shared" si="206"/>
        <v>854143.37256377086</v>
      </c>
      <c r="CG172" s="355">
        <f t="shared" si="206"/>
        <v>854143.37256377086</v>
      </c>
      <c r="CH172" s="355">
        <f t="shared" si="206"/>
        <v>854143.37256377086</v>
      </c>
      <c r="CI172" s="355">
        <f t="shared" si="206"/>
        <v>854143.37256377086</v>
      </c>
      <c r="CJ172" s="355">
        <f t="shared" si="206"/>
        <v>854143.37256377086</v>
      </c>
      <c r="CK172" s="355"/>
      <c r="CL172" s="355"/>
      <c r="CM172" s="355"/>
      <c r="CN172" s="355"/>
      <c r="CO172" s="355"/>
      <c r="CP172" s="355"/>
      <c r="CQ172" s="355"/>
      <c r="CR172" s="355"/>
      <c r="CS172" s="355"/>
      <c r="CT172" s="355"/>
      <c r="CU172" s="355"/>
      <c r="CV172" s="355"/>
      <c r="CW172" s="355"/>
      <c r="CX172" s="355"/>
      <c r="CY172" s="355"/>
      <c r="CZ172" s="355"/>
      <c r="DA172" s="355"/>
      <c r="DB172" s="355"/>
      <c r="DC172" s="355"/>
      <c r="DD172" s="355"/>
      <c r="DE172" s="654"/>
      <c r="DF172" s="643"/>
      <c r="DG172" s="646"/>
      <c r="DH172" s="235">
        <f t="shared" si="203"/>
        <v>3416573.4902550834</v>
      </c>
      <c r="DI172" s="236">
        <f t="shared" si="204"/>
        <v>3416573.4902550834</v>
      </c>
      <c r="DJ172" s="354"/>
      <c r="DK172" s="354"/>
      <c r="DL172" s="354"/>
      <c r="DM172" s="354"/>
      <c r="DN172" s="354"/>
      <c r="DO172" s="654"/>
      <c r="DP172" s="643"/>
      <c r="DQ172" s="646"/>
      <c r="DR172" s="235">
        <f t="shared" si="193"/>
        <v>2348521.7595568229</v>
      </c>
      <c r="DS172" s="236">
        <f t="shared" si="193"/>
        <v>2962723.9223254477</v>
      </c>
      <c r="DT172" s="354"/>
      <c r="DU172" s="354"/>
      <c r="DV172" s="354"/>
      <c r="DW172" s="354"/>
      <c r="DX172" s="354"/>
      <c r="DY172" s="354"/>
      <c r="DZ172" s="206"/>
      <c r="EA172" s="206"/>
      <c r="EB172" s="206"/>
      <c r="EC172" s="206"/>
      <c r="ED172" s="206"/>
      <c r="EE172" s="206"/>
      <c r="EF172" s="206"/>
      <c r="EG172" s="636"/>
      <c r="EH172" s="361" t="s">
        <v>34</v>
      </c>
      <c r="EI172" s="355">
        <f t="shared" si="194"/>
        <v>0</v>
      </c>
      <c r="EJ172" s="355">
        <f t="shared" si="194"/>
        <v>0</v>
      </c>
      <c r="EK172" s="355">
        <f t="shared" si="194"/>
        <v>0</v>
      </c>
      <c r="EL172" s="355">
        <f t="shared" si="194"/>
        <v>0</v>
      </c>
      <c r="EM172" s="355">
        <f t="shared" si="194"/>
        <v>0</v>
      </c>
      <c r="EN172" s="355">
        <f t="shared" si="194"/>
        <v>0</v>
      </c>
      <c r="EO172" s="355">
        <f t="shared" si="194"/>
        <v>0</v>
      </c>
      <c r="EP172" s="355">
        <f t="shared" si="194"/>
        <v>0</v>
      </c>
      <c r="EQ172" s="355">
        <f t="shared" si="194"/>
        <v>0</v>
      </c>
      <c r="ER172" s="355">
        <f t="shared" si="194"/>
        <v>0</v>
      </c>
      <c r="ES172" s="355">
        <f t="shared" si="194"/>
        <v>0</v>
      </c>
      <c r="ET172" s="355">
        <f t="shared" si="194"/>
        <v>0</v>
      </c>
      <c r="EU172" s="355">
        <f t="shared" si="194"/>
        <v>559481.71538957942</v>
      </c>
      <c r="EV172" s="355">
        <f t="shared" si="194"/>
        <v>577509.14822086238</v>
      </c>
      <c r="EW172" s="355">
        <f t="shared" si="194"/>
        <v>596346.68138908094</v>
      </c>
      <c r="EX172" s="355">
        <f t="shared" si="194"/>
        <v>615184.21455730021</v>
      </c>
      <c r="EY172" s="355">
        <f t="shared" si="195"/>
        <v>712318.26054474281</v>
      </c>
      <c r="EZ172" s="355">
        <f t="shared" si="195"/>
        <v>730329.31203606992</v>
      </c>
      <c r="FA172" s="355">
        <f t="shared" si="195"/>
        <v>750135.22059356852</v>
      </c>
      <c r="FB172" s="355">
        <f t="shared" si="195"/>
        <v>769941.12915106618</v>
      </c>
      <c r="FC172" s="355"/>
      <c r="FD172" s="355"/>
      <c r="FE172" s="355"/>
      <c r="FF172" s="355"/>
      <c r="FG172" s="355"/>
      <c r="FH172" s="355"/>
      <c r="FI172" s="355"/>
      <c r="FJ172" s="355"/>
      <c r="FK172" s="355"/>
      <c r="FL172" s="355"/>
      <c r="FM172" s="355"/>
      <c r="FN172" s="355"/>
      <c r="FO172" s="355"/>
      <c r="FP172" s="355"/>
      <c r="FQ172" s="355"/>
      <c r="FR172" s="355"/>
      <c r="FS172" s="355"/>
      <c r="FT172" s="355"/>
      <c r="FU172" s="355"/>
      <c r="FV172" s="355"/>
      <c r="FW172" s="355"/>
      <c r="FX172" s="369"/>
      <c r="FY172" s="370"/>
      <c r="FZ172" s="206"/>
      <c r="GA172" s="206"/>
      <c r="GB172" s="374"/>
      <c r="GC172" s="206"/>
      <c r="GD172" s="364">
        <f t="shared" si="198"/>
        <v>587130.43988920574</v>
      </c>
      <c r="GE172" s="637"/>
      <c r="GF172" s="364">
        <f t="shared" si="199"/>
        <v>740680.98058136192</v>
      </c>
      <c r="GG172" s="637"/>
      <c r="GH172" s="639">
        <f>GG172+GE172</f>
        <v>0</v>
      </c>
      <c r="GI172" s="206"/>
      <c r="GJ172" s="636"/>
      <c r="GK172" s="635">
        <f>SUM(EK171:FB174)</f>
        <v>-3269764.0029918845</v>
      </c>
      <c r="GL172" s="206"/>
      <c r="GM172" s="206"/>
      <c r="GN172" s="206"/>
      <c r="GO172" s="206"/>
      <c r="GP172" s="206"/>
      <c r="GQ172" s="206"/>
      <c r="GR172" s="206"/>
      <c r="GS172" s="206"/>
    </row>
    <row r="173" spans="1:201" ht="23.65" customHeight="1" thickBot="1">
      <c r="A173" s="636"/>
      <c r="B173" s="208" t="s">
        <v>24</v>
      </c>
      <c r="C173" s="353">
        <f t="shared" si="207"/>
        <v>0</v>
      </c>
      <c r="D173" s="353">
        <f t="shared" si="207"/>
        <v>0</v>
      </c>
      <c r="E173" s="353">
        <f t="shared" si="207"/>
        <v>0</v>
      </c>
      <c r="F173" s="353">
        <f t="shared" si="207"/>
        <v>0</v>
      </c>
      <c r="G173" s="353">
        <f t="shared" si="207"/>
        <v>0</v>
      </c>
      <c r="H173" s="353">
        <f t="shared" si="207"/>
        <v>0</v>
      </c>
      <c r="I173" s="353">
        <f t="shared" si="207"/>
        <v>0</v>
      </c>
      <c r="J173" s="353">
        <f t="shared" si="207"/>
        <v>0</v>
      </c>
      <c r="K173" s="353">
        <f t="shared" si="207"/>
        <v>0</v>
      </c>
      <c r="L173" s="353">
        <f t="shared" si="207"/>
        <v>0</v>
      </c>
      <c r="M173" s="353">
        <f t="shared" si="207"/>
        <v>0</v>
      </c>
      <c r="N173" s="353">
        <f t="shared" si="207"/>
        <v>0</v>
      </c>
      <c r="O173" s="353">
        <f t="shared" si="207"/>
        <v>393805.64540719276</v>
      </c>
      <c r="P173" s="353">
        <f t="shared" si="207"/>
        <v>419818.63340753794</v>
      </c>
      <c r="Q173" s="353">
        <f t="shared" si="207"/>
        <v>446057.29799550894</v>
      </c>
      <c r="R173" s="353">
        <f t="shared" si="205"/>
        <v>472295.96258348023</v>
      </c>
      <c r="S173" s="353">
        <f t="shared" si="205"/>
        <v>524763.92276169383</v>
      </c>
      <c r="T173" s="353">
        <f t="shared" si="205"/>
        <v>551750.15418364853</v>
      </c>
      <c r="U173" s="353">
        <f t="shared" si="205"/>
        <v>579337.66189283098</v>
      </c>
      <c r="V173" s="353">
        <f t="shared" si="205"/>
        <v>606925.16960201354</v>
      </c>
      <c r="W173" s="353"/>
      <c r="X173" s="353"/>
      <c r="Y173" s="353"/>
      <c r="Z173" s="353"/>
      <c r="AA173" s="353"/>
      <c r="AB173" s="353"/>
      <c r="AC173" s="353"/>
      <c r="AD173" s="353"/>
      <c r="AE173" s="353"/>
      <c r="AF173" s="353"/>
      <c r="AG173" s="353"/>
      <c r="AH173" s="353"/>
      <c r="AI173" s="353"/>
      <c r="AJ173" s="353"/>
      <c r="AK173" s="353"/>
      <c r="AL173" s="353"/>
      <c r="AM173" s="353"/>
      <c r="AN173" s="353"/>
      <c r="AO173" s="353"/>
      <c r="AP173" s="353"/>
      <c r="AQ173" s="643"/>
      <c r="AR173" s="643"/>
      <c r="AS173" s="646"/>
      <c r="AT173" s="235">
        <f t="shared" si="190"/>
        <v>1731977.5393937198</v>
      </c>
      <c r="AU173" s="235">
        <f t="shared" si="191"/>
        <v>2262776.9084401871</v>
      </c>
      <c r="AV173" s="354"/>
      <c r="AW173" s="354"/>
      <c r="AX173" s="354"/>
      <c r="AY173" s="354"/>
      <c r="AZ173" s="354"/>
      <c r="BA173" s="354"/>
      <c r="BB173" s="354"/>
      <c r="BC173" s="354"/>
      <c r="BD173" s="354"/>
      <c r="BE173" s="354"/>
      <c r="BF173" s="354"/>
      <c r="BG173" s="206"/>
      <c r="BH173" s="206"/>
      <c r="BI173" s="206"/>
      <c r="BJ173" s="206"/>
      <c r="BK173" s="206"/>
      <c r="BL173" s="206"/>
      <c r="BM173" s="206"/>
      <c r="BN173" s="206"/>
      <c r="BO173" s="636"/>
      <c r="BP173" s="208" t="s">
        <v>24</v>
      </c>
      <c r="BQ173" s="355">
        <f t="shared" si="208"/>
        <v>0</v>
      </c>
      <c r="BR173" s="355">
        <f t="shared" si="208"/>
        <v>0</v>
      </c>
      <c r="BS173" s="355">
        <f t="shared" si="208"/>
        <v>0</v>
      </c>
      <c r="BT173" s="355">
        <f t="shared" si="208"/>
        <v>0</v>
      </c>
      <c r="BU173" s="355">
        <f t="shared" si="208"/>
        <v>0</v>
      </c>
      <c r="BV173" s="355">
        <f t="shared" si="208"/>
        <v>0</v>
      </c>
      <c r="BW173" s="355">
        <f t="shared" si="208"/>
        <v>0</v>
      </c>
      <c r="BX173" s="355">
        <f t="shared" si="208"/>
        <v>0</v>
      </c>
      <c r="BY173" s="355">
        <f t="shared" si="208"/>
        <v>0</v>
      </c>
      <c r="BZ173" s="355">
        <f t="shared" si="208"/>
        <v>0</v>
      </c>
      <c r="CA173" s="355">
        <f t="shared" si="208"/>
        <v>0</v>
      </c>
      <c r="CB173" s="355">
        <f t="shared" si="208"/>
        <v>0</v>
      </c>
      <c r="CC173" s="355">
        <f t="shared" si="208"/>
        <v>1551900.7686487888</v>
      </c>
      <c r="CD173" s="355">
        <f t="shared" si="208"/>
        <v>1551900.7686487888</v>
      </c>
      <c r="CE173" s="355">
        <f t="shared" si="208"/>
        <v>1551900.7686487888</v>
      </c>
      <c r="CF173" s="355">
        <f t="shared" si="206"/>
        <v>1551900.7686487888</v>
      </c>
      <c r="CG173" s="355">
        <f t="shared" si="206"/>
        <v>1551900.7686487888</v>
      </c>
      <c r="CH173" s="355">
        <f t="shared" si="206"/>
        <v>1551900.7686487888</v>
      </c>
      <c r="CI173" s="355">
        <f t="shared" si="206"/>
        <v>1551900.7686487888</v>
      </c>
      <c r="CJ173" s="355">
        <f t="shared" si="206"/>
        <v>1551900.7686487888</v>
      </c>
      <c r="CK173" s="355"/>
      <c r="CL173" s="355"/>
      <c r="CM173" s="355"/>
      <c r="CN173" s="355"/>
      <c r="CO173" s="355"/>
      <c r="CP173" s="355"/>
      <c r="CQ173" s="355"/>
      <c r="CR173" s="355"/>
      <c r="CS173" s="355"/>
      <c r="CT173" s="355"/>
      <c r="CU173" s="355"/>
      <c r="CV173" s="355"/>
      <c r="CW173" s="355"/>
      <c r="CX173" s="355"/>
      <c r="CY173" s="355"/>
      <c r="CZ173" s="355"/>
      <c r="DA173" s="355"/>
      <c r="DB173" s="355"/>
      <c r="DC173" s="355"/>
      <c r="DD173" s="355"/>
      <c r="DE173" s="654"/>
      <c r="DF173" s="643"/>
      <c r="DG173" s="646"/>
      <c r="DH173" s="235">
        <f t="shared" si="203"/>
        <v>6207603.0745951552</v>
      </c>
      <c r="DI173" s="236">
        <f t="shared" si="204"/>
        <v>6207603.0745951552</v>
      </c>
      <c r="DJ173" s="354"/>
      <c r="DK173" s="354"/>
      <c r="DL173" s="354"/>
      <c r="DM173" s="354"/>
      <c r="DN173" s="354"/>
      <c r="DO173" s="654"/>
      <c r="DP173" s="643"/>
      <c r="DQ173" s="646"/>
      <c r="DR173" s="235">
        <f t="shared" si="193"/>
        <v>-4475625.5352014359</v>
      </c>
      <c r="DS173" s="236">
        <f t="shared" si="193"/>
        <v>-3944826.1661549681</v>
      </c>
      <c r="DT173" s="354"/>
      <c r="DU173" s="354"/>
      <c r="DV173" s="354"/>
      <c r="DW173" s="354"/>
      <c r="DX173" s="354"/>
      <c r="DY173" s="354"/>
      <c r="DZ173" s="206"/>
      <c r="EA173" s="206"/>
      <c r="EB173" s="206"/>
      <c r="EC173" s="206"/>
      <c r="ED173" s="206"/>
      <c r="EE173" s="206"/>
      <c r="EF173" s="206"/>
      <c r="EG173" s="636"/>
      <c r="EH173" s="361" t="s">
        <v>24</v>
      </c>
      <c r="EI173" s="355">
        <f t="shared" si="194"/>
        <v>0</v>
      </c>
      <c r="EJ173" s="355">
        <f t="shared" si="194"/>
        <v>0</v>
      </c>
      <c r="EK173" s="355">
        <f t="shared" si="194"/>
        <v>0</v>
      </c>
      <c r="EL173" s="355">
        <f t="shared" si="194"/>
        <v>0</v>
      </c>
      <c r="EM173" s="355">
        <f t="shared" si="194"/>
        <v>0</v>
      </c>
      <c r="EN173" s="355">
        <f t="shared" si="194"/>
        <v>0</v>
      </c>
      <c r="EO173" s="355">
        <f t="shared" si="194"/>
        <v>0</v>
      </c>
      <c r="EP173" s="355">
        <f t="shared" si="194"/>
        <v>0</v>
      </c>
      <c r="EQ173" s="355">
        <f t="shared" si="194"/>
        <v>0</v>
      </c>
      <c r="ER173" s="355">
        <f t="shared" si="194"/>
        <v>0</v>
      </c>
      <c r="ES173" s="355">
        <f t="shared" si="194"/>
        <v>0</v>
      </c>
      <c r="ET173" s="355">
        <f t="shared" si="194"/>
        <v>0</v>
      </c>
      <c r="EU173" s="355">
        <f t="shared" si="194"/>
        <v>-1158095.1232415959</v>
      </c>
      <c r="EV173" s="355">
        <f t="shared" si="194"/>
        <v>-1132082.135241251</v>
      </c>
      <c r="EW173" s="355">
        <f t="shared" si="194"/>
        <v>-1105843.4706532799</v>
      </c>
      <c r="EX173" s="355">
        <f t="shared" ref="EX173:EX174" si="209">R173-CF173</f>
        <v>-1079604.8060653086</v>
      </c>
      <c r="EY173" s="355">
        <f t="shared" si="195"/>
        <v>-1027136.845887095</v>
      </c>
      <c r="EZ173" s="355">
        <f t="shared" si="195"/>
        <v>-1000150.6144651403</v>
      </c>
      <c r="FA173" s="355">
        <f t="shared" si="195"/>
        <v>-972563.10675595782</v>
      </c>
      <c r="FB173" s="355">
        <f t="shared" si="195"/>
        <v>-944975.59904677526</v>
      </c>
      <c r="FC173" s="355"/>
      <c r="FD173" s="355"/>
      <c r="FE173" s="355"/>
      <c r="FF173" s="355"/>
      <c r="FG173" s="355"/>
      <c r="FH173" s="355"/>
      <c r="FI173" s="355"/>
      <c r="FJ173" s="355"/>
      <c r="FK173" s="355"/>
      <c r="FL173" s="355"/>
      <c r="FM173" s="355"/>
      <c r="FN173" s="355"/>
      <c r="FO173" s="355"/>
      <c r="FP173" s="355"/>
      <c r="FQ173" s="355"/>
      <c r="FR173" s="355"/>
      <c r="FS173" s="355"/>
      <c r="FT173" s="355"/>
      <c r="FU173" s="355"/>
      <c r="FV173" s="355"/>
      <c r="FW173" s="355"/>
      <c r="FX173" s="326"/>
      <c r="FY173" s="206"/>
      <c r="FZ173" s="206"/>
      <c r="GA173" s="206"/>
      <c r="GB173" s="206"/>
      <c r="GC173" s="206"/>
      <c r="GD173" s="377">
        <f t="shared" si="198"/>
        <v>-1118906.383800359</v>
      </c>
      <c r="GE173" s="637"/>
      <c r="GF173" s="364">
        <f t="shared" si="199"/>
        <v>-986206.54153874202</v>
      </c>
      <c r="GG173" s="637"/>
      <c r="GH173" s="640"/>
      <c r="GI173" s="206"/>
      <c r="GJ173" s="636"/>
      <c r="GK173" s="635"/>
      <c r="GL173" s="206"/>
      <c r="GM173" s="206"/>
      <c r="GN173" s="206"/>
      <c r="GO173" s="206"/>
      <c r="GP173" s="206"/>
      <c r="GQ173" s="206"/>
      <c r="GR173" s="206"/>
      <c r="GS173" s="206"/>
    </row>
    <row r="174" spans="1:201" ht="15" thickBot="1">
      <c r="A174" s="644"/>
      <c r="B174" s="378" t="s">
        <v>36</v>
      </c>
      <c r="C174" s="353">
        <f t="shared" si="207"/>
        <v>0</v>
      </c>
      <c r="D174" s="353">
        <f t="shared" si="207"/>
        <v>0</v>
      </c>
      <c r="E174" s="353">
        <f t="shared" si="207"/>
        <v>0</v>
      </c>
      <c r="F174" s="353">
        <f t="shared" si="207"/>
        <v>0</v>
      </c>
      <c r="G174" s="353">
        <f t="shared" si="207"/>
        <v>0</v>
      </c>
      <c r="H174" s="353">
        <f t="shared" si="207"/>
        <v>0</v>
      </c>
      <c r="I174" s="353">
        <f t="shared" si="207"/>
        <v>0</v>
      </c>
      <c r="J174" s="353">
        <f t="shared" si="207"/>
        <v>0</v>
      </c>
      <c r="K174" s="353">
        <f t="shared" si="207"/>
        <v>0</v>
      </c>
      <c r="L174" s="353">
        <f t="shared" si="207"/>
        <v>0</v>
      </c>
      <c r="M174" s="353">
        <f t="shared" si="207"/>
        <v>0</v>
      </c>
      <c r="N174" s="353">
        <f t="shared" si="207"/>
        <v>0</v>
      </c>
      <c r="O174" s="353">
        <f t="shared" si="207"/>
        <v>290044.73212293169</v>
      </c>
      <c r="P174" s="353">
        <f t="shared" si="207"/>
        <v>312176.86486724718</v>
      </c>
      <c r="Q174" s="353">
        <f t="shared" si="207"/>
        <v>334475.21235776477</v>
      </c>
      <c r="R174" s="353">
        <f t="shared" si="205"/>
        <v>356773.55984828249</v>
      </c>
      <c r="S174" s="353">
        <f t="shared" si="205"/>
        <v>399015.93643053854</v>
      </c>
      <c r="T174" s="353">
        <f t="shared" si="205"/>
        <v>422003.37453212251</v>
      </c>
      <c r="U174" s="353">
        <f t="shared" si="205"/>
        <v>445448.00645057403</v>
      </c>
      <c r="V174" s="353">
        <f t="shared" si="205"/>
        <v>468892.63836902526</v>
      </c>
      <c r="W174" s="353"/>
      <c r="X174" s="353"/>
      <c r="Y174" s="353"/>
      <c r="Z174" s="353"/>
      <c r="AA174" s="353"/>
      <c r="AB174" s="353"/>
      <c r="AC174" s="353"/>
      <c r="AD174" s="353"/>
      <c r="AE174" s="353"/>
      <c r="AF174" s="353"/>
      <c r="AG174" s="353"/>
      <c r="AH174" s="353"/>
      <c r="AI174" s="353"/>
      <c r="AJ174" s="353"/>
      <c r="AK174" s="353"/>
      <c r="AL174" s="353"/>
      <c r="AM174" s="353"/>
      <c r="AN174" s="353"/>
      <c r="AO174" s="353"/>
      <c r="AP174" s="353"/>
      <c r="AQ174" s="643"/>
      <c r="AR174" s="643"/>
      <c r="AS174" s="646"/>
      <c r="AT174" s="235">
        <f t="shared" si="190"/>
        <v>1293470.3691962261</v>
      </c>
      <c r="AU174" s="235">
        <f t="shared" si="191"/>
        <v>1735359.9557822603</v>
      </c>
      <c r="AV174" s="354"/>
      <c r="AW174" s="354"/>
      <c r="AX174" s="354"/>
      <c r="AY174" s="354"/>
      <c r="AZ174" s="354"/>
      <c r="BA174" s="354"/>
      <c r="BB174" s="354"/>
      <c r="BC174" s="354"/>
      <c r="BD174" s="354"/>
      <c r="BE174" s="354"/>
      <c r="BF174" s="354"/>
      <c r="BG174" s="206"/>
      <c r="BH174" s="206"/>
      <c r="BI174" s="206"/>
      <c r="BJ174" s="206"/>
      <c r="BK174" s="206"/>
      <c r="BL174" s="206"/>
      <c r="BM174" s="206"/>
      <c r="BN174" s="206"/>
      <c r="BO174" s="644"/>
      <c r="BP174" s="378" t="s">
        <v>36</v>
      </c>
      <c r="BQ174" s="355">
        <f t="shared" si="208"/>
        <v>0</v>
      </c>
      <c r="BR174" s="355">
        <f t="shared" si="208"/>
        <v>0</v>
      </c>
      <c r="BS174" s="355">
        <f t="shared" si="208"/>
        <v>0</v>
      </c>
      <c r="BT174" s="355">
        <f t="shared" si="208"/>
        <v>0</v>
      </c>
      <c r="BU174" s="355">
        <f t="shared" si="208"/>
        <v>0</v>
      </c>
      <c r="BV174" s="355">
        <f t="shared" si="208"/>
        <v>0</v>
      </c>
      <c r="BW174" s="355">
        <f t="shared" si="208"/>
        <v>0</v>
      </c>
      <c r="BX174" s="355">
        <f t="shared" si="208"/>
        <v>0</v>
      </c>
      <c r="BY174" s="355">
        <f t="shared" si="208"/>
        <v>0</v>
      </c>
      <c r="BZ174" s="355">
        <f t="shared" si="208"/>
        <v>0</v>
      </c>
      <c r="CA174" s="355">
        <f t="shared" si="208"/>
        <v>0</v>
      </c>
      <c r="CB174" s="355">
        <f t="shared" si="208"/>
        <v>0</v>
      </c>
      <c r="CC174" s="355">
        <f t="shared" si="208"/>
        <v>851402.96594218141</v>
      </c>
      <c r="CD174" s="355">
        <f t="shared" si="208"/>
        <v>851402.96594218141</v>
      </c>
      <c r="CE174" s="355">
        <f t="shared" si="208"/>
        <v>851402.96594218141</v>
      </c>
      <c r="CF174" s="355">
        <f t="shared" si="206"/>
        <v>851402.96594218141</v>
      </c>
      <c r="CG174" s="355">
        <f t="shared" si="206"/>
        <v>851402.96594218141</v>
      </c>
      <c r="CH174" s="355">
        <f t="shared" si="206"/>
        <v>851402.96594218141</v>
      </c>
      <c r="CI174" s="355">
        <f t="shared" si="206"/>
        <v>851402.96594218141</v>
      </c>
      <c r="CJ174" s="355">
        <f t="shared" si="206"/>
        <v>851402.96594218141</v>
      </c>
      <c r="CK174" s="355"/>
      <c r="CL174" s="355"/>
      <c r="CM174" s="355"/>
      <c r="CN174" s="355"/>
      <c r="CO174" s="355"/>
      <c r="CP174" s="355"/>
      <c r="CQ174" s="355"/>
      <c r="CR174" s="355"/>
      <c r="CS174" s="355"/>
      <c r="CT174" s="355"/>
      <c r="CU174" s="355"/>
      <c r="CV174" s="355"/>
      <c r="CW174" s="355"/>
      <c r="CX174" s="355"/>
      <c r="CY174" s="355"/>
      <c r="CZ174" s="355"/>
      <c r="DA174" s="355"/>
      <c r="DB174" s="355"/>
      <c r="DC174" s="355"/>
      <c r="DD174" s="355"/>
      <c r="DE174" s="654"/>
      <c r="DF174" s="643"/>
      <c r="DG174" s="646"/>
      <c r="DH174" s="235">
        <f t="shared" si="203"/>
        <v>3405611.8637687257</v>
      </c>
      <c r="DI174" s="236">
        <f t="shared" si="204"/>
        <v>3405611.8637687257</v>
      </c>
      <c r="DJ174" s="354"/>
      <c r="DK174" s="354"/>
      <c r="DL174" s="354"/>
      <c r="DM174" s="354"/>
      <c r="DN174" s="354"/>
      <c r="DO174" s="654"/>
      <c r="DP174" s="643"/>
      <c r="DQ174" s="646"/>
      <c r="DR174" s="235">
        <f t="shared" ref="DR174:DS174" si="210">AT174-DH174</f>
        <v>-2112141.4945724998</v>
      </c>
      <c r="DS174" s="236">
        <f t="shared" si="210"/>
        <v>-1670251.9079864654</v>
      </c>
      <c r="DT174" s="354"/>
      <c r="DU174" s="354"/>
      <c r="DV174" s="354"/>
      <c r="DW174" s="354"/>
      <c r="DX174" s="354"/>
      <c r="DY174" s="354"/>
      <c r="DZ174" s="206"/>
      <c r="EA174" s="206"/>
      <c r="EB174" s="206"/>
      <c r="EC174" s="206"/>
      <c r="ED174" s="206"/>
      <c r="EE174" s="206"/>
      <c r="EF174" s="206"/>
      <c r="EG174" s="644"/>
      <c r="EH174" s="379" t="s">
        <v>36</v>
      </c>
      <c r="EI174" s="355">
        <f t="shared" ref="EI174:EW174" si="211">C174-BQ174</f>
        <v>0</v>
      </c>
      <c r="EJ174" s="355">
        <f t="shared" si="211"/>
        <v>0</v>
      </c>
      <c r="EK174" s="355">
        <f t="shared" si="211"/>
        <v>0</v>
      </c>
      <c r="EL174" s="355">
        <f t="shared" si="211"/>
        <v>0</v>
      </c>
      <c r="EM174" s="355">
        <f t="shared" si="211"/>
        <v>0</v>
      </c>
      <c r="EN174" s="355">
        <f t="shared" si="211"/>
        <v>0</v>
      </c>
      <c r="EO174" s="355">
        <f t="shared" si="211"/>
        <v>0</v>
      </c>
      <c r="EP174" s="355">
        <f t="shared" si="211"/>
        <v>0</v>
      </c>
      <c r="EQ174" s="355">
        <f t="shared" si="211"/>
        <v>0</v>
      </c>
      <c r="ER174" s="355">
        <f t="shared" si="211"/>
        <v>0</v>
      </c>
      <c r="ES174" s="355">
        <f t="shared" si="211"/>
        <v>0</v>
      </c>
      <c r="ET174" s="355">
        <f t="shared" si="211"/>
        <v>0</v>
      </c>
      <c r="EU174" s="355">
        <f t="shared" si="211"/>
        <v>-561358.23381924978</v>
      </c>
      <c r="EV174" s="355">
        <f t="shared" si="211"/>
        <v>-539226.10107493424</v>
      </c>
      <c r="EW174" s="355">
        <f t="shared" si="211"/>
        <v>-516927.75358441664</v>
      </c>
      <c r="EX174" s="355">
        <f t="shared" si="209"/>
        <v>-494629.40609389893</v>
      </c>
      <c r="EY174" s="355">
        <f t="shared" si="195"/>
        <v>-452387.02951164288</v>
      </c>
      <c r="EZ174" s="355">
        <f t="shared" si="195"/>
        <v>-429399.5914100589</v>
      </c>
      <c r="FA174" s="355">
        <f t="shared" si="195"/>
        <v>-405954.95949160738</v>
      </c>
      <c r="FB174" s="355">
        <f t="shared" si="195"/>
        <v>-382510.32757315616</v>
      </c>
      <c r="FC174" s="355"/>
      <c r="FD174" s="355"/>
      <c r="FE174" s="355"/>
      <c r="FF174" s="355"/>
      <c r="FG174" s="355"/>
      <c r="FH174" s="355"/>
      <c r="FI174" s="355"/>
      <c r="FJ174" s="355"/>
      <c r="FK174" s="355"/>
      <c r="FL174" s="355"/>
      <c r="FM174" s="355"/>
      <c r="FN174" s="355"/>
      <c r="FO174" s="355"/>
      <c r="FP174" s="355"/>
      <c r="FQ174" s="355"/>
      <c r="FR174" s="355"/>
      <c r="FS174" s="355"/>
      <c r="FT174" s="355"/>
      <c r="FU174" s="355"/>
      <c r="FV174" s="355"/>
      <c r="FW174" s="355"/>
      <c r="FX174" s="380"/>
      <c r="FY174" s="381"/>
      <c r="FZ174" s="381"/>
      <c r="GA174" s="381"/>
      <c r="GB174" s="381"/>
      <c r="GC174" s="381"/>
      <c r="GD174" s="382">
        <f t="shared" si="198"/>
        <v>-528035.37364312494</v>
      </c>
      <c r="GE174" s="637"/>
      <c r="GF174" s="363">
        <f t="shared" si="199"/>
        <v>-417562.97699661634</v>
      </c>
      <c r="GG174" s="637"/>
      <c r="GH174" s="640"/>
      <c r="GI174" s="206"/>
      <c r="GJ174" s="644"/>
      <c r="GK174" s="635"/>
      <c r="GL174" s="206"/>
      <c r="GM174" s="206"/>
      <c r="GN174" s="206"/>
      <c r="GO174" s="206"/>
      <c r="GP174" s="206"/>
      <c r="GQ174" s="206"/>
      <c r="GR174" s="206"/>
      <c r="GS174" s="206"/>
    </row>
    <row r="175" spans="1:201">
      <c r="A175" s="383"/>
      <c r="B175" s="340"/>
      <c r="C175" s="323"/>
      <c r="D175" s="323"/>
      <c r="E175" s="323"/>
      <c r="F175" s="323"/>
      <c r="G175" s="323"/>
      <c r="H175" s="323"/>
      <c r="I175" s="323"/>
      <c r="J175" s="323"/>
      <c r="K175" s="323"/>
      <c r="L175" s="323"/>
      <c r="M175" s="323"/>
      <c r="N175" s="323"/>
      <c r="O175" s="323"/>
      <c r="P175" s="323"/>
      <c r="Q175" s="353"/>
      <c r="R175" s="353"/>
      <c r="S175" s="353"/>
      <c r="T175" s="353"/>
      <c r="U175" s="353"/>
      <c r="V175" s="353"/>
      <c r="W175" s="353"/>
      <c r="X175" s="353"/>
      <c r="Y175" s="353"/>
      <c r="Z175" s="353"/>
      <c r="AA175" s="353"/>
      <c r="AB175" s="353"/>
      <c r="AC175" s="353"/>
      <c r="AD175" s="353"/>
      <c r="AE175" s="353"/>
      <c r="AF175" s="353"/>
      <c r="AG175" s="353"/>
      <c r="AH175" s="353"/>
      <c r="AI175" s="353"/>
      <c r="AJ175" s="353"/>
      <c r="AK175" s="353"/>
      <c r="AL175" s="353"/>
      <c r="AM175" s="353"/>
      <c r="AN175" s="353"/>
      <c r="AO175" s="353"/>
      <c r="AP175" s="353"/>
      <c r="AQ175" s="643"/>
      <c r="AR175" s="643"/>
      <c r="AS175" s="646"/>
      <c r="AT175" s="235">
        <f t="shared" si="190"/>
        <v>0</v>
      </c>
      <c r="AU175" s="235">
        <f t="shared" si="191"/>
        <v>0</v>
      </c>
      <c r="AV175" s="354"/>
      <c r="AW175" s="354"/>
      <c r="AX175" s="354"/>
      <c r="AY175" s="354"/>
      <c r="AZ175" s="354"/>
      <c r="BA175" s="354"/>
      <c r="BB175" s="354"/>
      <c r="BC175" s="354"/>
      <c r="BD175" s="354"/>
      <c r="BE175" s="354"/>
      <c r="BF175" s="354"/>
      <c r="BG175" s="206"/>
      <c r="BH175" s="206"/>
      <c r="BI175" s="206"/>
      <c r="BJ175" s="206"/>
      <c r="BK175" s="206"/>
      <c r="BL175" s="206"/>
      <c r="BM175" s="206"/>
      <c r="BN175" s="206"/>
      <c r="BO175" s="383"/>
      <c r="BP175" s="340"/>
      <c r="BQ175" s="206"/>
      <c r="BR175" s="206"/>
      <c r="BS175" s="206"/>
      <c r="BT175" s="206"/>
      <c r="BU175" s="206"/>
      <c r="BV175" s="206"/>
      <c r="BW175" s="206"/>
      <c r="BX175" s="206"/>
      <c r="BY175" s="206"/>
      <c r="BZ175" s="206"/>
      <c r="CA175" s="206"/>
      <c r="CB175" s="206"/>
      <c r="CC175" s="206"/>
      <c r="CD175" s="206"/>
      <c r="CE175" s="355"/>
      <c r="CF175" s="355"/>
      <c r="CG175" s="355"/>
      <c r="CH175" s="355"/>
      <c r="CI175" s="355"/>
      <c r="CJ175" s="355"/>
      <c r="CK175" s="355"/>
      <c r="CL175" s="355"/>
      <c r="CM175" s="355"/>
      <c r="CN175" s="355"/>
      <c r="CO175" s="355"/>
      <c r="CP175" s="355"/>
      <c r="CQ175" s="355"/>
      <c r="CR175" s="355"/>
      <c r="CS175" s="355"/>
      <c r="CT175" s="355"/>
      <c r="CU175" s="355"/>
      <c r="CV175" s="355"/>
      <c r="CW175" s="355"/>
      <c r="CX175" s="355"/>
      <c r="CY175" s="355"/>
      <c r="CZ175" s="355"/>
      <c r="DA175" s="355"/>
      <c r="DB175" s="355"/>
      <c r="DC175" s="355"/>
      <c r="DD175" s="355"/>
      <c r="DE175" s="654"/>
      <c r="DF175" s="643"/>
      <c r="DG175" s="646"/>
      <c r="DH175" s="647"/>
      <c r="DI175" s="648"/>
      <c r="DJ175" s="354"/>
      <c r="DK175" s="354"/>
      <c r="DL175" s="354"/>
      <c r="DM175" s="354"/>
      <c r="DN175" s="354"/>
      <c r="DO175" s="654"/>
      <c r="DP175" s="643"/>
      <c r="DQ175" s="646"/>
      <c r="DR175" s="647"/>
      <c r="DS175" s="648"/>
      <c r="DT175" s="354"/>
      <c r="DU175" s="354"/>
      <c r="DV175" s="354"/>
      <c r="DW175" s="354"/>
      <c r="DX175" s="354"/>
      <c r="DY175" s="354"/>
      <c r="DZ175" s="206"/>
      <c r="EA175" s="206"/>
      <c r="EB175" s="206"/>
      <c r="EC175" s="206"/>
      <c r="ED175" s="206"/>
      <c r="EE175" s="206"/>
      <c r="EF175" s="206"/>
      <c r="EG175" s="383"/>
      <c r="EH175" s="340"/>
      <c r="EI175" s="206"/>
      <c r="EJ175" s="206"/>
      <c r="EK175" s="355"/>
      <c r="EL175" s="355"/>
      <c r="EM175" s="355"/>
      <c r="EN175" s="355"/>
      <c r="EO175" s="355"/>
      <c r="EP175" s="355"/>
      <c r="EQ175" s="355"/>
      <c r="ER175" s="355"/>
      <c r="ES175" s="355"/>
      <c r="ET175" s="355"/>
      <c r="EU175" s="355"/>
      <c r="EV175" s="355"/>
      <c r="EW175" s="355"/>
      <c r="EX175" s="355"/>
      <c r="EY175" s="355"/>
      <c r="EZ175" s="355"/>
      <c r="FA175" s="355"/>
      <c r="FB175" s="355"/>
      <c r="FC175" s="355"/>
      <c r="FD175" s="355"/>
      <c r="FE175" s="355"/>
      <c r="FF175" s="355"/>
      <c r="FG175" s="355"/>
      <c r="FH175" s="355"/>
      <c r="FI175" s="355"/>
      <c r="FJ175" s="355"/>
      <c r="FK175" s="355"/>
      <c r="FL175" s="355"/>
      <c r="FM175" s="355"/>
      <c r="FN175" s="355"/>
      <c r="FO175" s="355"/>
      <c r="FP175" s="355"/>
      <c r="FQ175" s="355"/>
      <c r="FR175" s="355"/>
      <c r="FS175" s="355"/>
      <c r="FT175" s="355"/>
      <c r="FU175" s="355"/>
      <c r="FV175" s="355"/>
      <c r="FW175" s="355"/>
      <c r="FX175" s="206"/>
      <c r="FY175" s="206"/>
      <c r="FZ175" s="206"/>
      <c r="GA175" s="206"/>
      <c r="GB175" s="206"/>
      <c r="GC175" s="206"/>
      <c r="GD175" s="374"/>
      <c r="GE175" s="370"/>
      <c r="GF175" s="374"/>
      <c r="GG175" s="370"/>
      <c r="GH175" s="640"/>
      <c r="GI175" s="206"/>
      <c r="GJ175" s="206"/>
      <c r="GK175" s="635"/>
      <c r="GL175" s="206"/>
      <c r="GM175" s="206"/>
      <c r="GN175" s="206"/>
      <c r="GO175" s="206"/>
      <c r="GP175" s="206"/>
      <c r="GQ175" s="206"/>
      <c r="GR175" s="206"/>
      <c r="GS175" s="206"/>
    </row>
    <row r="176" spans="1:201">
      <c r="A176" s="383"/>
      <c r="B176" s="340"/>
      <c r="C176" s="323"/>
      <c r="D176" s="323"/>
      <c r="E176" s="323"/>
      <c r="F176" s="323"/>
      <c r="G176" s="323"/>
      <c r="H176" s="323"/>
      <c r="I176" s="323"/>
      <c r="J176" s="323"/>
      <c r="K176" s="323"/>
      <c r="L176" s="323"/>
      <c r="M176" s="323"/>
      <c r="N176" s="323"/>
      <c r="O176" s="323"/>
      <c r="P176" s="323"/>
      <c r="Q176" s="353"/>
      <c r="R176" s="353"/>
      <c r="S176" s="353"/>
      <c r="T176" s="353"/>
      <c r="U176" s="353"/>
      <c r="V176" s="353"/>
      <c r="W176" s="353"/>
      <c r="X176" s="353"/>
      <c r="Y176" s="353"/>
      <c r="Z176" s="353"/>
      <c r="AA176" s="353"/>
      <c r="AB176" s="353"/>
      <c r="AC176" s="353"/>
      <c r="AD176" s="353"/>
      <c r="AE176" s="353"/>
      <c r="AF176" s="353"/>
      <c r="AG176" s="353"/>
      <c r="AH176" s="353"/>
      <c r="AI176" s="353"/>
      <c r="AJ176" s="353"/>
      <c r="AK176" s="353"/>
      <c r="AL176" s="353"/>
      <c r="AM176" s="353"/>
      <c r="AN176" s="353"/>
      <c r="AO176" s="353"/>
      <c r="AP176" s="353"/>
      <c r="AQ176" s="643"/>
      <c r="AR176" s="643"/>
      <c r="AS176" s="646"/>
      <c r="AT176" s="235">
        <f t="shared" si="190"/>
        <v>0</v>
      </c>
      <c r="AU176" s="235">
        <f t="shared" si="191"/>
        <v>0</v>
      </c>
      <c r="AV176" s="354"/>
      <c r="AW176" s="354"/>
      <c r="AX176" s="354"/>
      <c r="AY176" s="354"/>
      <c r="AZ176" s="354"/>
      <c r="BA176" s="354"/>
      <c r="BB176" s="354"/>
      <c r="BC176" s="354"/>
      <c r="BD176" s="354"/>
      <c r="BE176" s="354"/>
      <c r="BF176" s="354"/>
      <c r="BG176" s="206"/>
      <c r="BH176" s="206"/>
      <c r="BI176" s="206"/>
      <c r="BJ176" s="206"/>
      <c r="BK176" s="206"/>
      <c r="BL176" s="206"/>
      <c r="BM176" s="206"/>
      <c r="BN176" s="206"/>
      <c r="BO176" s="383"/>
      <c r="BP176" s="340"/>
      <c r="BQ176" s="206"/>
      <c r="BR176" s="206"/>
      <c r="BS176" s="206"/>
      <c r="BT176" s="206"/>
      <c r="BU176" s="206"/>
      <c r="BV176" s="206"/>
      <c r="BW176" s="206"/>
      <c r="BX176" s="206"/>
      <c r="BY176" s="206"/>
      <c r="BZ176" s="206"/>
      <c r="CA176" s="206"/>
      <c r="CB176" s="206"/>
      <c r="CC176" s="206"/>
      <c r="CD176" s="206"/>
      <c r="CE176" s="355"/>
      <c r="CF176" s="355"/>
      <c r="CG176" s="355"/>
      <c r="CH176" s="355"/>
      <c r="CI176" s="355"/>
      <c r="CJ176" s="355"/>
      <c r="CK176" s="355"/>
      <c r="CL176" s="355"/>
      <c r="CM176" s="355"/>
      <c r="CN176" s="355"/>
      <c r="CO176" s="355"/>
      <c r="CP176" s="355"/>
      <c r="CQ176" s="355"/>
      <c r="CR176" s="355"/>
      <c r="CS176" s="355"/>
      <c r="CT176" s="355"/>
      <c r="CU176" s="355"/>
      <c r="CV176" s="355"/>
      <c r="CW176" s="355"/>
      <c r="CX176" s="355"/>
      <c r="CY176" s="355"/>
      <c r="CZ176" s="355"/>
      <c r="DA176" s="355"/>
      <c r="DB176" s="355"/>
      <c r="DC176" s="355"/>
      <c r="DD176" s="355"/>
      <c r="DE176" s="654"/>
      <c r="DF176" s="643"/>
      <c r="DG176" s="646"/>
      <c r="DH176" s="649"/>
      <c r="DI176" s="650"/>
      <c r="DJ176" s="354"/>
      <c r="DK176" s="354"/>
      <c r="DL176" s="354"/>
      <c r="DM176" s="354"/>
      <c r="DN176" s="354"/>
      <c r="DO176" s="654"/>
      <c r="DP176" s="643"/>
      <c r="DQ176" s="646"/>
      <c r="DR176" s="649"/>
      <c r="DS176" s="650"/>
      <c r="DT176" s="354"/>
      <c r="DU176" s="354"/>
      <c r="DV176" s="354"/>
      <c r="DW176" s="354"/>
      <c r="DX176" s="354"/>
      <c r="DY176" s="354"/>
      <c r="DZ176" s="206"/>
      <c r="EA176" s="206"/>
      <c r="EB176" s="206"/>
      <c r="EC176" s="206"/>
      <c r="ED176" s="206"/>
      <c r="EE176" s="206"/>
      <c r="EF176" s="206"/>
      <c r="EG176" s="383"/>
      <c r="EH176" s="340"/>
      <c r="EI176" s="206"/>
      <c r="EJ176" s="206"/>
      <c r="EK176" s="355"/>
      <c r="EL176" s="355"/>
      <c r="EM176" s="355"/>
      <c r="EN176" s="355"/>
      <c r="EO176" s="355"/>
      <c r="EP176" s="355"/>
      <c r="EQ176" s="355"/>
      <c r="ER176" s="355"/>
      <c r="ES176" s="355"/>
      <c r="ET176" s="355"/>
      <c r="EU176" s="355"/>
      <c r="EV176" s="355"/>
      <c r="EW176" s="355"/>
      <c r="EX176" s="355"/>
      <c r="EY176" s="355"/>
      <c r="EZ176" s="355"/>
      <c r="FA176" s="355"/>
      <c r="FB176" s="355"/>
      <c r="FC176" s="355"/>
      <c r="FD176" s="355"/>
      <c r="FE176" s="355"/>
      <c r="FF176" s="355"/>
      <c r="FG176" s="355"/>
      <c r="FH176" s="355"/>
      <c r="FI176" s="355"/>
      <c r="FJ176" s="355"/>
      <c r="FK176" s="355"/>
      <c r="FL176" s="355"/>
      <c r="FM176" s="355"/>
      <c r="FN176" s="355"/>
      <c r="FO176" s="355"/>
      <c r="FP176" s="355"/>
      <c r="FQ176" s="355"/>
      <c r="FR176" s="355"/>
      <c r="FS176" s="355"/>
      <c r="FT176" s="355"/>
      <c r="FU176" s="355"/>
      <c r="FV176" s="355"/>
      <c r="FW176" s="355"/>
      <c r="FX176" s="206"/>
      <c r="FY176" s="206"/>
      <c r="FZ176" s="206"/>
      <c r="GA176" s="206"/>
      <c r="GB176" s="206"/>
      <c r="GC176" s="206"/>
      <c r="GD176" s="374"/>
      <c r="GE176" s="370"/>
      <c r="GF176" s="374"/>
      <c r="GG176" s="370"/>
      <c r="GH176" s="640"/>
      <c r="GI176" s="206"/>
      <c r="GJ176" s="206"/>
      <c r="GK176" s="635"/>
      <c r="GL176" s="206"/>
      <c r="GM176" s="206"/>
      <c r="GN176" s="206"/>
      <c r="GO176" s="206"/>
      <c r="GP176" s="206"/>
      <c r="GQ176" s="206"/>
      <c r="GR176" s="206"/>
      <c r="GS176" s="206"/>
    </row>
    <row r="177" spans="1:201">
      <c r="A177" s="383"/>
      <c r="B177" s="322"/>
      <c r="C177" s="323"/>
      <c r="D177" s="323"/>
      <c r="E177" s="323"/>
      <c r="F177" s="323"/>
      <c r="G177" s="323"/>
      <c r="H177" s="323"/>
      <c r="I177" s="323"/>
      <c r="J177" s="323"/>
      <c r="K177" s="323"/>
      <c r="L177" s="323"/>
      <c r="M177" s="323"/>
      <c r="N177" s="323"/>
      <c r="O177" s="323"/>
      <c r="P177" s="323"/>
      <c r="Q177" s="353"/>
      <c r="R177" s="353"/>
      <c r="S177" s="353"/>
      <c r="T177" s="353"/>
      <c r="U177" s="353"/>
      <c r="V177" s="353"/>
      <c r="W177" s="353"/>
      <c r="X177" s="353"/>
      <c r="Y177" s="353"/>
      <c r="Z177" s="353"/>
      <c r="AA177" s="353"/>
      <c r="AB177" s="353"/>
      <c r="AC177" s="353"/>
      <c r="AD177" s="353"/>
      <c r="AE177" s="353"/>
      <c r="AF177" s="353"/>
      <c r="AG177" s="353"/>
      <c r="AH177" s="353"/>
      <c r="AI177" s="353"/>
      <c r="AJ177" s="353"/>
      <c r="AK177" s="353"/>
      <c r="AL177" s="353"/>
      <c r="AM177" s="353"/>
      <c r="AN177" s="353"/>
      <c r="AO177" s="353"/>
      <c r="AP177" s="353"/>
      <c r="AQ177" s="643"/>
      <c r="AR177" s="643"/>
      <c r="AS177" s="646"/>
      <c r="AT177" s="235">
        <f t="shared" si="190"/>
        <v>0</v>
      </c>
      <c r="AU177" s="235">
        <f t="shared" si="191"/>
        <v>0</v>
      </c>
      <c r="AV177" s="354"/>
      <c r="AW177" s="354"/>
      <c r="AX177" s="354"/>
      <c r="AY177" s="354"/>
      <c r="AZ177" s="354"/>
      <c r="BA177" s="354"/>
      <c r="BB177" s="354"/>
      <c r="BC177" s="354"/>
      <c r="BD177" s="354"/>
      <c r="BE177" s="354"/>
      <c r="BF177" s="354"/>
      <c r="BG177" s="206"/>
      <c r="BH177" s="206"/>
      <c r="BI177" s="206"/>
      <c r="BJ177" s="206"/>
      <c r="BK177" s="206"/>
      <c r="BL177" s="206"/>
      <c r="BM177" s="206"/>
      <c r="BN177" s="206"/>
      <c r="BO177" s="383"/>
      <c r="BP177" s="322"/>
      <c r="BQ177" s="206"/>
      <c r="BR177" s="206"/>
      <c r="BS177" s="206"/>
      <c r="BT177" s="206"/>
      <c r="BU177" s="206"/>
      <c r="BV177" s="206"/>
      <c r="BW177" s="206"/>
      <c r="BX177" s="206"/>
      <c r="BY177" s="206"/>
      <c r="BZ177" s="206"/>
      <c r="CA177" s="206"/>
      <c r="CB177" s="206"/>
      <c r="CC177" s="206"/>
      <c r="CD177" s="206"/>
      <c r="CE177" s="355"/>
      <c r="CF177" s="355"/>
      <c r="CG177" s="355"/>
      <c r="CH177" s="355"/>
      <c r="CI177" s="355"/>
      <c r="CJ177" s="355"/>
      <c r="CK177" s="355"/>
      <c r="CL177" s="355"/>
      <c r="CM177" s="355"/>
      <c r="CN177" s="355"/>
      <c r="CO177" s="355"/>
      <c r="CP177" s="355"/>
      <c r="CQ177" s="355"/>
      <c r="CR177" s="355"/>
      <c r="CS177" s="355"/>
      <c r="CT177" s="355"/>
      <c r="CU177" s="355"/>
      <c r="CV177" s="355"/>
      <c r="CW177" s="355"/>
      <c r="CX177" s="355"/>
      <c r="CY177" s="355"/>
      <c r="CZ177" s="355"/>
      <c r="DA177" s="355"/>
      <c r="DB177" s="355"/>
      <c r="DC177" s="355"/>
      <c r="DD177" s="355"/>
      <c r="DE177" s="654"/>
      <c r="DF177" s="643"/>
      <c r="DG177" s="646"/>
      <c r="DH177" s="651"/>
      <c r="DI177" s="652"/>
      <c r="DJ177" s="354"/>
      <c r="DK177" s="354"/>
      <c r="DL177" s="354"/>
      <c r="DM177" s="354"/>
      <c r="DN177" s="354"/>
      <c r="DO177" s="654"/>
      <c r="DP177" s="643"/>
      <c r="DQ177" s="646"/>
      <c r="DR177" s="651"/>
      <c r="DS177" s="652"/>
      <c r="DT177" s="354"/>
      <c r="DU177" s="354"/>
      <c r="DV177" s="354"/>
      <c r="DW177" s="354"/>
      <c r="DX177" s="354"/>
      <c r="DY177" s="354"/>
      <c r="DZ177" s="206"/>
      <c r="EA177" s="206"/>
      <c r="EB177" s="206"/>
      <c r="EC177" s="206"/>
      <c r="ED177" s="206"/>
      <c r="EE177" s="206"/>
      <c r="EF177" s="206"/>
      <c r="EG177" s="383"/>
      <c r="EH177" s="322"/>
      <c r="EI177" s="206"/>
      <c r="EJ177" s="206"/>
      <c r="EK177" s="355"/>
      <c r="EL177" s="355"/>
      <c r="EM177" s="355"/>
      <c r="EN177" s="355"/>
      <c r="EO177" s="355"/>
      <c r="EP177" s="355"/>
      <c r="EQ177" s="355"/>
      <c r="ER177" s="355"/>
      <c r="ES177" s="355"/>
      <c r="ET177" s="355"/>
      <c r="EU177" s="355"/>
      <c r="EV177" s="355"/>
      <c r="EW177" s="355"/>
      <c r="EX177" s="355"/>
      <c r="EY177" s="355"/>
      <c r="EZ177" s="355"/>
      <c r="FA177" s="355"/>
      <c r="FB177" s="355"/>
      <c r="FC177" s="355"/>
      <c r="FD177" s="355"/>
      <c r="FE177" s="355"/>
      <c r="FF177" s="355"/>
      <c r="FG177" s="355"/>
      <c r="FH177" s="355"/>
      <c r="FI177" s="355"/>
      <c r="FJ177" s="355"/>
      <c r="FK177" s="355"/>
      <c r="FL177" s="355"/>
      <c r="FM177" s="355"/>
      <c r="FN177" s="355"/>
      <c r="FO177" s="355"/>
      <c r="FP177" s="355"/>
      <c r="FQ177" s="355"/>
      <c r="FR177" s="355"/>
      <c r="FS177" s="355"/>
      <c r="FT177" s="355"/>
      <c r="FU177" s="355"/>
      <c r="FV177" s="355"/>
      <c r="FW177" s="355"/>
      <c r="FX177" s="206"/>
      <c r="FY177" s="206"/>
      <c r="FZ177" s="206"/>
      <c r="GA177" s="206"/>
      <c r="GB177" s="206"/>
      <c r="GC177" s="206"/>
      <c r="GD177" s="374"/>
      <c r="GE177" s="370"/>
      <c r="GF177" s="374"/>
      <c r="GG177" s="370"/>
      <c r="GH177" s="641"/>
      <c r="GI177" s="206"/>
      <c r="GJ177" s="206"/>
      <c r="GK177" s="635"/>
      <c r="GL177" s="206"/>
      <c r="GM177" s="206"/>
      <c r="GN177" s="206"/>
      <c r="GO177" s="206"/>
      <c r="GP177" s="206"/>
      <c r="GQ177" s="206"/>
      <c r="GR177" s="206"/>
      <c r="GS177" s="206"/>
    </row>
    <row r="178" spans="1:201">
      <c r="A178" s="322"/>
      <c r="B178" s="322"/>
      <c r="C178" s="323"/>
      <c r="D178" s="323"/>
      <c r="E178" s="323"/>
      <c r="F178" s="323"/>
      <c r="G178" s="323"/>
      <c r="H178" s="323"/>
      <c r="I178" s="323"/>
      <c r="J178" s="323"/>
      <c r="K178" s="323"/>
      <c r="L178" s="323"/>
      <c r="M178" s="323"/>
      <c r="N178" s="323"/>
      <c r="O178" s="323"/>
      <c r="P178" s="323"/>
      <c r="Q178" s="323"/>
      <c r="R178" s="323"/>
      <c r="S178" s="323"/>
      <c r="T178" s="323"/>
      <c r="U178" s="323"/>
      <c r="V178" s="323"/>
      <c r="W178" s="323"/>
      <c r="X178" s="323"/>
      <c r="Y178" s="323"/>
      <c r="Z178" s="323"/>
      <c r="AA178" s="323"/>
      <c r="AB178" s="323"/>
      <c r="AC178" s="323"/>
      <c r="AD178" s="323"/>
      <c r="AE178" s="323"/>
      <c r="AF178" s="323"/>
      <c r="AG178" s="323"/>
      <c r="AH178" s="323"/>
      <c r="AI178" s="323"/>
      <c r="AJ178" s="323"/>
      <c r="AK178" s="323"/>
      <c r="AL178" s="323"/>
      <c r="AM178" s="323"/>
      <c r="AN178" s="323"/>
      <c r="AO178" s="323"/>
      <c r="AP178" s="323"/>
      <c r="AQ178" s="629" t="s">
        <v>79</v>
      </c>
      <c r="AR178" s="629"/>
      <c r="AS178" s="629"/>
      <c r="AT178" s="629"/>
      <c r="AU178" s="629"/>
      <c r="AV178" s="322"/>
      <c r="AW178" s="322"/>
      <c r="AX178" s="322"/>
      <c r="AY178" s="322"/>
      <c r="AZ178" s="322"/>
      <c r="BA178" s="322"/>
      <c r="BB178" s="322"/>
      <c r="BC178" s="322"/>
      <c r="BD178" s="322"/>
      <c r="BE178" s="322"/>
      <c r="BF178" s="322"/>
      <c r="BG178" s="206"/>
      <c r="BH178" s="206"/>
      <c r="BI178" s="206"/>
      <c r="BJ178" s="206"/>
      <c r="BK178" s="206"/>
      <c r="BL178" s="206"/>
      <c r="BM178" s="206"/>
      <c r="BN178" s="206"/>
      <c r="BO178" s="206"/>
      <c r="BP178" s="206"/>
      <c r="BQ178" s="206"/>
      <c r="BR178" s="206"/>
      <c r="BS178" s="206"/>
      <c r="BT178" s="206"/>
      <c r="BU178" s="206"/>
      <c r="BV178" s="206"/>
      <c r="BW178" s="206"/>
      <c r="BX178" s="206"/>
      <c r="BY178" s="206"/>
      <c r="BZ178" s="206"/>
      <c r="CA178" s="206"/>
      <c r="CB178" s="206"/>
      <c r="CC178" s="206"/>
      <c r="CD178" s="206"/>
      <c r="CE178" s="355"/>
      <c r="CF178" s="355"/>
      <c r="CG178" s="355"/>
      <c r="CH178" s="355"/>
      <c r="CI178" s="355"/>
      <c r="CJ178" s="355"/>
      <c r="CK178" s="355"/>
      <c r="CL178" s="355"/>
      <c r="CM178" s="355"/>
      <c r="CN178" s="355"/>
      <c r="CO178" s="355"/>
      <c r="CP178" s="355"/>
      <c r="CQ178" s="355"/>
      <c r="CR178" s="355"/>
      <c r="CS178" s="355"/>
      <c r="CT178" s="355"/>
      <c r="CU178" s="355"/>
      <c r="CV178" s="355"/>
      <c r="CW178" s="355"/>
      <c r="CX178" s="355"/>
      <c r="CY178" s="355"/>
      <c r="CZ178" s="355"/>
      <c r="DA178" s="355"/>
      <c r="DB178" s="355"/>
      <c r="DC178" s="355"/>
      <c r="DD178" s="355"/>
      <c r="DE178" s="628" t="s">
        <v>80</v>
      </c>
      <c r="DF178" s="629"/>
      <c r="DG178" s="629"/>
      <c r="DH178" s="629"/>
      <c r="DI178" s="634"/>
      <c r="DJ178" s="322"/>
      <c r="DK178" s="322"/>
      <c r="DL178" s="322"/>
      <c r="DM178" s="322"/>
      <c r="DN178" s="322"/>
      <c r="DO178" s="628" t="s">
        <v>80</v>
      </c>
      <c r="DP178" s="629"/>
      <c r="DQ178" s="629"/>
      <c r="DR178" s="629"/>
      <c r="DS178" s="634"/>
      <c r="DT178" s="322"/>
      <c r="DU178" s="322"/>
      <c r="DV178" s="322"/>
      <c r="DW178" s="322"/>
      <c r="DX178" s="322"/>
      <c r="DY178" s="322"/>
      <c r="DZ178" s="206"/>
      <c r="EA178" s="206"/>
      <c r="EB178" s="206"/>
      <c r="EC178" s="206"/>
      <c r="ED178" s="206"/>
      <c r="EE178" s="206"/>
      <c r="EF178" s="206"/>
      <c r="EG178" s="206"/>
      <c r="EH178" s="629" t="s">
        <v>81</v>
      </c>
      <c r="EI178" s="629"/>
      <c r="EJ178" s="629"/>
      <c r="EK178" s="629"/>
      <c r="EL178" s="629"/>
      <c r="EM178" s="629"/>
      <c r="EN178" s="629"/>
      <c r="EO178" s="629"/>
      <c r="EP178" s="629"/>
      <c r="EQ178" s="629"/>
      <c r="ER178" s="629"/>
      <c r="ES178" s="629"/>
      <c r="ET178" s="629"/>
      <c r="EU178" s="629"/>
      <c r="EV178" s="629"/>
      <c r="EW178" s="629"/>
      <c r="EX178" s="629"/>
      <c r="EY178" s="629"/>
      <c r="EZ178" s="629"/>
      <c r="FA178" s="629"/>
      <c r="FB178" s="629"/>
      <c r="FC178" s="322"/>
      <c r="FD178" s="322"/>
      <c r="FE178" s="322"/>
      <c r="FF178" s="322"/>
      <c r="FG178" s="322"/>
      <c r="FH178" s="322"/>
      <c r="FI178" s="322"/>
      <c r="FJ178" s="322"/>
      <c r="FK178" s="322"/>
      <c r="FL178" s="322"/>
      <c r="FM178" s="322"/>
      <c r="FN178" s="322"/>
      <c r="FO178" s="322"/>
      <c r="FP178" s="322"/>
      <c r="FQ178" s="322"/>
      <c r="FR178" s="322"/>
      <c r="FS178" s="322"/>
      <c r="FT178" s="322"/>
      <c r="FU178" s="322"/>
      <c r="FV178" s="322"/>
      <c r="FW178" s="322"/>
      <c r="FX178" s="206"/>
      <c r="FY178" s="206"/>
      <c r="FZ178" s="206"/>
      <c r="GA178" s="206"/>
      <c r="GB178" s="206"/>
      <c r="GC178" s="206"/>
      <c r="GD178" s="206"/>
      <c r="GE178" s="206"/>
      <c r="GF178" s="206"/>
      <c r="GG178" s="206"/>
      <c r="GH178" s="206"/>
      <c r="GI178" s="206"/>
      <c r="GJ178" s="206"/>
      <c r="GK178" s="206"/>
      <c r="GL178" s="206"/>
      <c r="GM178" s="206"/>
      <c r="GN178" s="206"/>
      <c r="GO178" s="206"/>
      <c r="GP178" s="206"/>
      <c r="GQ178" s="206"/>
      <c r="GR178" s="206"/>
      <c r="GS178" s="206"/>
    </row>
    <row r="179" spans="1:201" ht="15" thickBot="1">
      <c r="A179" s="628" t="s">
        <v>82</v>
      </c>
      <c r="B179" s="629"/>
      <c r="C179" s="323">
        <f>SUM(C158:C177)</f>
        <v>3176075.30610443</v>
      </c>
      <c r="D179" s="323">
        <f t="shared" ref="D179:V179" si="212">SUM(D158:D177)</f>
        <v>3219373.688757041</v>
      </c>
      <c r="E179" s="323">
        <f t="shared" si="212"/>
        <v>3301012.0714096515</v>
      </c>
      <c r="F179" s="323">
        <f t="shared" si="212"/>
        <v>3382650.4540622621</v>
      </c>
      <c r="G179" s="323">
        <f t="shared" si="212"/>
        <v>6593372.8038774459</v>
      </c>
      <c r="H179" s="323">
        <f t="shared" si="212"/>
        <v>6742799.9314037161</v>
      </c>
      <c r="I179" s="323">
        <f t="shared" si="212"/>
        <v>6851424.3078423757</v>
      </c>
      <c r="J179" s="323">
        <f t="shared" si="212"/>
        <v>6980450.0598248439</v>
      </c>
      <c r="K179" s="323">
        <f t="shared" si="212"/>
        <v>10777228.808556879</v>
      </c>
      <c r="L179" s="323">
        <f t="shared" si="212"/>
        <v>10918122.1693797</v>
      </c>
      <c r="M179" s="323">
        <f t="shared" si="212"/>
        <v>11059015.530202521</v>
      </c>
      <c r="N179" s="323">
        <f t="shared" si="212"/>
        <v>11199908.891025346</v>
      </c>
      <c r="O179" s="323">
        <f t="shared" si="212"/>
        <v>17439625.895412318</v>
      </c>
      <c r="P179" s="323">
        <f t="shared" si="212"/>
        <v>17703357.284792949</v>
      </c>
      <c r="Q179" s="323">
        <f t="shared" si="212"/>
        <v>17969348.039560664</v>
      </c>
      <c r="R179" s="323">
        <f t="shared" si="212"/>
        <v>18235338.794328388</v>
      </c>
      <c r="S179" s="323">
        <f t="shared" si="212"/>
        <v>19352306.835500509</v>
      </c>
      <c r="T179" s="323">
        <f t="shared" si="212"/>
        <v>19611028.657321069</v>
      </c>
      <c r="U179" s="323">
        <f t="shared" si="212"/>
        <v>19874937.397398032</v>
      </c>
      <c r="V179" s="323">
        <f t="shared" si="212"/>
        <v>20129932.481403764</v>
      </c>
      <c r="W179" s="323"/>
      <c r="X179" s="323"/>
      <c r="Y179" s="323"/>
      <c r="Z179" s="323"/>
      <c r="AA179" s="323"/>
      <c r="AB179" s="323"/>
      <c r="AC179" s="323"/>
      <c r="AD179" s="323"/>
      <c r="AE179" s="323"/>
      <c r="AF179" s="323"/>
      <c r="AG179" s="323"/>
      <c r="AH179" s="323"/>
      <c r="AI179" s="323"/>
      <c r="AJ179" s="323"/>
      <c r="AK179" s="323"/>
      <c r="AL179" s="323"/>
      <c r="AM179" s="323"/>
      <c r="AN179" s="323"/>
      <c r="AO179" s="323"/>
      <c r="AP179" s="323"/>
      <c r="AQ179" s="330">
        <f>SUM(AQ158:AQ162)</f>
        <v>13079111.520333383</v>
      </c>
      <c r="AR179" s="330">
        <f>SUM(AR158:AR166)</f>
        <v>27168047.102948379</v>
      </c>
      <c r="AS179" s="330">
        <f>SUM(AS158:AS171)</f>
        <v>43954275.399164446</v>
      </c>
      <c r="AT179" s="330">
        <f>SUM(AT158:AT177)</f>
        <v>71347670.014094323</v>
      </c>
      <c r="AU179" s="330">
        <f>SUM(AU158:AU177)</f>
        <v>78968205.371623382</v>
      </c>
      <c r="AV179" s="330"/>
      <c r="AW179" s="330"/>
      <c r="AX179" s="330"/>
      <c r="AY179" s="330"/>
      <c r="AZ179" s="330"/>
      <c r="BA179" s="330"/>
      <c r="BB179" s="330"/>
      <c r="BC179" s="330"/>
      <c r="BD179" s="330"/>
      <c r="BE179" s="330"/>
      <c r="BF179" s="330"/>
      <c r="BG179" s="206"/>
      <c r="BH179" s="206"/>
      <c r="BI179" s="206"/>
      <c r="BJ179" s="206"/>
      <c r="BK179" s="206"/>
      <c r="BL179" s="206"/>
      <c r="BM179" s="206"/>
      <c r="BN179" s="206"/>
      <c r="BO179" s="206"/>
      <c r="BP179" s="206"/>
      <c r="BQ179" s="206"/>
      <c r="BR179" s="206"/>
      <c r="BS179" s="206"/>
      <c r="BT179" s="206"/>
      <c r="BU179" s="206"/>
      <c r="BV179" s="206"/>
      <c r="BW179" s="206"/>
      <c r="BX179" s="206"/>
      <c r="BY179" s="206"/>
      <c r="BZ179" s="206"/>
      <c r="CA179" s="206"/>
      <c r="CB179" s="206"/>
      <c r="CC179" s="206"/>
      <c r="CD179" s="206"/>
      <c r="CE179" s="206"/>
      <c r="CF179" s="206"/>
      <c r="CG179" s="206"/>
      <c r="CH179" s="206"/>
      <c r="CI179" s="206"/>
      <c r="CJ179" s="206"/>
      <c r="CK179" s="206"/>
      <c r="CL179" s="206"/>
      <c r="CM179" s="206"/>
      <c r="CN179" s="206"/>
      <c r="CO179" s="206"/>
      <c r="CP179" s="206"/>
      <c r="CQ179" s="206"/>
      <c r="CR179" s="206"/>
      <c r="CS179" s="206"/>
      <c r="CT179" s="206"/>
      <c r="CU179" s="206"/>
      <c r="CV179" s="206"/>
      <c r="CW179" s="206"/>
      <c r="CX179" s="206"/>
      <c r="CY179" s="206"/>
      <c r="CZ179" s="206"/>
      <c r="DA179" s="206"/>
      <c r="DB179" s="206"/>
      <c r="DC179" s="206"/>
      <c r="DD179" s="206"/>
      <c r="DE179" s="380">
        <f>SUM(DE158:DE162)</f>
        <v>16835876.574936986</v>
      </c>
      <c r="DF179" s="380">
        <f>SUM(DF158:DF166)</f>
        <v>30986728.244946495</v>
      </c>
      <c r="DG179" s="380">
        <f>SUM(DG158:DG171)</f>
        <v>50451854.509718344</v>
      </c>
      <c r="DH179" s="380">
        <f>SUM(DH158:DH177)</f>
        <v>73789494.776683241</v>
      </c>
      <c r="DI179" s="380">
        <f>SUM(DI158:DI177)</f>
        <v>73789494.776683241</v>
      </c>
      <c r="DJ179" s="380"/>
      <c r="DK179" s="380"/>
      <c r="DL179" s="380"/>
      <c r="DM179" s="380"/>
      <c r="DN179" s="380"/>
      <c r="DO179" s="380">
        <f>AQ179-DE179</f>
        <v>-3756765.0546036027</v>
      </c>
      <c r="DP179" s="380">
        <f>AR179-DF179</f>
        <v>-3818681.1419981159</v>
      </c>
      <c r="DQ179" s="380">
        <f>AS179-DG179</f>
        <v>-6497579.1105538979</v>
      </c>
      <c r="DR179" s="380">
        <f>AT179-DH179</f>
        <v>-2441824.7625889182</v>
      </c>
      <c r="DS179" s="380">
        <f>AU179-DI179</f>
        <v>5178710.5949401408</v>
      </c>
      <c r="DT179" s="330"/>
      <c r="DU179" s="330"/>
      <c r="DV179" s="330"/>
      <c r="DW179" s="330"/>
      <c r="DX179" s="330"/>
      <c r="DY179" s="330"/>
      <c r="DZ179" s="206"/>
      <c r="EA179" s="206"/>
      <c r="EB179" s="206"/>
      <c r="EC179" s="206"/>
      <c r="ED179" s="206"/>
      <c r="EE179" s="206"/>
      <c r="EF179" s="206"/>
      <c r="EG179" s="326">
        <v>1</v>
      </c>
      <c r="EH179" s="206" t="s">
        <v>84</v>
      </c>
      <c r="EI179" s="330">
        <f>SUM(EI158:EI162)</f>
        <v>-1032893.8376298167</v>
      </c>
      <c r="EJ179" s="330">
        <f t="shared" ref="EJ179" si="213">SUM(EJ158:EJ162)</f>
        <v>-989595.45497720561</v>
      </c>
      <c r="EK179" s="330">
        <f>SUM(EK158:EK162)</f>
        <v>-907957.07232459483</v>
      </c>
      <c r="EL179" s="330">
        <f>SUM(EL158:EL162)</f>
        <v>-826318.68967198394</v>
      </c>
      <c r="EM179" s="330">
        <f t="shared" ref="EM179:EV179" si="214">SUM(EM158:EM162)</f>
        <v>-569529.26323900255</v>
      </c>
      <c r="EN179" s="330">
        <f t="shared" si="214"/>
        <v>-463292.74531426327</v>
      </c>
      <c r="EO179" s="330">
        <f t="shared" si="214"/>
        <v>-397858.97847713443</v>
      </c>
      <c r="EP179" s="330">
        <f t="shared" si="214"/>
        <v>-312023.83609619812</v>
      </c>
      <c r="EQ179" s="330">
        <f t="shared" si="214"/>
        <v>-66318.699569625373</v>
      </c>
      <c r="ER179" s="330">
        <f t="shared" si="214"/>
        <v>-17260.861160618195</v>
      </c>
      <c r="ES179" s="330">
        <f t="shared" si="214"/>
        <v>31796.977248390496</v>
      </c>
      <c r="ET179" s="330">
        <f t="shared" si="214"/>
        <v>80854.815657400002</v>
      </c>
      <c r="EU179" s="330">
        <f t="shared" si="214"/>
        <v>252220.15470367635</v>
      </c>
      <c r="EV179" s="330">
        <f t="shared" si="214"/>
        <v>303799.8946240067</v>
      </c>
      <c r="EW179" s="330">
        <f>SUM(EW158:EW162)</f>
        <v>355379.63454433827</v>
      </c>
      <c r="EX179" s="330">
        <f t="shared" ref="EX179" si="215">SUM(EX158:EX162)</f>
        <v>406959.37446466798</v>
      </c>
      <c r="EY179" s="330">
        <f>SUM(EY158:EY162)</f>
        <v>597673.95144960319</v>
      </c>
      <c r="EZ179" s="330">
        <f t="shared" ref="EZ179:FB179" si="216">SUM(EZ158:EZ162)</f>
        <v>651905.23551205953</v>
      </c>
      <c r="FA179" s="330">
        <f t="shared" si="216"/>
        <v>706136.51957451715</v>
      </c>
      <c r="FB179" s="330">
        <f t="shared" si="216"/>
        <v>751454.14756575215</v>
      </c>
      <c r="FC179" s="330"/>
      <c r="FD179" s="330"/>
      <c r="FE179" s="330"/>
      <c r="FF179" s="330"/>
      <c r="FG179" s="330"/>
      <c r="FH179" s="330"/>
      <c r="FI179" s="330"/>
      <c r="FJ179" s="330"/>
      <c r="FK179" s="330"/>
      <c r="FL179" s="330"/>
      <c r="FM179" s="330"/>
      <c r="FN179" s="330"/>
      <c r="FO179" s="330"/>
      <c r="FP179" s="330"/>
      <c r="FQ179" s="330"/>
      <c r="FR179" s="330"/>
      <c r="FS179" s="330"/>
      <c r="FT179" s="330"/>
      <c r="FU179" s="330"/>
      <c r="FV179" s="330"/>
      <c r="FW179" s="330"/>
      <c r="FX179" s="206"/>
      <c r="FY179" s="206"/>
      <c r="FZ179" s="206"/>
      <c r="GA179" s="206"/>
      <c r="GB179" s="206"/>
      <c r="GC179" s="206"/>
      <c r="GD179" s="206"/>
      <c r="GE179" s="206"/>
      <c r="GF179" s="206"/>
      <c r="GG179" s="206"/>
      <c r="GH179" s="206"/>
      <c r="GI179" s="206"/>
      <c r="GJ179" s="206"/>
      <c r="GK179" s="206"/>
      <c r="GL179" s="206"/>
      <c r="GM179" s="206"/>
      <c r="GN179" s="206"/>
      <c r="GO179" s="206"/>
      <c r="GP179" s="206"/>
      <c r="GQ179" s="206"/>
      <c r="GR179" s="206"/>
      <c r="GS179" s="206"/>
    </row>
    <row r="180" spans="1:201" ht="15" thickBot="1">
      <c r="A180" s="628" t="s">
        <v>83</v>
      </c>
      <c r="B180" s="629"/>
      <c r="C180" s="323" cm="1">
        <f t="array" ref="C180:V180">BQ180:CJ180</f>
        <v>4208969.1437342465</v>
      </c>
      <c r="D180" s="323">
        <v>4208969.1437342465</v>
      </c>
      <c r="E180" s="386">
        <v>4208969.1437342465</v>
      </c>
      <c r="F180" s="386">
        <v>4208969.1437342465</v>
      </c>
      <c r="G180" s="386">
        <v>7746682.0612366237</v>
      </c>
      <c r="H180" s="386">
        <v>7746682.0612366237</v>
      </c>
      <c r="I180" s="386">
        <v>7746682.0612366237</v>
      </c>
      <c r="J180" s="386">
        <v>7746682.0612366237</v>
      </c>
      <c r="K180" s="386">
        <v>12612963.627429586</v>
      </c>
      <c r="L180" s="386">
        <v>12612963.627429586</v>
      </c>
      <c r="M180" s="386">
        <v>12612963.627429586</v>
      </c>
      <c r="N180" s="386">
        <v>12612963.627429586</v>
      </c>
      <c r="O180" s="386">
        <v>18447373.69417081</v>
      </c>
      <c r="P180" s="386">
        <v>18447373.69417081</v>
      </c>
      <c r="Q180" s="386">
        <v>18447373.69417081</v>
      </c>
      <c r="R180" s="386">
        <v>18447373.69417081</v>
      </c>
      <c r="S180" s="386">
        <v>18447373.69417081</v>
      </c>
      <c r="T180" s="386">
        <v>18447373.69417081</v>
      </c>
      <c r="U180" s="386">
        <v>18447373.69417081</v>
      </c>
      <c r="V180" s="387">
        <v>18447373.69417081</v>
      </c>
      <c r="W180" s="386"/>
      <c r="X180" s="386"/>
      <c r="Y180" s="386"/>
      <c r="Z180" s="386"/>
      <c r="AA180" s="386"/>
      <c r="AB180" s="386"/>
      <c r="AC180" s="386"/>
      <c r="AD180" s="386"/>
      <c r="AE180" s="386"/>
      <c r="AF180" s="386"/>
      <c r="AG180" s="386"/>
      <c r="AH180" s="386"/>
      <c r="AI180" s="386"/>
      <c r="AJ180" s="386"/>
      <c r="AK180" s="386"/>
      <c r="AL180" s="386"/>
      <c r="AM180" s="386"/>
      <c r="AN180" s="386"/>
      <c r="AO180" s="386"/>
      <c r="AP180" s="386"/>
      <c r="AQ180" s="206"/>
      <c r="AR180" s="206"/>
      <c r="AS180" s="206"/>
      <c r="AT180" s="206"/>
      <c r="AU180" s="206"/>
      <c r="AV180" s="206"/>
      <c r="AW180" s="206"/>
      <c r="AX180" s="206"/>
      <c r="AY180" s="206"/>
      <c r="AZ180" s="206"/>
      <c r="BA180" s="206"/>
      <c r="BB180" s="206"/>
      <c r="BC180" s="206"/>
      <c r="BD180" s="206"/>
      <c r="BE180" s="206"/>
      <c r="BF180" s="206"/>
      <c r="BG180" s="206"/>
      <c r="BH180" s="206"/>
      <c r="BI180" s="206"/>
      <c r="BJ180" s="206"/>
      <c r="BK180" s="206"/>
      <c r="BL180" s="206"/>
      <c r="BM180" s="206"/>
      <c r="BN180" s="206"/>
      <c r="BO180" s="630" t="s">
        <v>83</v>
      </c>
      <c r="BP180" s="631"/>
      <c r="BQ180" s="381">
        <f>SUM(BQ158:BQ177)</f>
        <v>4208969.1437342465</v>
      </c>
      <c r="BR180" s="381">
        <f t="shared" ref="BR180:CJ180" si="217">SUM(BR158:BR177)</f>
        <v>4208969.1437342465</v>
      </c>
      <c r="BS180" s="381">
        <f t="shared" si="217"/>
        <v>4208969.1437342465</v>
      </c>
      <c r="BT180" s="381">
        <f t="shared" si="217"/>
        <v>4208969.1437342465</v>
      </c>
      <c r="BU180" s="381">
        <f t="shared" si="217"/>
        <v>7746682.0612366237</v>
      </c>
      <c r="BV180" s="381">
        <f t="shared" si="217"/>
        <v>7746682.0612366237</v>
      </c>
      <c r="BW180" s="381">
        <f t="shared" si="217"/>
        <v>7746682.0612366237</v>
      </c>
      <c r="BX180" s="381">
        <f t="shared" si="217"/>
        <v>7746682.0612366237</v>
      </c>
      <c r="BY180" s="381">
        <f t="shared" si="217"/>
        <v>12612963.627429586</v>
      </c>
      <c r="BZ180" s="381">
        <f t="shared" si="217"/>
        <v>12612963.627429586</v>
      </c>
      <c r="CA180" s="381">
        <f t="shared" si="217"/>
        <v>12612963.627429586</v>
      </c>
      <c r="CB180" s="381">
        <f t="shared" si="217"/>
        <v>12612963.627429586</v>
      </c>
      <c r="CC180" s="381">
        <f t="shared" si="217"/>
        <v>18447373.69417081</v>
      </c>
      <c r="CD180" s="381">
        <f t="shared" si="217"/>
        <v>18447373.69417081</v>
      </c>
      <c r="CE180" s="381">
        <f t="shared" si="217"/>
        <v>18447373.69417081</v>
      </c>
      <c r="CF180" s="381">
        <f t="shared" si="217"/>
        <v>18447373.69417081</v>
      </c>
      <c r="CG180" s="381">
        <f t="shared" si="217"/>
        <v>18447373.69417081</v>
      </c>
      <c r="CH180" s="381">
        <f t="shared" si="217"/>
        <v>18447373.69417081</v>
      </c>
      <c r="CI180" s="381">
        <f t="shared" si="217"/>
        <v>18447373.69417081</v>
      </c>
      <c r="CJ180" s="381">
        <f t="shared" si="217"/>
        <v>18447373.69417081</v>
      </c>
      <c r="CK180" s="330"/>
      <c r="CL180" s="330"/>
      <c r="CM180" s="330"/>
      <c r="CN180" s="330"/>
      <c r="CO180" s="330"/>
      <c r="CP180" s="330"/>
      <c r="CQ180" s="330"/>
      <c r="CR180" s="330"/>
      <c r="CS180" s="330"/>
      <c r="CT180" s="330"/>
      <c r="CU180" s="330"/>
      <c r="CV180" s="330"/>
      <c r="CW180" s="330"/>
      <c r="CX180" s="330"/>
      <c r="CY180" s="330"/>
      <c r="CZ180" s="330"/>
      <c r="DA180" s="330"/>
      <c r="DB180" s="330"/>
      <c r="DC180" s="330"/>
      <c r="DD180" s="330"/>
      <c r="DE180" s="206"/>
      <c r="DF180" s="206"/>
      <c r="DG180" s="206"/>
      <c r="DH180" s="206"/>
      <c r="DI180" s="206"/>
      <c r="DJ180" s="206"/>
      <c r="DK180" s="206"/>
      <c r="DL180" s="206"/>
      <c r="DM180" s="206"/>
      <c r="DN180" s="206"/>
      <c r="DO180" s="206"/>
      <c r="DP180" s="206"/>
      <c r="DQ180" s="206"/>
      <c r="DR180" s="206"/>
      <c r="DS180" s="206"/>
      <c r="DT180" s="206"/>
      <c r="DU180" s="206"/>
      <c r="DV180" s="206"/>
      <c r="DW180" s="206"/>
      <c r="DX180" s="206"/>
      <c r="DY180" s="206"/>
      <c r="DZ180" s="206"/>
      <c r="EA180" s="206"/>
      <c r="EB180" s="206"/>
      <c r="EC180" s="206"/>
      <c r="ED180" s="206"/>
      <c r="EE180" s="206"/>
      <c r="EF180" s="206"/>
      <c r="EG180" s="326">
        <v>2</v>
      </c>
      <c r="EH180" s="206" t="s">
        <v>84</v>
      </c>
      <c r="EI180" s="330">
        <f>SUM(EI163:EI166)</f>
        <v>0</v>
      </c>
      <c r="EJ180" s="330">
        <f>SUM(EJ163:EJ166)</f>
        <v>0</v>
      </c>
      <c r="EK180" s="330">
        <f t="shared" ref="EK180:FB180" si="218">SUM(EK163:EK166)</f>
        <v>0</v>
      </c>
      <c r="EL180" s="330">
        <f t="shared" si="218"/>
        <v>0</v>
      </c>
      <c r="EM180" s="330">
        <f t="shared" si="218"/>
        <v>-583779.99412017642</v>
      </c>
      <c r="EN180" s="330">
        <f t="shared" si="218"/>
        <v>-540589.38451864512</v>
      </c>
      <c r="EO180" s="330">
        <f t="shared" si="218"/>
        <v>-497398.77491711406</v>
      </c>
      <c r="EP180" s="330">
        <f t="shared" si="218"/>
        <v>-454208.165315583</v>
      </c>
      <c r="EQ180" s="330">
        <f t="shared" si="218"/>
        <v>-413743.15105956281</v>
      </c>
      <c r="ER180" s="330">
        <f t="shared" si="218"/>
        <v>-351636.86167760415</v>
      </c>
      <c r="ES180" s="330">
        <f t="shared" si="218"/>
        <v>-289530.57229564548</v>
      </c>
      <c r="ET180" s="330">
        <f t="shared" si="218"/>
        <v>-227424.28291368706</v>
      </c>
      <c r="EU180" s="330">
        <f t="shared" si="218"/>
        <v>71591.453381391009</v>
      </c>
      <c r="EV180" s="330">
        <f t="shared" si="218"/>
        <v>136890.42206057371</v>
      </c>
      <c r="EW180" s="330">
        <f t="shared" si="218"/>
        <v>202189.3907397564</v>
      </c>
      <c r="EX180" s="330">
        <f t="shared" si="218"/>
        <v>267488.35941893863</v>
      </c>
      <c r="EY180" s="330">
        <f t="shared" si="218"/>
        <v>590807.17511539347</v>
      </c>
      <c r="EZ180" s="330">
        <f t="shared" si="218"/>
        <v>643707.22695196653</v>
      </c>
      <c r="FA180" s="330">
        <f t="shared" si="218"/>
        <v>696607.27878853935</v>
      </c>
      <c r="FB180" s="330">
        <f t="shared" si="218"/>
        <v>749507.33062511287</v>
      </c>
      <c r="FC180" s="330"/>
      <c r="FD180" s="330"/>
      <c r="FE180" s="330"/>
      <c r="FF180" s="330"/>
      <c r="FG180" s="330"/>
      <c r="FH180" s="330"/>
      <c r="FI180" s="330"/>
      <c r="FJ180" s="330"/>
      <c r="FK180" s="330"/>
      <c r="FL180" s="330"/>
      <c r="FM180" s="330"/>
      <c r="FN180" s="330"/>
      <c r="FO180" s="330"/>
      <c r="FP180" s="330"/>
      <c r="FQ180" s="330"/>
      <c r="FR180" s="330"/>
      <c r="FS180" s="330"/>
      <c r="FT180" s="330"/>
      <c r="FU180" s="330"/>
      <c r="FV180" s="330"/>
      <c r="FW180" s="330"/>
      <c r="FX180" s="206"/>
      <c r="FY180" s="206"/>
      <c r="FZ180" s="206"/>
      <c r="GA180" s="206"/>
      <c r="GB180" s="206"/>
      <c r="GC180" s="206"/>
      <c r="GD180" s="206"/>
      <c r="GE180" s="206"/>
      <c r="GF180" s="206"/>
      <c r="GG180" s="206"/>
      <c r="GH180" s="206"/>
      <c r="GI180" s="206"/>
      <c r="GJ180" s="206"/>
      <c r="GK180" s="206"/>
      <c r="GL180" s="206"/>
      <c r="GM180" s="206"/>
      <c r="GN180" s="206"/>
      <c r="GO180" s="206"/>
      <c r="GP180" s="206"/>
      <c r="GQ180" s="206"/>
      <c r="GR180" s="206"/>
      <c r="GS180" s="206"/>
    </row>
    <row r="181" spans="1:201">
      <c r="A181" s="628" t="s">
        <v>94</v>
      </c>
      <c r="B181" s="629"/>
      <c r="C181" s="323">
        <f>C179-C180</f>
        <v>-1032893.8376298165</v>
      </c>
      <c r="D181" s="323">
        <f t="shared" ref="D181:I181" si="219">D179-D180</f>
        <v>-989595.45497720549</v>
      </c>
      <c r="E181" s="323">
        <f>E179-E180</f>
        <v>-907957.07232459495</v>
      </c>
      <c r="F181" s="323">
        <f t="shared" si="219"/>
        <v>-826318.68967198441</v>
      </c>
      <c r="G181" s="323">
        <f t="shared" si="219"/>
        <v>-1153309.2573591778</v>
      </c>
      <c r="H181" s="323">
        <f t="shared" si="219"/>
        <v>-1003882.1298329076</v>
      </c>
      <c r="I181" s="323">
        <f t="shared" si="219"/>
        <v>-895257.75339424796</v>
      </c>
      <c r="J181" s="323" t="s">
        <v>113</v>
      </c>
      <c r="K181" s="323">
        <f t="shared" ref="K181:V181" si="220">K179-K180</f>
        <v>-1835734.818872707</v>
      </c>
      <c r="L181" s="323">
        <f t="shared" si="220"/>
        <v>-1694841.4580498859</v>
      </c>
      <c r="M181" s="323">
        <f t="shared" si="220"/>
        <v>-1553948.0972270649</v>
      </c>
      <c r="N181" s="323">
        <f t="shared" si="220"/>
        <v>-1413054.7364042401</v>
      </c>
      <c r="O181" s="323">
        <f t="shared" si="220"/>
        <v>-1007747.7987584919</v>
      </c>
      <c r="P181" s="323">
        <f t="shared" si="220"/>
        <v>-744016.40937786177</v>
      </c>
      <c r="Q181" s="323">
        <f t="shared" si="220"/>
        <v>-478025.65461014584</v>
      </c>
      <c r="R181" s="323">
        <f t="shared" si="220"/>
        <v>-212034.89984242246</v>
      </c>
      <c r="S181" s="323">
        <f t="shared" si="220"/>
        <v>904933.14132969826</v>
      </c>
      <c r="T181" s="323">
        <f t="shared" si="220"/>
        <v>1163654.9631502591</v>
      </c>
      <c r="U181" s="323">
        <f t="shared" si="220"/>
        <v>1427563.703227222</v>
      </c>
      <c r="V181" s="324">
        <f t="shared" si="220"/>
        <v>1682558.7872329541</v>
      </c>
      <c r="W181" s="323"/>
      <c r="X181" s="323"/>
      <c r="Y181" s="323"/>
      <c r="Z181" s="323"/>
      <c r="AA181" s="323"/>
      <c r="AB181" s="323"/>
      <c r="AC181" s="323"/>
      <c r="AD181" s="323"/>
      <c r="AE181" s="323"/>
      <c r="AF181" s="323"/>
      <c r="AG181" s="323"/>
      <c r="AH181" s="323"/>
      <c r="AI181" s="323"/>
      <c r="AJ181" s="323"/>
      <c r="AK181" s="323"/>
      <c r="AL181" s="323"/>
      <c r="AM181" s="323"/>
      <c r="AN181" s="323"/>
      <c r="AO181" s="323"/>
      <c r="AP181" s="323"/>
      <c r="AQ181" s="206"/>
      <c r="AR181" s="206"/>
      <c r="AS181" s="206"/>
      <c r="AT181" s="206"/>
      <c r="AU181" s="206"/>
      <c r="AV181" s="206"/>
      <c r="AW181" s="206"/>
      <c r="AX181" s="206"/>
      <c r="AY181" s="206"/>
      <c r="AZ181" s="206"/>
      <c r="BA181" s="206"/>
      <c r="BB181" s="206"/>
      <c r="BC181" s="206"/>
      <c r="BD181" s="206"/>
      <c r="BE181" s="206"/>
      <c r="BF181" s="206"/>
      <c r="BG181" s="206"/>
      <c r="BH181" s="206"/>
      <c r="BI181" s="206"/>
      <c r="BJ181" s="206"/>
      <c r="BK181" s="206"/>
      <c r="BL181" s="206"/>
      <c r="BM181" s="206"/>
      <c r="BN181" s="206"/>
      <c r="BO181" s="206"/>
      <c r="BP181" s="206"/>
      <c r="BQ181" s="206"/>
      <c r="BR181" s="206"/>
      <c r="BS181" s="206"/>
      <c r="BT181" s="206"/>
      <c r="BU181" s="206"/>
      <c r="BV181" s="206"/>
      <c r="BW181" s="206"/>
      <c r="BX181" s="206"/>
      <c r="BY181" s="206"/>
      <c r="BZ181" s="206"/>
      <c r="CA181" s="206"/>
      <c r="CB181" s="206"/>
      <c r="CC181" s="206"/>
      <c r="CD181" s="206"/>
      <c r="CE181" s="206"/>
      <c r="CF181" s="206"/>
      <c r="CG181" s="206"/>
      <c r="CH181" s="206"/>
      <c r="CI181" s="206"/>
      <c r="CJ181" s="206"/>
      <c r="CK181" s="206"/>
      <c r="CL181" s="206"/>
      <c r="CM181" s="206"/>
      <c r="CN181" s="206"/>
      <c r="CO181" s="206"/>
      <c r="CP181" s="206"/>
      <c r="CQ181" s="206"/>
      <c r="CR181" s="206"/>
      <c r="CS181" s="206"/>
      <c r="CT181" s="206"/>
      <c r="CU181" s="206"/>
      <c r="CV181" s="206"/>
      <c r="CW181" s="206"/>
      <c r="CX181" s="206"/>
      <c r="CY181" s="206"/>
      <c r="CZ181" s="206"/>
      <c r="DA181" s="206"/>
      <c r="DB181" s="206"/>
      <c r="DC181" s="206"/>
      <c r="DD181" s="206"/>
      <c r="DE181" s="206"/>
      <c r="DF181" s="206"/>
      <c r="DG181" s="206"/>
      <c r="DH181" s="206"/>
      <c r="DI181" s="206"/>
      <c r="DJ181" s="206"/>
      <c r="DK181" s="206"/>
      <c r="DL181" s="206"/>
      <c r="DM181" s="206"/>
      <c r="DN181" s="206"/>
      <c r="DO181" s="206"/>
      <c r="DP181" s="206"/>
      <c r="DQ181" s="206"/>
      <c r="DR181" s="206"/>
      <c r="DS181" s="206"/>
      <c r="DT181" s="206"/>
      <c r="DU181" s="206"/>
      <c r="DV181" s="206"/>
      <c r="DW181" s="206"/>
      <c r="DX181" s="206"/>
      <c r="DY181" s="206"/>
      <c r="DZ181" s="206"/>
      <c r="EA181" s="206"/>
      <c r="EB181" s="206"/>
      <c r="EC181" s="206"/>
      <c r="ED181" s="206"/>
      <c r="EE181" s="206"/>
      <c r="EF181" s="206"/>
      <c r="EG181" s="326">
        <v>3</v>
      </c>
      <c r="EH181" s="206" t="s">
        <v>84</v>
      </c>
      <c r="EI181" s="330">
        <f>SUM(EI167:EI170)</f>
        <v>0</v>
      </c>
      <c r="EJ181" s="330">
        <f t="shared" ref="EJ181:EP181" si="221">SUM(EJ167:EJ171)</f>
        <v>0</v>
      </c>
      <c r="EK181" s="330">
        <f t="shared" si="221"/>
        <v>0</v>
      </c>
      <c r="EL181" s="330">
        <f t="shared" si="221"/>
        <v>0</v>
      </c>
      <c r="EM181" s="330">
        <f t="shared" si="221"/>
        <v>0</v>
      </c>
      <c r="EN181" s="330">
        <f t="shared" si="221"/>
        <v>0</v>
      </c>
      <c r="EO181" s="330">
        <f t="shared" si="221"/>
        <v>0</v>
      </c>
      <c r="EP181" s="330">
        <f t="shared" si="221"/>
        <v>0</v>
      </c>
      <c r="EQ181" s="330">
        <f>SUM(EQ167:EQ170)</f>
        <v>-1355672.9682435216</v>
      </c>
      <c r="ER181" s="330">
        <f>SUM(ER167:ER170)</f>
        <v>-1325943.7352116676</v>
      </c>
      <c r="ES181" s="330">
        <f t="shared" ref="ES181:FB181" si="222">SUM(ES167:ES170)</f>
        <v>-1296214.5021798115</v>
      </c>
      <c r="ET181" s="330">
        <f t="shared" si="222"/>
        <v>-1266485.2691479553</v>
      </c>
      <c r="EU181" s="330">
        <f t="shared" si="222"/>
        <v>-494907.2483734556</v>
      </c>
      <c r="EV181" s="330">
        <f t="shared" si="222"/>
        <v>-435865.86759069143</v>
      </c>
      <c r="EW181" s="330">
        <f t="shared" si="222"/>
        <v>-376824.48680792726</v>
      </c>
      <c r="EX181" s="330">
        <f t="shared" si="222"/>
        <v>-317783.10602516367</v>
      </c>
      <c r="EY181" s="330">
        <f t="shared" si="222"/>
        <v>-31186.506216245471</v>
      </c>
      <c r="EZ181" s="330">
        <f t="shared" si="222"/>
        <v>30889.997031255625</v>
      </c>
      <c r="FA181" s="330">
        <f t="shared" si="222"/>
        <v>92966.500278756954</v>
      </c>
      <c r="FB181" s="330">
        <f t="shared" si="222"/>
        <v>155043.00352625863</v>
      </c>
      <c r="FC181" s="330"/>
      <c r="FD181" s="330"/>
      <c r="FE181" s="330"/>
      <c r="FF181" s="330"/>
      <c r="FG181" s="330"/>
      <c r="FH181" s="330"/>
      <c r="FI181" s="330"/>
      <c r="FJ181" s="330"/>
      <c r="FK181" s="330"/>
      <c r="FL181" s="330"/>
      <c r="FM181" s="330"/>
      <c r="FN181" s="330"/>
      <c r="FO181" s="330"/>
      <c r="FP181" s="330"/>
      <c r="FQ181" s="330"/>
      <c r="FR181" s="330"/>
      <c r="FS181" s="330"/>
      <c r="FT181" s="330"/>
      <c r="FU181" s="330"/>
      <c r="FV181" s="330"/>
      <c r="FW181" s="330"/>
      <c r="FX181" s="206"/>
      <c r="FY181" s="206"/>
      <c r="FZ181" s="206"/>
      <c r="GA181" s="206"/>
      <c r="GB181" s="206"/>
      <c r="GC181" s="206"/>
      <c r="GD181" s="206"/>
      <c r="GE181" s="206"/>
      <c r="GF181" s="206"/>
      <c r="GG181" s="206"/>
      <c r="GH181" s="206"/>
      <c r="GI181" s="206"/>
      <c r="GJ181" s="206"/>
      <c r="GK181" s="206"/>
      <c r="GL181" s="206"/>
      <c r="GM181" s="206"/>
      <c r="GN181" s="206"/>
      <c r="GO181" s="206"/>
      <c r="GP181" s="206"/>
      <c r="GQ181" s="206"/>
      <c r="GR181" s="206"/>
      <c r="GS181" s="206"/>
    </row>
    <row r="182" spans="1:201">
      <c r="A182" s="206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6"/>
      <c r="AE182" s="206"/>
      <c r="AF182" s="206"/>
      <c r="AG182" s="206"/>
      <c r="AH182" s="206"/>
      <c r="AI182" s="206"/>
      <c r="AJ182" s="206"/>
      <c r="AK182" s="206"/>
      <c r="AL182" s="206"/>
      <c r="AM182" s="206"/>
      <c r="AN182" s="206"/>
      <c r="AO182" s="206"/>
      <c r="AP182" s="206"/>
      <c r="AQ182" s="206"/>
      <c r="AR182" s="206"/>
      <c r="AS182" s="206"/>
      <c r="AT182" s="206"/>
      <c r="AU182" s="206"/>
      <c r="AV182" s="206"/>
      <c r="AW182" s="206"/>
      <c r="AX182" s="206"/>
      <c r="AY182" s="206"/>
      <c r="AZ182" s="206"/>
      <c r="BA182" s="206"/>
      <c r="BB182" s="206"/>
      <c r="BC182" s="206"/>
      <c r="BD182" s="206"/>
      <c r="BE182" s="206"/>
      <c r="BF182" s="206"/>
      <c r="BG182" s="206"/>
      <c r="BH182" s="206"/>
      <c r="BI182" s="206"/>
      <c r="BJ182" s="206"/>
      <c r="BK182" s="206"/>
      <c r="BL182" s="206"/>
      <c r="BM182" s="206"/>
      <c r="BN182" s="206"/>
      <c r="BO182" s="206"/>
      <c r="BP182" s="206"/>
      <c r="BQ182" s="206"/>
      <c r="BR182" s="206"/>
      <c r="BS182" s="206"/>
      <c r="BT182" s="206"/>
      <c r="BU182" s="206"/>
      <c r="BV182" s="206"/>
      <c r="BW182" s="206"/>
      <c r="BX182" s="206"/>
      <c r="BY182" s="206"/>
      <c r="BZ182" s="206"/>
      <c r="CA182" s="206"/>
      <c r="CB182" s="206"/>
      <c r="CC182" s="206"/>
      <c r="CD182" s="206"/>
      <c r="CE182" s="206"/>
      <c r="CF182" s="206"/>
      <c r="CG182" s="206"/>
      <c r="CH182" s="206"/>
      <c r="CI182" s="206"/>
      <c r="CJ182" s="206"/>
      <c r="CK182" s="206"/>
      <c r="CL182" s="206"/>
      <c r="CM182" s="206"/>
      <c r="CN182" s="206"/>
      <c r="CO182" s="206"/>
      <c r="CP182" s="206"/>
      <c r="CQ182" s="206"/>
      <c r="CR182" s="206"/>
      <c r="CS182" s="206"/>
      <c r="CT182" s="206"/>
      <c r="CU182" s="206"/>
      <c r="CV182" s="206"/>
      <c r="CW182" s="206"/>
      <c r="CX182" s="206"/>
      <c r="CY182" s="206"/>
      <c r="CZ182" s="206"/>
      <c r="DA182" s="206"/>
      <c r="DB182" s="206"/>
      <c r="DC182" s="206"/>
      <c r="DD182" s="206"/>
      <c r="DE182" s="206"/>
      <c r="DF182" s="206"/>
      <c r="DG182" s="206"/>
      <c r="DH182" s="206"/>
      <c r="DI182" s="206"/>
      <c r="DJ182" s="206"/>
      <c r="DK182" s="206"/>
      <c r="DL182" s="206"/>
      <c r="DM182" s="206"/>
      <c r="DN182" s="206"/>
      <c r="DO182" s="206"/>
      <c r="DP182" s="206"/>
      <c r="DQ182" s="206"/>
      <c r="DR182" s="206"/>
      <c r="DS182" s="206"/>
      <c r="DT182" s="206"/>
      <c r="DU182" s="206"/>
      <c r="DV182" s="206"/>
      <c r="DW182" s="206"/>
      <c r="DX182" s="206"/>
      <c r="DY182" s="206"/>
      <c r="DZ182" s="206"/>
      <c r="EA182" s="206"/>
      <c r="EB182" s="206"/>
      <c r="EC182" s="206"/>
      <c r="ED182" s="206"/>
      <c r="EE182" s="206"/>
      <c r="EF182" s="206"/>
      <c r="EG182" s="326">
        <v>4</v>
      </c>
      <c r="EH182" s="206" t="s">
        <v>84</v>
      </c>
      <c r="EI182" s="330">
        <f>SUM(EI171:EI174)</f>
        <v>0</v>
      </c>
      <c r="EJ182" s="330">
        <f t="shared" ref="EJ182:FB182" si="223">SUM(EJ171:EJ174)</f>
        <v>0</v>
      </c>
      <c r="EK182" s="330">
        <f t="shared" si="223"/>
        <v>0</v>
      </c>
      <c r="EL182" s="330">
        <f t="shared" si="223"/>
        <v>0</v>
      </c>
      <c r="EM182" s="330">
        <f t="shared" si="223"/>
        <v>0</v>
      </c>
      <c r="EN182" s="330">
        <f t="shared" si="223"/>
        <v>0</v>
      </c>
      <c r="EO182" s="330">
        <f t="shared" si="223"/>
        <v>0</v>
      </c>
      <c r="EP182" s="330">
        <f t="shared" si="223"/>
        <v>0</v>
      </c>
      <c r="EQ182" s="330">
        <f t="shared" si="223"/>
        <v>0</v>
      </c>
      <c r="ER182" s="330">
        <f t="shared" si="223"/>
        <v>0</v>
      </c>
      <c r="ES182" s="330">
        <f t="shared" si="223"/>
        <v>0</v>
      </c>
      <c r="ET182" s="330">
        <f t="shared" si="223"/>
        <v>0</v>
      </c>
      <c r="EU182" s="330">
        <f t="shared" si="223"/>
        <v>-836652.15847010363</v>
      </c>
      <c r="EV182" s="330">
        <f t="shared" si="223"/>
        <v>-748840.85847175226</v>
      </c>
      <c r="EW182" s="330">
        <f t="shared" si="223"/>
        <v>-658770.19308631099</v>
      </c>
      <c r="EX182" s="330">
        <f t="shared" si="223"/>
        <v>-568699.52770086878</v>
      </c>
      <c r="EY182" s="330">
        <f t="shared" si="223"/>
        <v>-252361.4790190584</v>
      </c>
      <c r="EZ182" s="330">
        <f t="shared" si="223"/>
        <v>-162847.49634502118</v>
      </c>
      <c r="FA182" s="330">
        <f t="shared" si="223"/>
        <v>-68146.59541459661</v>
      </c>
      <c r="FB182" s="330">
        <f t="shared" si="223"/>
        <v>26554.305515826854</v>
      </c>
      <c r="FC182" s="330"/>
      <c r="FD182" s="330"/>
      <c r="FE182" s="330"/>
      <c r="FF182" s="330"/>
      <c r="FG182" s="330"/>
      <c r="FH182" s="330"/>
      <c r="FI182" s="330"/>
      <c r="FJ182" s="330"/>
      <c r="FK182" s="330"/>
      <c r="FL182" s="330"/>
      <c r="FM182" s="330"/>
      <c r="FN182" s="330"/>
      <c r="FO182" s="330"/>
      <c r="FP182" s="330"/>
      <c r="FQ182" s="330"/>
      <c r="FR182" s="330"/>
      <c r="FS182" s="330"/>
      <c r="FT182" s="330"/>
      <c r="FU182" s="330"/>
      <c r="FV182" s="330"/>
      <c r="FW182" s="330"/>
      <c r="FX182" s="206"/>
      <c r="FY182" s="206"/>
      <c r="FZ182" s="206"/>
      <c r="GA182" s="206"/>
      <c r="GB182" s="206"/>
      <c r="GC182" s="206"/>
      <c r="GD182" s="206"/>
      <c r="GE182" s="206"/>
      <c r="GF182" s="206"/>
      <c r="GG182" s="206"/>
      <c r="GH182" s="206"/>
      <c r="GI182" s="206"/>
      <c r="GJ182" s="206"/>
      <c r="GK182" s="206"/>
      <c r="GL182" s="206"/>
      <c r="GM182" s="206"/>
      <c r="GN182" s="206"/>
      <c r="GO182" s="206"/>
      <c r="GP182" s="206"/>
      <c r="GQ182" s="206"/>
      <c r="GR182" s="206"/>
      <c r="GS182" s="206"/>
    </row>
    <row r="183" spans="1:201">
      <c r="A183" s="206"/>
      <c r="B183" s="206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6"/>
      <c r="AE183" s="206"/>
      <c r="AF183" s="206"/>
      <c r="AG183" s="206"/>
      <c r="AH183" s="206"/>
      <c r="AI183" s="206"/>
      <c r="AJ183" s="206"/>
      <c r="AK183" s="206"/>
      <c r="AL183" s="206"/>
      <c r="AM183" s="206"/>
      <c r="AN183" s="206"/>
      <c r="AO183" s="206"/>
      <c r="AP183" s="206"/>
      <c r="AQ183" s="206"/>
      <c r="AR183" s="206"/>
      <c r="AS183" s="206"/>
      <c r="AT183" s="206"/>
      <c r="AU183" s="206"/>
      <c r="AV183" s="206"/>
      <c r="AW183" s="206"/>
      <c r="AX183" s="206"/>
      <c r="AY183" s="206"/>
      <c r="AZ183" s="206"/>
      <c r="BA183" s="206"/>
      <c r="BB183" s="206"/>
      <c r="BC183" s="206"/>
      <c r="BD183" s="206"/>
      <c r="BE183" s="206"/>
      <c r="BF183" s="206"/>
      <c r="BG183" s="206"/>
      <c r="BH183" s="206"/>
      <c r="BI183" s="206"/>
      <c r="BJ183" s="206"/>
      <c r="BK183" s="206"/>
      <c r="BL183" s="206"/>
      <c r="BM183" s="206"/>
      <c r="BN183" s="206"/>
      <c r="BO183" s="206"/>
      <c r="BP183" s="206"/>
      <c r="BQ183" s="206"/>
      <c r="BR183" s="206"/>
      <c r="BS183" s="206"/>
      <c r="BT183" s="206"/>
      <c r="BU183" s="206"/>
      <c r="BV183" s="206"/>
      <c r="BW183" s="206"/>
      <c r="BX183" s="206"/>
      <c r="BY183" s="206"/>
      <c r="BZ183" s="206"/>
      <c r="CA183" s="206"/>
      <c r="CB183" s="206"/>
      <c r="CC183" s="206"/>
      <c r="CD183" s="206"/>
      <c r="CE183" s="206"/>
      <c r="CF183" s="206"/>
      <c r="CG183" s="206"/>
      <c r="CH183" s="206"/>
      <c r="CI183" s="206"/>
      <c r="CJ183" s="206"/>
      <c r="CK183" s="206"/>
      <c r="CL183" s="206"/>
      <c r="CM183" s="206"/>
      <c r="CN183" s="206"/>
      <c r="CO183" s="206"/>
      <c r="CP183" s="206"/>
      <c r="CQ183" s="206"/>
      <c r="CR183" s="206"/>
      <c r="CS183" s="206"/>
      <c r="CT183" s="206"/>
      <c r="CU183" s="206"/>
      <c r="CV183" s="206"/>
      <c r="CW183" s="206"/>
      <c r="CX183" s="206"/>
      <c r="CY183" s="206"/>
      <c r="CZ183" s="206"/>
      <c r="DA183" s="206"/>
      <c r="DB183" s="206"/>
      <c r="DC183" s="206"/>
      <c r="DD183" s="206"/>
      <c r="DE183" s="206"/>
      <c r="DF183" s="206"/>
      <c r="DG183" s="206"/>
      <c r="DH183" s="206"/>
      <c r="DI183" s="206"/>
      <c r="DJ183" s="206"/>
      <c r="DK183" s="206"/>
      <c r="DL183" s="206"/>
      <c r="DM183" s="206"/>
      <c r="DN183" s="206"/>
      <c r="DO183" s="206"/>
      <c r="DP183" s="206"/>
      <c r="DQ183" s="206"/>
      <c r="DR183" s="206"/>
      <c r="DS183" s="206"/>
      <c r="DT183" s="206"/>
      <c r="DU183" s="206"/>
      <c r="DV183" s="206"/>
      <c r="DW183" s="206"/>
      <c r="DX183" s="206"/>
      <c r="DY183" s="206"/>
      <c r="DZ183" s="206"/>
      <c r="EA183" s="206"/>
      <c r="EB183" s="206"/>
      <c r="EC183" s="206"/>
      <c r="ED183" s="206"/>
      <c r="EE183" s="206"/>
      <c r="EF183" s="206"/>
      <c r="EG183" s="629" t="s">
        <v>91</v>
      </c>
      <c r="EH183" s="629"/>
      <c r="EI183" s="629"/>
      <c r="EJ183" s="629"/>
      <c r="EK183" s="629"/>
      <c r="EL183" s="629"/>
      <c r="EM183" s="629"/>
      <c r="EN183" s="629"/>
      <c r="EO183" s="629"/>
      <c r="EP183" s="629"/>
      <c r="EQ183" s="629"/>
      <c r="ER183" s="629"/>
      <c r="ES183" s="629"/>
      <c r="ET183" s="629"/>
      <c r="EU183" s="629"/>
      <c r="EV183" s="629"/>
      <c r="EW183" s="629"/>
      <c r="EX183" s="629"/>
      <c r="EY183" s="629"/>
      <c r="EZ183" s="629"/>
      <c r="FA183" s="629"/>
      <c r="FB183" s="629"/>
      <c r="FC183" s="322"/>
      <c r="FD183" s="322"/>
      <c r="FE183" s="322"/>
      <c r="FF183" s="322"/>
      <c r="FG183" s="322"/>
      <c r="FH183" s="322"/>
      <c r="FI183" s="322"/>
      <c r="FJ183" s="322"/>
      <c r="FK183" s="322"/>
      <c r="FL183" s="322"/>
      <c r="FM183" s="322"/>
      <c r="FN183" s="322"/>
      <c r="FO183" s="322"/>
      <c r="FP183" s="322"/>
      <c r="FQ183" s="322"/>
      <c r="FR183" s="322"/>
      <c r="FS183" s="322"/>
      <c r="FT183" s="322"/>
      <c r="FU183" s="322"/>
      <c r="FV183" s="322"/>
      <c r="FW183" s="322"/>
      <c r="FX183" s="206"/>
      <c r="FY183" s="206" t="s">
        <v>109</v>
      </c>
      <c r="FZ183" s="206"/>
      <c r="GA183" s="206"/>
      <c r="GB183" s="206"/>
      <c r="GC183" s="206"/>
      <c r="GD183" s="206"/>
      <c r="GE183" s="206"/>
      <c r="GF183" s="206"/>
      <c r="GG183" s="206"/>
      <c r="GH183" s="206"/>
      <c r="GI183" s="206"/>
      <c r="GJ183" s="206"/>
      <c r="GK183" s="206"/>
      <c r="GL183" s="206"/>
      <c r="GM183" s="206"/>
      <c r="GN183" s="206"/>
      <c r="GO183" s="206"/>
      <c r="GP183" s="206"/>
      <c r="GQ183" s="206"/>
      <c r="GR183" s="206"/>
      <c r="GS183" s="206"/>
    </row>
    <row r="184" spans="1:201">
      <c r="A184" s="206"/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  <c r="AJ184" s="206"/>
      <c r="AK184" s="206"/>
      <c r="AL184" s="206"/>
      <c r="AM184" s="206"/>
      <c r="AN184" s="206"/>
      <c r="AO184" s="206"/>
      <c r="AP184" s="206"/>
      <c r="AQ184" s="206"/>
      <c r="AR184" s="206"/>
      <c r="AS184" s="206"/>
      <c r="AT184" s="206"/>
      <c r="AU184" s="206"/>
      <c r="AV184" s="206"/>
      <c r="AW184" s="206"/>
      <c r="AX184" s="206"/>
      <c r="AY184" s="206"/>
      <c r="AZ184" s="206"/>
      <c r="BA184" s="206"/>
      <c r="BB184" s="206"/>
      <c r="BC184" s="206"/>
      <c r="BD184" s="206"/>
      <c r="BE184" s="206"/>
      <c r="BF184" s="206"/>
      <c r="BG184" s="206"/>
      <c r="BH184" s="206"/>
      <c r="BI184" s="206"/>
      <c r="BJ184" s="206"/>
      <c r="BK184" s="206"/>
      <c r="BL184" s="206"/>
      <c r="BM184" s="206"/>
      <c r="BN184" s="206"/>
      <c r="BO184" s="206"/>
      <c r="BP184" s="206"/>
      <c r="BQ184" s="206"/>
      <c r="BR184" s="206"/>
      <c r="BS184" s="206"/>
      <c r="BT184" s="206"/>
      <c r="BU184" s="206"/>
      <c r="BV184" s="206"/>
      <c r="BW184" s="206"/>
      <c r="BX184" s="206"/>
      <c r="BY184" s="206"/>
      <c r="BZ184" s="206"/>
      <c r="CA184" s="206"/>
      <c r="CB184" s="206"/>
      <c r="CC184" s="206"/>
      <c r="CD184" s="206"/>
      <c r="CE184" s="206"/>
      <c r="CF184" s="206"/>
      <c r="CG184" s="206"/>
      <c r="CH184" s="206"/>
      <c r="CI184" s="206"/>
      <c r="CJ184" s="206"/>
      <c r="CK184" s="206"/>
      <c r="CL184" s="206"/>
      <c r="CM184" s="206"/>
      <c r="CN184" s="206"/>
      <c r="CO184" s="206"/>
      <c r="CP184" s="206"/>
      <c r="CQ184" s="206"/>
      <c r="CR184" s="206"/>
      <c r="CS184" s="206"/>
      <c r="CT184" s="206"/>
      <c r="CU184" s="206"/>
      <c r="CV184" s="206"/>
      <c r="CW184" s="206"/>
      <c r="CX184" s="206"/>
      <c r="CY184" s="206"/>
      <c r="CZ184" s="206"/>
      <c r="DA184" s="206"/>
      <c r="DB184" s="206"/>
      <c r="DC184" s="206"/>
      <c r="DD184" s="206"/>
      <c r="DE184" s="206"/>
      <c r="DF184" s="206"/>
      <c r="DG184" s="206"/>
      <c r="DH184" s="206"/>
      <c r="DI184" s="206"/>
      <c r="DJ184" s="206"/>
      <c r="DK184" s="206"/>
      <c r="DL184" s="206"/>
      <c r="DM184" s="206"/>
      <c r="DN184" s="206"/>
      <c r="DO184" s="206"/>
      <c r="DP184" s="206"/>
      <c r="DQ184" s="206"/>
      <c r="DR184" s="206"/>
      <c r="DS184" s="206"/>
      <c r="DT184" s="206"/>
      <c r="DU184" s="206"/>
      <c r="DV184" s="206"/>
      <c r="DW184" s="206"/>
      <c r="DX184" s="206"/>
      <c r="DY184" s="206"/>
      <c r="DZ184" s="206"/>
      <c r="EA184" s="206"/>
      <c r="EB184" s="206"/>
      <c r="EC184" s="206"/>
      <c r="ED184" s="206"/>
      <c r="EE184" s="206"/>
      <c r="EF184" s="206"/>
      <c r="EG184" s="326">
        <v>1</v>
      </c>
      <c r="EH184" s="206" t="s">
        <v>84</v>
      </c>
      <c r="EI184" s="330" cm="1">
        <f t="array" ref="EI184:FB187">EI179:FB182</f>
        <v>-1032893.8376298167</v>
      </c>
      <c r="EJ184" s="330">
        <v>-989595.45497720561</v>
      </c>
      <c r="EK184" s="330">
        <v>-907957.07232459483</v>
      </c>
      <c r="EL184" s="330">
        <v>-826318.68967198394</v>
      </c>
      <c r="EM184" s="330">
        <v>-569529.26323900255</v>
      </c>
      <c r="EN184" s="330">
        <v>-463292.74531426327</v>
      </c>
      <c r="EO184" s="330">
        <v>-397858.97847713443</v>
      </c>
      <c r="EP184" s="330">
        <v>-312023.83609619812</v>
      </c>
      <c r="EQ184" s="330">
        <v>-66318.699569625373</v>
      </c>
      <c r="ER184" s="330">
        <v>-17260.861160618195</v>
      </c>
      <c r="ES184" s="330">
        <v>31796.977248390496</v>
      </c>
      <c r="ET184" s="330">
        <v>80854.815657400002</v>
      </c>
      <c r="EU184" s="330">
        <v>252220.15470367635</v>
      </c>
      <c r="EV184" s="330">
        <v>303799.8946240067</v>
      </c>
      <c r="EW184" s="330">
        <v>355379.63454433827</v>
      </c>
      <c r="EX184" s="330">
        <v>406959.37446466798</v>
      </c>
      <c r="EY184" s="330">
        <v>597673.95144960319</v>
      </c>
      <c r="EZ184" s="330">
        <v>651905.23551205953</v>
      </c>
      <c r="FA184" s="330">
        <v>706136.51957451715</v>
      </c>
      <c r="FB184" s="330">
        <v>751454.14756575215</v>
      </c>
      <c r="FC184" s="330"/>
      <c r="FD184" s="330"/>
      <c r="FE184" s="330"/>
      <c r="FF184" s="330"/>
      <c r="FG184" s="330"/>
      <c r="FH184" s="330"/>
      <c r="FI184" s="330"/>
      <c r="FJ184" s="330"/>
      <c r="FK184" s="330"/>
      <c r="FL184" s="330"/>
      <c r="FM184" s="330"/>
      <c r="FN184" s="330"/>
      <c r="FO184" s="330"/>
      <c r="FP184" s="330"/>
      <c r="FQ184" s="330"/>
      <c r="FR184" s="330"/>
      <c r="FS184" s="330"/>
      <c r="FT184" s="330"/>
      <c r="FU184" s="330"/>
      <c r="FV184" s="330"/>
      <c r="FW184" s="330"/>
      <c r="FX184" s="206"/>
      <c r="FY184" s="330">
        <f>SUM(EI179:FB179)</f>
        <v>-1444868.7331160326</v>
      </c>
      <c r="FZ184" s="206"/>
      <c r="GA184" s="206"/>
      <c r="GB184" s="206"/>
      <c r="GC184" s="206"/>
      <c r="GD184" s="206"/>
      <c r="GE184" s="206"/>
      <c r="GF184" s="206"/>
      <c r="GG184" s="206"/>
      <c r="GH184" s="206"/>
      <c r="GI184" s="206"/>
      <c r="GJ184" s="206"/>
      <c r="GK184" s="206"/>
      <c r="GL184" s="206"/>
      <c r="GM184" s="206"/>
      <c r="GN184" s="206"/>
      <c r="GO184" s="206"/>
      <c r="GP184" s="206"/>
      <c r="GQ184" s="206"/>
      <c r="GR184" s="206"/>
      <c r="GS184" s="206"/>
    </row>
    <row r="185" spans="1:201">
      <c r="A185" s="206"/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H185" s="206"/>
      <c r="AI185" s="206"/>
      <c r="AJ185" s="206"/>
      <c r="AK185" s="206"/>
      <c r="AL185" s="206"/>
      <c r="AM185" s="206"/>
      <c r="AN185" s="206"/>
      <c r="AO185" s="206"/>
      <c r="AP185" s="206"/>
      <c r="AQ185" s="206"/>
      <c r="AR185" s="206"/>
      <c r="AS185" s="206"/>
      <c r="AT185" s="206"/>
      <c r="AU185" s="206"/>
      <c r="AV185" s="206"/>
      <c r="AW185" s="206"/>
      <c r="AX185" s="206"/>
      <c r="AY185" s="206"/>
      <c r="AZ185" s="206"/>
      <c r="BA185" s="206"/>
      <c r="BB185" s="206"/>
      <c r="BC185" s="206"/>
      <c r="BD185" s="206"/>
      <c r="BE185" s="206"/>
      <c r="BF185" s="206"/>
      <c r="BG185" s="206"/>
      <c r="BH185" s="206"/>
      <c r="BI185" s="206"/>
      <c r="BJ185" s="206"/>
      <c r="BK185" s="206"/>
      <c r="BL185" s="206"/>
      <c r="BM185" s="206"/>
      <c r="BN185" s="206"/>
      <c r="BO185" s="206"/>
      <c r="BP185" s="206"/>
      <c r="BQ185" s="206"/>
      <c r="BR185" s="206"/>
      <c r="BS185" s="206"/>
      <c r="BT185" s="206"/>
      <c r="BU185" s="206"/>
      <c r="BV185" s="206"/>
      <c r="BW185" s="206"/>
      <c r="BX185" s="206"/>
      <c r="BY185" s="206"/>
      <c r="BZ185" s="206"/>
      <c r="CA185" s="206"/>
      <c r="CB185" s="206"/>
      <c r="CC185" s="206"/>
      <c r="CD185" s="206"/>
      <c r="CE185" s="206"/>
      <c r="CF185" s="206"/>
      <c r="CG185" s="206"/>
      <c r="CH185" s="206"/>
      <c r="CI185" s="206"/>
      <c r="CJ185" s="206"/>
      <c r="CK185" s="206"/>
      <c r="CL185" s="206"/>
      <c r="CM185" s="206"/>
      <c r="CN185" s="206"/>
      <c r="CO185" s="206"/>
      <c r="CP185" s="206"/>
      <c r="CQ185" s="206"/>
      <c r="CR185" s="206"/>
      <c r="CS185" s="206"/>
      <c r="CT185" s="206"/>
      <c r="CU185" s="206"/>
      <c r="CV185" s="206"/>
      <c r="CW185" s="206"/>
      <c r="CX185" s="206"/>
      <c r="CY185" s="206"/>
      <c r="CZ185" s="206"/>
      <c r="DA185" s="206"/>
      <c r="DB185" s="206"/>
      <c r="DC185" s="206"/>
      <c r="DD185" s="206"/>
      <c r="DE185" s="206"/>
      <c r="DF185" s="206"/>
      <c r="DG185" s="206"/>
      <c r="DH185" s="206"/>
      <c r="DI185" s="206"/>
      <c r="DJ185" s="206"/>
      <c r="DK185" s="206"/>
      <c r="DL185" s="206"/>
      <c r="DM185" s="206"/>
      <c r="DN185" s="206"/>
      <c r="DO185" s="206"/>
      <c r="DP185" s="206"/>
      <c r="DQ185" s="206"/>
      <c r="DR185" s="206"/>
      <c r="DS185" s="206"/>
      <c r="DT185" s="206"/>
      <c r="DU185" s="206"/>
      <c r="DV185" s="206"/>
      <c r="DW185" s="206"/>
      <c r="DX185" s="206"/>
      <c r="DY185" s="206"/>
      <c r="DZ185" s="206"/>
      <c r="EA185" s="206"/>
      <c r="EB185" s="206"/>
      <c r="EC185" s="206"/>
      <c r="ED185" s="206"/>
      <c r="EE185" s="206"/>
      <c r="EF185" s="206"/>
      <c r="EG185" s="326">
        <v>2</v>
      </c>
      <c r="EH185" s="206" t="s">
        <v>84</v>
      </c>
      <c r="EI185" s="330">
        <v>0</v>
      </c>
      <c r="EJ185" s="330">
        <v>0</v>
      </c>
      <c r="EK185" s="330">
        <v>0</v>
      </c>
      <c r="EL185" s="330">
        <v>0</v>
      </c>
      <c r="EM185" s="330">
        <v>-583779.99412017642</v>
      </c>
      <c r="EN185" s="330">
        <v>-540589.38451864512</v>
      </c>
      <c r="EO185" s="330">
        <v>-497398.77491711406</v>
      </c>
      <c r="EP185" s="330">
        <v>-454208.165315583</v>
      </c>
      <c r="EQ185" s="330">
        <v>-413743.15105956281</v>
      </c>
      <c r="ER185" s="330">
        <v>-351636.86167760415</v>
      </c>
      <c r="ES185" s="330">
        <v>-289530.57229564548</v>
      </c>
      <c r="ET185" s="330">
        <v>-227424.28291368706</v>
      </c>
      <c r="EU185" s="330">
        <v>71591.453381391009</v>
      </c>
      <c r="EV185" s="330">
        <v>136890.42206057371</v>
      </c>
      <c r="EW185" s="330">
        <v>202189.3907397564</v>
      </c>
      <c r="EX185" s="330">
        <v>267488.35941893863</v>
      </c>
      <c r="EY185" s="330">
        <v>590807.17511539347</v>
      </c>
      <c r="EZ185" s="330">
        <v>643707.22695196653</v>
      </c>
      <c r="FA185" s="330">
        <v>696607.27878853935</v>
      </c>
      <c r="FB185" s="330">
        <v>749507.33062511287</v>
      </c>
      <c r="FC185" s="330"/>
      <c r="FD185" s="330"/>
      <c r="FE185" s="330"/>
      <c r="FF185" s="330"/>
      <c r="FG185" s="330"/>
      <c r="FH185" s="330"/>
      <c r="FI185" s="330"/>
      <c r="FJ185" s="330"/>
      <c r="FK185" s="330"/>
      <c r="FL185" s="330"/>
      <c r="FM185" s="330"/>
      <c r="FN185" s="330"/>
      <c r="FO185" s="330"/>
      <c r="FP185" s="330"/>
      <c r="FQ185" s="330"/>
      <c r="FR185" s="330"/>
      <c r="FS185" s="330"/>
      <c r="FT185" s="330"/>
      <c r="FU185" s="330"/>
      <c r="FV185" s="330"/>
      <c r="FW185" s="330"/>
      <c r="FX185" s="206"/>
      <c r="FY185" s="330">
        <f t="shared" ref="FY185:FY187" si="224">SUM(EI180:FB180)</f>
        <v>477.45026365388185</v>
      </c>
      <c r="FZ185" s="206"/>
      <c r="GA185" s="206"/>
      <c r="GB185" s="206"/>
      <c r="GC185" s="206"/>
      <c r="GD185" s="206"/>
      <c r="GE185" s="206"/>
      <c r="GF185" s="206"/>
      <c r="GG185" s="206"/>
      <c r="GH185" s="206"/>
      <c r="GI185" s="206"/>
      <c r="GJ185" s="206"/>
      <c r="GK185" s="206"/>
      <c r="GL185" s="206"/>
      <c r="GM185" s="206"/>
      <c r="GN185" s="206"/>
      <c r="GO185" s="206"/>
      <c r="GP185" s="206"/>
      <c r="GQ185" s="206"/>
      <c r="GR185" s="206"/>
      <c r="GS185" s="206"/>
    </row>
    <row r="186" spans="1:201">
      <c r="A186" s="206"/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  <c r="AJ186" s="206"/>
      <c r="AK186" s="206"/>
      <c r="AL186" s="206"/>
      <c r="AM186" s="206"/>
      <c r="AN186" s="206"/>
      <c r="AO186" s="206"/>
      <c r="AP186" s="206"/>
      <c r="AQ186" s="206"/>
      <c r="AR186" s="206"/>
      <c r="AS186" s="206"/>
      <c r="AT186" s="206"/>
      <c r="AU186" s="206"/>
      <c r="AV186" s="206"/>
      <c r="AW186" s="206"/>
      <c r="AX186" s="206"/>
      <c r="AY186" s="206"/>
      <c r="AZ186" s="206"/>
      <c r="BA186" s="206"/>
      <c r="BB186" s="206"/>
      <c r="BC186" s="206"/>
      <c r="BD186" s="206"/>
      <c r="BE186" s="206"/>
      <c r="BF186" s="206"/>
      <c r="BG186" s="206"/>
      <c r="BH186" s="206"/>
      <c r="BI186" s="206"/>
      <c r="BJ186" s="206"/>
      <c r="BK186" s="206"/>
      <c r="BL186" s="206"/>
      <c r="BM186" s="206"/>
      <c r="BN186" s="206"/>
      <c r="BO186" s="206"/>
      <c r="BP186" s="206"/>
      <c r="BQ186" s="206"/>
      <c r="BR186" s="206"/>
      <c r="BS186" s="206"/>
      <c r="BT186" s="206"/>
      <c r="BU186" s="206"/>
      <c r="BV186" s="206"/>
      <c r="BW186" s="206"/>
      <c r="BX186" s="206"/>
      <c r="BY186" s="206"/>
      <c r="BZ186" s="206"/>
      <c r="CA186" s="206"/>
      <c r="CB186" s="206"/>
      <c r="CC186" s="206"/>
      <c r="CD186" s="206"/>
      <c r="CE186" s="206"/>
      <c r="CF186" s="206"/>
      <c r="CG186" s="206"/>
      <c r="CH186" s="206"/>
      <c r="CI186" s="206"/>
      <c r="CJ186" s="206"/>
      <c r="CK186" s="206"/>
      <c r="CL186" s="206"/>
      <c r="CM186" s="206"/>
      <c r="CN186" s="206"/>
      <c r="CO186" s="206"/>
      <c r="CP186" s="206"/>
      <c r="CQ186" s="206"/>
      <c r="CR186" s="206"/>
      <c r="CS186" s="206"/>
      <c r="CT186" s="206"/>
      <c r="CU186" s="206"/>
      <c r="CV186" s="206"/>
      <c r="CW186" s="206"/>
      <c r="CX186" s="206"/>
      <c r="CY186" s="206"/>
      <c r="CZ186" s="206"/>
      <c r="DA186" s="206"/>
      <c r="DB186" s="206"/>
      <c r="DC186" s="206"/>
      <c r="DD186" s="206"/>
      <c r="DE186" s="206"/>
      <c r="DF186" s="206"/>
      <c r="DG186" s="206"/>
      <c r="DH186" s="206"/>
      <c r="DI186" s="206"/>
      <c r="DJ186" s="206"/>
      <c r="DK186" s="206"/>
      <c r="DL186" s="206"/>
      <c r="DM186" s="206"/>
      <c r="DN186" s="206"/>
      <c r="DO186" s="206"/>
      <c r="DP186" s="206"/>
      <c r="DQ186" s="206"/>
      <c r="DR186" s="206"/>
      <c r="DS186" s="206"/>
      <c r="DT186" s="206"/>
      <c r="DU186" s="206"/>
      <c r="DV186" s="206"/>
      <c r="DW186" s="206"/>
      <c r="DX186" s="206"/>
      <c r="DY186" s="206"/>
      <c r="DZ186" s="206"/>
      <c r="EA186" s="206"/>
      <c r="EB186" s="206"/>
      <c r="EC186" s="206"/>
      <c r="ED186" s="206"/>
      <c r="EE186" s="206"/>
      <c r="EF186" s="206"/>
      <c r="EG186" s="326">
        <v>3</v>
      </c>
      <c r="EH186" s="206" t="s">
        <v>84</v>
      </c>
      <c r="EI186" s="330">
        <v>0</v>
      </c>
      <c r="EJ186" s="330">
        <v>0</v>
      </c>
      <c r="EK186" s="330">
        <v>0</v>
      </c>
      <c r="EL186" s="330">
        <v>0</v>
      </c>
      <c r="EM186" s="330">
        <v>0</v>
      </c>
      <c r="EN186" s="330">
        <v>0</v>
      </c>
      <c r="EO186" s="330">
        <v>0</v>
      </c>
      <c r="EP186" s="330">
        <v>0</v>
      </c>
      <c r="EQ186" s="330">
        <v>-1355672.9682435216</v>
      </c>
      <c r="ER186" s="330">
        <v>-1325943.7352116676</v>
      </c>
      <c r="ES186" s="330">
        <v>-1296214.5021798115</v>
      </c>
      <c r="ET186" s="330">
        <v>-1266485.2691479553</v>
      </c>
      <c r="EU186" s="330">
        <v>-494907.2483734556</v>
      </c>
      <c r="EV186" s="330">
        <v>-435865.86759069143</v>
      </c>
      <c r="EW186" s="330">
        <v>-376824.48680792726</v>
      </c>
      <c r="EX186" s="330">
        <v>-317783.10602516367</v>
      </c>
      <c r="EY186" s="330">
        <v>-31186.506216245471</v>
      </c>
      <c r="EZ186" s="330">
        <v>30889.997031255625</v>
      </c>
      <c r="FA186" s="330">
        <v>92966.500278756954</v>
      </c>
      <c r="FB186" s="330">
        <v>155043.00352625863</v>
      </c>
      <c r="FC186" s="330"/>
      <c r="FD186" s="330"/>
      <c r="FE186" s="330"/>
      <c r="FF186" s="330"/>
      <c r="FG186" s="330"/>
      <c r="FH186" s="330"/>
      <c r="FI186" s="330"/>
      <c r="FJ186" s="330"/>
      <c r="FK186" s="330"/>
      <c r="FL186" s="330"/>
      <c r="FM186" s="330"/>
      <c r="FN186" s="330"/>
      <c r="FO186" s="330"/>
      <c r="FP186" s="330"/>
      <c r="FQ186" s="330"/>
      <c r="FR186" s="330"/>
      <c r="FS186" s="330"/>
      <c r="FT186" s="330"/>
      <c r="FU186" s="330"/>
      <c r="FV186" s="330"/>
      <c r="FW186" s="330"/>
      <c r="FX186" s="206"/>
      <c r="FY186" s="330">
        <f t="shared" si="224"/>
        <v>-6621984.1889601694</v>
      </c>
      <c r="FZ186" s="206"/>
      <c r="GA186" s="206"/>
      <c r="GB186" s="206"/>
      <c r="GC186" s="206"/>
      <c r="GD186" s="206"/>
      <c r="GE186" s="206"/>
      <c r="GF186" s="206"/>
      <c r="GG186" s="206"/>
      <c r="GH186" s="206"/>
      <c r="GI186" s="206"/>
      <c r="GJ186" s="206"/>
      <c r="GK186" s="206"/>
      <c r="GL186" s="206"/>
      <c r="GM186" s="206"/>
      <c r="GN186" s="206"/>
      <c r="GO186" s="206"/>
      <c r="GP186" s="206"/>
      <c r="GQ186" s="206"/>
      <c r="GR186" s="206"/>
      <c r="GS186" s="206"/>
    </row>
    <row r="187" spans="1:201">
      <c r="A187" s="206"/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H187" s="206"/>
      <c r="AI187" s="206"/>
      <c r="AJ187" s="206"/>
      <c r="AK187" s="206"/>
      <c r="AL187" s="206"/>
      <c r="AM187" s="206"/>
      <c r="AN187" s="206"/>
      <c r="AO187" s="206"/>
      <c r="AP187" s="206"/>
      <c r="AQ187" s="206"/>
      <c r="AR187" s="206"/>
      <c r="AS187" s="206"/>
      <c r="AT187" s="206"/>
      <c r="AU187" s="206"/>
      <c r="AV187" s="206"/>
      <c r="AW187" s="206"/>
      <c r="AX187" s="206"/>
      <c r="AY187" s="206"/>
      <c r="AZ187" s="206"/>
      <c r="BA187" s="206"/>
      <c r="BB187" s="206"/>
      <c r="BC187" s="206"/>
      <c r="BD187" s="206"/>
      <c r="BE187" s="206"/>
      <c r="BF187" s="206"/>
      <c r="BG187" s="206"/>
      <c r="BH187" s="206"/>
      <c r="BI187" s="206"/>
      <c r="BJ187" s="206"/>
      <c r="BK187" s="206"/>
      <c r="BL187" s="206"/>
      <c r="BM187" s="206"/>
      <c r="BN187" s="206"/>
      <c r="BO187" s="206"/>
      <c r="BP187" s="206"/>
      <c r="BQ187" s="206"/>
      <c r="BR187" s="206"/>
      <c r="BS187" s="206"/>
      <c r="BT187" s="206"/>
      <c r="BU187" s="206"/>
      <c r="BV187" s="206"/>
      <c r="BW187" s="206"/>
      <c r="BX187" s="206"/>
      <c r="BY187" s="206"/>
      <c r="BZ187" s="206"/>
      <c r="CA187" s="206"/>
      <c r="CB187" s="206"/>
      <c r="CC187" s="206"/>
      <c r="CD187" s="206"/>
      <c r="CE187" s="206"/>
      <c r="CF187" s="206"/>
      <c r="CG187" s="206"/>
      <c r="CH187" s="206"/>
      <c r="CI187" s="206"/>
      <c r="CJ187" s="206"/>
      <c r="CK187" s="206"/>
      <c r="CL187" s="206"/>
      <c r="CM187" s="206"/>
      <c r="CN187" s="206"/>
      <c r="CO187" s="206"/>
      <c r="CP187" s="206"/>
      <c r="CQ187" s="206"/>
      <c r="CR187" s="206"/>
      <c r="CS187" s="206"/>
      <c r="CT187" s="206"/>
      <c r="CU187" s="206"/>
      <c r="CV187" s="206"/>
      <c r="CW187" s="206"/>
      <c r="CX187" s="206"/>
      <c r="CY187" s="206"/>
      <c r="CZ187" s="206"/>
      <c r="DA187" s="206"/>
      <c r="DB187" s="206"/>
      <c r="DC187" s="206"/>
      <c r="DD187" s="206"/>
      <c r="DE187" s="206"/>
      <c r="DF187" s="206"/>
      <c r="DG187" s="206"/>
      <c r="DH187" s="206"/>
      <c r="DI187" s="206"/>
      <c r="DJ187" s="206"/>
      <c r="DK187" s="206"/>
      <c r="DL187" s="206"/>
      <c r="DM187" s="206"/>
      <c r="DN187" s="206"/>
      <c r="DO187" s="206"/>
      <c r="DP187" s="206"/>
      <c r="DQ187" s="206"/>
      <c r="DR187" s="206"/>
      <c r="DS187" s="206"/>
      <c r="DT187" s="206"/>
      <c r="DU187" s="206"/>
      <c r="DV187" s="206"/>
      <c r="DW187" s="206"/>
      <c r="DX187" s="206"/>
      <c r="DY187" s="206"/>
      <c r="DZ187" s="206"/>
      <c r="EA187" s="206"/>
      <c r="EB187" s="206"/>
      <c r="EC187" s="206"/>
      <c r="ED187" s="206"/>
      <c r="EE187" s="206"/>
      <c r="EF187" s="206"/>
      <c r="EG187" s="326">
        <v>4</v>
      </c>
      <c r="EH187" s="206" t="s">
        <v>84</v>
      </c>
      <c r="EI187" s="330">
        <v>0</v>
      </c>
      <c r="EJ187" s="330">
        <v>0</v>
      </c>
      <c r="EK187" s="330">
        <v>0</v>
      </c>
      <c r="EL187" s="330">
        <v>0</v>
      </c>
      <c r="EM187" s="330">
        <v>0</v>
      </c>
      <c r="EN187" s="330">
        <v>0</v>
      </c>
      <c r="EO187" s="330">
        <v>0</v>
      </c>
      <c r="EP187" s="330">
        <v>0</v>
      </c>
      <c r="EQ187" s="330">
        <v>0</v>
      </c>
      <c r="ER187" s="330">
        <v>0</v>
      </c>
      <c r="ES187" s="330">
        <v>0</v>
      </c>
      <c r="ET187" s="330">
        <v>0</v>
      </c>
      <c r="EU187" s="330">
        <v>-836652.15847010363</v>
      </c>
      <c r="EV187" s="330">
        <v>-748840.85847175226</v>
      </c>
      <c r="EW187" s="330">
        <v>-658770.19308631099</v>
      </c>
      <c r="EX187" s="330">
        <v>-568699.52770086878</v>
      </c>
      <c r="EY187" s="330">
        <v>-252361.4790190584</v>
      </c>
      <c r="EZ187" s="330">
        <v>-162847.49634502118</v>
      </c>
      <c r="FA187" s="330">
        <v>-68146.59541459661</v>
      </c>
      <c r="FB187" s="330">
        <v>26554.305515826854</v>
      </c>
      <c r="FC187" s="330"/>
      <c r="FD187" s="330"/>
      <c r="FE187" s="330"/>
      <c r="FF187" s="330"/>
      <c r="FG187" s="330"/>
      <c r="FH187" s="330"/>
      <c r="FI187" s="330"/>
      <c r="FJ187" s="330"/>
      <c r="FK187" s="330"/>
      <c r="FL187" s="330"/>
      <c r="FM187" s="330"/>
      <c r="FN187" s="330"/>
      <c r="FO187" s="330"/>
      <c r="FP187" s="330"/>
      <c r="FQ187" s="330"/>
      <c r="FR187" s="330"/>
      <c r="FS187" s="330"/>
      <c r="FT187" s="330"/>
      <c r="FU187" s="330"/>
      <c r="FV187" s="330"/>
      <c r="FW187" s="330"/>
      <c r="FX187" s="206"/>
      <c r="FY187" s="330">
        <f t="shared" si="224"/>
        <v>-3269764.0029918854</v>
      </c>
      <c r="FZ187" s="206"/>
      <c r="GA187" s="206"/>
      <c r="GB187" s="206"/>
      <c r="GC187" s="206"/>
      <c r="GD187" s="206"/>
      <c r="GE187" s="206"/>
      <c r="GF187" s="206"/>
      <c r="GG187" s="206"/>
      <c r="GH187" s="206"/>
      <c r="GI187" s="206"/>
      <c r="GJ187" s="206"/>
      <c r="GK187" s="206"/>
      <c r="GL187" s="206"/>
      <c r="GM187" s="206"/>
      <c r="GN187" s="206"/>
      <c r="GO187" s="206"/>
      <c r="GP187" s="206"/>
      <c r="GQ187" s="206"/>
      <c r="GR187" s="206"/>
      <c r="GS187" s="206"/>
    </row>
    <row r="188" spans="1:201">
      <c r="A188" s="206"/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H188" s="206"/>
      <c r="AI188" s="206"/>
      <c r="AJ188" s="206"/>
      <c r="AK188" s="206"/>
      <c r="AL188" s="206"/>
      <c r="AM188" s="206"/>
      <c r="AN188" s="206"/>
      <c r="AO188" s="206"/>
      <c r="AP188" s="206"/>
      <c r="AQ188" s="206"/>
      <c r="AR188" s="206"/>
      <c r="AS188" s="206"/>
      <c r="AT188" s="206"/>
      <c r="AU188" s="206"/>
      <c r="AV188" s="206"/>
      <c r="AW188" s="206"/>
      <c r="AX188" s="206"/>
      <c r="AY188" s="206"/>
      <c r="AZ188" s="206"/>
      <c r="BA188" s="206"/>
      <c r="BB188" s="206"/>
      <c r="BC188" s="206"/>
      <c r="BD188" s="206"/>
      <c r="BE188" s="206"/>
      <c r="BF188" s="206"/>
      <c r="BG188" s="206"/>
      <c r="BH188" s="206"/>
      <c r="BI188" s="206"/>
      <c r="BJ188" s="206"/>
      <c r="BK188" s="206"/>
      <c r="BL188" s="206"/>
      <c r="BM188" s="206"/>
      <c r="BN188" s="206"/>
      <c r="BO188" s="206"/>
      <c r="BP188" s="206"/>
      <c r="BQ188" s="206"/>
      <c r="BR188" s="206"/>
      <c r="BS188" s="206"/>
      <c r="BT188" s="206"/>
      <c r="BU188" s="206"/>
      <c r="BV188" s="206"/>
      <c r="BW188" s="206"/>
      <c r="BX188" s="206"/>
      <c r="BY188" s="206"/>
      <c r="BZ188" s="206"/>
      <c r="CA188" s="206"/>
      <c r="CB188" s="206"/>
      <c r="CC188" s="206"/>
      <c r="CD188" s="206"/>
      <c r="CE188" s="206"/>
      <c r="CF188" s="206"/>
      <c r="CG188" s="206"/>
      <c r="CH188" s="206"/>
      <c r="CI188" s="206"/>
      <c r="CJ188" s="206"/>
      <c r="CK188" s="206"/>
      <c r="CL188" s="206"/>
      <c r="CM188" s="206"/>
      <c r="CN188" s="206"/>
      <c r="CO188" s="206"/>
      <c r="CP188" s="206"/>
      <c r="CQ188" s="206"/>
      <c r="CR188" s="206"/>
      <c r="CS188" s="206"/>
      <c r="CT188" s="206"/>
      <c r="CU188" s="206"/>
      <c r="CV188" s="206"/>
      <c r="CW188" s="206"/>
      <c r="CX188" s="206"/>
      <c r="CY188" s="206"/>
      <c r="CZ188" s="206"/>
      <c r="DA188" s="206"/>
      <c r="DB188" s="206"/>
      <c r="DC188" s="206"/>
      <c r="DD188" s="206"/>
      <c r="DE188" s="206"/>
      <c r="DF188" s="206"/>
      <c r="DG188" s="206"/>
      <c r="DH188" s="206"/>
      <c r="DI188" s="206"/>
      <c r="DJ188" s="206"/>
      <c r="DK188" s="206"/>
      <c r="DL188" s="206"/>
      <c r="DM188" s="206"/>
      <c r="DN188" s="206"/>
      <c r="DO188" s="206"/>
      <c r="DP188" s="206"/>
      <c r="DQ188" s="206"/>
      <c r="DR188" s="206"/>
      <c r="DS188" s="206"/>
      <c r="DT188" s="206"/>
      <c r="DU188" s="206"/>
      <c r="DV188" s="206"/>
      <c r="DW188" s="206"/>
      <c r="DX188" s="206"/>
      <c r="DY188" s="206"/>
      <c r="DZ188" s="206"/>
      <c r="EA188" s="206"/>
      <c r="EB188" s="206"/>
      <c r="EC188" s="206"/>
      <c r="ED188" s="206"/>
      <c r="EE188" s="206"/>
      <c r="EF188" s="206"/>
      <c r="EG188" s="206"/>
      <c r="EH188" s="206"/>
      <c r="EI188" s="206"/>
      <c r="EJ188" s="206"/>
      <c r="EK188" s="206"/>
      <c r="EL188" s="206"/>
      <c r="EM188" s="206"/>
      <c r="EN188" s="206"/>
      <c r="EO188" s="206"/>
      <c r="EP188" s="206"/>
      <c r="EQ188" s="206"/>
      <c r="ER188" s="206"/>
      <c r="ES188" s="206"/>
      <c r="ET188" s="206"/>
      <c r="EU188" s="206"/>
      <c r="EV188" s="206"/>
      <c r="EW188" s="206"/>
      <c r="EX188" s="206"/>
      <c r="EY188" s="206"/>
      <c r="EZ188" s="206"/>
      <c r="FA188" s="206"/>
      <c r="FB188" s="206"/>
      <c r="FC188" s="206"/>
      <c r="FD188" s="206"/>
      <c r="FE188" s="206"/>
      <c r="FF188" s="206"/>
      <c r="FG188" s="206"/>
      <c r="FH188" s="206"/>
      <c r="FI188" s="206"/>
      <c r="FJ188" s="206"/>
      <c r="FK188" s="206"/>
      <c r="FL188" s="206"/>
      <c r="FM188" s="206"/>
      <c r="FN188" s="206"/>
      <c r="FO188" s="206"/>
      <c r="FP188" s="206"/>
      <c r="FQ188" s="206"/>
      <c r="FR188" s="206"/>
      <c r="FS188" s="206"/>
      <c r="FT188" s="206"/>
      <c r="FU188" s="206"/>
      <c r="FV188" s="206"/>
      <c r="FW188" s="206"/>
      <c r="FX188" s="206"/>
      <c r="FY188" s="206"/>
      <c r="FZ188" s="206"/>
      <c r="GA188" s="206"/>
      <c r="GB188" s="206"/>
      <c r="GC188" s="206"/>
      <c r="GD188" s="206"/>
      <c r="GE188" s="206"/>
      <c r="GF188" s="206"/>
      <c r="GG188" s="206"/>
      <c r="GH188" s="206"/>
      <c r="GI188" s="206"/>
      <c r="GJ188" s="206"/>
      <c r="GK188" s="206"/>
      <c r="GL188" s="206"/>
      <c r="GM188" s="206"/>
      <c r="GN188" s="206"/>
      <c r="GO188" s="206"/>
      <c r="GP188" s="206"/>
      <c r="GQ188" s="206"/>
      <c r="GR188" s="206"/>
      <c r="GS188" s="206"/>
    </row>
    <row r="189" spans="1:201">
      <c r="A189" s="206"/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6"/>
      <c r="AE189" s="206"/>
      <c r="AF189" s="206"/>
      <c r="AG189" s="206"/>
      <c r="AH189" s="206"/>
      <c r="AI189" s="206"/>
      <c r="AJ189" s="206"/>
      <c r="AK189" s="206"/>
      <c r="AL189" s="206"/>
      <c r="AM189" s="206"/>
      <c r="AN189" s="206"/>
      <c r="AO189" s="206"/>
      <c r="AP189" s="206"/>
      <c r="AQ189" s="206"/>
      <c r="AR189" s="206"/>
      <c r="AS189" s="206"/>
      <c r="AT189" s="206"/>
      <c r="AU189" s="206"/>
      <c r="AV189" s="206"/>
      <c r="AW189" s="206"/>
      <c r="AX189" s="206"/>
      <c r="AY189" s="206"/>
      <c r="AZ189" s="206"/>
      <c r="BA189" s="206"/>
      <c r="BB189" s="206"/>
      <c r="BC189" s="206"/>
      <c r="BD189" s="206"/>
      <c r="BE189" s="206"/>
      <c r="BF189" s="206"/>
      <c r="BG189" s="206"/>
      <c r="BH189" s="206"/>
      <c r="BI189" s="206"/>
      <c r="BJ189" s="206"/>
      <c r="BK189" s="206"/>
      <c r="BL189" s="206"/>
      <c r="BM189" s="206"/>
      <c r="BN189" s="206"/>
      <c r="BO189" s="206"/>
      <c r="BP189" s="206"/>
      <c r="BQ189" s="206"/>
      <c r="BR189" s="206"/>
      <c r="BS189" s="206"/>
      <c r="BT189" s="206"/>
      <c r="BU189" s="206"/>
      <c r="BV189" s="206"/>
      <c r="BW189" s="206"/>
      <c r="BX189" s="206"/>
      <c r="BY189" s="206"/>
      <c r="BZ189" s="206"/>
      <c r="CA189" s="206"/>
      <c r="CB189" s="206"/>
      <c r="CC189" s="206"/>
      <c r="CD189" s="206"/>
      <c r="CE189" s="206"/>
      <c r="CF189" s="206"/>
      <c r="CG189" s="206"/>
      <c r="CH189" s="206"/>
      <c r="CI189" s="206"/>
      <c r="CJ189" s="206"/>
      <c r="CK189" s="206"/>
      <c r="CL189" s="206"/>
      <c r="CM189" s="206"/>
      <c r="CN189" s="206"/>
      <c r="CO189" s="206"/>
      <c r="CP189" s="206"/>
      <c r="CQ189" s="206"/>
      <c r="CR189" s="206"/>
      <c r="CS189" s="206"/>
      <c r="CT189" s="206"/>
      <c r="CU189" s="206"/>
      <c r="CV189" s="206"/>
      <c r="CW189" s="206"/>
      <c r="CX189" s="206"/>
      <c r="CY189" s="206"/>
      <c r="CZ189" s="206"/>
      <c r="DA189" s="206"/>
      <c r="DB189" s="206"/>
      <c r="DC189" s="206"/>
      <c r="DD189" s="206"/>
      <c r="DE189" s="206"/>
      <c r="DF189" s="206"/>
      <c r="DG189" s="206"/>
      <c r="DH189" s="206"/>
      <c r="DI189" s="206"/>
      <c r="DJ189" s="206"/>
      <c r="DK189" s="206"/>
      <c r="DL189" s="206"/>
      <c r="DM189" s="206"/>
      <c r="DN189" s="206"/>
      <c r="DO189" s="206"/>
      <c r="DP189" s="206"/>
      <c r="DQ189" s="206"/>
      <c r="DR189" s="206"/>
      <c r="DS189" s="206"/>
      <c r="DT189" s="206"/>
      <c r="DU189" s="206"/>
      <c r="DV189" s="206"/>
      <c r="DW189" s="206"/>
      <c r="DX189" s="206"/>
      <c r="DY189" s="206"/>
      <c r="DZ189" s="206"/>
      <c r="EA189" s="206"/>
      <c r="EB189" s="206"/>
      <c r="EC189" s="206"/>
      <c r="ED189" s="206"/>
      <c r="EE189" s="206"/>
      <c r="EF189" s="206"/>
      <c r="EG189" s="206"/>
      <c r="EH189" s="206"/>
      <c r="EI189" s="206"/>
      <c r="EJ189" s="206"/>
      <c r="EK189" s="206"/>
      <c r="EL189" s="206"/>
      <c r="EM189" s="206"/>
      <c r="EN189" s="206"/>
      <c r="EO189" s="206"/>
      <c r="EP189" s="206"/>
      <c r="EQ189" s="206"/>
      <c r="ER189" s="206"/>
      <c r="ES189" s="206"/>
      <c r="ET189" s="206"/>
      <c r="EU189" s="206"/>
      <c r="EV189" s="206"/>
      <c r="EW189" s="206"/>
      <c r="EX189" s="206"/>
      <c r="EY189" s="206"/>
      <c r="EZ189" s="206"/>
      <c r="FA189" s="206"/>
      <c r="FB189" s="206"/>
      <c r="FC189" s="206"/>
      <c r="FD189" s="206"/>
      <c r="FE189" s="206"/>
      <c r="FF189" s="206"/>
      <c r="FG189" s="206"/>
      <c r="FH189" s="206"/>
      <c r="FI189" s="206"/>
      <c r="FJ189" s="206"/>
      <c r="FK189" s="206"/>
      <c r="FL189" s="206"/>
      <c r="FM189" s="206"/>
      <c r="FN189" s="206"/>
      <c r="FO189" s="206"/>
      <c r="FP189" s="206"/>
      <c r="FQ189" s="206"/>
      <c r="FR189" s="206"/>
      <c r="FS189" s="206"/>
      <c r="FT189" s="206"/>
      <c r="FU189" s="206"/>
      <c r="FV189" s="206"/>
      <c r="FW189" s="206"/>
      <c r="FX189" s="206"/>
      <c r="FY189" s="206"/>
      <c r="FZ189" s="206"/>
      <c r="GA189" s="206"/>
      <c r="GB189" s="206"/>
      <c r="GC189" s="206"/>
      <c r="GD189" s="206"/>
      <c r="GE189" s="206"/>
      <c r="GF189" s="206"/>
      <c r="GG189" s="206"/>
      <c r="GH189" s="206"/>
      <c r="GI189" s="206"/>
      <c r="GJ189" s="206"/>
      <c r="GK189" s="206"/>
      <c r="GL189" s="206"/>
      <c r="GM189" s="206"/>
      <c r="GN189" s="206"/>
      <c r="GO189" s="206"/>
      <c r="GP189" s="206"/>
      <c r="GQ189" s="206"/>
      <c r="GR189" s="206"/>
      <c r="GS189" s="206"/>
    </row>
    <row r="190" spans="1:201">
      <c r="A190" s="206"/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  <c r="AF190" s="206"/>
      <c r="AG190" s="206"/>
      <c r="AH190" s="206"/>
      <c r="AI190" s="206"/>
      <c r="AJ190" s="206"/>
      <c r="AK190" s="206"/>
      <c r="AL190" s="206"/>
      <c r="AM190" s="206"/>
      <c r="AN190" s="206"/>
      <c r="AO190" s="206"/>
      <c r="AP190" s="206"/>
      <c r="AQ190" s="206"/>
      <c r="AR190" s="206"/>
      <c r="AS190" s="206"/>
      <c r="AT190" s="206"/>
      <c r="AU190" s="206"/>
      <c r="AV190" s="206"/>
      <c r="AW190" s="206"/>
      <c r="AX190" s="206"/>
      <c r="AY190" s="206"/>
      <c r="AZ190" s="206"/>
      <c r="BA190" s="206"/>
      <c r="BB190" s="206"/>
      <c r="BC190" s="206"/>
      <c r="BD190" s="206"/>
      <c r="BE190" s="206"/>
      <c r="BF190" s="206"/>
      <c r="BG190" s="206"/>
      <c r="BH190" s="206"/>
      <c r="BI190" s="206"/>
      <c r="BJ190" s="206"/>
      <c r="BK190" s="206"/>
      <c r="BL190" s="206"/>
      <c r="BM190" s="206"/>
      <c r="BN190" s="206"/>
      <c r="BO190" s="206"/>
      <c r="BP190" s="206"/>
      <c r="BQ190" s="206"/>
      <c r="BR190" s="206"/>
      <c r="BS190" s="206"/>
      <c r="BT190" s="206"/>
      <c r="BU190" s="206"/>
      <c r="BV190" s="206"/>
      <c r="BW190" s="206"/>
      <c r="BX190" s="206"/>
      <c r="BY190" s="206"/>
      <c r="BZ190" s="206"/>
      <c r="CA190" s="206"/>
      <c r="CB190" s="206"/>
      <c r="CC190" s="206"/>
      <c r="CD190" s="206"/>
      <c r="CE190" s="206"/>
      <c r="CF190" s="206"/>
      <c r="CG190" s="206"/>
      <c r="CH190" s="206"/>
      <c r="CI190" s="206"/>
      <c r="CJ190" s="206"/>
      <c r="CK190" s="206"/>
      <c r="CL190" s="206"/>
      <c r="CM190" s="206"/>
      <c r="CN190" s="206"/>
      <c r="CO190" s="206"/>
      <c r="CP190" s="206"/>
      <c r="CQ190" s="206"/>
      <c r="CR190" s="206"/>
      <c r="CS190" s="206"/>
      <c r="CT190" s="206"/>
      <c r="CU190" s="206"/>
      <c r="CV190" s="206"/>
      <c r="CW190" s="206"/>
      <c r="CX190" s="206"/>
      <c r="CY190" s="206"/>
      <c r="CZ190" s="206"/>
      <c r="DA190" s="206"/>
      <c r="DB190" s="206"/>
      <c r="DC190" s="206"/>
      <c r="DD190" s="206"/>
      <c r="DE190" s="206"/>
      <c r="DF190" s="206"/>
      <c r="DG190" s="206"/>
      <c r="DH190" s="206"/>
      <c r="DI190" s="206"/>
      <c r="DJ190" s="206"/>
      <c r="DK190" s="206"/>
      <c r="DL190" s="206"/>
      <c r="DM190" s="206"/>
      <c r="DN190" s="206"/>
      <c r="DO190" s="206"/>
      <c r="DP190" s="206"/>
      <c r="DQ190" s="206"/>
      <c r="DR190" s="206"/>
      <c r="DS190" s="206"/>
      <c r="DT190" s="206"/>
      <c r="DU190" s="206"/>
      <c r="DV190" s="206"/>
      <c r="DW190" s="206"/>
      <c r="DX190" s="206"/>
      <c r="DY190" s="206"/>
      <c r="DZ190" s="206"/>
      <c r="EA190" s="206"/>
      <c r="EB190" s="206"/>
      <c r="EC190" s="206"/>
      <c r="ED190" s="206"/>
      <c r="EE190" s="206"/>
      <c r="EF190" s="206"/>
      <c r="EG190" s="206"/>
      <c r="EH190" s="206"/>
      <c r="EI190" s="206"/>
      <c r="EJ190" s="206"/>
      <c r="EK190" s="206"/>
      <c r="EL190" s="206"/>
      <c r="EM190" s="206"/>
      <c r="EN190" s="206"/>
      <c r="EO190" s="206"/>
      <c r="EP190" s="206"/>
      <c r="EQ190" s="206"/>
      <c r="ER190" s="206"/>
      <c r="ES190" s="206"/>
      <c r="ET190" s="206"/>
      <c r="EU190" s="206"/>
      <c r="EV190" s="206"/>
      <c r="EW190" s="206"/>
      <c r="EX190" s="206"/>
      <c r="EY190" s="206"/>
      <c r="EZ190" s="206"/>
      <c r="FA190" s="206"/>
      <c r="FB190" s="206"/>
      <c r="FC190" s="206"/>
      <c r="FD190" s="206"/>
      <c r="FE190" s="206"/>
      <c r="FF190" s="206"/>
      <c r="FG190" s="206"/>
      <c r="FH190" s="206"/>
      <c r="FI190" s="206"/>
      <c r="FJ190" s="206"/>
      <c r="FK190" s="206"/>
      <c r="FL190" s="206"/>
      <c r="FM190" s="206"/>
      <c r="FN190" s="206"/>
      <c r="FO190" s="206"/>
      <c r="FP190" s="206"/>
      <c r="FQ190" s="206"/>
      <c r="FR190" s="206"/>
      <c r="FS190" s="206"/>
      <c r="FT190" s="206"/>
      <c r="FU190" s="206"/>
      <c r="FV190" s="206"/>
      <c r="FW190" s="206"/>
      <c r="FX190" s="206"/>
      <c r="FY190" s="206"/>
      <c r="FZ190" s="206"/>
      <c r="GA190" s="206"/>
      <c r="GB190" s="206"/>
      <c r="GC190" s="206"/>
      <c r="GD190" s="206"/>
      <c r="GE190" s="206"/>
      <c r="GF190" s="206"/>
      <c r="GG190" s="206"/>
      <c r="GH190" s="206"/>
      <c r="GI190" s="206"/>
      <c r="GJ190" s="206"/>
      <c r="GK190" s="206"/>
      <c r="GL190" s="206"/>
      <c r="GM190" s="206"/>
      <c r="GN190" s="206"/>
      <c r="GO190" s="206"/>
      <c r="GP190" s="206"/>
      <c r="GQ190" s="206"/>
      <c r="GR190" s="206"/>
      <c r="GS190" s="206"/>
    </row>
    <row r="191" spans="1:201">
      <c r="A191" s="206"/>
      <c r="B191" s="206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6"/>
      <c r="AE191" s="206"/>
      <c r="AF191" s="206"/>
      <c r="AG191" s="206"/>
      <c r="AH191" s="206"/>
      <c r="AI191" s="206"/>
      <c r="AJ191" s="206"/>
      <c r="AK191" s="206"/>
      <c r="AL191" s="206"/>
      <c r="AM191" s="206"/>
      <c r="AN191" s="206"/>
      <c r="AO191" s="206"/>
      <c r="AP191" s="206"/>
      <c r="AQ191" s="206"/>
      <c r="AR191" s="206"/>
      <c r="AS191" s="206"/>
      <c r="AT191" s="206"/>
      <c r="AU191" s="206"/>
      <c r="AV191" s="206"/>
      <c r="AW191" s="206"/>
      <c r="AX191" s="206"/>
      <c r="AY191" s="206"/>
      <c r="AZ191" s="206"/>
      <c r="BA191" s="206"/>
      <c r="BB191" s="206"/>
      <c r="BC191" s="206"/>
      <c r="BD191" s="206"/>
      <c r="BE191" s="206"/>
      <c r="BF191" s="206"/>
      <c r="BG191" s="206"/>
      <c r="BH191" s="206"/>
      <c r="BI191" s="206"/>
      <c r="BJ191" s="206"/>
      <c r="BK191" s="206"/>
      <c r="BL191" s="206"/>
      <c r="BM191" s="206"/>
      <c r="BN191" s="206"/>
      <c r="BO191" s="206"/>
      <c r="BP191" s="206"/>
      <c r="BQ191" s="206"/>
      <c r="BR191" s="206"/>
      <c r="BS191" s="206"/>
      <c r="BT191" s="206"/>
      <c r="BU191" s="206"/>
      <c r="BV191" s="206"/>
      <c r="BW191" s="206"/>
      <c r="BX191" s="206"/>
      <c r="BY191" s="206"/>
      <c r="BZ191" s="206"/>
      <c r="CA191" s="206"/>
      <c r="CB191" s="206"/>
      <c r="CC191" s="206"/>
      <c r="CD191" s="206"/>
      <c r="CE191" s="206"/>
      <c r="CF191" s="206"/>
      <c r="CG191" s="206"/>
      <c r="CH191" s="206"/>
      <c r="CI191" s="206"/>
      <c r="CJ191" s="206"/>
      <c r="CK191" s="206"/>
      <c r="CL191" s="206"/>
      <c r="CM191" s="206"/>
      <c r="CN191" s="206"/>
      <c r="CO191" s="206"/>
      <c r="CP191" s="206"/>
      <c r="CQ191" s="206"/>
      <c r="CR191" s="206"/>
      <c r="CS191" s="206"/>
      <c r="CT191" s="206"/>
      <c r="CU191" s="206"/>
      <c r="CV191" s="206"/>
      <c r="CW191" s="206"/>
      <c r="CX191" s="206"/>
      <c r="CY191" s="206"/>
      <c r="CZ191" s="206"/>
      <c r="DA191" s="206"/>
      <c r="DB191" s="206"/>
      <c r="DC191" s="206"/>
      <c r="DD191" s="206"/>
      <c r="DE191" s="206"/>
      <c r="DF191" s="206"/>
      <c r="DG191" s="206"/>
      <c r="DH191" s="206"/>
      <c r="DI191" s="206"/>
      <c r="DJ191" s="206"/>
      <c r="DK191" s="206"/>
      <c r="DL191" s="206"/>
      <c r="DM191" s="206"/>
      <c r="DN191" s="206"/>
      <c r="DO191" s="206"/>
      <c r="DP191" s="206"/>
      <c r="DQ191" s="206"/>
      <c r="DR191" s="206"/>
      <c r="DS191" s="206"/>
      <c r="DT191" s="206"/>
      <c r="DU191" s="206"/>
      <c r="DV191" s="206"/>
      <c r="DW191" s="206"/>
      <c r="DX191" s="206"/>
      <c r="DY191" s="206"/>
      <c r="DZ191" s="206"/>
      <c r="EA191" s="206"/>
      <c r="EB191" s="206"/>
      <c r="EC191" s="206"/>
      <c r="ED191" s="206"/>
      <c r="EE191" s="206"/>
      <c r="EF191" s="206"/>
      <c r="EG191" s="206"/>
      <c r="EH191" s="206"/>
      <c r="EI191" s="206"/>
      <c r="EJ191" s="206"/>
      <c r="EK191" s="206"/>
      <c r="EL191" s="206"/>
      <c r="EM191" s="206"/>
      <c r="EN191" s="206"/>
      <c r="EO191" s="206"/>
      <c r="EP191" s="206"/>
      <c r="EQ191" s="206"/>
      <c r="ER191" s="206"/>
      <c r="ES191" s="206"/>
      <c r="ET191" s="206"/>
      <c r="EU191" s="206"/>
      <c r="EV191" s="206"/>
      <c r="EW191" s="206"/>
      <c r="EX191" s="206"/>
      <c r="EY191" s="206"/>
      <c r="EZ191" s="206"/>
      <c r="FA191" s="206"/>
      <c r="FB191" s="206"/>
      <c r="FC191" s="206"/>
      <c r="FD191" s="206"/>
      <c r="FE191" s="206"/>
      <c r="FF191" s="206"/>
      <c r="FG191" s="206"/>
      <c r="FH191" s="206"/>
      <c r="FI191" s="206"/>
      <c r="FJ191" s="206"/>
      <c r="FK191" s="206"/>
      <c r="FL191" s="206"/>
      <c r="FM191" s="206"/>
      <c r="FN191" s="206"/>
      <c r="FO191" s="206"/>
      <c r="FP191" s="206"/>
      <c r="FQ191" s="206"/>
      <c r="FR191" s="206"/>
      <c r="FS191" s="206"/>
      <c r="FT191" s="206"/>
      <c r="FU191" s="206"/>
      <c r="FV191" s="206"/>
      <c r="FW191" s="206"/>
      <c r="FX191" s="206"/>
      <c r="FY191" s="206"/>
      <c r="FZ191" s="206"/>
      <c r="GA191" s="206"/>
      <c r="GB191" s="206"/>
      <c r="GC191" s="206"/>
      <c r="GD191" s="206"/>
      <c r="GE191" s="206"/>
      <c r="GF191" s="206"/>
      <c r="GG191" s="206"/>
      <c r="GH191" s="206"/>
      <c r="GI191" s="206"/>
      <c r="GJ191" s="206"/>
      <c r="GK191" s="206"/>
      <c r="GL191" s="206"/>
      <c r="GM191" s="206"/>
      <c r="GN191" s="206"/>
      <c r="GO191" s="206"/>
      <c r="GP191" s="206"/>
      <c r="GQ191" s="206"/>
      <c r="GR191" s="206"/>
      <c r="GS191" s="206"/>
    </row>
    <row r="192" spans="1:201" ht="23.65" customHeight="1">
      <c r="A192" s="206"/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  <c r="AF192" s="206"/>
      <c r="AG192" s="206"/>
      <c r="AH192" s="206"/>
      <c r="AI192" s="206"/>
      <c r="AJ192" s="206"/>
      <c r="AK192" s="206"/>
      <c r="AL192" s="206"/>
      <c r="AM192" s="206"/>
      <c r="AN192" s="206"/>
      <c r="AO192" s="206"/>
      <c r="AP192" s="206"/>
      <c r="AQ192" s="206"/>
      <c r="AR192" s="206"/>
      <c r="AS192" s="206"/>
      <c r="AT192" s="206"/>
      <c r="AU192" s="206"/>
      <c r="AV192" s="206"/>
      <c r="AW192" s="206"/>
      <c r="AX192" s="206"/>
      <c r="AY192" s="206"/>
      <c r="AZ192" s="206"/>
      <c r="BA192" s="206"/>
      <c r="BB192" s="206"/>
      <c r="BC192" s="206"/>
      <c r="BD192" s="206"/>
      <c r="BE192" s="206"/>
      <c r="BF192" s="206"/>
      <c r="BG192" s="206"/>
      <c r="BH192" s="206"/>
      <c r="BI192" s="206"/>
      <c r="BJ192" s="206"/>
      <c r="BK192" s="206"/>
      <c r="BL192" s="206"/>
      <c r="BM192" s="206"/>
      <c r="BN192" s="206"/>
      <c r="BO192" s="206"/>
      <c r="BP192" s="206"/>
      <c r="BQ192" s="206"/>
      <c r="BR192" s="206"/>
      <c r="BS192" s="206"/>
      <c r="BT192" s="206"/>
      <c r="BU192" s="206"/>
      <c r="BV192" s="206"/>
      <c r="BW192" s="206"/>
      <c r="BX192" s="206"/>
      <c r="BY192" s="206"/>
      <c r="BZ192" s="206"/>
      <c r="CA192" s="206"/>
      <c r="CB192" s="206"/>
      <c r="CC192" s="206"/>
      <c r="CD192" s="206"/>
      <c r="CE192" s="206"/>
      <c r="CF192" s="206"/>
      <c r="CG192" s="206"/>
      <c r="CH192" s="206"/>
      <c r="CI192" s="206"/>
      <c r="CJ192" s="206"/>
      <c r="CK192" s="206"/>
      <c r="CL192" s="206"/>
      <c r="CM192" s="206"/>
      <c r="CN192" s="206"/>
      <c r="CO192" s="206"/>
      <c r="CP192" s="206"/>
      <c r="CQ192" s="206"/>
      <c r="CR192" s="206"/>
      <c r="CS192" s="206"/>
      <c r="CT192" s="206"/>
      <c r="CU192" s="206"/>
      <c r="CV192" s="206"/>
      <c r="CW192" s="206"/>
      <c r="CX192" s="206"/>
      <c r="CY192" s="206"/>
      <c r="CZ192" s="206"/>
      <c r="DA192" s="206"/>
      <c r="DB192" s="206"/>
      <c r="DC192" s="206"/>
      <c r="DD192" s="206"/>
      <c r="DE192" s="206"/>
      <c r="DF192" s="206"/>
      <c r="DG192" s="206"/>
      <c r="DH192" s="206"/>
      <c r="DI192" s="206"/>
      <c r="DJ192" s="206"/>
      <c r="DK192" s="206"/>
      <c r="DL192" s="206"/>
      <c r="DM192" s="206"/>
      <c r="DN192" s="206"/>
      <c r="DO192" s="206"/>
      <c r="DP192" s="206"/>
      <c r="DQ192" s="206"/>
      <c r="DR192" s="206"/>
      <c r="DS192" s="206"/>
      <c r="DT192" s="206"/>
      <c r="DU192" s="206"/>
      <c r="DV192" s="206"/>
      <c r="DW192" s="206"/>
      <c r="DX192" s="206"/>
      <c r="DY192" s="206"/>
      <c r="DZ192" s="206"/>
      <c r="EA192" s="206"/>
      <c r="EB192" s="206"/>
      <c r="EC192" s="206"/>
      <c r="ED192" s="206"/>
      <c r="EE192" s="206"/>
      <c r="EF192" s="206"/>
      <c r="EG192" s="206"/>
      <c r="EH192" s="206"/>
      <c r="EI192" s="206"/>
      <c r="EJ192" s="206"/>
      <c r="EK192" s="206"/>
      <c r="EL192" s="206"/>
      <c r="EM192" s="206"/>
      <c r="EN192" s="206"/>
      <c r="EO192" s="206"/>
      <c r="EP192" s="206"/>
      <c r="EQ192" s="206"/>
      <c r="ER192" s="206"/>
      <c r="ES192" s="206"/>
      <c r="ET192" s="206"/>
      <c r="EU192" s="206"/>
      <c r="EV192" s="206"/>
      <c r="EW192" s="206"/>
      <c r="EX192" s="206"/>
      <c r="EY192" s="206"/>
      <c r="EZ192" s="206"/>
      <c r="FA192" s="206"/>
      <c r="FB192" s="206"/>
      <c r="FC192" s="206"/>
      <c r="FD192" s="206"/>
      <c r="FE192" s="206"/>
      <c r="FF192" s="206"/>
      <c r="FG192" s="206"/>
      <c r="FH192" s="206"/>
      <c r="FI192" s="206"/>
      <c r="FJ192" s="206"/>
      <c r="FK192" s="206"/>
      <c r="FL192" s="206"/>
      <c r="FM192" s="206"/>
      <c r="FN192" s="206"/>
      <c r="FO192" s="206"/>
      <c r="FP192" s="206"/>
      <c r="FQ192" s="206"/>
      <c r="FR192" s="206"/>
      <c r="FS192" s="206"/>
      <c r="FT192" s="206"/>
      <c r="FU192" s="206"/>
      <c r="FV192" s="206"/>
      <c r="FW192" s="206"/>
      <c r="FX192" s="206"/>
      <c r="FY192" s="206"/>
      <c r="FZ192" s="206"/>
      <c r="GA192" s="206"/>
      <c r="GB192" s="206"/>
      <c r="GC192" s="206"/>
      <c r="GD192" s="206"/>
      <c r="GE192" s="206"/>
      <c r="GF192" s="206"/>
      <c r="GG192" s="206"/>
      <c r="GH192" s="206"/>
      <c r="GI192" s="206"/>
      <c r="GJ192" s="206"/>
      <c r="GK192" s="206"/>
      <c r="GL192" s="206"/>
      <c r="GM192" s="206"/>
      <c r="GN192" s="206"/>
      <c r="GO192" s="206"/>
      <c r="GP192" s="206"/>
      <c r="GQ192" s="206"/>
      <c r="GR192" s="206"/>
      <c r="GS192" s="206"/>
    </row>
    <row r="193" customFormat="1" ht="23.65" customHeight="1"/>
    <row r="194" customFormat="1" ht="23.65" customHeight="1"/>
    <row r="218" spans="5:17">
      <c r="E218" s="391"/>
      <c r="F218" s="632" t="s">
        <v>118</v>
      </c>
      <c r="G218" s="632"/>
      <c r="H218" s="632"/>
      <c r="I218" s="632"/>
      <c r="J218" s="633"/>
      <c r="K218" s="633"/>
      <c r="L218" s="633"/>
      <c r="M218" s="633"/>
      <c r="N218" s="633"/>
      <c r="O218" s="633"/>
      <c r="P218" s="633"/>
      <c r="Q218" s="633"/>
    </row>
    <row r="219" spans="5:17">
      <c r="E219" s="392" t="s">
        <v>6</v>
      </c>
      <c r="F219" s="207" t="s">
        <v>119</v>
      </c>
      <c r="G219" s="207" t="s">
        <v>96</v>
      </c>
      <c r="H219" s="207" t="s">
        <v>120</v>
      </c>
      <c r="I219" s="207" t="s">
        <v>74</v>
      </c>
      <c r="J219" s="207"/>
      <c r="K219" s="207"/>
      <c r="L219" s="207"/>
      <c r="M219" s="207"/>
      <c r="N219" s="207"/>
      <c r="O219" s="207"/>
      <c r="P219" s="207"/>
      <c r="Q219" s="207"/>
    </row>
    <row r="220" spans="5:17">
      <c r="E220" s="391">
        <v>1</v>
      </c>
      <c r="F220" s="391"/>
      <c r="G220" s="391"/>
      <c r="H220" s="391"/>
      <c r="I220" s="391"/>
      <c r="J220" s="391"/>
      <c r="K220" s="391"/>
      <c r="L220" s="391"/>
      <c r="M220" s="391"/>
      <c r="N220" s="391"/>
      <c r="O220" s="391"/>
      <c r="P220" s="391"/>
      <c r="Q220" s="391"/>
    </row>
    <row r="221" spans="5:17">
      <c r="E221" s="391">
        <v>2</v>
      </c>
      <c r="F221" s="391"/>
      <c r="G221" s="391"/>
      <c r="H221" s="391"/>
      <c r="I221" s="391"/>
      <c r="J221" s="391"/>
      <c r="K221" s="391"/>
      <c r="L221" s="391"/>
      <c r="M221" s="391"/>
      <c r="N221" s="391"/>
      <c r="O221" s="391"/>
      <c r="P221" s="391"/>
      <c r="Q221" s="391"/>
    </row>
    <row r="222" spans="5:17">
      <c r="E222" s="391">
        <v>3</v>
      </c>
      <c r="F222" s="391"/>
      <c r="G222" s="391"/>
      <c r="H222" s="391"/>
      <c r="I222" s="391"/>
      <c r="J222" s="391"/>
      <c r="K222" s="391"/>
      <c r="L222" s="391"/>
      <c r="M222" s="391"/>
      <c r="N222" s="391"/>
      <c r="O222" s="391"/>
      <c r="P222" s="391"/>
      <c r="Q222" s="391"/>
    </row>
    <row r="223" spans="5:17">
      <c r="E223" s="391">
        <v>4</v>
      </c>
      <c r="F223" s="391"/>
      <c r="G223" s="391"/>
      <c r="H223" s="391"/>
      <c r="I223" s="391"/>
      <c r="J223" s="391"/>
      <c r="K223" s="391"/>
      <c r="L223" s="391"/>
      <c r="M223" s="391"/>
      <c r="N223" s="391"/>
      <c r="O223" s="391"/>
      <c r="P223" s="391"/>
      <c r="Q223" s="391"/>
    </row>
    <row r="224" spans="5:17">
      <c r="F224" s="626" t="s">
        <v>121</v>
      </c>
      <c r="G224" s="626"/>
      <c r="H224" s="626"/>
      <c r="I224" s="626"/>
    </row>
    <row r="225" spans="5:9">
      <c r="E225" s="392" t="s">
        <v>6</v>
      </c>
      <c r="F225" s="207" t="s">
        <v>119</v>
      </c>
      <c r="G225" s="207" t="s">
        <v>96</v>
      </c>
      <c r="H225" s="207" t="s">
        <v>120</v>
      </c>
      <c r="I225" s="207" t="s">
        <v>74</v>
      </c>
    </row>
    <row r="226" spans="5:9">
      <c r="E226" s="391">
        <v>1</v>
      </c>
      <c r="F226" s="391"/>
      <c r="G226" s="391"/>
      <c r="H226" s="391"/>
      <c r="I226" s="391"/>
    </row>
    <row r="227" spans="5:9">
      <c r="E227" s="391">
        <v>2</v>
      </c>
      <c r="F227" s="391"/>
      <c r="G227" s="391"/>
      <c r="H227" s="391"/>
      <c r="I227" s="391"/>
    </row>
    <row r="228" spans="5:9">
      <c r="E228" s="391">
        <v>3</v>
      </c>
      <c r="F228" s="391"/>
      <c r="G228" s="391"/>
      <c r="H228" s="391"/>
      <c r="I228" s="391"/>
    </row>
    <row r="229" spans="5:9">
      <c r="E229" s="391">
        <v>4</v>
      </c>
      <c r="F229" s="391"/>
      <c r="G229" s="391"/>
      <c r="H229" s="391"/>
      <c r="I229" s="391"/>
    </row>
    <row r="230" spans="5:9">
      <c r="F230" s="627" t="s">
        <v>122</v>
      </c>
      <c r="G230" s="627"/>
      <c r="H230" s="627"/>
      <c r="I230" s="627"/>
    </row>
    <row r="231" spans="5:9">
      <c r="E231" s="392" t="s">
        <v>6</v>
      </c>
      <c r="F231" s="207" t="s">
        <v>119</v>
      </c>
      <c r="G231" s="207" t="s">
        <v>96</v>
      </c>
      <c r="H231" s="207" t="s">
        <v>120</v>
      </c>
      <c r="I231" s="207" t="s">
        <v>74</v>
      </c>
    </row>
    <row r="232" spans="5:9">
      <c r="E232" s="391">
        <v>1</v>
      </c>
      <c r="F232" s="391"/>
      <c r="G232" s="391"/>
      <c r="H232" s="391"/>
      <c r="I232" s="391"/>
    </row>
    <row r="233" spans="5:9">
      <c r="E233" s="391">
        <v>2</v>
      </c>
      <c r="F233" s="391"/>
      <c r="G233" s="391"/>
      <c r="H233" s="391"/>
      <c r="I233" s="391"/>
    </row>
    <row r="234" spans="5:9">
      <c r="E234" s="391">
        <v>3</v>
      </c>
      <c r="F234" s="391"/>
      <c r="G234" s="391"/>
      <c r="H234" s="391"/>
      <c r="I234" s="391"/>
    </row>
    <row r="235" spans="5:9">
      <c r="E235" s="391">
        <v>4</v>
      </c>
      <c r="F235" s="391"/>
      <c r="G235" s="391"/>
      <c r="H235" s="391"/>
      <c r="I235" s="391"/>
    </row>
  </sheetData>
  <mergeCells count="495">
    <mergeCell ref="GT1:HO1"/>
    <mergeCell ref="C2:F2"/>
    <mergeCell ref="G2:J2"/>
    <mergeCell ref="K2:N2"/>
    <mergeCell ref="O2:R2"/>
    <mergeCell ref="S2:V2"/>
    <mergeCell ref="W2:Z2"/>
    <mergeCell ref="HL2:HO2"/>
    <mergeCell ref="DI2:DI3"/>
    <mergeCell ref="DJ2:DS2"/>
    <mergeCell ref="GV2:GY2"/>
    <mergeCell ref="GZ2:HC2"/>
    <mergeCell ref="HD2:HG2"/>
    <mergeCell ref="HH2:HK2"/>
    <mergeCell ref="AQ2:AQ3"/>
    <mergeCell ref="AS2:AS3"/>
    <mergeCell ref="BU2:BX2"/>
    <mergeCell ref="BY2:CB2"/>
    <mergeCell ref="AA2:AD2"/>
    <mergeCell ref="AE2:AH2"/>
    <mergeCell ref="AI2:AL2"/>
    <mergeCell ref="AM2:AP2"/>
    <mergeCell ref="C1:V1"/>
    <mergeCell ref="BO1:CJ1"/>
    <mergeCell ref="DH1:DR1"/>
    <mergeCell ref="AT2:AT3"/>
    <mergeCell ref="A9:A12"/>
    <mergeCell ref="AS9:AS12"/>
    <mergeCell ref="BG9:BG12"/>
    <mergeCell ref="BK9:BK12"/>
    <mergeCell ref="BO9:BO12"/>
    <mergeCell ref="AU2:BD2"/>
    <mergeCell ref="BG2:BJ2"/>
    <mergeCell ref="BQ2:BT2"/>
    <mergeCell ref="CC2:CF2"/>
    <mergeCell ref="CG2:CJ2"/>
    <mergeCell ref="CK2:CN2"/>
    <mergeCell ref="CO2:CR2"/>
    <mergeCell ref="CS2:CV2"/>
    <mergeCell ref="CW2:CZ2"/>
    <mergeCell ref="DH9:DH12"/>
    <mergeCell ref="ET22:EW22"/>
    <mergeCell ref="DV22:DY22"/>
    <mergeCell ref="DZ22:EC22"/>
    <mergeCell ref="ED22:EG22"/>
    <mergeCell ref="DH4:DH8"/>
    <mergeCell ref="DA2:DD2"/>
    <mergeCell ref="DF2:DF40"/>
    <mergeCell ref="DH2:DH3"/>
    <mergeCell ref="DJ22:DM22"/>
    <mergeCell ref="DN22:DQ22"/>
    <mergeCell ref="DR22:DU22"/>
    <mergeCell ref="DH33:DH36"/>
    <mergeCell ref="A13:A16"/>
    <mergeCell ref="AS13:AS16"/>
    <mergeCell ref="BG13:BG16"/>
    <mergeCell ref="BK13:BK16"/>
    <mergeCell ref="GT4:GT8"/>
    <mergeCell ref="GT9:GT12"/>
    <mergeCell ref="GT13:GT17"/>
    <mergeCell ref="A4:A8"/>
    <mergeCell ref="AS4:AS8"/>
    <mergeCell ref="BG4:BG8"/>
    <mergeCell ref="BK4:BK8"/>
    <mergeCell ref="BO4:BO8"/>
    <mergeCell ref="A17:A20"/>
    <mergeCell ref="AS17:AS20"/>
    <mergeCell ref="BG17:BG20"/>
    <mergeCell ref="BK17:BK20"/>
    <mergeCell ref="BO17:BO20"/>
    <mergeCell ref="DH17:DH20"/>
    <mergeCell ref="GT18:GT23"/>
    <mergeCell ref="EH22:EK22"/>
    <mergeCell ref="EL22:EO22"/>
    <mergeCell ref="BO13:BO16"/>
    <mergeCell ref="DH13:DH16"/>
    <mergeCell ref="EP22:ES22"/>
    <mergeCell ref="A36:B36"/>
    <mergeCell ref="A33:D33"/>
    <mergeCell ref="O33:R33"/>
    <mergeCell ref="S33:V33"/>
    <mergeCell ref="DH24:DH28"/>
    <mergeCell ref="A29:D29"/>
    <mergeCell ref="DH29:DH32"/>
    <mergeCell ref="A30:D30"/>
    <mergeCell ref="A31:D31"/>
    <mergeCell ref="A32:D32"/>
    <mergeCell ref="A34:B35"/>
    <mergeCell ref="C34:F34"/>
    <mergeCell ref="G34:J34"/>
    <mergeCell ref="K34:N34"/>
    <mergeCell ref="O34:R34"/>
    <mergeCell ref="S34:V34"/>
    <mergeCell ref="W34:Z34"/>
    <mergeCell ref="AA34:AD34"/>
    <mergeCell ref="AE34:AH34"/>
    <mergeCell ref="AI34:AL34"/>
    <mergeCell ref="AM34:AP34"/>
    <mergeCell ref="A37:B37"/>
    <mergeCell ref="DH37:DH40"/>
    <mergeCell ref="A38:B38"/>
    <mergeCell ref="A39:B39"/>
    <mergeCell ref="A40:B40"/>
    <mergeCell ref="C40:F40"/>
    <mergeCell ref="G40:J40"/>
    <mergeCell ref="K40:N40"/>
    <mergeCell ref="O40:R40"/>
    <mergeCell ref="S40:V40"/>
    <mergeCell ref="A41:AP42"/>
    <mergeCell ref="BO41:DD42"/>
    <mergeCell ref="EG41:GG42"/>
    <mergeCell ref="EA42:EE42"/>
    <mergeCell ref="A43:V43"/>
    <mergeCell ref="AQ43:AU44"/>
    <mergeCell ref="BO43:CJ43"/>
    <mergeCell ref="DE43:DN44"/>
    <mergeCell ref="DO43:DX44"/>
    <mergeCell ref="EA43:EE44"/>
    <mergeCell ref="AM44:AP44"/>
    <mergeCell ref="BG44:BJ44"/>
    <mergeCell ref="BQ44:BT44"/>
    <mergeCell ref="BU44:BX44"/>
    <mergeCell ref="BY44:CB44"/>
    <mergeCell ref="CC44:CF44"/>
    <mergeCell ref="EG43:GG43"/>
    <mergeCell ref="C44:F44"/>
    <mergeCell ref="G44:J44"/>
    <mergeCell ref="K44:N44"/>
    <mergeCell ref="O44:R44"/>
    <mergeCell ref="S44:V44"/>
    <mergeCell ref="W44:Z44"/>
    <mergeCell ref="AA44:AD44"/>
    <mergeCell ref="AE44:AH44"/>
    <mergeCell ref="AI44:AL44"/>
    <mergeCell ref="GB44:GC45"/>
    <mergeCell ref="GD44:GE45"/>
    <mergeCell ref="GF44:GG45"/>
    <mergeCell ref="GH44:GH45"/>
    <mergeCell ref="GI44:GI45"/>
    <mergeCell ref="BG45:BI45"/>
    <mergeCell ref="FG44:FJ44"/>
    <mergeCell ref="FK44:FN44"/>
    <mergeCell ref="FO44:FR44"/>
    <mergeCell ref="FS44:FV44"/>
    <mergeCell ref="FX44:FY45"/>
    <mergeCell ref="FZ44:GA45"/>
    <mergeCell ref="EI44:EL44"/>
    <mergeCell ref="EM44:EP44"/>
    <mergeCell ref="EQ44:ET44"/>
    <mergeCell ref="EU44:EX44"/>
    <mergeCell ref="EY44:FB44"/>
    <mergeCell ref="FC44:FF44"/>
    <mergeCell ref="CG44:CJ44"/>
    <mergeCell ref="CK44:CN44"/>
    <mergeCell ref="CO44:CR44"/>
    <mergeCell ref="CS44:CV44"/>
    <mergeCell ref="CW44:CZ44"/>
    <mergeCell ref="DA44:DD44"/>
    <mergeCell ref="GS46:GS47"/>
    <mergeCell ref="GT46:GW46"/>
    <mergeCell ref="BG47:BI47"/>
    <mergeCell ref="BG48:BI48"/>
    <mergeCell ref="BG49:BI49"/>
    <mergeCell ref="A51:A54"/>
    <mergeCell ref="BO51:BO54"/>
    <mergeCell ref="DZ51:DZ54"/>
    <mergeCell ref="EG51:EG54"/>
    <mergeCell ref="GA51:GA54"/>
    <mergeCell ref="GA46:GA50"/>
    <mergeCell ref="GC46:GC50"/>
    <mergeCell ref="GE46:GE50"/>
    <mergeCell ref="GG46:GG50"/>
    <mergeCell ref="GH46:GH50"/>
    <mergeCell ref="GI46:GI50"/>
    <mergeCell ref="A46:A50"/>
    <mergeCell ref="BG46:BI46"/>
    <mergeCell ref="BO46:BO50"/>
    <mergeCell ref="DZ46:DZ50"/>
    <mergeCell ref="EG46:EG50"/>
    <mergeCell ref="FY46:FY50"/>
    <mergeCell ref="GH51:GH54"/>
    <mergeCell ref="GI51:GI54"/>
    <mergeCell ref="A55:A58"/>
    <mergeCell ref="AQ55:AQ64"/>
    <mergeCell ref="AR55:AR65"/>
    <mergeCell ref="BO55:BO58"/>
    <mergeCell ref="DE55:DE65"/>
    <mergeCell ref="GI60:GI65"/>
    <mergeCell ref="AT63:AU65"/>
    <mergeCell ref="DH63:DN65"/>
    <mergeCell ref="DR63:DX65"/>
    <mergeCell ref="GE55:GE58"/>
    <mergeCell ref="GG55:GG58"/>
    <mergeCell ref="GH55:GH59"/>
    <mergeCell ref="GI55:GI59"/>
    <mergeCell ref="A59:A62"/>
    <mergeCell ref="AS59:AS65"/>
    <mergeCell ref="BO59:BO62"/>
    <mergeCell ref="DG59:DG65"/>
    <mergeCell ref="DQ59:DQ65"/>
    <mergeCell ref="DZ59:DZ62"/>
    <mergeCell ref="DP55:DP65"/>
    <mergeCell ref="GC55:GC58"/>
    <mergeCell ref="GH60:GH65"/>
    <mergeCell ref="DE66:DN66"/>
    <mergeCell ref="DO66:DX66"/>
    <mergeCell ref="GC51:GC54"/>
    <mergeCell ref="A67:B67"/>
    <mergeCell ref="BO67:BP67"/>
    <mergeCell ref="GE51:GE54"/>
    <mergeCell ref="A68:B68"/>
    <mergeCell ref="GE59:GE62"/>
    <mergeCell ref="GG51:GG54"/>
    <mergeCell ref="GG59:GG62"/>
    <mergeCell ref="O78:R78"/>
    <mergeCell ref="S78:V78"/>
    <mergeCell ref="BQ78:BT78"/>
    <mergeCell ref="BU78:BX78"/>
    <mergeCell ref="EG71:FB71"/>
    <mergeCell ref="A72:B72"/>
    <mergeCell ref="A77:V77"/>
    <mergeCell ref="AQ77:AU78"/>
    <mergeCell ref="BO77:CJ77"/>
    <mergeCell ref="DE77:DI78"/>
    <mergeCell ref="DO77:DS78"/>
    <mergeCell ref="EA77:EE78"/>
    <mergeCell ref="EG77:GG77"/>
    <mergeCell ref="C78:F78"/>
    <mergeCell ref="GF78:GG79"/>
    <mergeCell ref="EI78:EL78"/>
    <mergeCell ref="EM78:EP78"/>
    <mergeCell ref="EQ78:ET78"/>
    <mergeCell ref="G78:J78"/>
    <mergeCell ref="K78:N78"/>
    <mergeCell ref="GH78:GH79"/>
    <mergeCell ref="DF55:DF65"/>
    <mergeCell ref="DO55:DO65"/>
    <mergeCell ref="DZ55:DZ58"/>
    <mergeCell ref="EG55:EG58"/>
    <mergeCell ref="EG59:EG62"/>
    <mergeCell ref="AQ66:AZ66"/>
    <mergeCell ref="GP78:GP79"/>
    <mergeCell ref="A80:A84"/>
    <mergeCell ref="BO80:BO84"/>
    <mergeCell ref="DZ80:DZ83"/>
    <mergeCell ref="EG80:EG84"/>
    <mergeCell ref="FY80:FY84"/>
    <mergeCell ref="GA80:GA84"/>
    <mergeCell ref="GC80:GC84"/>
    <mergeCell ref="EU78:EX78"/>
    <mergeCell ref="EY78:FB78"/>
    <mergeCell ref="FX78:FY79"/>
    <mergeCell ref="FZ78:GA79"/>
    <mergeCell ref="GB78:GC79"/>
    <mergeCell ref="GD78:GE79"/>
    <mergeCell ref="BY78:CB78"/>
    <mergeCell ref="CC78:CF78"/>
    <mergeCell ref="CG78:CJ78"/>
    <mergeCell ref="GE80:GE84"/>
    <mergeCell ref="GG80:GG84"/>
    <mergeCell ref="GH80:GH84"/>
    <mergeCell ref="GP80:GP84"/>
    <mergeCell ref="DZ84:DZ87"/>
    <mergeCell ref="A85:A88"/>
    <mergeCell ref="AQ85:AQ99"/>
    <mergeCell ref="BO85:BO88"/>
    <mergeCell ref="DE85:DE99"/>
    <mergeCell ref="DO85:DO99"/>
    <mergeCell ref="GP85:GP88"/>
    <mergeCell ref="DZ88:DZ90"/>
    <mergeCell ref="A89:A92"/>
    <mergeCell ref="AR89:AR99"/>
    <mergeCell ref="BO89:BO92"/>
    <mergeCell ref="DF89:DF99"/>
    <mergeCell ref="DP89:DP99"/>
    <mergeCell ref="EG89:EG92"/>
    <mergeCell ref="GC89:GC92"/>
    <mergeCell ref="GE89:GE92"/>
    <mergeCell ref="EG85:EG88"/>
    <mergeCell ref="GA85:GA88"/>
    <mergeCell ref="GC85:GC88"/>
    <mergeCell ref="GE85:GE88"/>
    <mergeCell ref="GG85:GG88"/>
    <mergeCell ref="GH85:GH88"/>
    <mergeCell ref="GP94:GP99"/>
    <mergeCell ref="DH97:DI99"/>
    <mergeCell ref="DR97:DS99"/>
    <mergeCell ref="GG89:GG92"/>
    <mergeCell ref="GH89:GH93"/>
    <mergeCell ref="GP89:GP93"/>
    <mergeCell ref="DZ91:DZ94"/>
    <mergeCell ref="A102:B102"/>
    <mergeCell ref="BO102:BP102"/>
    <mergeCell ref="GG93:GG96"/>
    <mergeCell ref="AS94:AS99"/>
    <mergeCell ref="GH94:GH99"/>
    <mergeCell ref="A103:B103"/>
    <mergeCell ref="EG105:FB105"/>
    <mergeCell ref="A107:B107"/>
    <mergeCell ref="A109:B109"/>
    <mergeCell ref="A93:A96"/>
    <mergeCell ref="BO93:BO96"/>
    <mergeCell ref="DG93:DG99"/>
    <mergeCell ref="DQ93:DQ99"/>
    <mergeCell ref="EG93:EG96"/>
    <mergeCell ref="GE93:GE96"/>
    <mergeCell ref="AQ100:AU100"/>
    <mergeCell ref="DE100:DI100"/>
    <mergeCell ref="DO100:DS100"/>
    <mergeCell ref="EH100:FB100"/>
    <mergeCell ref="A113:V113"/>
    <mergeCell ref="AQ113:AU114"/>
    <mergeCell ref="BO113:CJ113"/>
    <mergeCell ref="DE113:DI114"/>
    <mergeCell ref="DO113:DS114"/>
    <mergeCell ref="EA113:EE114"/>
    <mergeCell ref="EG113:GG113"/>
    <mergeCell ref="C114:F114"/>
    <mergeCell ref="G114:J114"/>
    <mergeCell ref="K114:N114"/>
    <mergeCell ref="O114:R114"/>
    <mergeCell ref="S114:V114"/>
    <mergeCell ref="BQ114:BT114"/>
    <mergeCell ref="BU114:BX114"/>
    <mergeCell ref="BY114:CB114"/>
    <mergeCell ref="CC114:CF114"/>
    <mergeCell ref="GK114:GK115"/>
    <mergeCell ref="A116:A120"/>
    <mergeCell ref="BO116:BO120"/>
    <mergeCell ref="DZ116:DZ119"/>
    <mergeCell ref="EG116:EG120"/>
    <mergeCell ref="FY116:FY120"/>
    <mergeCell ref="GA116:GA120"/>
    <mergeCell ref="GC116:GC120"/>
    <mergeCell ref="GE116:GE120"/>
    <mergeCell ref="GG116:GG120"/>
    <mergeCell ref="FX114:FY115"/>
    <mergeCell ref="FZ114:GA115"/>
    <mergeCell ref="GB114:GC115"/>
    <mergeCell ref="GD114:GE115"/>
    <mergeCell ref="GF114:GG115"/>
    <mergeCell ref="GH114:GH115"/>
    <mergeCell ref="CG114:CJ114"/>
    <mergeCell ref="EI114:EL114"/>
    <mergeCell ref="EM114:EP114"/>
    <mergeCell ref="EQ114:ET114"/>
    <mergeCell ref="EU114:EX114"/>
    <mergeCell ref="EY114:FB114"/>
    <mergeCell ref="GH116:GH120"/>
    <mergeCell ref="GJ116:GJ120"/>
    <mergeCell ref="GK116:GK120"/>
    <mergeCell ref="DZ120:DZ123"/>
    <mergeCell ref="A121:A124"/>
    <mergeCell ref="AQ121:AQ135"/>
    <mergeCell ref="BO121:BO124"/>
    <mergeCell ref="DE121:DE135"/>
    <mergeCell ref="DO121:DO135"/>
    <mergeCell ref="EG121:EG124"/>
    <mergeCell ref="GK121:GK124"/>
    <mergeCell ref="DZ124:DZ126"/>
    <mergeCell ref="A125:A128"/>
    <mergeCell ref="AR125:AR135"/>
    <mergeCell ref="BO125:BO128"/>
    <mergeCell ref="DF125:DF135"/>
    <mergeCell ref="DP125:DP135"/>
    <mergeCell ref="EG125:EG128"/>
    <mergeCell ref="GC125:GC128"/>
    <mergeCell ref="GE125:GE128"/>
    <mergeCell ref="GA121:GA124"/>
    <mergeCell ref="GC121:GC124"/>
    <mergeCell ref="GE121:GE124"/>
    <mergeCell ref="GG121:GG124"/>
    <mergeCell ref="GH121:GH124"/>
    <mergeCell ref="GJ121:GJ124"/>
    <mergeCell ref="GJ129:GJ132"/>
    <mergeCell ref="AS130:AS135"/>
    <mergeCell ref="GH130:GH135"/>
    <mergeCell ref="GK130:GK135"/>
    <mergeCell ref="DH133:DI135"/>
    <mergeCell ref="DR133:DS135"/>
    <mergeCell ref="GG125:GG128"/>
    <mergeCell ref="GH125:GH129"/>
    <mergeCell ref="GJ125:GJ128"/>
    <mergeCell ref="GK125:GK129"/>
    <mergeCell ref="DZ127:DZ130"/>
    <mergeCell ref="BO129:BO132"/>
    <mergeCell ref="DG129:DG135"/>
    <mergeCell ref="DQ129:DQ135"/>
    <mergeCell ref="EG129:EG132"/>
    <mergeCell ref="AQ136:AU136"/>
    <mergeCell ref="DE136:DI136"/>
    <mergeCell ref="DO136:DS136"/>
    <mergeCell ref="EH136:FB136"/>
    <mergeCell ref="A137:B137"/>
    <mergeCell ref="A138:B138"/>
    <mergeCell ref="BO138:BP138"/>
    <mergeCell ref="GE129:GE132"/>
    <mergeCell ref="GG129:GG132"/>
    <mergeCell ref="A129:A132"/>
    <mergeCell ref="A139:B139"/>
    <mergeCell ref="A140:B140"/>
    <mergeCell ref="A141:B141"/>
    <mergeCell ref="EG141:FB141"/>
    <mergeCell ref="A142:B142"/>
    <mergeCell ref="A155:V155"/>
    <mergeCell ref="AQ155:AU156"/>
    <mergeCell ref="BO155:CJ155"/>
    <mergeCell ref="DE155:DI156"/>
    <mergeCell ref="DO155:DS156"/>
    <mergeCell ref="EG155:GG155"/>
    <mergeCell ref="C156:F156"/>
    <mergeCell ref="G156:J156"/>
    <mergeCell ref="K156:N156"/>
    <mergeCell ref="O156:R156"/>
    <mergeCell ref="S156:V156"/>
    <mergeCell ref="BQ156:BT156"/>
    <mergeCell ref="BU156:BX156"/>
    <mergeCell ref="BY156:CB156"/>
    <mergeCell ref="CC156:CF156"/>
    <mergeCell ref="GK156:GK157"/>
    <mergeCell ref="A158:A162"/>
    <mergeCell ref="BO158:BO162"/>
    <mergeCell ref="EG158:EG162"/>
    <mergeCell ref="FY158:FY162"/>
    <mergeCell ref="GA158:GA162"/>
    <mergeCell ref="GC158:GC162"/>
    <mergeCell ref="GE158:GE162"/>
    <mergeCell ref="GG158:GG162"/>
    <mergeCell ref="GH158:GH162"/>
    <mergeCell ref="FX156:FY157"/>
    <mergeCell ref="FZ156:GA157"/>
    <mergeCell ref="GB156:GC157"/>
    <mergeCell ref="GD156:GE157"/>
    <mergeCell ref="GF156:GG157"/>
    <mergeCell ref="GH156:GH157"/>
    <mergeCell ref="CG156:CJ156"/>
    <mergeCell ref="EI156:EL156"/>
    <mergeCell ref="EM156:EP156"/>
    <mergeCell ref="EQ156:ET156"/>
    <mergeCell ref="EU156:EX156"/>
    <mergeCell ref="EY156:FB156"/>
    <mergeCell ref="GJ158:GJ162"/>
    <mergeCell ref="GK158:GK162"/>
    <mergeCell ref="A163:A166"/>
    <mergeCell ref="AQ163:AQ177"/>
    <mergeCell ref="BO163:BO166"/>
    <mergeCell ref="DE163:DE177"/>
    <mergeCell ref="DO163:DO177"/>
    <mergeCell ref="EG163:EG166"/>
    <mergeCell ref="GA163:GA166"/>
    <mergeCell ref="GC163:GC166"/>
    <mergeCell ref="GE163:GE166"/>
    <mergeCell ref="GG163:GG166"/>
    <mergeCell ref="GH163:GH166"/>
    <mergeCell ref="GJ163:GJ166"/>
    <mergeCell ref="GK163:GK166"/>
    <mergeCell ref="A167:A170"/>
    <mergeCell ref="AR167:AR177"/>
    <mergeCell ref="BO167:BO170"/>
    <mergeCell ref="DF167:DF177"/>
    <mergeCell ref="DP167:DP177"/>
    <mergeCell ref="A171:A174"/>
    <mergeCell ref="BO171:BO174"/>
    <mergeCell ref="DG171:DG177"/>
    <mergeCell ref="DQ171:DQ177"/>
    <mergeCell ref="EG171:EG174"/>
    <mergeCell ref="GE171:GE174"/>
    <mergeCell ref="GG171:GG174"/>
    <mergeCell ref="GJ171:GJ174"/>
    <mergeCell ref="AS172:AS177"/>
    <mergeCell ref="GH167:GH171"/>
    <mergeCell ref="GJ167:GJ170"/>
    <mergeCell ref="GH172:GH177"/>
    <mergeCell ref="GK172:GK177"/>
    <mergeCell ref="DH175:DI177"/>
    <mergeCell ref="DR175:DS177"/>
    <mergeCell ref="AQ178:AU178"/>
    <mergeCell ref="DE178:DI178"/>
    <mergeCell ref="DO178:DS178"/>
    <mergeCell ref="EH178:FB178"/>
    <mergeCell ref="GK167:GK171"/>
    <mergeCell ref="EG167:EG170"/>
    <mergeCell ref="GC167:GC170"/>
    <mergeCell ref="GE167:GE170"/>
    <mergeCell ref="GG167:GG170"/>
    <mergeCell ref="F224:I224"/>
    <mergeCell ref="F230:I230"/>
    <mergeCell ref="A179:B179"/>
    <mergeCell ref="A180:B180"/>
    <mergeCell ref="BO180:BP180"/>
    <mergeCell ref="A181:B181"/>
    <mergeCell ref="EG183:FB183"/>
    <mergeCell ref="F218:I218"/>
    <mergeCell ref="J218:M218"/>
    <mergeCell ref="N218:Q218"/>
  </mergeCells>
  <conditionalFormatting sqref="BI4:BI20">
    <cfRule type="cellIs" dxfId="0" priority="1" operator="greaterThan">
      <formula>9.47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7218-AB01-4642-B8AC-D565D0C00DAC}">
  <dimension ref="A1:AU67"/>
  <sheetViews>
    <sheetView topLeftCell="D22" zoomScale="85" zoomScaleNormal="85" workbookViewId="0">
      <selection activeCell="AA31" sqref="AA31"/>
    </sheetView>
  </sheetViews>
  <sheetFormatPr defaultRowHeight="14.45"/>
  <cols>
    <col min="1" max="1" width="11.5703125" bestFit="1" customWidth="1"/>
    <col min="2" max="2" width="25.5703125" bestFit="1" customWidth="1"/>
    <col min="3" max="3" width="18.5703125" customWidth="1"/>
    <col min="4" max="4" width="22.5703125" bestFit="1" customWidth="1"/>
    <col min="5" max="5" width="29.42578125" bestFit="1" customWidth="1"/>
    <col min="6" max="6" width="19.5703125" bestFit="1" customWidth="1"/>
    <col min="7" max="7" width="21.5703125" bestFit="1" customWidth="1"/>
    <col min="8" max="8" width="18.28515625" bestFit="1" customWidth="1"/>
    <col min="9" max="9" width="15.42578125" bestFit="1" customWidth="1"/>
    <col min="10" max="10" width="16.7109375" bestFit="1" customWidth="1"/>
    <col min="11" max="11" width="10.42578125" customWidth="1"/>
    <col min="27" max="27" width="27.5703125" bestFit="1" customWidth="1"/>
    <col min="28" max="29" width="11.28515625" bestFit="1" customWidth="1"/>
    <col min="30" max="30" width="12" bestFit="1" customWidth="1"/>
    <col min="36" max="36" width="11.28515625" bestFit="1" customWidth="1"/>
  </cols>
  <sheetData>
    <row r="1" spans="1:31">
      <c r="A1" s="206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</row>
    <row r="2" spans="1:31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</row>
    <row r="3" spans="1:31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</row>
    <row r="4" spans="1:31">
      <c r="A4" s="206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</row>
    <row r="5" spans="1:3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</row>
    <row r="6" spans="1:31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</row>
    <row r="7" spans="1:31">
      <c r="A7" s="206"/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</row>
    <row r="8" spans="1:31">
      <c r="A8" s="206"/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</row>
    <row r="9" spans="1:31">
      <c r="A9" s="206"/>
      <c r="B9" s="206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</row>
    <row r="10" spans="1:31">
      <c r="A10" s="206"/>
      <c r="B10" s="206"/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</row>
    <row r="11" spans="1:31">
      <c r="A11" s="206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</row>
    <row r="12" spans="1:31">
      <c r="A12" s="206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</row>
    <row r="13" spans="1:31">
      <c r="A13" s="206"/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</row>
    <row r="14" spans="1:31">
      <c r="A14" s="206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</row>
    <row r="15" spans="1:31">
      <c r="A15" s="206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</row>
    <row r="16" spans="1:31">
      <c r="A16" s="206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</row>
    <row r="17" spans="1:47">
      <c r="A17" s="206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</row>
    <row r="18" spans="1:47">
      <c r="A18" s="206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</row>
    <row r="19" spans="1:47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</row>
    <row r="20" spans="1:47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</row>
    <row r="21" spans="1:47">
      <c r="A21" s="206"/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</row>
    <row r="22" spans="1:47" ht="15" thickBot="1">
      <c r="AA22" s="839" t="s">
        <v>123</v>
      </c>
      <c r="AB22" s="839"/>
      <c r="AC22" s="839"/>
      <c r="AD22" s="839"/>
      <c r="AE22" s="839"/>
      <c r="AF22" s="839"/>
      <c r="AG22" s="839"/>
      <c r="AH22" s="839"/>
      <c r="AI22" s="839"/>
      <c r="AJ22" s="839"/>
      <c r="AK22" s="839"/>
      <c r="AL22" s="839"/>
      <c r="AM22" s="839"/>
      <c r="AN22" s="839"/>
      <c r="AO22" s="839"/>
      <c r="AP22" s="839"/>
    </row>
    <row r="23" spans="1:47" ht="15.6" customHeight="1" thickBot="1">
      <c r="A23" s="750" t="s">
        <v>124</v>
      </c>
      <c r="B23" s="840"/>
      <c r="C23" s="766"/>
      <c r="D23" s="123"/>
      <c r="F23" t="s">
        <v>125</v>
      </c>
      <c r="AA23" s="839"/>
      <c r="AB23" s="839"/>
      <c r="AC23" s="839"/>
      <c r="AD23" s="839"/>
      <c r="AE23" s="839"/>
      <c r="AF23" s="839"/>
      <c r="AG23" s="839"/>
      <c r="AH23" s="839"/>
      <c r="AI23" s="839"/>
      <c r="AJ23" s="839"/>
      <c r="AK23" s="839"/>
      <c r="AL23" s="839"/>
      <c r="AM23" s="839"/>
      <c r="AN23" s="839"/>
      <c r="AO23" s="839"/>
      <c r="AP23" s="839"/>
    </row>
    <row r="24" spans="1:47" ht="15" thickBot="1">
      <c r="A24" s="706"/>
      <c r="B24" s="841"/>
      <c r="C24" s="709"/>
      <c r="D24" s="123"/>
      <c r="AA24" s="393" t="s">
        <v>126</v>
      </c>
      <c r="AB24" s="394" t="str" cm="1">
        <f t="array" ref="AB24:AU24">'[2]Cost Structure'!AD8:AW8</f>
        <v>PLM-SUB</v>
      </c>
      <c r="AC24" s="394" t="str">
        <v>SUB-CGK</v>
      </c>
      <c r="AD24" s="394" t="str">
        <v>CGK-PKY</v>
      </c>
      <c r="AE24" s="394" t="str">
        <v>PKY-CGK</v>
      </c>
      <c r="AF24" s="394" t="str">
        <v>CGK-PLM</v>
      </c>
      <c r="AG24" s="424" t="str">
        <v>MDC-SRG</v>
      </c>
      <c r="AH24" s="424" t="str">
        <v>SRG-KDI</v>
      </c>
      <c r="AI24" s="424" t="str">
        <v>KDI-PNK</v>
      </c>
      <c r="AJ24" s="424" t="str">
        <v>PNK-MDC</v>
      </c>
      <c r="AK24" s="428" t="str">
        <v>TTE-KNO</v>
      </c>
      <c r="AL24" s="428" t="str">
        <v>KNO-PKU</v>
      </c>
      <c r="AM24" s="428" t="str">
        <v>PKU-CGK</v>
      </c>
      <c r="AN24" s="428" t="str">
        <v>CGK-TTE</v>
      </c>
      <c r="AO24" s="394" t="str">
        <v>LOP-TIM</v>
      </c>
      <c r="AP24" s="394" t="str">
        <v>TIM-AMQ</v>
      </c>
      <c r="AQ24" s="394" t="str">
        <v>AMQ-CGK</v>
      </c>
      <c r="AR24" s="394" t="str">
        <v>CGK-LOP</v>
      </c>
      <c r="AS24" s="116">
        <v>0</v>
      </c>
      <c r="AT24" s="116">
        <v>0</v>
      </c>
      <c r="AU24" s="8">
        <v>0</v>
      </c>
    </row>
    <row r="25" spans="1:47" ht="15" thickBot="1">
      <c r="A25" s="7" t="s">
        <v>127</v>
      </c>
      <c r="B25" s="116" t="s">
        <v>128</v>
      </c>
      <c r="C25" s="8" t="s">
        <v>129</v>
      </c>
      <c r="D25" s="104"/>
      <c r="AA25" s="395" t="s">
        <v>130</v>
      </c>
      <c r="AB25" s="396">
        <f>C26+C27</f>
        <v>0.20040999999999998</v>
      </c>
      <c r="AC25" s="397">
        <f>C27+C29</f>
        <v>0.21790999999999999</v>
      </c>
      <c r="AD25" s="397">
        <f>C29+C28</f>
        <v>0.13824999999999998</v>
      </c>
      <c r="AE25" s="397">
        <f>C29+C28</f>
        <v>0.13824999999999998</v>
      </c>
      <c r="AF25" s="397">
        <f>C29+C26</f>
        <v>0.21349999999999997</v>
      </c>
      <c r="AG25" s="425">
        <f>C30+C31</f>
        <v>0.15651999999999999</v>
      </c>
      <c r="AH25" s="425">
        <f>C31+C38</f>
        <v>0.16932999999999998</v>
      </c>
      <c r="AI25" s="425">
        <f>C38+C39</f>
        <v>0.20348999999999998</v>
      </c>
      <c r="AJ25" s="426">
        <f>C30+C38</f>
        <v>0.19200999999999996</v>
      </c>
      <c r="AK25" s="429">
        <f>C33+C34</f>
        <v>0.21875</v>
      </c>
      <c r="AL25" s="429">
        <f>C34+C41</f>
        <v>0.22924999999999998</v>
      </c>
      <c r="AM25" s="429">
        <f>C41+C29</f>
        <v>0.20299999999999999</v>
      </c>
      <c r="AN25" s="429">
        <f>C29+C33</f>
        <v>0.1925</v>
      </c>
      <c r="AO25" s="397">
        <f>C37+C36</f>
        <v>0.12914999999999999</v>
      </c>
      <c r="AP25" s="397">
        <f>C32+C37</f>
        <v>0.13047999999999998</v>
      </c>
      <c r="AQ25" s="397">
        <f>C29+C32</f>
        <v>0.18073999999999998</v>
      </c>
      <c r="AR25" s="397">
        <f>C29+C36</f>
        <v>0.17940999999999999</v>
      </c>
      <c r="AS25" s="116"/>
      <c r="AT25" s="116"/>
      <c r="AU25" s="8"/>
    </row>
    <row r="26" spans="1:47">
      <c r="A26" s="244" t="s">
        <v>131</v>
      </c>
      <c r="B26" s="398">
        <v>1400</v>
      </c>
      <c r="C26" s="399">
        <f>B26*0.00007</f>
        <v>9.799999999999999E-2</v>
      </c>
      <c r="D26" s="104"/>
      <c r="AA26" s="400" t="s">
        <v>132</v>
      </c>
      <c r="AB26" s="401">
        <f>AE47</f>
        <v>35.302651999999995</v>
      </c>
      <c r="AC26" s="402">
        <f>AG47</f>
        <v>45.629989999999999</v>
      </c>
      <c r="AD26" s="402">
        <f>AF47</f>
        <v>18.983999999999998</v>
      </c>
      <c r="AE26" s="402">
        <f>AG47</f>
        <v>45.629989999999999</v>
      </c>
      <c r="AF26" s="402">
        <f>AD47</f>
        <v>35.434055999999998</v>
      </c>
      <c r="AG26" s="427">
        <f>AI47</f>
        <v>24.566807999999998</v>
      </c>
      <c r="AH26" s="427">
        <f>AP47</f>
        <v>33.913851999999999</v>
      </c>
      <c r="AI26" s="427">
        <f>AQ47</f>
        <v>35.434055999999998</v>
      </c>
      <c r="AJ26" s="427">
        <f>AH47</f>
        <v>32.664939999999994</v>
      </c>
      <c r="AK26" s="430">
        <f>AL47</f>
        <v>49.479443999999994</v>
      </c>
      <c r="AL26" s="430">
        <f>AR47</f>
        <v>27.489755999999996</v>
      </c>
      <c r="AM26" s="430">
        <f>AG47</f>
        <v>45.629989999999999</v>
      </c>
      <c r="AN26" s="430">
        <f>AK47</f>
        <v>24.351208</v>
      </c>
      <c r="AO26" s="402">
        <f>AO47</f>
        <v>24.351208</v>
      </c>
      <c r="AP26" s="402">
        <f>AO47</f>
        <v>24.351208</v>
      </c>
      <c r="AQ26" s="402">
        <f>AG47</f>
        <v>45.629989999999999</v>
      </c>
      <c r="AR26" s="402">
        <f>AN47</f>
        <v>22.254973999999994</v>
      </c>
      <c r="AS26" s="398"/>
      <c r="AT26" s="398"/>
      <c r="AU26" s="399"/>
    </row>
    <row r="27" spans="1:47">
      <c r="A27" s="250" t="s">
        <v>133</v>
      </c>
      <c r="B27" s="110">
        <v>1463</v>
      </c>
      <c r="C27" s="403">
        <f t="shared" ref="C27:C39" si="0">B27*0.00007</f>
        <v>0.10240999999999999</v>
      </c>
      <c r="D27" s="104"/>
      <c r="AA27" s="419" t="s">
        <v>134</v>
      </c>
      <c r="AB27" s="420">
        <f t="shared" ref="AB27" si="1">AE48</f>
        <v>29.642458999999995</v>
      </c>
      <c r="AC27" s="208">
        <f t="shared" ref="AC27:AC30" si="2">AG48</f>
        <v>38.424504999999996</v>
      </c>
      <c r="AD27" s="208">
        <f t="shared" ref="AD27:AE30" si="3">AF48</f>
        <v>15.777999999999997</v>
      </c>
      <c r="AE27" s="208">
        <f t="shared" si="3"/>
        <v>38.424504999999996</v>
      </c>
      <c r="AF27" s="208">
        <f t="shared" ref="AF27:AF30" si="4">AD48</f>
        <v>29.838784499999996</v>
      </c>
      <c r="AG27" s="208">
        <f>AI48</f>
        <v>20.600985999999999</v>
      </c>
      <c r="AH27" s="208">
        <f>AP48</f>
        <v>28.253658999999995</v>
      </c>
      <c r="AI27" s="208">
        <f>AQ48</f>
        <v>29.838784499999996</v>
      </c>
      <c r="AJ27" s="208">
        <f>AH48</f>
        <v>27.383054999999999</v>
      </c>
      <c r="AK27" s="208">
        <f>AL48</f>
        <v>41.132622999999988</v>
      </c>
      <c r="AL27" s="208">
        <f t="shared" ref="AL27:AL30" si="5">AR48</f>
        <v>22.852276999999997</v>
      </c>
      <c r="AM27" s="208">
        <f t="shared" ref="AM27:AM30" si="6">AM48</f>
        <v>24.605836499999995</v>
      </c>
      <c r="AN27" s="208">
        <f>AK48</f>
        <v>20.385385999999997</v>
      </c>
      <c r="AO27" s="208">
        <f t="shared" ref="AO27:AO30" si="7">AK48</f>
        <v>20.385385999999997</v>
      </c>
      <c r="AP27" s="208">
        <f t="shared" ref="AP27:AP30" si="8">AO48</f>
        <v>20.385385999999997</v>
      </c>
      <c r="AQ27" s="208">
        <f>AG48</f>
        <v>38.424504999999996</v>
      </c>
      <c r="AR27" s="208">
        <f>AN48</f>
        <v>18.673070499999994</v>
      </c>
      <c r="AS27" s="110"/>
      <c r="AT27" s="110"/>
      <c r="AU27" s="403"/>
    </row>
    <row r="28" spans="1:47">
      <c r="A28" s="250" t="s">
        <v>135</v>
      </c>
      <c r="B28" s="110">
        <v>325</v>
      </c>
      <c r="C28" s="403">
        <f t="shared" si="0"/>
        <v>2.2749999999999999E-2</v>
      </c>
      <c r="D28" s="104"/>
      <c r="AA28" s="419" t="s">
        <v>136</v>
      </c>
      <c r="AB28" s="420">
        <f>AE49</f>
        <v>40.344919999999995</v>
      </c>
      <c r="AC28" s="208">
        <f>AG49</f>
        <v>52.048849999999995</v>
      </c>
      <c r="AD28" s="208">
        <f>AF49</f>
        <v>21.84</v>
      </c>
      <c r="AE28" s="208">
        <f>AG49</f>
        <v>52.048849999999995</v>
      </c>
      <c r="AF28" s="208">
        <f>AD49</f>
        <v>40.418489999999998</v>
      </c>
      <c r="AG28" s="208">
        <f>AI49</f>
        <v>28.099679999999996</v>
      </c>
      <c r="AH28" s="208">
        <f>AJ49</f>
        <v>27.884079999999997</v>
      </c>
      <c r="AI28" s="208">
        <f>AG49</f>
        <v>52.048849999999995</v>
      </c>
      <c r="AJ28" s="208">
        <f>AH49</f>
        <v>37.370199999999997</v>
      </c>
      <c r="AK28" s="208">
        <f>AL49</f>
        <v>56.915039999999998</v>
      </c>
      <c r="AL28" s="208">
        <f>AR49</f>
        <v>31.620959999999997</v>
      </c>
      <c r="AM28" s="208">
        <f>AM49</f>
        <v>33.330569999999994</v>
      </c>
      <c r="AN28" s="208">
        <f>AS49</f>
        <v>40.344919999999995</v>
      </c>
      <c r="AO28" s="208">
        <f>AK49</f>
        <v>27.884079999999997</v>
      </c>
      <c r="AP28" s="208">
        <f>AO49</f>
        <v>27.884079999999997</v>
      </c>
      <c r="AQ28" s="208">
        <f>AS49</f>
        <v>40.344919999999995</v>
      </c>
      <c r="AR28" s="208">
        <f>AP49</f>
        <v>38.956119999999999</v>
      </c>
      <c r="AS28" s="404"/>
      <c r="AT28" s="404"/>
      <c r="AU28" s="405"/>
    </row>
    <row r="29" spans="1:47">
      <c r="A29" s="250" t="s">
        <v>137</v>
      </c>
      <c r="B29" s="110">
        <v>1650</v>
      </c>
      <c r="C29" s="403">
        <f t="shared" si="0"/>
        <v>0.11549999999999999</v>
      </c>
      <c r="D29" s="104"/>
      <c r="AA29" s="419" t="s">
        <v>138</v>
      </c>
      <c r="AB29" s="420">
        <f t="shared" ref="AB29" si="9">AE50</f>
        <v>93.584119999999999</v>
      </c>
      <c r="AC29" s="208">
        <f t="shared" si="2"/>
        <v>119.82263999999999</v>
      </c>
      <c r="AD29" s="208">
        <f t="shared" si="3"/>
        <v>55.65</v>
      </c>
      <c r="AE29" s="208">
        <f t="shared" si="3"/>
        <v>119.82263999999999</v>
      </c>
      <c r="AF29" s="208">
        <f t="shared" si="4"/>
        <v>93.048059999999992</v>
      </c>
      <c r="AG29" s="208">
        <f>AI51</f>
        <v>50.491597800000001</v>
      </c>
      <c r="AH29" s="208">
        <f>AP50</f>
        <v>90.42340999999999</v>
      </c>
      <c r="AI29" s="208">
        <f>AQ50</f>
        <v>93.048059999999992</v>
      </c>
      <c r="AJ29" s="208">
        <f>AH50</f>
        <v>87.052209999999988</v>
      </c>
      <c r="AK29" s="208">
        <f t="shared" ref="AK29:AK30" si="10">AL50</f>
        <v>139.68633</v>
      </c>
      <c r="AL29" s="208">
        <f t="shared" si="5"/>
        <v>79.70487</v>
      </c>
      <c r="AM29" s="208">
        <f t="shared" si="6"/>
        <v>76.726579999999998</v>
      </c>
      <c r="AN29" s="208">
        <f>AK50</f>
        <v>65.182179999999988</v>
      </c>
      <c r="AO29" s="208">
        <f t="shared" si="7"/>
        <v>65.182179999999988</v>
      </c>
      <c r="AP29" s="208">
        <f t="shared" si="8"/>
        <v>65.182179999999988</v>
      </c>
      <c r="AQ29" s="208">
        <f>AG50</f>
        <v>119.82263999999999</v>
      </c>
      <c r="AR29" s="208">
        <f>AN50</f>
        <v>59.132149999999996</v>
      </c>
      <c r="AS29" s="110"/>
      <c r="AT29" s="110"/>
      <c r="AU29" s="403"/>
    </row>
    <row r="30" spans="1:47" ht="15" thickBot="1">
      <c r="A30" s="250" t="s">
        <v>139</v>
      </c>
      <c r="B30" s="110">
        <v>1280</v>
      </c>
      <c r="C30" s="403">
        <f t="shared" si="0"/>
        <v>8.9599999999999985E-2</v>
      </c>
      <c r="D30" s="104"/>
      <c r="AA30" s="421" t="s">
        <v>140</v>
      </c>
      <c r="AB30" s="422">
        <f>AE51</f>
        <v>72.306791199999992</v>
      </c>
      <c r="AC30" s="423">
        <f t="shared" si="2"/>
        <v>92.73568010000001</v>
      </c>
      <c r="AD30" s="423">
        <f t="shared" si="3"/>
        <v>41.954499999999996</v>
      </c>
      <c r="AE30" s="423">
        <f t="shared" si="3"/>
        <v>92.73568010000001</v>
      </c>
      <c r="AF30" s="423">
        <f t="shared" si="4"/>
        <v>72.014511099999993</v>
      </c>
      <c r="AG30" s="423">
        <f>AI50</f>
        <v>65.397779999999997</v>
      </c>
      <c r="AH30" s="423">
        <f>AP51</f>
        <v>70.567674099999991</v>
      </c>
      <c r="AI30" s="423">
        <f>AQ51</f>
        <v>72.014511099999993</v>
      </c>
      <c r="AJ30" s="423">
        <f>AH51</f>
        <v>67.196474099999989</v>
      </c>
      <c r="AK30" s="423">
        <f t="shared" si="10"/>
        <v>106.44187329999998</v>
      </c>
      <c r="AL30" s="423">
        <f t="shared" si="5"/>
        <v>61.235118699999994</v>
      </c>
      <c r="AM30" s="423">
        <f t="shared" si="6"/>
        <v>59.382598800000004</v>
      </c>
      <c r="AN30" s="423">
        <f>AK51</f>
        <v>50.275997799999999</v>
      </c>
      <c r="AO30" s="423">
        <f t="shared" si="7"/>
        <v>50.275997799999999</v>
      </c>
      <c r="AP30" s="423">
        <f t="shared" si="8"/>
        <v>50.275997799999999</v>
      </c>
      <c r="AQ30" s="423">
        <f>AG51</f>
        <v>92.73568010000001</v>
      </c>
      <c r="AR30" s="423">
        <f>AN51</f>
        <v>45.669473500000002</v>
      </c>
      <c r="AS30" s="406"/>
      <c r="AT30" s="406"/>
      <c r="AU30" s="407"/>
    </row>
    <row r="31" spans="1:47">
      <c r="A31" s="250" t="s">
        <v>141</v>
      </c>
      <c r="B31" s="110">
        <v>956</v>
      </c>
      <c r="C31" s="403">
        <f t="shared" si="0"/>
        <v>6.6919999999999993E-2</v>
      </c>
      <c r="D31" s="104"/>
    </row>
    <row r="32" spans="1:47">
      <c r="A32" s="250" t="s">
        <v>142</v>
      </c>
      <c r="B32" s="110">
        <v>932</v>
      </c>
      <c r="C32" s="403">
        <f t="shared" si="0"/>
        <v>6.5239999999999992E-2</v>
      </c>
      <c r="D32" s="104"/>
      <c r="K32" s="193"/>
      <c r="L32" s="99"/>
    </row>
    <row r="33" spans="1:45">
      <c r="A33" s="250" t="s">
        <v>143</v>
      </c>
      <c r="B33" s="110">
        <v>1100</v>
      </c>
      <c r="C33" s="403">
        <f t="shared" si="0"/>
        <v>7.6999999999999999E-2</v>
      </c>
      <c r="D33" s="104"/>
      <c r="K33" s="193"/>
      <c r="L33" s="99"/>
    </row>
    <row r="34" spans="1:45">
      <c r="A34" s="250" t="s">
        <v>144</v>
      </c>
      <c r="B34" s="110">
        <v>2025</v>
      </c>
      <c r="C34" s="403">
        <f t="shared" si="0"/>
        <v>0.14174999999999999</v>
      </c>
      <c r="D34" s="104"/>
      <c r="K34" s="193"/>
      <c r="L34" s="99"/>
    </row>
    <row r="35" spans="1:45">
      <c r="A35" s="250" t="s">
        <v>145</v>
      </c>
      <c r="B35" s="110">
        <v>1155</v>
      </c>
      <c r="C35" s="403">
        <f t="shared" si="0"/>
        <v>8.0849999999999991E-2</v>
      </c>
      <c r="D35" s="104"/>
      <c r="K35" s="193"/>
      <c r="L35" s="99"/>
    </row>
    <row r="36" spans="1:45">
      <c r="A36" s="250" t="s">
        <v>146</v>
      </c>
      <c r="B36" s="110">
        <v>913</v>
      </c>
      <c r="C36" s="403">
        <f t="shared" si="0"/>
        <v>6.3909999999999995E-2</v>
      </c>
      <c r="D36" s="104"/>
      <c r="K36" s="193"/>
      <c r="L36" s="99"/>
    </row>
    <row r="37" spans="1:45">
      <c r="A37" s="250" t="s">
        <v>147</v>
      </c>
      <c r="B37" s="110">
        <v>932</v>
      </c>
      <c r="C37" s="403">
        <f t="shared" si="0"/>
        <v>6.5239999999999992E-2</v>
      </c>
      <c r="D37" s="104"/>
      <c r="K37" s="193"/>
      <c r="L37" s="99"/>
    </row>
    <row r="38" spans="1:45">
      <c r="A38" s="250" t="s">
        <v>148</v>
      </c>
      <c r="B38" s="110">
        <v>1463</v>
      </c>
      <c r="C38" s="403">
        <f t="shared" si="0"/>
        <v>0.10240999999999999</v>
      </c>
      <c r="D38" s="104"/>
      <c r="K38" s="193"/>
      <c r="L38" s="99"/>
    </row>
    <row r="39" spans="1:45" ht="15" thickBot="1">
      <c r="A39" s="261" t="s">
        <v>149</v>
      </c>
      <c r="B39" s="406">
        <v>1444</v>
      </c>
      <c r="C39" s="407">
        <f t="shared" si="0"/>
        <v>0.10107999999999999</v>
      </c>
      <c r="D39" s="104"/>
      <c r="K39" s="193"/>
      <c r="L39" s="99"/>
    </row>
    <row r="40" spans="1:45" ht="15" thickBot="1">
      <c r="A40" s="104" t="s">
        <v>150</v>
      </c>
      <c r="B40" s="408">
        <v>1463</v>
      </c>
      <c r="C40" s="407">
        <f>B40*0.00007</f>
        <v>0.10240999999999999</v>
      </c>
      <c r="K40" s="193"/>
      <c r="L40" s="99"/>
    </row>
    <row r="41" spans="1:45" ht="15" thickBot="1">
      <c r="A41" s="104" t="s">
        <v>151</v>
      </c>
      <c r="B41" s="104">
        <v>1250</v>
      </c>
      <c r="C41" s="407">
        <f>B41*0.00007</f>
        <v>8.7499999999999994E-2</v>
      </c>
      <c r="K41" s="193"/>
      <c r="L41" s="99"/>
    </row>
    <row r="42" spans="1:45">
      <c r="F42">
        <v>20.329999999999998</v>
      </c>
      <c r="H42">
        <v>23</v>
      </c>
      <c r="K42" s="193"/>
      <c r="L42" s="99"/>
    </row>
    <row r="43" spans="1:45">
      <c r="K43" s="193"/>
      <c r="L43" s="99"/>
    </row>
    <row r="44" spans="1:45">
      <c r="A44" s="842" t="s">
        <v>152</v>
      </c>
      <c r="B44" s="767"/>
      <c r="C44" s="767"/>
      <c r="D44" s="767"/>
      <c r="E44" s="767"/>
      <c r="F44" s="767"/>
      <c r="G44" s="767"/>
      <c r="H44" s="767"/>
      <c r="I44" s="767"/>
      <c r="J44" s="767"/>
      <c r="K44" s="193"/>
      <c r="L44" s="99"/>
    </row>
    <row r="45" spans="1:45" ht="15" thickBot="1">
      <c r="A45" s="843"/>
      <c r="B45" s="844"/>
      <c r="C45" s="844"/>
      <c r="D45" s="844"/>
      <c r="E45" s="844"/>
      <c r="F45" s="844"/>
      <c r="G45" s="844"/>
      <c r="H45" s="844"/>
      <c r="I45" s="767"/>
      <c r="J45" s="767"/>
      <c r="K45" s="193"/>
      <c r="L45" s="99"/>
    </row>
    <row r="46" spans="1:45" ht="29.45" thickBot="1">
      <c r="A46" s="409" t="s">
        <v>127</v>
      </c>
      <c r="B46" s="119" t="s">
        <v>153</v>
      </c>
      <c r="C46" s="410" t="s">
        <v>154</v>
      </c>
      <c r="D46" s="119" t="s">
        <v>155</v>
      </c>
      <c r="E46" s="119" t="s">
        <v>156</v>
      </c>
      <c r="F46" s="119" t="s">
        <v>157</v>
      </c>
      <c r="G46" s="119" t="s">
        <v>158</v>
      </c>
      <c r="H46" s="119" t="s">
        <v>159</v>
      </c>
      <c r="I46" s="119" t="s">
        <v>160</v>
      </c>
      <c r="J46" s="411" t="s">
        <v>78</v>
      </c>
      <c r="K46" s="99"/>
      <c r="L46" s="99"/>
      <c r="AD46" t="str" cm="1">
        <f t="array" ref="AD46:AS46">TRANSPOSE(A47:A62)</f>
        <v>PLM</v>
      </c>
      <c r="AE46" t="str">
        <v>SUB</v>
      </c>
      <c r="AF46" t="str">
        <v>PKY</v>
      </c>
      <c r="AG46" t="str">
        <v>CGK</v>
      </c>
      <c r="AH46" t="str">
        <v>MDC</v>
      </c>
      <c r="AI46" t="str">
        <v>SRG</v>
      </c>
      <c r="AJ46" t="str">
        <v>AMQ</v>
      </c>
      <c r="AK46" t="str">
        <v>TTE</v>
      </c>
      <c r="AL46" t="str">
        <v>KNO</v>
      </c>
      <c r="AM46" t="str">
        <v>BDO</v>
      </c>
      <c r="AN46" t="str">
        <v xml:space="preserve">SWQ </v>
      </c>
      <c r="AO46" t="str">
        <v>TIM</v>
      </c>
      <c r="AP46" t="str">
        <v>KDI</v>
      </c>
      <c r="AQ46" t="str">
        <v>PNK</v>
      </c>
      <c r="AR46" t="str">
        <v>PKU</v>
      </c>
      <c r="AS46" t="str">
        <v>UPG</v>
      </c>
    </row>
    <row r="47" spans="1:45">
      <c r="A47" s="297" t="s">
        <v>131</v>
      </c>
      <c r="B47" s="104">
        <v>661185</v>
      </c>
      <c r="C47" s="104">
        <v>242319</v>
      </c>
      <c r="D47" s="104">
        <v>7679</v>
      </c>
      <c r="E47" s="104">
        <v>6981</v>
      </c>
      <c r="F47" s="104">
        <f>($C47+$E47*('[2]cost rute lama'!$B$11/1000-40))*0.00007</f>
        <v>35.434055999999998</v>
      </c>
      <c r="G47" s="104">
        <f>($C47+$E47*('[2]cost rute lama'!$C$11/1000-40))*0.00007</f>
        <v>29.838784499999996</v>
      </c>
      <c r="H47" s="104">
        <f>($C47+$E47*('[2]cost rute lama'!$D$11/1000-40))*0.00007</f>
        <v>40.418489999999998</v>
      </c>
      <c r="I47" s="104">
        <f>($B47+$D47*('[2]cost rute lama'!$E$11/1000-100))*0.00007</f>
        <v>93.048059999999992</v>
      </c>
      <c r="J47" s="299">
        <f>($B47+$D47*('[2]cost rute lama'!$F$11/1000-100))*0.00007</f>
        <v>72.014511099999993</v>
      </c>
      <c r="AC47" t="s">
        <v>161</v>
      </c>
      <c r="AD47" cm="1">
        <f t="array" ref="AD47:AS51">TRANSPOSE(F47:J62)</f>
        <v>35.434055999999998</v>
      </c>
      <c r="AE47">
        <v>35.302651999999995</v>
      </c>
      <c r="AF47">
        <v>18.983999999999998</v>
      </c>
      <c r="AG47">
        <v>45.629989999999999</v>
      </c>
      <c r="AH47">
        <v>32.664939999999994</v>
      </c>
      <c r="AI47">
        <v>24.566807999999998</v>
      </c>
      <c r="AJ47">
        <v>24.351208</v>
      </c>
      <c r="AK47">
        <v>24.351208</v>
      </c>
      <c r="AL47">
        <v>49.479443999999994</v>
      </c>
      <c r="AM47">
        <v>29.220071999999995</v>
      </c>
      <c r="AN47">
        <v>22.254973999999994</v>
      </c>
      <c r="AO47">
        <v>24.351208</v>
      </c>
      <c r="AP47">
        <v>33.913851999999999</v>
      </c>
      <c r="AQ47">
        <v>35.434055999999998</v>
      </c>
      <c r="AR47">
        <v>27.489755999999996</v>
      </c>
      <c r="AS47">
        <v>35.302651999999995</v>
      </c>
    </row>
    <row r="48" spans="1:45">
      <c r="A48" s="297" t="s">
        <v>133</v>
      </c>
      <c r="B48" s="104">
        <v>661100</v>
      </c>
      <c r="C48" s="104">
        <v>237380</v>
      </c>
      <c r="D48" s="104">
        <v>7768</v>
      </c>
      <c r="E48" s="104">
        <v>7062</v>
      </c>
      <c r="F48" s="104">
        <f>($C48+$E48*('[2]cost rute lama'!$B$11/1000-40))*0.00007</f>
        <v>35.302651999999995</v>
      </c>
      <c r="G48" s="104">
        <f>($C48+$E48*('[2]cost rute lama'!$C$11/1000-40))*0.00007</f>
        <v>29.642458999999995</v>
      </c>
      <c r="H48" s="104">
        <f>($C48+$E48*('[2]cost rute lama'!$D$11/1000-40))*0.00007</f>
        <v>40.344919999999995</v>
      </c>
      <c r="I48" s="104">
        <f>($B48+$D48*('[2]cost rute lama'!$E$11/1000-100))*0.00007</f>
        <v>93.584119999999999</v>
      </c>
      <c r="J48" s="299">
        <f>($B48+$D48*('[2]cost rute lama'!$F$11/1000-100))*0.00007</f>
        <v>72.306791199999992</v>
      </c>
      <c r="AC48" s="206" t="s">
        <v>162</v>
      </c>
      <c r="AD48" s="206">
        <v>29.838784499999996</v>
      </c>
      <c r="AE48" s="206">
        <v>29.642458999999995</v>
      </c>
      <c r="AF48" s="206">
        <v>15.777999999999997</v>
      </c>
      <c r="AG48" s="206">
        <v>38.424504999999996</v>
      </c>
      <c r="AH48" s="206">
        <v>27.383054999999999</v>
      </c>
      <c r="AI48" s="206">
        <v>20.600985999999999</v>
      </c>
      <c r="AJ48" s="206">
        <v>20.385385999999997</v>
      </c>
      <c r="AK48" s="206">
        <v>20.385385999999997</v>
      </c>
      <c r="AL48" s="206">
        <v>41.132622999999988</v>
      </c>
      <c r="AM48" s="206">
        <v>24.605836499999995</v>
      </c>
      <c r="AN48" s="206">
        <v>18.673070499999994</v>
      </c>
      <c r="AO48" s="206">
        <v>20.385385999999997</v>
      </c>
      <c r="AP48" s="206">
        <v>28.253658999999995</v>
      </c>
      <c r="AQ48" s="206">
        <v>29.838784499999996</v>
      </c>
      <c r="AR48" s="206">
        <v>22.852276999999997</v>
      </c>
      <c r="AS48" s="206">
        <v>29.642458999999995</v>
      </c>
    </row>
    <row r="49" spans="1:45">
      <c r="A49" s="297" t="s">
        <v>135</v>
      </c>
      <c r="B49" s="104">
        <v>360000</v>
      </c>
      <c r="C49" s="104">
        <v>120000</v>
      </c>
      <c r="D49" s="104">
        <v>5000</v>
      </c>
      <c r="E49" s="104">
        <v>4000</v>
      </c>
      <c r="F49" s="104">
        <f>($C49+$E49*('[2]cost rute lama'!$B$11/1000-40))*0.00007</f>
        <v>18.983999999999998</v>
      </c>
      <c r="G49" s="104">
        <f>($C49+$E49*('[2]cost rute lama'!$C$11/1000-40))*0.00007</f>
        <v>15.777999999999997</v>
      </c>
      <c r="H49" s="104">
        <f>($C49+$E49*('[2]cost rute lama'!$D$11/1000-40))*0.00007</f>
        <v>21.84</v>
      </c>
      <c r="I49" s="104">
        <f>($B49+$D49*('[2]cost rute lama'!$E$11/1000-100))*0.00007</f>
        <v>55.65</v>
      </c>
      <c r="J49" s="299">
        <f>($B49+$D49*('[2]cost rute lama'!$F$11/1000-100))*0.00007</f>
        <v>41.954499999999996</v>
      </c>
      <c r="AC49" s="206" t="s">
        <v>163</v>
      </c>
      <c r="AD49" s="206">
        <v>40.418489999999998</v>
      </c>
      <c r="AE49" s="206">
        <v>40.344919999999995</v>
      </c>
      <c r="AF49" s="206">
        <v>21.84</v>
      </c>
      <c r="AG49" s="206">
        <v>52.048849999999995</v>
      </c>
      <c r="AH49" s="206">
        <v>37.370199999999997</v>
      </c>
      <c r="AI49" s="206">
        <v>28.099679999999996</v>
      </c>
      <c r="AJ49" s="206">
        <v>27.884079999999997</v>
      </c>
      <c r="AK49" s="206">
        <v>27.884079999999997</v>
      </c>
      <c r="AL49" s="206">
        <v>56.915039999999998</v>
      </c>
      <c r="AM49" s="206">
        <v>33.330569999999994</v>
      </c>
      <c r="AN49" s="206">
        <v>25.445839999999997</v>
      </c>
      <c r="AO49" s="206">
        <v>27.884079999999997</v>
      </c>
      <c r="AP49" s="206">
        <v>38.956119999999999</v>
      </c>
      <c r="AQ49" s="206">
        <v>40.418489999999998</v>
      </c>
      <c r="AR49" s="206">
        <v>31.620959999999997</v>
      </c>
      <c r="AS49" s="206">
        <v>40.344919999999995</v>
      </c>
    </row>
    <row r="50" spans="1:45">
      <c r="A50" s="297" t="s">
        <v>137</v>
      </c>
      <c r="B50" s="104">
        <v>851409</v>
      </c>
      <c r="C50" s="104">
        <v>312035</v>
      </c>
      <c r="D50" s="104">
        <v>9889</v>
      </c>
      <c r="E50" s="104">
        <v>8990</v>
      </c>
      <c r="F50" s="104">
        <f>($C50+$E50*('[2]cost rute lama'!$B$11/1000-40))*0.00007</f>
        <v>45.629989999999999</v>
      </c>
      <c r="G50" s="104">
        <f>($C50+$E50*('[2]cost rute lama'!$C$11/1000-40))*0.00007</f>
        <v>38.424504999999996</v>
      </c>
      <c r="H50" s="104">
        <f>($C50+$E50*('[2]cost rute lama'!$D$11/1000-40))*0.00007</f>
        <v>52.048849999999995</v>
      </c>
      <c r="I50" s="104">
        <f>($B50+$D50*('[2]cost rute lama'!$E$11/1000-100))*0.00007</f>
        <v>119.82263999999999</v>
      </c>
      <c r="J50" s="299">
        <f>($B50+$D50*('[2]cost rute lama'!$F$11/1000-100))*0.00007</f>
        <v>92.73568010000001</v>
      </c>
      <c r="AC50" s="206" t="s">
        <v>76</v>
      </c>
      <c r="AD50" s="206">
        <v>93.048059999999992</v>
      </c>
      <c r="AE50" s="206">
        <v>93.584119999999999</v>
      </c>
      <c r="AF50" s="206">
        <v>55.65</v>
      </c>
      <c r="AG50" s="206">
        <v>119.82263999999999</v>
      </c>
      <c r="AH50" s="206">
        <v>87.052209999999988</v>
      </c>
      <c r="AI50" s="206">
        <v>65.397779999999997</v>
      </c>
      <c r="AJ50" s="206">
        <v>65.182179999999988</v>
      </c>
      <c r="AK50" s="206">
        <v>65.182179999999988</v>
      </c>
      <c r="AL50" s="206">
        <v>139.68633</v>
      </c>
      <c r="AM50" s="206">
        <v>76.726579999999998</v>
      </c>
      <c r="AN50" s="206">
        <v>59.132149999999996</v>
      </c>
      <c r="AO50" s="206">
        <v>65.182179999999988</v>
      </c>
      <c r="AP50" s="206">
        <v>90.42340999999999</v>
      </c>
      <c r="AQ50" s="206">
        <v>93.048059999999992</v>
      </c>
      <c r="AR50" s="206">
        <v>79.70487</v>
      </c>
      <c r="AS50" s="206">
        <v>93.577119999999994</v>
      </c>
    </row>
    <row r="51" spans="1:45">
      <c r="A51" s="297" t="s">
        <v>139</v>
      </c>
      <c r="B51" s="104">
        <v>612940</v>
      </c>
      <c r="C51" s="104">
        <v>217540</v>
      </c>
      <c r="D51" s="104">
        <v>7249</v>
      </c>
      <c r="E51" s="104">
        <v>6590</v>
      </c>
      <c r="F51" s="104">
        <f>($C51+$E51*('[2]cost rute lama'!$B$11/1000-40))*0.00007</f>
        <v>32.664939999999994</v>
      </c>
      <c r="G51" s="104">
        <f>($C51+$E51*('[2]cost rute lama'!$C$11/1000-40))*0.00007</f>
        <v>27.383054999999999</v>
      </c>
      <c r="H51" s="104">
        <f>($C51+$E51*('[2]cost rute lama'!$D$11/1000-40))*0.00007</f>
        <v>37.370199999999997</v>
      </c>
      <c r="I51" s="104">
        <f>($B51+$D51*('[2]cost rute lama'!$E$11/1000-100))*0.00007</f>
        <v>87.052209999999988</v>
      </c>
      <c r="J51" s="299">
        <f>($B51+$D51*('[2]cost rute lama'!$F$11/1000-100))*0.00007</f>
        <v>67.196474099999989</v>
      </c>
      <c r="AC51" s="206">
        <v>767</v>
      </c>
      <c r="AD51" s="206">
        <v>72.014511099999993</v>
      </c>
      <c r="AE51" s="206">
        <v>72.306791199999992</v>
      </c>
      <c r="AF51" s="206">
        <v>41.954499999999996</v>
      </c>
      <c r="AG51" s="206">
        <v>92.73568010000001</v>
      </c>
      <c r="AH51" s="206">
        <v>67.196474099999989</v>
      </c>
      <c r="AI51" s="206">
        <v>50.491597800000001</v>
      </c>
      <c r="AJ51" s="206">
        <v>50.275997799999999</v>
      </c>
      <c r="AK51" s="206">
        <v>50.275997799999999</v>
      </c>
      <c r="AL51" s="206">
        <v>106.44187329999998</v>
      </c>
      <c r="AM51" s="206">
        <v>59.382598800000004</v>
      </c>
      <c r="AN51" s="206">
        <v>45.669473500000002</v>
      </c>
      <c r="AO51" s="206">
        <v>50.275997799999999</v>
      </c>
      <c r="AP51" s="206">
        <v>70.567674099999991</v>
      </c>
      <c r="AQ51" s="206">
        <v>72.014511099999993</v>
      </c>
      <c r="AR51" s="206">
        <v>61.235118699999994</v>
      </c>
      <c r="AS51" s="206">
        <v>72.299791200000001</v>
      </c>
    </row>
    <row r="52" spans="1:45">
      <c r="A52" s="297" t="s">
        <v>141</v>
      </c>
      <c r="B52" s="104">
        <v>460800</v>
      </c>
      <c r="C52" s="104">
        <v>163920</v>
      </c>
      <c r="D52" s="104">
        <v>5442</v>
      </c>
      <c r="E52" s="104">
        <v>4948</v>
      </c>
      <c r="F52" s="104">
        <f>($C52+$E52*('[2]cost rute lama'!$B$11/1000-40))*0.00007</f>
        <v>24.566807999999998</v>
      </c>
      <c r="G52" s="104">
        <f>($C52+$E52*('[2]cost rute lama'!$C$11/1000-40))*0.00007</f>
        <v>20.600985999999999</v>
      </c>
      <c r="H52" s="104">
        <f>($C52+$E52*('[2]cost rute lama'!$D$11/1000-40))*0.00007</f>
        <v>28.099679999999996</v>
      </c>
      <c r="I52" s="104">
        <f>($B52+$D52*('[2]cost rute lama'!$E$11/1000-100))*0.00007</f>
        <v>65.397779999999997</v>
      </c>
      <c r="J52" s="299">
        <f>($B52+$D52*('[2]cost rute lama'!$F$11/1000-100))*0.00007</f>
        <v>50.491597800000001</v>
      </c>
    </row>
    <row r="53" spans="1:45">
      <c r="A53" s="297" t="s">
        <v>142</v>
      </c>
      <c r="B53" s="104">
        <v>457720</v>
      </c>
      <c r="C53" s="104">
        <v>160840</v>
      </c>
      <c r="D53" s="104">
        <v>5442</v>
      </c>
      <c r="E53" s="104">
        <v>4948</v>
      </c>
      <c r="F53" s="104">
        <f>($C53+$E53*('[2]cost rute lama'!$B$11/1000-40))*0.00007</f>
        <v>24.351208</v>
      </c>
      <c r="G53" s="104">
        <f>($C53+$E53*('[2]cost rute lama'!$C$11/1000-40))*0.00007</f>
        <v>20.385385999999997</v>
      </c>
      <c r="H53" s="104">
        <f>($C53+$E53*('[2]cost rute lama'!$D$11/1000-40))*0.00007</f>
        <v>27.884079999999997</v>
      </c>
      <c r="I53" s="104">
        <f>($B53+$D53*('[2]cost rute lama'!$E$11/1000-100))*0.00007</f>
        <v>65.182179999999988</v>
      </c>
      <c r="J53" s="299">
        <f>($B53+$D53*('[2]cost rute lama'!$F$11/1000-100))*0.00007</f>
        <v>50.275997799999999</v>
      </c>
    </row>
    <row r="54" spans="1:45">
      <c r="A54" s="297" t="s">
        <v>143</v>
      </c>
      <c r="B54" s="104">
        <v>457720</v>
      </c>
      <c r="C54" s="104">
        <v>160840</v>
      </c>
      <c r="D54" s="104">
        <v>5442</v>
      </c>
      <c r="E54" s="104">
        <v>4948</v>
      </c>
      <c r="F54" s="104">
        <f>($C54+$E54*('[2]cost rute lama'!$B$11/1000-40))*0.00007</f>
        <v>24.351208</v>
      </c>
      <c r="G54" s="104">
        <f>($C54+$E54*('[2]cost rute lama'!$C$11/1000-40))*0.00007</f>
        <v>20.385385999999997</v>
      </c>
      <c r="H54" s="104">
        <f>($C54+$E54*('[2]cost rute lama'!$D$11/1000-40))*0.00007</f>
        <v>27.884079999999997</v>
      </c>
      <c r="I54" s="104">
        <f>($B54+$D54*('[2]cost rute lama'!$E$11/1000-100))*0.00007</f>
        <v>65.182179999999988</v>
      </c>
      <c r="J54" s="299">
        <f>($B54+$D54*('[2]cost rute lama'!$F$11/1000-100))*0.00007</f>
        <v>50.275997799999999</v>
      </c>
    </row>
    <row r="55" spans="1:45">
      <c r="A55" s="297" t="s">
        <v>144</v>
      </c>
      <c r="B55" s="104">
        <v>939600</v>
      </c>
      <c r="C55" s="104">
        <v>313200</v>
      </c>
      <c r="D55" s="104">
        <v>12137</v>
      </c>
      <c r="E55" s="104">
        <v>10414</v>
      </c>
      <c r="F55" s="104">
        <f>($C55+$E55*('[2]cost rute lama'!$B$11/1000-40))*0.00007</f>
        <v>49.479443999999994</v>
      </c>
      <c r="G55" s="104">
        <f>($C55+$E55*('[2]cost rute lama'!$C$11/1000-40))*0.00007</f>
        <v>41.132622999999988</v>
      </c>
      <c r="H55" s="104">
        <f>($C55+$E55*('[2]cost rute lama'!$D$11/1000-40))*0.00007</f>
        <v>56.915039999999998</v>
      </c>
      <c r="I55" s="104">
        <f>($B55+$D55*('[2]cost rute lama'!$E$11/1000-100))*0.00007</f>
        <v>139.68633</v>
      </c>
      <c r="J55" s="299">
        <f>($B55+$D55*('[2]cost rute lama'!$F$11/1000-100))*0.00007</f>
        <v>106.44187329999998</v>
      </c>
    </row>
    <row r="56" spans="1:45">
      <c r="A56" s="297" t="s">
        <v>145</v>
      </c>
      <c r="B56" s="104">
        <v>545210</v>
      </c>
      <c r="C56" s="104">
        <v>199815</v>
      </c>
      <c r="D56" s="104">
        <v>6332</v>
      </c>
      <c r="E56" s="104">
        <v>5757</v>
      </c>
      <c r="F56" s="104">
        <f>($C56+$E56*('[2]cost rute lama'!$B$11/1000-40))*0.00007</f>
        <v>29.220071999999995</v>
      </c>
      <c r="G56" s="104">
        <f>($C56+$E56*('[2]cost rute lama'!$C$11/1000-40))*0.00007</f>
        <v>24.605836499999995</v>
      </c>
      <c r="H56" s="104">
        <f>($C56+$E56*('[2]cost rute lama'!$D$11/1000-40))*0.00007</f>
        <v>33.330569999999994</v>
      </c>
      <c r="I56" s="104">
        <f>($B56+$D56*('[2]cost rute lama'!$E$11/1000-100))*0.00007</f>
        <v>76.726579999999998</v>
      </c>
      <c r="J56" s="299">
        <f>($B56+$D56*('[2]cost rute lama'!$F$11/1000-100))*0.00007</f>
        <v>59.382598800000004</v>
      </c>
    </row>
    <row r="57" spans="1:45">
      <c r="A57" s="297" t="s">
        <v>164</v>
      </c>
      <c r="B57" s="104">
        <v>417140</v>
      </c>
      <c r="C57" s="104">
        <v>149000</v>
      </c>
      <c r="D57" s="104">
        <v>4915</v>
      </c>
      <c r="E57" s="104">
        <v>4469</v>
      </c>
      <c r="F57" s="104">
        <f>($C57+$E57*('[2]cost rute lama'!$B$11/1000-40))*0.00007</f>
        <v>22.254973999999994</v>
      </c>
      <c r="G57" s="104">
        <f>($C57+$E57*('[2]cost rute lama'!$C$11/1000-40))*0.00007</f>
        <v>18.673070499999994</v>
      </c>
      <c r="H57" s="104">
        <f>($C57+$E57*('[2]cost rute lama'!$D$11/1000-40))*0.00007</f>
        <v>25.445839999999997</v>
      </c>
      <c r="I57" s="104">
        <f>($B57+$D57*('[2]cost rute lama'!$E$11/1000-100))*0.00007</f>
        <v>59.132149999999996</v>
      </c>
      <c r="J57" s="299">
        <f>($B57+$D57*('[2]cost rute lama'!$F$11/1000-100))*0.00007</f>
        <v>45.669473500000002</v>
      </c>
    </row>
    <row r="58" spans="1:45">
      <c r="A58" s="297" t="s">
        <v>147</v>
      </c>
      <c r="B58" s="104">
        <v>457720</v>
      </c>
      <c r="C58" s="104">
        <v>160840</v>
      </c>
      <c r="D58" s="104">
        <v>5442</v>
      </c>
      <c r="E58" s="104">
        <v>4948</v>
      </c>
      <c r="F58" s="104">
        <f>($C58+$E58*('[2]cost rute lama'!$B$11/1000-40))*0.00007</f>
        <v>24.351208</v>
      </c>
      <c r="G58" s="104">
        <f>($C58+$E58*('[2]cost rute lama'!$C$11/1000-40))*0.00007</f>
        <v>20.385385999999997</v>
      </c>
      <c r="H58" s="104">
        <f>($C58+$E58*('[2]cost rute lama'!$D$11/1000-40))*0.00007</f>
        <v>27.884079999999997</v>
      </c>
      <c r="I58" s="104">
        <f>($B58+$D58*('[2]cost rute lama'!$E$11/1000-100))*0.00007</f>
        <v>65.182179999999988</v>
      </c>
      <c r="J58" s="299">
        <f>($B58+$D58*('[2]cost rute lama'!$F$11/1000-100))*0.00007</f>
        <v>50.275997799999999</v>
      </c>
    </row>
    <row r="59" spans="1:45">
      <c r="A59" s="297" t="s">
        <v>148</v>
      </c>
      <c r="B59" s="104">
        <v>661100</v>
      </c>
      <c r="C59" s="104">
        <v>217540</v>
      </c>
      <c r="D59" s="104">
        <v>7249</v>
      </c>
      <c r="E59" s="104">
        <v>7062</v>
      </c>
      <c r="F59" s="104">
        <f>($C59+$E59*('[2]cost rute lama'!$B$11/1000-40))*0.00007</f>
        <v>33.913851999999999</v>
      </c>
      <c r="G59" s="104">
        <f>($C59+$E59*('[2]cost rute lama'!$C$11/1000-40))*0.00007</f>
        <v>28.253658999999995</v>
      </c>
      <c r="H59" s="104">
        <f>($C59+$E59*('[2]cost rute lama'!$D$11/1000-40))*0.00007</f>
        <v>38.956119999999999</v>
      </c>
      <c r="I59" s="104">
        <f>($B59+$D59*('[2]cost rute lama'!$E$11/1000-100))*0.00007</f>
        <v>90.42340999999999</v>
      </c>
      <c r="J59" s="299">
        <f>($B59+$D59*('[2]cost rute lama'!$F$11/1000-100))*0.00007</f>
        <v>70.567674099999991</v>
      </c>
    </row>
    <row r="60" spans="1:45">
      <c r="A60" s="297" t="s">
        <v>149</v>
      </c>
      <c r="B60" s="104">
        <v>661185</v>
      </c>
      <c r="C60" s="104">
        <v>242319</v>
      </c>
      <c r="D60" s="104">
        <v>7679</v>
      </c>
      <c r="E60" s="104">
        <v>6981</v>
      </c>
      <c r="F60" s="104">
        <f>($C60+$E60*('[2]cost rute lama'!$B$11/1000-40))*0.00007</f>
        <v>35.434055999999998</v>
      </c>
      <c r="G60" s="104">
        <f>($C60+$E60*('[2]cost rute lama'!$C$11/1000-40))*0.00007</f>
        <v>29.838784499999996</v>
      </c>
      <c r="H60" s="104">
        <f>($C60+$E60*('[2]cost rute lama'!$D$11/1000-40))*0.00007</f>
        <v>40.418489999999998</v>
      </c>
      <c r="I60" s="104">
        <f>($B60+$D60*('[2]cost rute lama'!$E$11/1000-100))*0.00007</f>
        <v>93.048059999999992</v>
      </c>
      <c r="J60" s="299">
        <f>($B60+$D60*('[2]cost rute lama'!$F$11/1000-100))*0.00007</f>
        <v>72.014511099999993</v>
      </c>
    </row>
    <row r="61" spans="1:45">
      <c r="A61" s="297" t="s">
        <v>151</v>
      </c>
      <c r="B61" s="104">
        <v>552000</v>
      </c>
      <c r="C61" s="104">
        <v>174000</v>
      </c>
      <c r="D61" s="104">
        <v>6743</v>
      </c>
      <c r="E61" s="104">
        <v>5786</v>
      </c>
      <c r="F61" s="104">
        <f>($C61+$E61*('[2]cost rute lama'!$B$11/1000-40))*0.00007</f>
        <v>27.489755999999996</v>
      </c>
      <c r="G61" s="104">
        <f>($C61+$E61*('[2]cost rute lama'!$C$11/1000-40))*0.00007</f>
        <v>22.852276999999997</v>
      </c>
      <c r="H61" s="104">
        <f>($C61+$E61*('[2]cost rute lama'!$D$11/1000-40))*0.00007</f>
        <v>31.620959999999997</v>
      </c>
      <c r="I61" s="104">
        <f>($B61+$D61*('[2]cost rute lama'!$E$11/1000-100))*0.00007</f>
        <v>79.70487</v>
      </c>
      <c r="J61" s="299">
        <f>($B61+$D61*('[2]cost rute lama'!$F$11/1000-100))*0.00007</f>
        <v>61.235118699999994</v>
      </c>
    </row>
    <row r="62" spans="1:45" ht="15" thickBot="1">
      <c r="A62" s="412" t="s">
        <v>150</v>
      </c>
      <c r="B62" s="413">
        <v>661000</v>
      </c>
      <c r="C62" s="413">
        <v>237380</v>
      </c>
      <c r="D62" s="413">
        <v>7768</v>
      </c>
      <c r="E62" s="413">
        <v>7062</v>
      </c>
      <c r="F62" s="413">
        <f>($C62+$E62*('[2]cost rute lama'!$B$11/1000-40))*0.00007</f>
        <v>35.302651999999995</v>
      </c>
      <c r="G62" s="413">
        <f>($C62+$E62*('[2]cost rute lama'!$C$11/1000-40))*0.00007</f>
        <v>29.642458999999995</v>
      </c>
      <c r="H62" s="413">
        <f>($C62+$E62*('[2]cost rute lama'!$D$11/1000-40))*0.00007</f>
        <v>40.344919999999995</v>
      </c>
      <c r="I62" s="413">
        <f>($B62+$D62*('[2]cost rute lama'!$E$11/1000-100))*0.00007</f>
        <v>93.577119999999994</v>
      </c>
      <c r="J62" s="414">
        <f>($B62+$D62*('[2]cost rute lama'!$F$11/1000-100))*0.00007</f>
        <v>72.299791200000001</v>
      </c>
    </row>
    <row r="65" spans="2:4">
      <c r="B65" t="s">
        <v>165</v>
      </c>
      <c r="D65" t="s">
        <v>166</v>
      </c>
    </row>
    <row r="66" spans="2:4">
      <c r="B66" t="s">
        <v>167</v>
      </c>
      <c r="D66" t="s">
        <v>167</v>
      </c>
    </row>
    <row r="67" spans="2:4">
      <c r="B67" t="s">
        <v>168</v>
      </c>
      <c r="D67" t="s">
        <v>168</v>
      </c>
    </row>
  </sheetData>
  <mergeCells count="3">
    <mergeCell ref="AA22:AP23"/>
    <mergeCell ref="A23:C24"/>
    <mergeCell ref="A44:J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2164-EFF7-44BB-9757-5D0430D2C1FC}">
  <dimension ref="B4:Y26"/>
  <sheetViews>
    <sheetView topLeftCell="C34" zoomScaleNormal="100" workbookViewId="0">
      <selection activeCell="K60" sqref="K60"/>
    </sheetView>
  </sheetViews>
  <sheetFormatPr defaultRowHeight="14.45"/>
  <cols>
    <col min="2" max="2" width="15" bestFit="1" customWidth="1"/>
    <col min="10" max="12" width="9" bestFit="1" customWidth="1"/>
    <col min="13" max="13" width="11.85546875" bestFit="1" customWidth="1"/>
    <col min="14" max="14" width="9" bestFit="1" customWidth="1"/>
    <col min="15" max="16" width="10.42578125" bestFit="1" customWidth="1"/>
    <col min="17" max="24" width="11.5703125" bestFit="1" customWidth="1"/>
    <col min="25" max="25" width="19.28515625" customWidth="1"/>
    <col min="26" max="34" width="9" bestFit="1" customWidth="1"/>
  </cols>
  <sheetData>
    <row r="4" spans="2:25" ht="15" thickBot="1"/>
    <row r="5" spans="2:25" ht="15" thickBot="1">
      <c r="B5" s="118" t="s">
        <v>169</v>
      </c>
      <c r="C5" s="509" t="s">
        <v>170</v>
      </c>
      <c r="D5" s="116" t="s">
        <v>171</v>
      </c>
      <c r="E5" s="116" t="s">
        <v>172</v>
      </c>
      <c r="F5" s="8" t="s">
        <v>173</v>
      </c>
      <c r="J5" s="845" t="s">
        <v>174</v>
      </c>
      <c r="K5" s="846"/>
      <c r="L5" s="846"/>
      <c r="M5" s="846"/>
      <c r="N5" s="847"/>
      <c r="O5" s="509">
        <v>2023</v>
      </c>
      <c r="P5" s="116">
        <v>2024</v>
      </c>
      <c r="Q5" s="116">
        <v>2025</v>
      </c>
      <c r="R5" s="116">
        <v>2026</v>
      </c>
      <c r="S5" s="116">
        <v>2027</v>
      </c>
      <c r="T5" s="116">
        <v>2028</v>
      </c>
      <c r="U5" s="116">
        <v>2029</v>
      </c>
      <c r="V5" s="116">
        <v>2030</v>
      </c>
      <c r="W5" s="116">
        <v>2031</v>
      </c>
      <c r="X5" s="8">
        <v>2032</v>
      </c>
      <c r="Y5" s="104" t="s">
        <v>175</v>
      </c>
    </row>
    <row r="6" spans="2:25">
      <c r="B6" s="512">
        <v>2023</v>
      </c>
      <c r="C6" s="508" cm="1">
        <f t="array" ref="C6:C15">TRANSPOSE('[3]Maintenance Schedule'!$O$48:$X$48)</f>
        <v>362</v>
      </c>
      <c r="D6" s="398" cm="1">
        <f t="array" ref="D6:D15">TRANSPOSE('[3]Maintenance Schedule'!$O$49:$X$49)</f>
        <v>361</v>
      </c>
      <c r="E6" s="398" t="str" cm="1">
        <f t="array" ref="E6:E15">TRANSPOSE('[3]Maintenance Schedule'!$O$50:$X$50)</f>
        <v>-</v>
      </c>
      <c r="F6" s="399" t="str" cm="1">
        <f t="array" ref="F6:F15">TRANSPOSE('[3]Maintenance Schedule'!$O$51:$X$51)</f>
        <v>-</v>
      </c>
      <c r="J6" s="279" t="s">
        <v>176</v>
      </c>
      <c r="N6" s="300"/>
      <c r="O6" s="519" cm="1">
        <f t="array" ref="O6:O15">Year1!$E48:$E57</f>
        <v>2279590.1306308629</v>
      </c>
      <c r="P6" s="520" cm="1">
        <f t="array" ref="P6:P15">Year2!$E48:$E57</f>
        <v>2250460.056145519</v>
      </c>
      <c r="Q6" s="520" cm="1">
        <f t="array" ref="Q6:Q15">Year3!$E48:$E57</f>
        <v>3627901.977149629</v>
      </c>
      <c r="R6" s="520" cm="1">
        <f t="array" ref="R6:R15">Year4!$E48:$E57</f>
        <v>4993962.1295954324</v>
      </c>
      <c r="S6" s="520" cm="1">
        <f t="array" ref="S6:S15">Year5!$E48:$E57</f>
        <v>5020078.0792275667</v>
      </c>
      <c r="T6" s="520" cm="1">
        <f t="array" ref="T6:T15">Year6!$E48:$E57</f>
        <v>4898904.0271068104</v>
      </c>
      <c r="U6" s="520" cm="1">
        <f t="array" ref="U6:U15">Year7!$E48:$E57</f>
        <v>4938774.5763499551</v>
      </c>
      <c r="V6" s="520" cm="1">
        <f t="array" ref="V6:V15">Year8!$E48:$E57</f>
        <v>4840173.4022318143</v>
      </c>
      <c r="W6" s="520" cm="1">
        <f t="array" ref="W6:W15">Year9!$E48:$E57</f>
        <v>5020078.0792275667</v>
      </c>
      <c r="X6" s="521" cm="1">
        <f t="array" ref="X6:X15">Year10!$E47:$E56</f>
        <v>4993962.1295954324</v>
      </c>
      <c r="Y6" s="288">
        <f>AVERAGE(O6:X6)</f>
        <v>4286388.4587260587</v>
      </c>
    </row>
    <row r="7" spans="2:25">
      <c r="B7" s="513">
        <v>2024</v>
      </c>
      <c r="C7" s="510">
        <v>362</v>
      </c>
      <c r="D7" s="110">
        <v>354</v>
      </c>
      <c r="E7" s="110" t="str">
        <v>-</v>
      </c>
      <c r="F7" s="403" t="str">
        <v>-</v>
      </c>
      <c r="J7" s="279" t="s">
        <v>177</v>
      </c>
      <c r="N7" s="300"/>
      <c r="O7" s="515">
        <v>7725186.5517606242</v>
      </c>
      <c r="P7" s="145">
        <v>7621122.1548896646</v>
      </c>
      <c r="Q7" s="145">
        <v>12599712.129970662</v>
      </c>
      <c r="R7" s="145">
        <v>17502947.694930263</v>
      </c>
      <c r="S7" s="145">
        <v>17596626.824787531</v>
      </c>
      <c r="T7" s="145">
        <v>17171452.940012924</v>
      </c>
      <c r="U7" s="145">
        <v>17303228.389307447</v>
      </c>
      <c r="V7" s="145">
        <v>16984114.754711434</v>
      </c>
      <c r="W7" s="145">
        <v>17596626.824787531</v>
      </c>
      <c r="X7" s="146">
        <v>17502947.694930263</v>
      </c>
      <c r="Y7" s="288">
        <f t="shared" ref="Y7:Y15" si="0">AVERAGE(O7:X7)</f>
        <v>14960396.596008833</v>
      </c>
    </row>
    <row r="8" spans="2:25">
      <c r="B8" s="513">
        <v>2025</v>
      </c>
      <c r="C8" s="510">
        <v>355</v>
      </c>
      <c r="D8" s="110">
        <v>361</v>
      </c>
      <c r="E8" s="110">
        <v>362</v>
      </c>
      <c r="F8" s="403" t="str">
        <v>-</v>
      </c>
      <c r="J8" s="279" t="s">
        <v>178</v>
      </c>
      <c r="N8" s="300"/>
      <c r="O8" s="515" t="str">
        <v>-</v>
      </c>
      <c r="P8" s="145" t="str">
        <v>-</v>
      </c>
      <c r="Q8" s="145" t="str">
        <v>-</v>
      </c>
      <c r="R8" s="145" t="str">
        <v>-</v>
      </c>
      <c r="S8" s="145" t="str">
        <v>-</v>
      </c>
      <c r="T8" s="145" t="str">
        <v>-</v>
      </c>
      <c r="U8" s="145" t="str">
        <v>-</v>
      </c>
      <c r="V8" s="145" t="str">
        <v>-</v>
      </c>
      <c r="W8" s="145" t="str">
        <v>-</v>
      </c>
      <c r="X8" s="146" t="str">
        <v>-</v>
      </c>
      <c r="Y8" s="288"/>
    </row>
    <row r="9" spans="2:25">
      <c r="B9" s="513">
        <v>2026</v>
      </c>
      <c r="C9" s="510">
        <v>362</v>
      </c>
      <c r="D9" s="110">
        <v>354</v>
      </c>
      <c r="E9" s="110">
        <v>355</v>
      </c>
      <c r="F9" s="403">
        <v>362</v>
      </c>
      <c r="J9" s="279" t="s">
        <v>179</v>
      </c>
      <c r="N9" s="300"/>
      <c r="O9" s="515">
        <v>3369430.5916418084</v>
      </c>
      <c r="P9" s="145">
        <v>3336924.6035088077</v>
      </c>
      <c r="Q9" s="145">
        <v>4905375.9278076664</v>
      </c>
      <c r="R9" s="145">
        <v>6337670.9207099937</v>
      </c>
      <c r="S9" s="145">
        <v>6369841.4689407721</v>
      </c>
      <c r="T9" s="145">
        <v>6215630.7062797491</v>
      </c>
      <c r="U9" s="145">
        <v>6276307.1972302189</v>
      </c>
      <c r="V9" s="145">
        <v>6108472.0925181778</v>
      </c>
      <c r="W9" s="145">
        <v>6369841.4689407721</v>
      </c>
      <c r="X9" s="146">
        <v>6337670.9207099937</v>
      </c>
      <c r="Y9" s="288">
        <f t="shared" si="0"/>
        <v>5562716.5898287967</v>
      </c>
    </row>
    <row r="10" spans="2:25">
      <c r="B10" s="513">
        <v>2027</v>
      </c>
      <c r="C10" s="510">
        <v>362</v>
      </c>
      <c r="D10" s="110">
        <v>361</v>
      </c>
      <c r="E10" s="110">
        <v>362</v>
      </c>
      <c r="F10" s="403">
        <v>355</v>
      </c>
      <c r="J10" s="279" t="s">
        <v>180</v>
      </c>
      <c r="N10" s="300"/>
      <c r="O10" s="515">
        <v>2763892.3055687761</v>
      </c>
      <c r="P10" s="145">
        <v>2763892.3055687761</v>
      </c>
      <c r="Q10" s="145">
        <v>3860255.9419324128</v>
      </c>
      <c r="R10" s="145">
        <v>4982590.9673131229</v>
      </c>
      <c r="S10" s="145">
        <v>4982590.9673131239</v>
      </c>
      <c r="T10" s="145">
        <v>4982590.9673131229</v>
      </c>
      <c r="U10" s="145">
        <v>4982590.9673131239</v>
      </c>
      <c r="V10" s="145">
        <v>4982590.9673131229</v>
      </c>
      <c r="W10" s="145">
        <v>4982590.9673131239</v>
      </c>
      <c r="X10" s="146">
        <v>4982590.9673131229</v>
      </c>
      <c r="Y10" s="288">
        <f t="shared" si="0"/>
        <v>4426617.7324261833</v>
      </c>
    </row>
    <row r="11" spans="2:25" ht="15" thickBot="1">
      <c r="B11" s="513">
        <v>2028</v>
      </c>
      <c r="C11" s="510">
        <v>355</v>
      </c>
      <c r="D11" s="110">
        <v>333</v>
      </c>
      <c r="E11" s="110">
        <v>355</v>
      </c>
      <c r="F11" s="403">
        <v>362</v>
      </c>
      <c r="J11" s="279" t="s">
        <v>181</v>
      </c>
      <c r="N11" s="300"/>
      <c r="O11" s="515" t="e">
        <v>#REF!</v>
      </c>
      <c r="P11" s="145" t="e">
        <v>#REF!</v>
      </c>
      <c r="Q11" s="145" t="e">
        <v>#REF!</v>
      </c>
      <c r="R11" s="145" t="e">
        <v>#REF!</v>
      </c>
      <c r="S11" s="145" t="e">
        <v>#REF!</v>
      </c>
      <c r="T11" s="145" t="e">
        <v>#REF!</v>
      </c>
      <c r="U11" s="145" t="e">
        <v>#REF!</v>
      </c>
      <c r="V11" s="145" t="e">
        <v>#REF!</v>
      </c>
      <c r="W11" s="145" t="e">
        <v>#REF!</v>
      </c>
      <c r="X11" s="146" t="e">
        <v>#REF!</v>
      </c>
      <c r="Y11" s="288" t="e">
        <f t="shared" si="0"/>
        <v>#REF!</v>
      </c>
    </row>
    <row r="12" spans="2:25" ht="15" thickBot="1">
      <c r="B12" s="513">
        <v>2029</v>
      </c>
      <c r="C12" s="510">
        <v>362</v>
      </c>
      <c r="D12" s="110">
        <v>361</v>
      </c>
      <c r="E12" s="110">
        <v>341</v>
      </c>
      <c r="F12" s="403">
        <v>355</v>
      </c>
      <c r="J12" s="716" t="s">
        <v>182</v>
      </c>
      <c r="K12" s="717"/>
      <c r="L12" s="717"/>
      <c r="M12" s="717"/>
      <c r="N12" s="718"/>
      <c r="O12" s="523">
        <v>0</v>
      </c>
      <c r="P12" s="166">
        <v>0</v>
      </c>
      <c r="Q12" s="166">
        <v>0</v>
      </c>
      <c r="R12" s="166">
        <v>0</v>
      </c>
      <c r="S12" s="166">
        <v>0</v>
      </c>
      <c r="T12" s="166">
        <v>0</v>
      </c>
      <c r="U12" s="166">
        <v>0</v>
      </c>
      <c r="V12" s="166">
        <v>0</v>
      </c>
      <c r="W12" s="166">
        <v>0</v>
      </c>
      <c r="X12" s="524">
        <v>0</v>
      </c>
      <c r="Y12" s="323">
        <f t="shared" si="0"/>
        <v>0</v>
      </c>
    </row>
    <row r="13" spans="2:25">
      <c r="B13" s="513">
        <v>2030</v>
      </c>
      <c r="C13" s="510">
        <v>334</v>
      </c>
      <c r="D13" s="110">
        <v>354</v>
      </c>
      <c r="E13" s="110">
        <v>355</v>
      </c>
      <c r="F13" s="403">
        <v>341</v>
      </c>
      <c r="J13" s="279" t="s">
        <v>183</v>
      </c>
      <c r="N13" s="300"/>
      <c r="O13" s="515">
        <v>45473.710641693076</v>
      </c>
      <c r="P13" s="145">
        <v>45473.710641693076</v>
      </c>
      <c r="Q13" s="145">
        <v>73014.020607793602</v>
      </c>
      <c r="R13" s="145">
        <v>99436.178958407254</v>
      </c>
      <c r="S13" s="145">
        <v>99436.178958407254</v>
      </c>
      <c r="T13" s="145">
        <v>99436.178958407254</v>
      </c>
      <c r="U13" s="145">
        <v>99436.178958407254</v>
      </c>
      <c r="V13" s="145">
        <v>99436.178958407254</v>
      </c>
      <c r="W13" s="145">
        <v>99436.178958407254</v>
      </c>
      <c r="X13" s="146">
        <v>99436.178958407254</v>
      </c>
      <c r="Y13" s="288">
        <f t="shared" si="0"/>
        <v>86001.469460003049</v>
      </c>
    </row>
    <row r="14" spans="2:25">
      <c r="B14" s="513">
        <v>2031</v>
      </c>
      <c r="C14" s="510">
        <v>362</v>
      </c>
      <c r="D14" s="110">
        <v>361</v>
      </c>
      <c r="E14" s="110">
        <v>362</v>
      </c>
      <c r="F14" s="403">
        <v>355</v>
      </c>
      <c r="J14" s="279" t="s">
        <v>184</v>
      </c>
      <c r="N14" s="300"/>
      <c r="O14" s="515" t="e">
        <v>#REF!</v>
      </c>
      <c r="P14" s="145" t="e">
        <v>#REF!</v>
      </c>
      <c r="Q14" s="145" t="e">
        <v>#REF!</v>
      </c>
      <c r="R14" s="145" t="e">
        <v>#REF!</v>
      </c>
      <c r="S14" s="145" t="e">
        <v>#REF!</v>
      </c>
      <c r="T14" s="145" t="e">
        <v>#REF!</v>
      </c>
      <c r="U14" s="145" t="e">
        <v>#REF!</v>
      </c>
      <c r="V14" s="145" t="e">
        <v>#REF!</v>
      </c>
      <c r="W14" s="145" t="e">
        <v>#REF!</v>
      </c>
      <c r="X14" s="146" t="e">
        <v>#REF!</v>
      </c>
      <c r="Y14" s="288" t="e">
        <f t="shared" si="0"/>
        <v>#REF!</v>
      </c>
    </row>
    <row r="15" spans="2:25" ht="15" thickBot="1">
      <c r="B15" s="514">
        <v>2032</v>
      </c>
      <c r="C15" s="511">
        <v>362</v>
      </c>
      <c r="D15" s="406">
        <v>354</v>
      </c>
      <c r="E15" s="406">
        <v>355</v>
      </c>
      <c r="F15" s="407">
        <v>362</v>
      </c>
      <c r="J15" s="516" t="s">
        <v>185</v>
      </c>
      <c r="K15" s="517"/>
      <c r="L15" s="517"/>
      <c r="M15" s="517"/>
      <c r="N15" s="518"/>
      <c r="O15" s="522">
        <v>26198.597529195511</v>
      </c>
      <c r="P15" s="191">
        <v>26481.128140001347</v>
      </c>
      <c r="Q15" s="191">
        <v>39091.90105203625</v>
      </c>
      <c r="R15" s="191">
        <v>51416.406097932937</v>
      </c>
      <c r="S15" s="191">
        <v>51169.921683111927</v>
      </c>
      <c r="T15" s="191">
        <v>52492.710624823732</v>
      </c>
      <c r="U15" s="191">
        <v>51928.039960226983</v>
      </c>
      <c r="V15" s="191">
        <v>53327.162110768506</v>
      </c>
      <c r="W15" s="191">
        <v>51169.921683111927</v>
      </c>
      <c r="X15" s="192">
        <v>51416.406097932937</v>
      </c>
      <c r="Y15" s="288">
        <f t="shared" si="0"/>
        <v>45469.219497914208</v>
      </c>
    </row>
    <row r="23" spans="2:4">
      <c r="B23" s="110" t="s">
        <v>186</v>
      </c>
      <c r="C23" s="110" t="s">
        <v>187</v>
      </c>
      <c r="D23" s="110" t="s">
        <v>188</v>
      </c>
    </row>
    <row r="24" spans="2:4">
      <c r="B24" s="110" t="s">
        <v>183</v>
      </c>
      <c r="C24" s="145">
        <f>Y13</f>
        <v>86001.469460003049</v>
      </c>
      <c r="D24" s="525" t="e">
        <f>C24/(SUM($C$24:$C$26))</f>
        <v>#REF!</v>
      </c>
    </row>
    <row r="25" spans="2:4">
      <c r="B25" s="110" t="s">
        <v>185</v>
      </c>
      <c r="C25" s="145" t="e">
        <f>Y14</f>
        <v>#REF!</v>
      </c>
      <c r="D25" s="525" t="e">
        <f>C25/(SUM($C$24:$C$26))</f>
        <v>#REF!</v>
      </c>
    </row>
    <row r="26" spans="2:4">
      <c r="B26" s="110" t="s">
        <v>184</v>
      </c>
      <c r="C26" s="145">
        <f>Y15</f>
        <v>45469.219497914208</v>
      </c>
      <c r="D26" s="525" t="e">
        <f>C26/(SUM($C$24:$C$26))</f>
        <v>#REF!</v>
      </c>
    </row>
  </sheetData>
  <autoFilter ref="B23:D26" xr:uid="{B0802164-EFF7-44BB-9757-5D0430D2C1FC}">
    <sortState xmlns:xlrd2="http://schemas.microsoft.com/office/spreadsheetml/2017/richdata2" ref="B24:D26">
      <sortCondition descending="1" ref="D23:D26"/>
    </sortState>
  </autoFilter>
  <mergeCells count="2">
    <mergeCell ref="J5:N5"/>
    <mergeCell ref="J12:N12"/>
  </mergeCells>
  <phoneticPr fontId="27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68A0-5B0C-4F5C-9F40-725D602DAF1F}">
  <dimension ref="B5:L169"/>
  <sheetViews>
    <sheetView tabSelected="1" topLeftCell="A122" workbookViewId="0">
      <selection activeCell="E139" sqref="E139"/>
    </sheetView>
  </sheetViews>
  <sheetFormatPr defaultRowHeight="15"/>
  <cols>
    <col min="2" max="2" width="35.42578125" customWidth="1"/>
    <col min="3" max="12" width="20.5703125" customWidth="1"/>
  </cols>
  <sheetData>
    <row r="5" spans="2:12">
      <c r="B5" s="571" t="s">
        <v>189</v>
      </c>
      <c r="C5" s="572"/>
      <c r="D5" s="572"/>
      <c r="E5" s="572"/>
      <c r="F5" s="572"/>
      <c r="G5" s="572"/>
      <c r="H5" s="572"/>
      <c r="I5" s="572"/>
      <c r="J5" s="572"/>
      <c r="K5" s="572"/>
      <c r="L5" s="573"/>
    </row>
    <row r="6" spans="2:12">
      <c r="B6" s="553"/>
      <c r="C6" s="567">
        <v>2023</v>
      </c>
      <c r="D6" s="568">
        <v>2024</v>
      </c>
      <c r="E6" s="569">
        <v>2025</v>
      </c>
      <c r="F6" s="570">
        <v>2026</v>
      </c>
      <c r="G6" s="569">
        <v>2027</v>
      </c>
      <c r="H6" s="570">
        <v>2028</v>
      </c>
      <c r="I6" s="569">
        <v>2029</v>
      </c>
      <c r="J6" s="570">
        <v>2030</v>
      </c>
      <c r="K6" s="569">
        <v>2031</v>
      </c>
      <c r="L6" s="574">
        <v>2032</v>
      </c>
    </row>
    <row r="7" spans="2:12">
      <c r="B7" s="575" t="s">
        <v>190</v>
      </c>
      <c r="C7" s="566">
        <f>SUM(Profitability!AQ46:AQ50)</f>
        <v>12970118.924330607</v>
      </c>
      <c r="D7" s="566">
        <f>SUM(Profitability!AR46:AR50)</f>
        <v>15093171.751810387</v>
      </c>
      <c r="E7" s="566">
        <f>SUM(Profitability!AS46:AS50)</f>
        <v>16724407.56705326</v>
      </c>
      <c r="F7" s="566">
        <f>SUM(Profitability!AT46:AT50)</f>
        <v>18002950.336329725</v>
      </c>
      <c r="G7" s="566">
        <f>SUM(Profitability!AU46:AU50)</f>
        <v>19380187.708796926</v>
      </c>
      <c r="H7" s="566">
        <f>SUM(Profitability!AV46:AV50)</f>
        <v>19836039.072995342</v>
      </c>
      <c r="I7" s="566">
        <f>SUM(Profitability!AW46:AW50)</f>
        <v>18779833.400502965</v>
      </c>
      <c r="J7" s="566">
        <f>SUM(Profitability!AX46:AX50)</f>
        <v>20076807.507422689</v>
      </c>
      <c r="K7" s="566">
        <f>SUM(Profitability!AY46:AY50)</f>
        <v>20206018.601426087</v>
      </c>
      <c r="L7" s="594">
        <f>SUM(Profitability!AZ46:AZ50)</f>
        <v>20339208.096712276</v>
      </c>
    </row>
    <row r="8" spans="2:12">
      <c r="B8" s="576" t="s">
        <v>191</v>
      </c>
      <c r="C8" s="587">
        <f>SUM(Year1!E20:I20)*$C$34</f>
        <v>961454.26016906614</v>
      </c>
      <c r="D8" s="587">
        <f>SUM(Year2!E20:I20)*$D$34</f>
        <v>961454.26016906614</v>
      </c>
      <c r="E8" s="586">
        <f>SUM(Year3!E20:I20)*$E$34</f>
        <v>942862.60320447094</v>
      </c>
      <c r="F8" s="586">
        <f>SUM(Year4!E20:I20)*$F$34</f>
        <v>961454.26016906614</v>
      </c>
      <c r="G8" s="586">
        <f>SUM(Year5!E20:I20)*$G$34</f>
        <v>961454.26016906614</v>
      </c>
      <c r="H8" s="586">
        <f>SUM(Year6!E20:I20)*$H$34</f>
        <v>942862.60320447094</v>
      </c>
      <c r="I8" s="586">
        <f>SUM(Year7!E20:I20)*$I$34</f>
        <v>961454.26016906614</v>
      </c>
      <c r="J8" s="586">
        <f>SUM(Year8!E20:I20)*$J$34</f>
        <v>887087.63231068535</v>
      </c>
      <c r="K8" s="586">
        <f>SUM(Year9!E20:I20)*$K$34</f>
        <v>961454.26016906614</v>
      </c>
      <c r="L8" s="595">
        <f>SUM(Year10!E20:I20)*$L$34</f>
        <v>961454.26016906614</v>
      </c>
    </row>
    <row r="9" spans="2:12">
      <c r="B9" s="576" t="s">
        <v>192</v>
      </c>
      <c r="C9" s="587">
        <f>SUM(Year1!E21:I21)*$C$34</f>
        <v>1302108.9193757235</v>
      </c>
      <c r="D9" s="587">
        <f>SUM(Year2!E21:I21)*$D$34</f>
        <v>1302108.9193757235</v>
      </c>
      <c r="E9" s="586">
        <f>SUM(Year3!E21:I21)*$E$34</f>
        <v>1276930.0176198394</v>
      </c>
      <c r="F9" s="586">
        <f>SUM(Year4!E21:I21)*$F$34</f>
        <v>1302108.9193757235</v>
      </c>
      <c r="G9" s="586">
        <f>SUM(Year5!E21:I21)*$G$34</f>
        <v>1302108.9193757235</v>
      </c>
      <c r="H9" s="586">
        <f>SUM(Year6!E21:I21)*$H$34</f>
        <v>1276930.0176198394</v>
      </c>
      <c r="I9" s="586">
        <f>SUM(Year7!E21:I21)*$I$34</f>
        <v>1302108.9193757235</v>
      </c>
      <c r="J9" s="586">
        <f>SUM(Year8!E21:I21)*$J$34</f>
        <v>1201393.312352187</v>
      </c>
      <c r="K9" s="586">
        <f>SUM(Year9!E21:I21)*$K$34</f>
        <v>1302108.9193757235</v>
      </c>
      <c r="L9" s="595">
        <f>SUM(Year10!E21:I21)*$L$34</f>
        <v>1302108.9193757235</v>
      </c>
    </row>
    <row r="10" spans="2:12">
      <c r="B10" s="576" t="s">
        <v>193</v>
      </c>
      <c r="C10" s="587">
        <f>SUM(Year1!E22:I22)*$C$34</f>
        <v>3016272.5933497269</v>
      </c>
      <c r="D10" s="587">
        <f>SUM(Year2!E22:I22)*$D$34</f>
        <v>3016272.5933497269</v>
      </c>
      <c r="E10" s="586">
        <f>SUM(Year3!E22:I22)*$E$34</f>
        <v>2957946.8802186549</v>
      </c>
      <c r="F10" s="586">
        <f>SUM(Year4!E22:I22)*$F$34</f>
        <v>3016272.5933497269</v>
      </c>
      <c r="G10" s="586">
        <f>SUM(Year5!E22:I22)*$G$34</f>
        <v>3016272.5933497269</v>
      </c>
      <c r="H10" s="586">
        <f>SUM(Year6!E22:I22)*$H$34</f>
        <v>2957946.8802186549</v>
      </c>
      <c r="I10" s="586">
        <f>SUM(Year7!E22:I22)*$I$34</f>
        <v>3016272.5933497269</v>
      </c>
      <c r="J10" s="586">
        <f>SUM(Year8!E22:I22)*$J$34</f>
        <v>2782969.7408254384</v>
      </c>
      <c r="K10" s="586">
        <f>SUM(Year9!E22:I22)*$K$34</f>
        <v>3016272.5933497269</v>
      </c>
      <c r="L10" s="595">
        <f>SUM(Year10!E22:I22)*$L$34</f>
        <v>3016272.5933497269</v>
      </c>
    </row>
    <row r="11" spans="2:12">
      <c r="B11" s="576" t="s">
        <v>194</v>
      </c>
      <c r="C11" s="587">
        <f>SUM(Year1!E23:I23)*$C$34</f>
        <v>592322.49999999988</v>
      </c>
      <c r="D11" s="587">
        <f>SUM(Year2!E23:I23)*$D$34</f>
        <v>592322.49999999988</v>
      </c>
      <c r="E11" s="586">
        <f>SUM(Year3!E23:I23)*$E$34</f>
        <v>580868.74999999988</v>
      </c>
      <c r="F11" s="586">
        <f>SUM(Year4!E23:I23)*$F$34</f>
        <v>592322.49999999988</v>
      </c>
      <c r="G11" s="586">
        <f>SUM(Year5!E23:I23)*$G$34</f>
        <v>592322.49999999988</v>
      </c>
      <c r="H11" s="586">
        <f>SUM(Year6!E23:I23)*$H$34</f>
        <v>580868.74999999988</v>
      </c>
      <c r="I11" s="586">
        <f>SUM(Year7!E23:I23)*$I$34</f>
        <v>592322.49999999988</v>
      </c>
      <c r="J11" s="586">
        <f>SUM(Year8!E23:I23)*$J$34</f>
        <v>546507.49999999988</v>
      </c>
      <c r="K11" s="586">
        <f>SUM(Year9!E23:I23)*$K$34</f>
        <v>592322.49999999988</v>
      </c>
      <c r="L11" s="595">
        <f>SUM(Year10!E23:I23)*$L$34</f>
        <v>592322.49999999988</v>
      </c>
    </row>
    <row r="12" spans="2:12">
      <c r="B12" s="576" t="s">
        <v>195</v>
      </c>
      <c r="C12" s="587">
        <f>SUM(Year2!E25:I25)*$C$34</f>
        <v>65515.009055999995</v>
      </c>
      <c r="D12" s="586">
        <f>SUM(Year2!E25:I25)*$D$34</f>
        <v>65515.009055999995</v>
      </c>
      <c r="E12" s="586">
        <f>SUM(Year3!E25:I25)*$E$34</f>
        <v>64248.144239999994</v>
      </c>
      <c r="F12" s="586">
        <f>SUM(Year4!E25:I25)*$F$34</f>
        <v>65515.009055999995</v>
      </c>
      <c r="G12" s="586">
        <f>SUM(Year5!E25:I25)*$G$34</f>
        <v>65515.009055999995</v>
      </c>
      <c r="H12" s="586">
        <f>SUM(Year6!E25:I25)*$H$34</f>
        <v>64248.144239999994</v>
      </c>
      <c r="I12" s="586">
        <f>SUM(Year7!E25:I25)*$I$34</f>
        <v>65515.009055999995</v>
      </c>
      <c r="J12" s="586">
        <f>SUM(Year8!E25:I25)*$J$34</f>
        <v>60447.549791999998</v>
      </c>
      <c r="K12" s="586">
        <f>SUM(Year9!E25:I25)*$K$34</f>
        <v>65515.009055999995</v>
      </c>
      <c r="L12" s="595">
        <f>SUM(Year10!E24:I24)*$L$34</f>
        <v>65515.009055999995</v>
      </c>
    </row>
    <row r="13" spans="2:12">
      <c r="B13" s="576" t="s">
        <v>196</v>
      </c>
      <c r="C13" s="587">
        <f>SUM(Year1!E26:I26)*$C$34</f>
        <v>235915.39999999997</v>
      </c>
      <c r="D13" s="586">
        <f>SUM(Year2!E26:I26)*$D$34</f>
        <v>235915.39999999997</v>
      </c>
      <c r="E13" s="586">
        <f>SUM(Year3!E26:I26)*$E$34</f>
        <v>231353.49999999997</v>
      </c>
      <c r="F13" s="586">
        <f>SUM(Year4!E26:I26)*$F$34</f>
        <v>235915.39999999997</v>
      </c>
      <c r="G13" s="586">
        <f>SUM(Year5!E26:I26)*$G$34</f>
        <v>235915.39999999997</v>
      </c>
      <c r="H13" s="586">
        <f>SUM(Year6!E26:I26)*$H$34</f>
        <v>231353.49999999997</v>
      </c>
      <c r="I13" s="586">
        <f>SUM(Year7!E26:I26)*$I$34</f>
        <v>235915.39999999997</v>
      </c>
      <c r="J13" s="586">
        <f>SUM(Year8!E26:I26)*$J$34</f>
        <v>217667.8</v>
      </c>
      <c r="K13" s="586">
        <f>SUM(Year9!E26:I26)*$K$34</f>
        <v>235915.39999999997</v>
      </c>
      <c r="L13" s="595">
        <f>SUM(Year10!E25:I25)*$L$34</f>
        <v>235915.39999999997</v>
      </c>
    </row>
    <row r="14" spans="2:12">
      <c r="B14" s="576" t="s">
        <v>197</v>
      </c>
      <c r="C14" s="587">
        <f>SUM(Year1!E27:I27)*$C$34</f>
        <v>979627.61380752607</v>
      </c>
      <c r="D14" s="586">
        <f>SUM(Year2!E27:I27)*$D$34</f>
        <v>979627.61380752607</v>
      </c>
      <c r="E14" s="586">
        <f>SUM(Year3!E27:I27)*$E$34</f>
        <v>960684.53840240825</v>
      </c>
      <c r="F14" s="586">
        <f>SUM(Year4!E27:I27)*$F$34</f>
        <v>979627.61380752607</v>
      </c>
      <c r="G14" s="586">
        <f>SUM(Year5!E27:I27)*$G$34</f>
        <v>979627.61380752607</v>
      </c>
      <c r="H14" s="586">
        <f>SUM(Year6!E27:I27)*$H$34</f>
        <v>960684.53840240825</v>
      </c>
      <c r="I14" s="586">
        <f>SUM(Year7!E27:I27)*$I$34</f>
        <v>979627.61380752607</v>
      </c>
      <c r="J14" s="586">
        <f>SUM(Year8!E27:I27)*$J$34</f>
        <v>903855.31218705443</v>
      </c>
      <c r="K14" s="586">
        <f>SUM(Year9!E27:I27)*$K$34</f>
        <v>979627.61380752607</v>
      </c>
      <c r="L14" s="595">
        <f>SUM(Year10!E26:I26)*$L$34</f>
        <v>979627.61380752607</v>
      </c>
    </row>
    <row r="15" spans="2:12">
      <c r="B15" s="576" t="s">
        <v>198</v>
      </c>
      <c r="C15" s="587">
        <f>SUM(Year1!E28:I28)*$C$34</f>
        <v>25154.105759999999</v>
      </c>
      <c r="D15" s="586">
        <f>SUM(Year2!E28:I28)*$D$34</f>
        <v>25154.105759999999</v>
      </c>
      <c r="E15" s="586">
        <f>SUM(Year3!E28:I28)*$E$34</f>
        <v>24667.700400000002</v>
      </c>
      <c r="F15" s="586">
        <f>SUM(Year4!E28:I28)*$F$34</f>
        <v>25154.105759999999</v>
      </c>
      <c r="G15" s="586">
        <f>SUM(Year5!E28:I28)*$G$34</f>
        <v>25154.105759999999</v>
      </c>
      <c r="H15" s="586">
        <f>SUM(Year6!E28:I28)*$H$34</f>
        <v>24667.700400000002</v>
      </c>
      <c r="I15" s="586">
        <f>SUM(Year7!E28:I28)*$I$34</f>
        <v>25154.105759999999</v>
      </c>
      <c r="J15" s="586">
        <f>SUM(Year8!E28:I28)*$J$34</f>
        <v>23208.48432</v>
      </c>
      <c r="K15" s="586">
        <f>SUM(Year9!E28:I28)*$K$34</f>
        <v>25154.105759999999</v>
      </c>
      <c r="L15" s="595">
        <f>SUM(Year10!E27:I27)*$L$34</f>
        <v>25154.105759999999</v>
      </c>
    </row>
    <row r="16" spans="2:12">
      <c r="B16" s="563" t="s">
        <v>199</v>
      </c>
      <c r="C16" s="581">
        <f>SUM(C8:C15)</f>
        <v>7178370.4015180431</v>
      </c>
      <c r="D16" s="581">
        <f>SUM(D8:D15)</f>
        <v>7178370.4015180431</v>
      </c>
      <c r="E16" s="581">
        <f>SUM(E8:E15)</f>
        <v>7039562.1340853749</v>
      </c>
      <c r="F16" s="581">
        <f t="shared" ref="F16:L16" si="0">SUM(F8:F15)</f>
        <v>7178370.4015180431</v>
      </c>
      <c r="G16" s="581">
        <f t="shared" si="0"/>
        <v>7178370.4015180431</v>
      </c>
      <c r="H16" s="581">
        <f t="shared" si="0"/>
        <v>7039562.1340853749</v>
      </c>
      <c r="I16" s="581">
        <f t="shared" si="0"/>
        <v>7178370.4015180431</v>
      </c>
      <c r="J16" s="581">
        <f t="shared" si="0"/>
        <v>6623137.3317873646</v>
      </c>
      <c r="K16" s="581">
        <f t="shared" si="0"/>
        <v>7178370.4015180431</v>
      </c>
      <c r="L16" s="582">
        <f t="shared" si="0"/>
        <v>7178370.4015180431</v>
      </c>
    </row>
    <row r="17" spans="2:12">
      <c r="B17" s="575" t="s">
        <v>200</v>
      </c>
      <c r="C17" s="579">
        <f>C7-C16</f>
        <v>5791748.5228125639</v>
      </c>
      <c r="D17" s="579">
        <f>D7-D16</f>
        <v>7914801.3502923436</v>
      </c>
      <c r="E17" s="579">
        <f>E7-E16</f>
        <v>9684845.4329678863</v>
      </c>
      <c r="F17" s="579">
        <f t="shared" ref="F17:L17" si="1">F7-F16</f>
        <v>10824579.934811682</v>
      </c>
      <c r="G17" s="579">
        <f t="shared" si="1"/>
        <v>12201817.307278883</v>
      </c>
      <c r="H17" s="579">
        <f t="shared" si="1"/>
        <v>12796476.938909966</v>
      </c>
      <c r="I17" s="579">
        <f t="shared" si="1"/>
        <v>11601462.998984922</v>
      </c>
      <c r="J17" s="579">
        <f t="shared" si="1"/>
        <v>13453670.175635325</v>
      </c>
      <c r="K17" s="579">
        <f t="shared" si="1"/>
        <v>13027648.199908044</v>
      </c>
      <c r="L17" s="580">
        <f t="shared" si="1"/>
        <v>13160837.695194233</v>
      </c>
    </row>
    <row r="18" spans="2:12">
      <c r="B18" s="576" t="s">
        <v>201</v>
      </c>
      <c r="C18" s="583">
        <f>SUM(Year1!E30:I30)*$C$34</f>
        <v>91710.16085982717</v>
      </c>
      <c r="D18" s="602">
        <f>SUM(Year2!E30:I30)*$D$34</f>
        <v>91710.16085982717</v>
      </c>
      <c r="E18" s="602">
        <f>SUM(Year3!E30:I30)*$E$34</f>
        <v>91710.160859827185</v>
      </c>
      <c r="F18" s="602">
        <f>SUM(Year4!E30:I30)*$F$34</f>
        <v>91710.16085982717</v>
      </c>
      <c r="G18" s="602">
        <f>SUM(Year5!E30:I30)*$G$34</f>
        <v>91710.16085982717</v>
      </c>
      <c r="H18" s="602">
        <f>SUM(Year6!E30:I30)*$H$34</f>
        <v>91710.160859827185</v>
      </c>
      <c r="I18" s="602">
        <f>SUM(Year7!E30:I30)*$I$34</f>
        <v>91710.16085982717</v>
      </c>
      <c r="J18" s="602">
        <f>SUM(Year8!E30:I30)*$J$34</f>
        <v>91710.160859827185</v>
      </c>
      <c r="K18" s="602">
        <f>SUM(Year9!E30:I30)*$K$34</f>
        <v>91710.16085982717</v>
      </c>
      <c r="L18" s="603">
        <f>SUM(Year10!E29:I29)*$L$34</f>
        <v>91710.16085982717</v>
      </c>
    </row>
    <row r="19" spans="2:12">
      <c r="B19" s="576" t="s">
        <v>202</v>
      </c>
      <c r="C19" s="565">
        <f>SUM(Year1!E31:I31)*$C$34</f>
        <v>294924.99466000003</v>
      </c>
      <c r="D19" s="586">
        <f>SUM(Year2!E31:I31)*$D$34</f>
        <v>294924.99466000003</v>
      </c>
      <c r="E19" s="586">
        <f>SUM(Year3!E31:I31)*$E$34</f>
        <v>289222.02515000006</v>
      </c>
      <c r="F19" s="586">
        <f>SUM(Year4!E31:I31)*$F$34</f>
        <v>294924.99466000003</v>
      </c>
      <c r="G19" s="586">
        <f>SUM(Year5!E31:I31)*$G$34</f>
        <v>294924.99466000003</v>
      </c>
      <c r="H19" s="586">
        <f>SUM(Year6!E31:I31)*$H$34</f>
        <v>289222.02515000006</v>
      </c>
      <c r="I19" s="586">
        <f>SUM(Year7!E31:I31)*$I$34</f>
        <v>294924.99466000003</v>
      </c>
      <c r="J19" s="586">
        <f>SUM(Year8!E31:I31)*$J$34</f>
        <v>272113.11662000004</v>
      </c>
      <c r="K19" s="586">
        <f>SUM(Year9!E31:I31)*$K$34</f>
        <v>294924.99466000003</v>
      </c>
      <c r="L19" s="595">
        <f>SUM(Year10!E30:I30)*$L$34</f>
        <v>294924.99466000003</v>
      </c>
    </row>
    <row r="20" spans="2:12">
      <c r="B20" s="576" t="s">
        <v>203</v>
      </c>
      <c r="C20" s="565">
        <f>SUM(Year1!E32:I32)*$C$34</f>
        <v>394268.15075600008</v>
      </c>
      <c r="D20" s="586">
        <f>SUM(Year2!E32:I32)*$D$34</f>
        <v>394268.15075600008</v>
      </c>
      <c r="E20" s="586">
        <f>SUM(Year3!E32:I32)*$E$34</f>
        <v>386644.18099000008</v>
      </c>
      <c r="F20" s="586">
        <f>SUM(Year4!E32:I32)*$F$34</f>
        <v>394268.15075600008</v>
      </c>
      <c r="G20" s="586">
        <f>SUM(Year5!E32:I32)*$G$34</f>
        <v>394268.15075600008</v>
      </c>
      <c r="H20" s="586">
        <f>SUM(Year6!E32:I32)*$H$34</f>
        <v>386644.18099000008</v>
      </c>
      <c r="I20" s="586">
        <f>SUM(Year7!E32:I32)*$I$34</f>
        <v>394268.15075600008</v>
      </c>
      <c r="J20" s="586">
        <f>SUM(Year8!E32:I32)*$J$34</f>
        <v>363772.27169200004</v>
      </c>
      <c r="K20" s="586">
        <f>SUM(Year9!E32:I32)*$K$34</f>
        <v>394268.15075600008</v>
      </c>
      <c r="L20" s="595">
        <f>SUM(Year10!E31:I31)*$L$34</f>
        <v>394268.15075600008</v>
      </c>
    </row>
    <row r="21" spans="2:12">
      <c r="B21" s="578" t="s">
        <v>204</v>
      </c>
      <c r="C21" s="565">
        <f>SUM(Year1!E33:I33)*$C$34</f>
        <v>48607.386069454136</v>
      </c>
      <c r="D21" s="586">
        <f>SUM(Year2!E33:I33)*$D$34</f>
        <v>48607.386069454136</v>
      </c>
      <c r="E21" s="586">
        <f>SUM(Year3!E33:I33)*$E$34</f>
        <v>48607.386069454129</v>
      </c>
      <c r="F21" s="586">
        <f>SUM(Year4!E33:I33)*$F$34</f>
        <v>48607.386069454136</v>
      </c>
      <c r="G21" s="586">
        <f>SUM(Year5!E33:I33)*$G$34</f>
        <v>48607.386069454136</v>
      </c>
      <c r="H21" s="586">
        <f>SUM(Year6!E33:I33)*$H$34</f>
        <v>48607.386069454129</v>
      </c>
      <c r="I21" s="586">
        <f>SUM(Year7!E33:I33)*$I$34</f>
        <v>48607.386069454136</v>
      </c>
      <c r="J21" s="586">
        <f>SUM(Year8!E33:I33)*$J$34</f>
        <v>48607.386069454136</v>
      </c>
      <c r="K21" s="586">
        <f>SUM(Year9!E33:I33)*$K$34</f>
        <v>48607.386069454136</v>
      </c>
      <c r="L21" s="595">
        <f>SUM(Year10!E32:I32)*$L$34</f>
        <v>48607.386069454136</v>
      </c>
    </row>
    <row r="22" spans="2:12">
      <c r="B22" s="576" t="s">
        <v>205</v>
      </c>
      <c r="C22" s="565">
        <f>SUM(Year1!E34:I34)*$C$34</f>
        <v>1557096.6640047794</v>
      </c>
      <c r="D22" s="586">
        <f>SUM(Year2!E34:I34)*$D$34</f>
        <v>1557096.6640047794</v>
      </c>
      <c r="E22" s="586">
        <f>SUM(Year3!E34:I34)*$E$34</f>
        <v>1526987.0600046869</v>
      </c>
      <c r="F22" s="586">
        <f>SUM(Year4!E34:I34)*$F$34</f>
        <v>1557096.6640047794</v>
      </c>
      <c r="G22" s="586">
        <f>SUM(Year5!E34:I34)*$G$34</f>
        <v>1557096.6640047794</v>
      </c>
      <c r="H22" s="586">
        <f>SUM(Year6!E34:I34)*$H$34</f>
        <v>1526987.0600046869</v>
      </c>
      <c r="I22" s="586">
        <f>SUM(Year7!E34:I34)*$I$34</f>
        <v>1557096.6640047794</v>
      </c>
      <c r="J22" s="586">
        <f>SUM(Year8!E34:I34)*$J$34</f>
        <v>1436658.2480044097</v>
      </c>
      <c r="K22" s="586">
        <f>SUM(Year9!E34:I34)*$K$34</f>
        <v>1557096.6640047794</v>
      </c>
      <c r="L22" s="595">
        <f>SUM(Year10!E33:I33)*$L$34</f>
        <v>1557096.6640047794</v>
      </c>
    </row>
    <row r="23" spans="2:12">
      <c r="B23" s="576" t="s">
        <v>206</v>
      </c>
      <c r="C23" s="565">
        <f>$C$34*SUM(Accomodations!C7:G7)</f>
        <v>14099.900000000001</v>
      </c>
      <c r="D23" s="586">
        <f>$D$34*SUM(Accomodations!C7:G7)</f>
        <v>14099.900000000001</v>
      </c>
      <c r="E23" s="586">
        <f>$E$34*SUM(Accomodations!C7:G7)</f>
        <v>13827.250000000002</v>
      </c>
      <c r="F23" s="586">
        <f>$F$34*SUM(Accomodations!C7:G7)</f>
        <v>14099.900000000001</v>
      </c>
      <c r="G23" s="586">
        <f>$G$34*SUM(Accomodations!C7:G7)</f>
        <v>14099.900000000001</v>
      </c>
      <c r="H23" s="586">
        <f>$H$34*SUM(Accomodations!C7:G7)</f>
        <v>13827.250000000002</v>
      </c>
      <c r="I23" s="586">
        <f>$I$34*SUM(Accomodations!C7:G7)</f>
        <v>14099.900000000001</v>
      </c>
      <c r="J23" s="586">
        <f>$J$34*SUM(Accomodations!C7:G7)</f>
        <v>13009.300000000001</v>
      </c>
      <c r="K23" s="586">
        <f>$K$34*SUM(Accomodations!C7:G7)</f>
        <v>14099.900000000001</v>
      </c>
      <c r="L23" s="595">
        <f>$L$34*SUM(Accomodations!C7:G7)</f>
        <v>14099.900000000001</v>
      </c>
    </row>
    <row r="24" spans="2:12">
      <c r="B24" s="552" t="s">
        <v>207</v>
      </c>
      <c r="C24" s="565">
        <f>SUM(Year1!E36:I36)*$C$34</f>
        <v>1923.0769230769233</v>
      </c>
      <c r="D24" s="586">
        <f>SUM(Year2!E36:I36)*$D$34</f>
        <v>1923.0769230769233</v>
      </c>
      <c r="E24" s="586">
        <f>SUM(Year3!E36:I36)*$E$34</f>
        <v>1923.0769230769231</v>
      </c>
      <c r="F24" s="586">
        <f>SUM(Year4!E36:I36)*$F$34</f>
        <v>1923.0769230769233</v>
      </c>
      <c r="G24" s="586">
        <f>SUM(Year5!E36:I36)*$G$34</f>
        <v>1923.0769230769233</v>
      </c>
      <c r="H24" s="586">
        <f>SUM(Year6!E36:I36)*$H$34</f>
        <v>1923.0769230769231</v>
      </c>
      <c r="I24" s="586">
        <f>SUM(Year7!E36:I36)*$I$34</f>
        <v>1923.0769230769233</v>
      </c>
      <c r="J24" s="586">
        <f>SUM(Year8!E36:I36)*$J$34</f>
        <v>1923.0769230769231</v>
      </c>
      <c r="K24" s="586">
        <f>SUM(Year9!E36:I36)*$K$34</f>
        <v>1923.0769230769233</v>
      </c>
      <c r="L24" s="595">
        <f>SUM(Year10!E35:I35)*$L$34</f>
        <v>1923.0769230769233</v>
      </c>
    </row>
    <row r="25" spans="2:12">
      <c r="B25" s="563" t="s">
        <v>208</v>
      </c>
      <c r="C25" s="581">
        <f>SUM(C18:C24)</f>
        <v>2402630.3332731379</v>
      </c>
      <c r="D25" s="588">
        <f>SUM(D18:D24)</f>
        <v>2402630.3332731379</v>
      </c>
      <c r="E25" s="588">
        <f t="shared" ref="E25:L25" si="2">SUM(E18:E24)</f>
        <v>2358921.1399970455</v>
      </c>
      <c r="F25" s="588">
        <f t="shared" si="2"/>
        <v>2402630.3332731379</v>
      </c>
      <c r="G25" s="588">
        <f t="shared" si="2"/>
        <v>2402630.3332731379</v>
      </c>
      <c r="H25" s="588">
        <f t="shared" si="2"/>
        <v>2358921.1399970455</v>
      </c>
      <c r="I25" s="588">
        <f t="shared" si="2"/>
        <v>2402630.3332731379</v>
      </c>
      <c r="J25" s="588">
        <f t="shared" si="2"/>
        <v>2227793.5601687678</v>
      </c>
      <c r="K25" s="588">
        <f t="shared" si="2"/>
        <v>2402630.3332731379</v>
      </c>
      <c r="L25" s="604">
        <f t="shared" si="2"/>
        <v>2402630.3332731379</v>
      </c>
    </row>
    <row r="26" spans="2:12">
      <c r="B26" s="575" t="s">
        <v>209</v>
      </c>
      <c r="C26" s="579">
        <f>C17-C25</f>
        <v>3389118.189539426</v>
      </c>
      <c r="D26" s="579">
        <f>D17-D25</f>
        <v>5512171.0170192057</v>
      </c>
      <c r="E26" s="579">
        <f t="shared" ref="E26:L26" si="3">E17-E25</f>
        <v>7325924.2929708408</v>
      </c>
      <c r="F26" s="579">
        <f t="shared" si="3"/>
        <v>8421949.6015385427</v>
      </c>
      <c r="G26" s="579">
        <f t="shared" si="3"/>
        <v>9799186.9740057439</v>
      </c>
      <c r="H26" s="579">
        <f t="shared" si="3"/>
        <v>10437555.79891292</v>
      </c>
      <c r="I26" s="579">
        <f t="shared" si="3"/>
        <v>9198832.6657117829</v>
      </c>
      <c r="J26" s="579">
        <f t="shared" si="3"/>
        <v>11225876.615466557</v>
      </c>
      <c r="K26" s="579">
        <f t="shared" si="3"/>
        <v>10625017.866634905</v>
      </c>
      <c r="L26" s="580">
        <f t="shared" si="3"/>
        <v>10758207.361921094</v>
      </c>
    </row>
    <row r="27" spans="2:12">
      <c r="B27" s="576" t="s">
        <v>210</v>
      </c>
      <c r="C27" s="583">
        <f>SUM(Year1!E38:I38)*$C$34</f>
        <v>0</v>
      </c>
      <c r="D27" s="602">
        <f>SUM(Year2!E38:I38)*$D$34</f>
        <v>0</v>
      </c>
      <c r="E27" s="602">
        <f>SUM(Year3!E38:I38)*$E$34</f>
        <v>0</v>
      </c>
      <c r="F27" s="602">
        <f>SUM(Year4!E38:I38)*$F$34</f>
        <v>0</v>
      </c>
      <c r="G27" s="602">
        <f>SUM(Year5!E38:I38)*$G$34</f>
        <v>0</v>
      </c>
      <c r="H27" s="602">
        <f>SUM(Year6!E38:I38)*$H$34</f>
        <v>0</v>
      </c>
      <c r="I27" s="602">
        <f>SUM(Year7!E38:I38)*$I$34</f>
        <v>0</v>
      </c>
      <c r="J27" s="602">
        <f>SUM(Year8!E38:I38)*$J$34</f>
        <v>0</v>
      </c>
      <c r="K27" s="602">
        <f>SUM(Year9!E38:I38)*$K$34</f>
        <v>0</v>
      </c>
      <c r="L27" s="603">
        <f>SUM(Year10!E37:I37)*$L$34</f>
        <v>0</v>
      </c>
    </row>
    <row r="28" spans="2:12">
      <c r="B28" s="576" t="s">
        <v>211</v>
      </c>
      <c r="C28" s="565">
        <f>SUM(Year1!E39:I39)*$C$34</f>
        <v>419999.99999999994</v>
      </c>
      <c r="D28" s="586">
        <f>SUM(Year2!E39:I39)*$D$34</f>
        <v>419999.99999999994</v>
      </c>
      <c r="E28" s="586">
        <f>SUM(Year3!E39:I39)*$E$34</f>
        <v>419999.99999999994</v>
      </c>
      <c r="F28" s="586">
        <f>SUM(Year4!E39:I39)*$F$34</f>
        <v>419999.99999999994</v>
      </c>
      <c r="G28" s="586">
        <f>SUM(Year5!E39:I39)*$G$34</f>
        <v>419999.99999999994</v>
      </c>
      <c r="H28" s="586">
        <f>SUM(Year6!E39:I39)*$H$34</f>
        <v>419999.99999999994</v>
      </c>
      <c r="I28" s="586">
        <f>SUM(Year7!E39:I39)*$I$34</f>
        <v>419999.99999999994</v>
      </c>
      <c r="J28" s="586">
        <f>SUM(Year8!E39:I39)*$J$34</f>
        <v>419999.99999999994</v>
      </c>
      <c r="K28" s="586">
        <f>SUM(Year9!E39:I39)*$K$34</f>
        <v>419999.99999999994</v>
      </c>
      <c r="L28" s="595">
        <f>SUM(Year10!E38:I38)*$L$34</f>
        <v>419999.99999999994</v>
      </c>
    </row>
    <row r="29" spans="2:12">
      <c r="B29" s="552" t="s">
        <v>212</v>
      </c>
      <c r="C29" s="565">
        <f>SUM(Year1!E40:I40)*$C$34</f>
        <v>1598175.716375527</v>
      </c>
      <c r="D29" s="586">
        <f>SUM(Year2!E40:I40)*$D$34</f>
        <v>1598175.716375527</v>
      </c>
      <c r="E29" s="586">
        <f>SUM(Year3!E40:I40)*$E$34</f>
        <v>1598175.7163755272</v>
      </c>
      <c r="F29" s="586">
        <f>SUM(Year4!E40:I40)*$F$34</f>
        <v>1598175.716375527</v>
      </c>
      <c r="G29" s="586">
        <f>SUM(Year5!E40:I40)*$G$34</f>
        <v>1598175.716375527</v>
      </c>
      <c r="H29" s="586">
        <f>SUM(Year6!E40:I40)*$H$34</f>
        <v>1598175.7163755272</v>
      </c>
      <c r="I29" s="586">
        <f>SUM(Year7!E40:I40)*$I$34</f>
        <v>1598175.716375527</v>
      </c>
      <c r="J29" s="586">
        <f>SUM(Year8!E40:I40)*$J$34</f>
        <v>1598175.7163755267</v>
      </c>
      <c r="K29" s="586">
        <f>SUM(Year9!E40:I40)*$K$34</f>
        <v>1598175.716375527</v>
      </c>
      <c r="L29" s="595">
        <f>SUM(Year10!E39:I39)*$L$34</f>
        <v>1598175.716375527</v>
      </c>
    </row>
    <row r="30" spans="2:12">
      <c r="B30" s="552" t="s">
        <v>213</v>
      </c>
      <c r="C30" s="565">
        <f>SUM(Year1!E41:I41)*$C$34</f>
        <v>2939999.9999999995</v>
      </c>
      <c r="D30" s="586">
        <f>SUM(Year2!E41:I41)*$D$34</f>
        <v>2939999.9999999995</v>
      </c>
      <c r="E30" s="586">
        <f>SUM(Year3!E41:I41)*$E$34</f>
        <v>2940000</v>
      </c>
      <c r="F30" s="586">
        <f>SUM(Year4!E41:I41)*$F$34</f>
        <v>2939999.9999999995</v>
      </c>
      <c r="G30" s="586">
        <f>SUM(Year5!E41:I41)*$G$34</f>
        <v>2939999.9999999995</v>
      </c>
      <c r="H30" s="586">
        <f>SUM(Year6!E41:I41)*$H$34</f>
        <v>2940000</v>
      </c>
      <c r="I30" s="586">
        <f>SUM(Year7!E41:I41)*$I$34</f>
        <v>2939999.9999999995</v>
      </c>
      <c r="J30" s="586">
        <f>SUM(Year8!E41:I41)*$J$34</f>
        <v>2940000.0000000005</v>
      </c>
      <c r="K30" s="586">
        <f>SUM(Year9!E41:I41)*$K$34</f>
        <v>2939999.9999999995</v>
      </c>
      <c r="L30" s="595">
        <f>SUM(Year10!E40:I40)*$L$34</f>
        <v>2939999.9999999995</v>
      </c>
    </row>
    <row r="31" spans="2:12">
      <c r="B31" s="563" t="s">
        <v>214</v>
      </c>
      <c r="C31" s="565">
        <f>SUM(C27:C30)</f>
        <v>4958175.716375526</v>
      </c>
      <c r="D31" s="565">
        <f>SUM(D27:D30)</f>
        <v>4958175.716375526</v>
      </c>
      <c r="E31" s="565">
        <f>SUM(E27:E30)</f>
        <v>4958175.716375527</v>
      </c>
      <c r="F31" s="565">
        <f t="shared" ref="E31:L31" si="4">SUM(F27:F30)</f>
        <v>4958175.716375526</v>
      </c>
      <c r="G31" s="565">
        <f t="shared" si="4"/>
        <v>4958175.716375526</v>
      </c>
      <c r="H31" s="565">
        <f t="shared" si="4"/>
        <v>4958175.716375527</v>
      </c>
      <c r="I31" s="565">
        <f>SUM(I27:I30)</f>
        <v>4958175.716375526</v>
      </c>
      <c r="J31" s="565">
        <f t="shared" si="4"/>
        <v>4958175.716375527</v>
      </c>
      <c r="K31" s="565">
        <f t="shared" si="4"/>
        <v>4958175.716375526</v>
      </c>
      <c r="L31" s="577">
        <f t="shared" si="4"/>
        <v>4958175.716375526</v>
      </c>
    </row>
    <row r="32" spans="2:12">
      <c r="B32" s="596" t="s">
        <v>215</v>
      </c>
      <c r="C32" s="585">
        <f>C26-C31</f>
        <v>-1569057.5268361</v>
      </c>
      <c r="D32" s="584">
        <f>D26-D31</f>
        <v>553995.30064367969</v>
      </c>
      <c r="E32" s="584">
        <f t="shared" ref="E32:L32" si="5">E26-E31</f>
        <v>2367748.5765953138</v>
      </c>
      <c r="F32" s="584">
        <f t="shared" si="5"/>
        <v>3463773.8851630166</v>
      </c>
      <c r="G32" s="584">
        <f t="shared" si="5"/>
        <v>4841011.2576302178</v>
      </c>
      <c r="H32" s="584">
        <f t="shared" si="5"/>
        <v>5479380.0825373931</v>
      </c>
      <c r="I32" s="584">
        <f t="shared" si="5"/>
        <v>4240656.9493362568</v>
      </c>
      <c r="J32" s="584">
        <f t="shared" si="5"/>
        <v>6267700.8990910305</v>
      </c>
      <c r="K32" s="584">
        <f t="shared" si="5"/>
        <v>5666842.1502593793</v>
      </c>
      <c r="L32" s="597">
        <f t="shared" si="5"/>
        <v>5800031.6455455683</v>
      </c>
    </row>
    <row r="33" spans="2:12">
      <c r="B33" s="564"/>
      <c r="C33" s="598"/>
      <c r="D33" s="598"/>
      <c r="E33" s="598"/>
      <c r="F33" s="598"/>
      <c r="G33" s="598"/>
      <c r="H33" s="561"/>
      <c r="I33" s="561"/>
      <c r="J33" s="561"/>
      <c r="K33" s="561"/>
      <c r="L33" s="562"/>
    </row>
    <row r="34" spans="2:12">
      <c r="B34" s="599" t="s">
        <v>216</v>
      </c>
      <c r="C34" s="600">
        <f>Year1!E13</f>
        <v>362</v>
      </c>
      <c r="D34" s="600">
        <f>Year2!E13</f>
        <v>362</v>
      </c>
      <c r="E34" s="600">
        <f>Year3!E13</f>
        <v>355</v>
      </c>
      <c r="F34" s="600">
        <f>Year4!E13</f>
        <v>362</v>
      </c>
      <c r="G34" s="600">
        <f>Year5!E13</f>
        <v>362</v>
      </c>
      <c r="H34" s="600">
        <f>Year6!E13</f>
        <v>355</v>
      </c>
      <c r="I34" s="600">
        <f>Year7!E13</f>
        <v>362</v>
      </c>
      <c r="J34" s="600">
        <f>Year8!E13</f>
        <v>334</v>
      </c>
      <c r="K34" s="600">
        <f>Year9!E13</f>
        <v>362</v>
      </c>
      <c r="L34" s="601">
        <f>Year10!E13</f>
        <v>362</v>
      </c>
    </row>
    <row r="35" spans="2:12">
      <c r="B35" s="551" t="s">
        <v>217</v>
      </c>
      <c r="C35" s="589">
        <f>SUM(Year1!E10:I10)*C34</f>
        <v>2854.0040705563097</v>
      </c>
      <c r="D35" s="590">
        <f>SUM(Year2!E10:I10)*D34</f>
        <v>2854.0040705563097</v>
      </c>
      <c r="E35" s="590">
        <f>SUM(Year3!$E$10:$I$10)*E34</f>
        <v>2798.8161465400271</v>
      </c>
      <c r="F35" s="590">
        <f>SUM(Year3!$E$10:$I$10)*F34</f>
        <v>2854.0040705563097</v>
      </c>
      <c r="G35" s="590">
        <f>SUM(Year3!$E$10:$I$10)*G34</f>
        <v>2854.0040705563097</v>
      </c>
      <c r="H35" s="590">
        <f>SUM(Year3!$E$10:$I$10)*H34</f>
        <v>2798.8161465400271</v>
      </c>
      <c r="I35" s="590">
        <f>SUM(Year3!$E$10:$I$10)*I34</f>
        <v>2854.0040705563097</v>
      </c>
      <c r="J35" s="590">
        <f>SUM(Year3!$E$10:$I$10)*J34</f>
        <v>2633.2523744911805</v>
      </c>
      <c r="K35" s="590">
        <f>SUM(Year3!$E$10:$I$10)*K34</f>
        <v>2854.0040705563097</v>
      </c>
      <c r="L35" s="591">
        <f>SUM(Year3!$E$10:$I$10)*L34</f>
        <v>2854.0040705563097</v>
      </c>
    </row>
    <row r="36" spans="2:12">
      <c r="B36" s="552" t="s">
        <v>218</v>
      </c>
      <c r="C36" s="558">
        <f>C34*27*SUM(Year1!$E$9:$I$9)</f>
        <v>38783232</v>
      </c>
      <c r="D36" s="558">
        <f>D34*27*SUM(Year1!$E$9:$I$9)</f>
        <v>38783232</v>
      </c>
      <c r="E36" s="558">
        <f>E34*27*SUM(Year1!$E$9:$I$9)</f>
        <v>38033280</v>
      </c>
      <c r="F36" s="558">
        <f>F34*27*SUM(Year1!$E$9:$I$9)</f>
        <v>38783232</v>
      </c>
      <c r="G36" s="558">
        <f>G34*27*SUM(Year1!$E$9:$I$9)</f>
        <v>38783232</v>
      </c>
      <c r="H36" s="558">
        <f>H34*27*SUM(Year1!$E$9:$I$9)</f>
        <v>38033280</v>
      </c>
      <c r="I36" s="558">
        <f>I34*27*SUM(Year1!$E$9:$I$9)</f>
        <v>38783232</v>
      </c>
      <c r="J36" s="558">
        <f>J34*27*SUM(Year1!$E$9:$I$9)</f>
        <v>35783424</v>
      </c>
      <c r="K36" s="558">
        <f>K34*27*SUM(Year1!$E$9:$I$9)</f>
        <v>38783232</v>
      </c>
      <c r="L36" s="559">
        <f>L34*27*SUM(Year1!$E$9:$I$9)</f>
        <v>38783232</v>
      </c>
    </row>
    <row r="37" spans="2:12">
      <c r="B37" s="551" t="s">
        <v>219</v>
      </c>
      <c r="C37" s="557">
        <f>C35/C34</f>
        <v>7.8839891451831763</v>
      </c>
      <c r="D37" s="557">
        <f t="shared" ref="D37:L37" si="6">D35/D34</f>
        <v>7.8839891451831763</v>
      </c>
      <c r="E37" s="557">
        <f t="shared" si="6"/>
        <v>7.8839891451831754</v>
      </c>
      <c r="F37" s="557">
        <f t="shared" si="6"/>
        <v>7.8839891451831763</v>
      </c>
      <c r="G37" s="557">
        <f t="shared" si="6"/>
        <v>7.8839891451831763</v>
      </c>
      <c r="H37" s="557">
        <f t="shared" si="6"/>
        <v>7.8839891451831754</v>
      </c>
      <c r="I37" s="557">
        <f t="shared" si="6"/>
        <v>7.8839891451831763</v>
      </c>
      <c r="J37" s="557">
        <f t="shared" si="6"/>
        <v>7.8839891451831754</v>
      </c>
      <c r="K37" s="557">
        <f t="shared" si="6"/>
        <v>7.8839891451831763</v>
      </c>
      <c r="L37" s="592">
        <f t="shared" si="6"/>
        <v>7.8839891451831763</v>
      </c>
    </row>
    <row r="38" spans="2:12">
      <c r="B38" s="553" t="s">
        <v>220</v>
      </c>
      <c r="C38" s="558">
        <v>2</v>
      </c>
      <c r="D38" s="558">
        <v>2</v>
      </c>
      <c r="E38" s="558">
        <v>2</v>
      </c>
      <c r="F38" s="558">
        <v>2</v>
      </c>
      <c r="G38" s="558">
        <v>2</v>
      </c>
      <c r="H38" s="558">
        <v>2</v>
      </c>
      <c r="I38" s="558">
        <v>2</v>
      </c>
      <c r="J38" s="558">
        <v>2</v>
      </c>
      <c r="K38" s="558">
        <v>2</v>
      </c>
      <c r="L38" s="559">
        <v>2</v>
      </c>
    </row>
    <row r="39" spans="2:12">
      <c r="B39" s="551" t="s">
        <v>221</v>
      </c>
      <c r="C39" s="554">
        <f>C7/C36</f>
        <v>0.33442594274583942</v>
      </c>
      <c r="D39" s="554">
        <f t="shared" ref="D39:L39" si="7">D7/D36</f>
        <v>0.38916745648764878</v>
      </c>
      <c r="E39" s="554">
        <f t="shared" si="7"/>
        <v>0.43973087693339258</v>
      </c>
      <c r="F39" s="554">
        <f t="shared" si="7"/>
        <v>0.46419417382052441</v>
      </c>
      <c r="G39" s="554">
        <f t="shared" si="7"/>
        <v>0.49970532906584281</v>
      </c>
      <c r="H39" s="554">
        <f t="shared" si="7"/>
        <v>0.52154426525914521</v>
      </c>
      <c r="I39" s="554">
        <f t="shared" si="7"/>
        <v>0.48422559008240895</v>
      </c>
      <c r="J39" s="554">
        <f t="shared" si="7"/>
        <v>0.56106446122715059</v>
      </c>
      <c r="K39" s="554">
        <f t="shared" si="7"/>
        <v>0.52099883272817715</v>
      </c>
      <c r="L39" s="555">
        <f t="shared" si="7"/>
        <v>0.52443303582105472</v>
      </c>
    </row>
    <row r="40" spans="2:12">
      <c r="B40" s="551" t="s">
        <v>222</v>
      </c>
      <c r="C40" s="554">
        <f>C16/C35</f>
        <v>2515.1927691956016</v>
      </c>
      <c r="D40" s="554">
        <f t="shared" ref="D40:L40" si="8">D16/D35</f>
        <v>2515.1927691956016</v>
      </c>
      <c r="E40" s="554">
        <f t="shared" si="8"/>
        <v>2515.1927691956021</v>
      </c>
      <c r="F40" s="554">
        <f t="shared" si="8"/>
        <v>2515.1927691956016</v>
      </c>
      <c r="G40" s="554">
        <f t="shared" si="8"/>
        <v>2515.1927691956016</v>
      </c>
      <c r="H40" s="554">
        <f t="shared" si="8"/>
        <v>2515.1927691956021</v>
      </c>
      <c r="I40" s="554">
        <f t="shared" si="8"/>
        <v>2515.1927691956016</v>
      </c>
      <c r="J40" s="554">
        <f t="shared" si="8"/>
        <v>2515.1927691956012</v>
      </c>
      <c r="K40" s="554">
        <f t="shared" si="8"/>
        <v>2515.1927691956016</v>
      </c>
      <c r="L40" s="555">
        <f t="shared" si="8"/>
        <v>2515.1927691956016</v>
      </c>
    </row>
    <row r="41" spans="2:12">
      <c r="B41" s="551" t="s">
        <v>223</v>
      </c>
      <c r="C41" s="554">
        <f>C25/C35</f>
        <v>841.84544726483557</v>
      </c>
      <c r="D41" s="554">
        <f t="shared" ref="D41:L41" si="9">D25/D35</f>
        <v>841.84544726483557</v>
      </c>
      <c r="E41" s="554">
        <f t="shared" si="9"/>
        <v>842.82818752250239</v>
      </c>
      <c r="F41" s="554">
        <f t="shared" si="9"/>
        <v>841.84544726483557</v>
      </c>
      <c r="G41" s="554">
        <f t="shared" si="9"/>
        <v>841.84544726483557</v>
      </c>
      <c r="H41" s="554">
        <f t="shared" si="9"/>
        <v>842.82818752250239</v>
      </c>
      <c r="I41" s="554">
        <f t="shared" si="9"/>
        <v>841.84544726483557</v>
      </c>
      <c r="J41" s="554">
        <f t="shared" si="9"/>
        <v>846.02356452796937</v>
      </c>
      <c r="K41" s="554">
        <f t="shared" si="9"/>
        <v>841.84544726483557</v>
      </c>
      <c r="L41" s="555">
        <f t="shared" si="9"/>
        <v>841.84544726483557</v>
      </c>
    </row>
    <row r="42" spans="2:12">
      <c r="B42" s="551" t="s">
        <v>224</v>
      </c>
      <c r="C42" s="554">
        <f>C31/C35</f>
        <v>1737.2700226769705</v>
      </c>
      <c r="D42" s="554">
        <f t="shared" ref="D42:L42" si="10">D31/D35</f>
        <v>1737.2700226769705</v>
      </c>
      <c r="E42" s="554">
        <f t="shared" si="10"/>
        <v>1771.5260512931366</v>
      </c>
      <c r="F42" s="554">
        <f t="shared" si="10"/>
        <v>1737.2700226769705</v>
      </c>
      <c r="G42" s="554">
        <f t="shared" si="10"/>
        <v>1737.2700226769705</v>
      </c>
      <c r="H42" s="554">
        <f t="shared" si="10"/>
        <v>1771.5260512931366</v>
      </c>
      <c r="I42" s="554">
        <f t="shared" si="10"/>
        <v>1737.2700226769705</v>
      </c>
      <c r="J42" s="554">
        <f t="shared" si="10"/>
        <v>1882.9094257756392</v>
      </c>
      <c r="K42" s="554">
        <f t="shared" si="10"/>
        <v>1737.2700226769705</v>
      </c>
      <c r="L42" s="555">
        <f t="shared" si="10"/>
        <v>1737.2700226769705</v>
      </c>
    </row>
    <row r="43" spans="2:12">
      <c r="B43" s="556" t="s">
        <v>225</v>
      </c>
      <c r="C43" s="560">
        <f>SUM(C16,C25,C31)/C35</f>
        <v>5094.3082391374073</v>
      </c>
      <c r="D43" s="560">
        <f t="shared" ref="D43:L43" si="11">SUM(D16,D25,D31)/D35</f>
        <v>5094.3082391374073</v>
      </c>
      <c r="E43" s="560">
        <f t="shared" si="11"/>
        <v>5129.5470080112409</v>
      </c>
      <c r="F43" s="560">
        <f t="shared" si="11"/>
        <v>5094.3082391374073</v>
      </c>
      <c r="G43" s="560">
        <f t="shared" si="11"/>
        <v>5094.3082391374073</v>
      </c>
      <c r="H43" s="560">
        <f t="shared" si="11"/>
        <v>5129.5470080112409</v>
      </c>
      <c r="I43" s="560">
        <f t="shared" si="11"/>
        <v>5094.3082391374073</v>
      </c>
      <c r="J43" s="560">
        <f t="shared" si="11"/>
        <v>5244.1257594992094</v>
      </c>
      <c r="K43" s="560">
        <f t="shared" si="11"/>
        <v>5094.3082391374073</v>
      </c>
      <c r="L43" s="593">
        <f t="shared" si="11"/>
        <v>5094.3082391374073</v>
      </c>
    </row>
    <row r="47" spans="2:12">
      <c r="B47" s="571" t="s">
        <v>226</v>
      </c>
      <c r="C47" s="572"/>
      <c r="D47" s="572"/>
      <c r="E47" s="572"/>
      <c r="F47" s="572"/>
      <c r="G47" s="572"/>
      <c r="H47" s="572"/>
      <c r="I47" s="572"/>
      <c r="J47" s="572"/>
      <c r="K47" s="572"/>
      <c r="L47" s="573"/>
    </row>
    <row r="48" spans="2:12">
      <c r="B48" s="553"/>
      <c r="C48" s="567">
        <v>2023</v>
      </c>
      <c r="D48" s="568">
        <v>2024</v>
      </c>
      <c r="E48" s="569">
        <v>2025</v>
      </c>
      <c r="F48" s="570">
        <v>2026</v>
      </c>
      <c r="G48" s="569">
        <v>2027</v>
      </c>
      <c r="H48" s="570">
        <v>2028</v>
      </c>
      <c r="I48" s="569">
        <v>2029</v>
      </c>
      <c r="J48" s="570">
        <v>2030</v>
      </c>
      <c r="K48" s="569">
        <v>2031</v>
      </c>
      <c r="L48" s="574">
        <v>2032</v>
      </c>
    </row>
    <row r="49" spans="2:12">
      <c r="B49" s="575" t="s">
        <v>190</v>
      </c>
      <c r="C49" s="566">
        <f>SUM(Profitability!AQ51:AQ54)</f>
        <v>14117128.800000001</v>
      </c>
      <c r="D49" s="566">
        <f>SUM(Profitability!AR51:AR54)</f>
        <v>15774832.551686127</v>
      </c>
      <c r="E49" s="566">
        <f>SUM(Profitability!AS51:AS54)</f>
        <v>17417221.616363578</v>
      </c>
      <c r="F49" s="566">
        <f>SUM(Profitability!AT51:AT54)</f>
        <v>19498929.2494075</v>
      </c>
      <c r="G49" s="566">
        <f>SUM(Profitability!AU51:AU54)</f>
        <v>20203318.059722938</v>
      </c>
      <c r="H49" s="566">
        <f>SUM(Profitability!AV51:AV54)</f>
        <v>22135792.788963102</v>
      </c>
      <c r="I49" s="566">
        <f>SUM(Profitability!AW51:AW54)</f>
        <v>22439951.559626561</v>
      </c>
      <c r="J49" s="566">
        <f>SUM(Profitability!AX51:AX54)</f>
        <v>23278875.446272094</v>
      </c>
      <c r="K49" s="566">
        <f>SUM(Profitability!AY51:AY54)</f>
        <v>24061858.584686562</v>
      </c>
      <c r="L49" s="594">
        <f>SUM(Profitability!AZ51:AZ54)</f>
        <v>24512139.874224443</v>
      </c>
    </row>
    <row r="50" spans="2:12">
      <c r="B50" s="576" t="s">
        <v>191</v>
      </c>
      <c r="C50" s="587">
        <f>SUM(Year1!J20:M20)*$C$76</f>
        <v>1318135.8704617966</v>
      </c>
      <c r="D50" s="587">
        <f>SUM(Year2!J20:M20)*$D$76</f>
        <v>1289005.795976453</v>
      </c>
      <c r="E50" s="586">
        <f>SUM(Year4!J20:M20)*$E$76</f>
        <v>1314494.6111511288</v>
      </c>
      <c r="F50" s="586">
        <f>SUM(Year4!J20:M20)*$F$76</f>
        <v>1289005.795976453</v>
      </c>
      <c r="G50" s="586">
        <f>SUM(Year5!J20:M20)*$G$76</f>
        <v>1314494.6111511288</v>
      </c>
      <c r="H50" s="586">
        <f>SUM(Year6!J20:M20)*$H$76</f>
        <v>1212539.3504524261</v>
      </c>
      <c r="I50" s="586">
        <f>SUM(Year7!J20:M20)*$I$76</f>
        <v>1314494.6111511288</v>
      </c>
      <c r="J50" s="586">
        <f>SUM(Year8!J20:M20)*$J$76</f>
        <v>1289005.795976453</v>
      </c>
      <c r="K50" s="586">
        <f>SUM(Year9!J20:M20)*$K$76</f>
        <v>1314494.6111511288</v>
      </c>
      <c r="L50" s="595">
        <f>SUM(Year10!J20:M20)*$L$76</f>
        <v>1289005.795976453</v>
      </c>
    </row>
    <row r="51" spans="2:12">
      <c r="B51" s="576" t="s">
        <v>192</v>
      </c>
      <c r="C51" s="587">
        <f>SUM(Year1!J21:M21)*$C$76</f>
        <v>1785167.0588838796</v>
      </c>
      <c r="D51" s="587">
        <f>SUM(Year2!J21:M21)*$D$76</f>
        <v>1745715.8531626889</v>
      </c>
      <c r="E51" s="586">
        <f>SUM(Year4!J21:M21)*$E$76</f>
        <v>1780235.6581687308</v>
      </c>
      <c r="F51" s="586">
        <f>SUM(Year4!J21:M21)*$F$76</f>
        <v>1745715.8531626889</v>
      </c>
      <c r="G51" s="586">
        <f>SUM(Year5!J21:M21)*$G$76</f>
        <v>1780235.6581687308</v>
      </c>
      <c r="H51" s="586">
        <f>SUM(Year6!J21:M21)*$H$76</f>
        <v>1642156.4381445632</v>
      </c>
      <c r="I51" s="586">
        <f>SUM(Year7!J21:M21)*$I$76</f>
        <v>1780235.6581687308</v>
      </c>
      <c r="J51" s="586">
        <f>SUM(Year8!J21:M21)*$J$76</f>
        <v>1745715.8531626889</v>
      </c>
      <c r="K51" s="586">
        <f>SUM(Year9!J21:M21)*$K$76</f>
        <v>1780235.6581687308</v>
      </c>
      <c r="L51" s="595">
        <f>SUM(Year10!J21:M21)*$L$76</f>
        <v>1745715.8531626889</v>
      </c>
    </row>
    <row r="52" spans="2:12">
      <c r="B52" s="576" t="s">
        <v>193</v>
      </c>
      <c r="C52" s="587">
        <f>SUM(Year1!J22:M22)*$C$76</f>
        <v>4708913.9584108973</v>
      </c>
      <c r="D52" s="587">
        <f>SUM(Year2!J22:M22)*$D$76</f>
        <v>4604849.5615399377</v>
      </c>
      <c r="E52" s="586">
        <f>SUM(Year4!J22:M22)*$E$76</f>
        <v>4695905.9088020278</v>
      </c>
      <c r="F52" s="586">
        <f>SUM(Year4!J22:M22)*$F$76</f>
        <v>4604849.5615399377</v>
      </c>
      <c r="G52" s="586">
        <f>SUM(Year5!J22:M22)*$G$76</f>
        <v>4695905.9088020278</v>
      </c>
      <c r="H52" s="586">
        <f>SUM(Year6!J22:M22)*$H$76</f>
        <v>4331680.5197536703</v>
      </c>
      <c r="I52" s="586">
        <f>SUM(Year7!J22:M22)*$I$76</f>
        <v>4695905.9088020278</v>
      </c>
      <c r="J52" s="586">
        <f>SUM(Year8!J22:M22)*$J$76</f>
        <v>4604849.5615399377</v>
      </c>
      <c r="K52" s="586">
        <f>SUM(Year9!J22:M22)*$K$76</f>
        <v>4695905.9088020278</v>
      </c>
      <c r="L52" s="595">
        <f>SUM(Year10!J22:M22)*$L$76</f>
        <v>4604849.5615399377</v>
      </c>
    </row>
    <row r="53" spans="2:12">
      <c r="B53" s="576" t="s">
        <v>194</v>
      </c>
      <c r="C53" s="587">
        <f>SUM(Year1!J23:M23)*$C$76</f>
        <v>473857.99999999994</v>
      </c>
      <c r="D53" s="587">
        <f>SUM(Year2!J23:M23)*$D$76</f>
        <v>463385.99999999994</v>
      </c>
      <c r="E53" s="586">
        <f>SUM(Year4!J23:M23)*$E$76</f>
        <v>472548.99999999994</v>
      </c>
      <c r="F53" s="586">
        <f>SUM(Year4!J23:M23)*$F$76</f>
        <v>463385.99999999994</v>
      </c>
      <c r="G53" s="586">
        <f>SUM(Year5!J23:M23)*$G$76</f>
        <v>472548.99999999994</v>
      </c>
      <c r="H53" s="586">
        <f>SUM(Year6!J23:M23)*$H$76</f>
        <v>435896.99999999994</v>
      </c>
      <c r="I53" s="586">
        <f>SUM(Year7!J23:M23)*$I$76</f>
        <v>472548.99999999994</v>
      </c>
      <c r="J53" s="586">
        <f>SUM(Year8!J23:M23)*$J$76</f>
        <v>463385.99999999994</v>
      </c>
      <c r="K53" s="586">
        <f>SUM(Year9!J23:M23)*$K$76</f>
        <v>472548.99999999994</v>
      </c>
      <c r="L53" s="595">
        <f>SUM(Year10!J23:M23)*$L$76</f>
        <v>463385.99999999994</v>
      </c>
    </row>
    <row r="54" spans="2:12">
      <c r="B54" s="576" t="s">
        <v>195</v>
      </c>
      <c r="C54" s="587">
        <f>SUM(Year1!J25:M25)*$C$76</f>
        <v>45821.835471999999</v>
      </c>
      <c r="D54" s="586">
        <f>SUM(Year2!J25:M25)*$D$76</f>
        <v>44809.198224</v>
      </c>
      <c r="E54" s="586">
        <f>SUM(Year4!J25:M25)*$E$76</f>
        <v>45695.255815999997</v>
      </c>
      <c r="F54" s="586">
        <f>SUM(Year4!J25:M25)*$F$76</f>
        <v>44809.198224</v>
      </c>
      <c r="G54" s="586">
        <f>SUM(Year5!J25:M25)*$G$76</f>
        <v>45695.255815999997</v>
      </c>
      <c r="H54" s="586">
        <f>SUM(Year6!J25:M25)*$H$76</f>
        <v>42151.025448</v>
      </c>
      <c r="I54" s="586">
        <f>SUM(Year7!J25:M25)*$I$76</f>
        <v>45695.255815999997</v>
      </c>
      <c r="J54" s="586">
        <f>SUM(Year8!J25:M25)*$J$76</f>
        <v>44809.198224</v>
      </c>
      <c r="K54" s="586">
        <f>SUM(Year9!J25:M25)*$K$76</f>
        <v>45695.255815999997</v>
      </c>
      <c r="L54" s="595">
        <f>SUM(Year10!J24:M24)*$L$76</f>
        <v>44809.198224</v>
      </c>
    </row>
    <row r="55" spans="2:12">
      <c r="B55" s="576" t="s">
        <v>196</v>
      </c>
      <c r="C55" s="587">
        <f>SUM(Year1!J26:M26)*$C$76</f>
        <v>417907.27999999991</v>
      </c>
      <c r="D55" s="586">
        <f>SUM(Year2!J26:M26)*$D$76</f>
        <v>408671.75999999995</v>
      </c>
      <c r="E55" s="586">
        <f>SUM(Year4!J26:M26)*$E$76</f>
        <v>416752.83999999991</v>
      </c>
      <c r="F55" s="586">
        <f>SUM(Year4!J26:M26)*$F$76</f>
        <v>408671.75999999995</v>
      </c>
      <c r="G55" s="586">
        <f>SUM(Year5!J26:M26)*$G$76</f>
        <v>416752.83999999991</v>
      </c>
      <c r="H55" s="586">
        <f>SUM(Year6!J26:M26)*$H$76</f>
        <v>384428.51999999996</v>
      </c>
      <c r="I55" s="586">
        <f>SUM(Year7!J26:M26)*$I$76</f>
        <v>416752.83999999991</v>
      </c>
      <c r="J55" s="586">
        <f>SUM(Year8!J26:M26)*$J$76</f>
        <v>408671.75999999995</v>
      </c>
      <c r="K55" s="586">
        <f>SUM(Year9!J26:M26)*$K$76</f>
        <v>416752.83999999991</v>
      </c>
      <c r="L55" s="595">
        <f>SUM(Year10!J25:M25)*$L$76</f>
        <v>408671.75999999995</v>
      </c>
    </row>
    <row r="56" spans="2:12">
      <c r="B56" s="576" t="s">
        <v>197</v>
      </c>
      <c r="C56" s="587">
        <f>SUM(Year1!J27:M27)*$C$76</f>
        <v>513332.50199628295</v>
      </c>
      <c r="D56" s="586">
        <f>SUM(Year2!J27:M27)*$D$76</f>
        <v>501988.13731128222</v>
      </c>
      <c r="E56" s="586">
        <f>SUM(Year4!J27:M27)*$E$76</f>
        <v>511914.45641065785</v>
      </c>
      <c r="F56" s="586">
        <f>SUM(Year4!J27:M27)*$F$76</f>
        <v>501988.13731128222</v>
      </c>
      <c r="G56" s="586">
        <f>SUM(Year5!J27:M27)*$G$76</f>
        <v>511914.45641065785</v>
      </c>
      <c r="H56" s="586">
        <f>SUM(Year6!J27:M27)*$H$76</f>
        <v>472209.18001315533</v>
      </c>
      <c r="I56" s="586">
        <f>SUM(Year7!J27:M27)*$I$76</f>
        <v>511914.45641065785</v>
      </c>
      <c r="J56" s="586">
        <f>SUM(Year8!J27:M27)*$J$76</f>
        <v>501988.13731128222</v>
      </c>
      <c r="K56" s="586">
        <f>SUM(Year9!J27:M27)*$K$76</f>
        <v>511914.45641065785</v>
      </c>
      <c r="L56" s="595">
        <f>SUM(Year10!J26:M26)*$L$76</f>
        <v>501988.13731128222</v>
      </c>
    </row>
    <row r="57" spans="2:12">
      <c r="B57" s="576" t="s">
        <v>198</v>
      </c>
      <c r="C57" s="587">
        <f>SUM(Year1!J28:M28)*$C$76</f>
        <v>19976.345549999995</v>
      </c>
      <c r="D57" s="586">
        <f>SUM(Year2!J28:M28)*$D$76</f>
        <v>19534.879349999996</v>
      </c>
      <c r="E57" s="586">
        <f>SUM(Year4!J28:M28)*$E$76</f>
        <v>19921.162274999995</v>
      </c>
      <c r="F57" s="586">
        <f>SUM(Year4!J28:M28)*$F$76</f>
        <v>19534.879349999996</v>
      </c>
      <c r="G57" s="586">
        <f>SUM(Year5!J28:M28)*$G$76</f>
        <v>19921.162274999995</v>
      </c>
      <c r="H57" s="586">
        <f>SUM(Year6!J28:M28)*$H$76</f>
        <v>18376.030574999997</v>
      </c>
      <c r="I57" s="586">
        <f>SUM(Year7!J28:M28)*$I$76</f>
        <v>19921.162274999995</v>
      </c>
      <c r="J57" s="586">
        <f>SUM(Year8!J28:M28)*$J$76</f>
        <v>19534.879349999996</v>
      </c>
      <c r="K57" s="586">
        <f>SUM(Year9!J28:M28)*$K$76</f>
        <v>19921.162274999995</v>
      </c>
      <c r="L57" s="595">
        <f>SUM(Year10!J27:M27)*$L$76</f>
        <v>19534.879349999996</v>
      </c>
    </row>
    <row r="58" spans="2:12">
      <c r="B58" s="563" t="s">
        <v>199</v>
      </c>
      <c r="C58" s="587">
        <f>SUM(C50:C57)</f>
        <v>9283112.8507748563</v>
      </c>
      <c r="D58" s="565">
        <f>SUM(D50:D57)</f>
        <v>9077961.1855643597</v>
      </c>
      <c r="E58" s="587">
        <f>SUM(E50:E57)</f>
        <v>9257468.8926235437</v>
      </c>
      <c r="F58" s="587">
        <f t="shared" ref="F58:L58" si="12">SUM(F50:F57)</f>
        <v>9077961.1855643597</v>
      </c>
      <c r="G58" s="587">
        <f t="shared" si="12"/>
        <v>9257468.8926235437</v>
      </c>
      <c r="H58" s="587">
        <f t="shared" si="12"/>
        <v>8539438.0643868148</v>
      </c>
      <c r="I58" s="587">
        <f t="shared" si="12"/>
        <v>9257468.8926235437</v>
      </c>
      <c r="J58" s="587">
        <f t="shared" si="12"/>
        <v>9077961.1855643597</v>
      </c>
      <c r="K58" s="587">
        <f t="shared" si="12"/>
        <v>9257468.8926235437</v>
      </c>
      <c r="L58" s="608">
        <f t="shared" si="12"/>
        <v>9077961.1855643597</v>
      </c>
    </row>
    <row r="59" spans="2:12">
      <c r="B59" s="575" t="s">
        <v>200</v>
      </c>
      <c r="C59" s="566">
        <f>C49-C58</f>
        <v>4834015.9492251445</v>
      </c>
      <c r="D59" s="566">
        <f t="shared" ref="D59:L59" si="13">D49-D58</f>
        <v>6696871.3661217671</v>
      </c>
      <c r="E59" s="566">
        <f>E49-E58</f>
        <v>8159752.7237400338</v>
      </c>
      <c r="F59" s="566">
        <f t="shared" ref="F59:L59" si="14">F49-F58</f>
        <v>10420968.06384314</v>
      </c>
      <c r="G59" s="566">
        <f t="shared" si="14"/>
        <v>10945849.167099394</v>
      </c>
      <c r="H59" s="566">
        <f t="shared" si="14"/>
        <v>13596354.724576287</v>
      </c>
      <c r="I59" s="566">
        <f t="shared" si="14"/>
        <v>13182482.667003017</v>
      </c>
      <c r="J59" s="566">
        <f t="shared" si="14"/>
        <v>14200914.260707734</v>
      </c>
      <c r="K59" s="566">
        <f t="shared" si="14"/>
        <v>14804389.692063019</v>
      </c>
      <c r="L59" s="594">
        <f t="shared" si="14"/>
        <v>15434178.688660083</v>
      </c>
    </row>
    <row r="60" spans="2:12">
      <c r="B60" s="576" t="s">
        <v>201</v>
      </c>
      <c r="C60" s="565">
        <f>SUM(Year1!J30:M30)*$C$76</f>
        <v>91787.805701594596</v>
      </c>
      <c r="D60" s="586">
        <f>SUM(Year2!J30:M30)*$D$76</f>
        <v>91787.805701594611</v>
      </c>
      <c r="E60" s="586">
        <f>SUM(Year3!J30:M30)*$E$76</f>
        <v>91787.805701594611</v>
      </c>
      <c r="F60" s="586">
        <f>SUM(Year4!J30:M30)*$F$76</f>
        <v>91787.805701594611</v>
      </c>
      <c r="G60" s="586">
        <f>SUM(Year5!J30:M30)*$F$76</f>
        <v>90007.98675447228</v>
      </c>
      <c r="H60" s="586">
        <f>SUM(Year6!J30:M30)*$H$76</f>
        <v>91787.805701594611</v>
      </c>
      <c r="I60" s="586">
        <f>SUM(Year7!J30:M30)*$I$76</f>
        <v>91787.805701594611</v>
      </c>
      <c r="J60" s="586">
        <f>SUM(Year8!J30:M30)*$J$76</f>
        <v>91787.805701594611</v>
      </c>
      <c r="K60" s="586">
        <f>SUM(Year9!J30:M30)*$K$76</f>
        <v>91787.805701594611</v>
      </c>
      <c r="L60" s="595">
        <f>SUM(Year10!J29:M29)*$L$76</f>
        <v>91787.805701594611</v>
      </c>
    </row>
    <row r="61" spans="2:12">
      <c r="B61" s="576" t="s">
        <v>202</v>
      </c>
      <c r="C61" s="565">
        <f>SUM(Year1!J31:M31)*$C$76</f>
        <v>235939.99572800001</v>
      </c>
      <c r="D61" s="586">
        <f>SUM(Year2!J31:M31)*$D$76</f>
        <v>230725.85217600001</v>
      </c>
      <c r="E61" s="586">
        <f>SUM(Year3!J31:M31)*$E$76</f>
        <v>235288.22778400002</v>
      </c>
      <c r="F61" s="586">
        <f>SUM(Year4!J31:M31)*$F$76</f>
        <v>230725.85217600001</v>
      </c>
      <c r="G61" s="586">
        <f>SUM(Year5!J31:M31)*$F$76</f>
        <v>230725.85217600001</v>
      </c>
      <c r="H61" s="586">
        <f>SUM(Year6!J31:M31)*$H$76</f>
        <v>217038.72535200001</v>
      </c>
      <c r="I61" s="586">
        <f>SUM(Year7!J31:M31)*$I$76</f>
        <v>235288.22778400002</v>
      </c>
      <c r="J61" s="586">
        <f>SUM(Year8!J31:M31)*$J$76</f>
        <v>230725.85217600001</v>
      </c>
      <c r="K61" s="586">
        <f>SUM(Year9!J31:M31)*$K$76</f>
        <v>235288.22778400002</v>
      </c>
      <c r="L61" s="595">
        <f>SUM(Year10!J30:M30)*$L$76</f>
        <v>230725.85217600001</v>
      </c>
    </row>
    <row r="62" spans="2:12">
      <c r="B62" s="576" t="s">
        <v>203</v>
      </c>
      <c r="C62" s="565">
        <f>SUM(Year1!J32:M32)*$C$76</f>
        <v>315414.52060480003</v>
      </c>
      <c r="D62" s="586">
        <f>SUM(Year2!J32:M32)*$D$76</f>
        <v>308444.03396160004</v>
      </c>
      <c r="E62" s="586">
        <f>SUM(Year3!J32:M32)*$E$76</f>
        <v>314543.20977440005</v>
      </c>
      <c r="F62" s="586">
        <f>SUM(Year4!J32:M32)*$F$76</f>
        <v>308444.03396160004</v>
      </c>
      <c r="G62" s="586">
        <f>SUM(Year5!J32:M32)*$F$76</f>
        <v>308444.03396160004</v>
      </c>
      <c r="H62" s="586">
        <f>SUM(Year6!J32:M32)*$H$76</f>
        <v>290146.50652320002</v>
      </c>
      <c r="I62" s="586">
        <f>SUM(Year7!J32:M32)*$I$76</f>
        <v>314543.20977440005</v>
      </c>
      <c r="J62" s="586">
        <f>SUM(Year8!J32:M32)*$J$76</f>
        <v>308444.03396160004</v>
      </c>
      <c r="K62" s="586">
        <f>SUM(Year9!J32:M32)*$K$76</f>
        <v>314543.20977440005</v>
      </c>
      <c r="L62" s="595">
        <f>SUM(Year10!J31:M31)*$L$76</f>
        <v>308444.03396160004</v>
      </c>
    </row>
    <row r="63" spans="2:12">
      <c r="B63" s="578" t="s">
        <v>204</v>
      </c>
      <c r="C63" s="565">
        <f>SUM(Year1!J33:M33)*$C$76</f>
        <v>38885.908855563306</v>
      </c>
      <c r="D63" s="586">
        <f>SUM(Year2!J33:M33)*$D$76</f>
        <v>38885.908855563306</v>
      </c>
      <c r="E63" s="586">
        <f>SUM(Year3!J33:M33)*$E$76</f>
        <v>38885.908855563306</v>
      </c>
      <c r="F63" s="586">
        <f>SUM(Year4!J33:M33)*$F$76</f>
        <v>38885.908855563306</v>
      </c>
      <c r="G63" s="586">
        <f>SUM(Year5!J33:M33)*$F$76</f>
        <v>38131.888462242132</v>
      </c>
      <c r="H63" s="586">
        <f>SUM(Year6!J33:M33)*$H$76</f>
        <v>38885.908855563306</v>
      </c>
      <c r="I63" s="586">
        <f>SUM(Year7!J33:M33)*$I$76</f>
        <v>38885.908855563306</v>
      </c>
      <c r="J63" s="586">
        <f>SUM(Year8!J33:M33)*$J$76</f>
        <v>38885.908855563306</v>
      </c>
      <c r="K63" s="586">
        <f>SUM(Year9!J33:M33)*$K$76</f>
        <v>38885.908855563306</v>
      </c>
      <c r="L63" s="595">
        <f>SUM(Year10!J32:M32)*$L$76</f>
        <v>38885.908855563306</v>
      </c>
    </row>
    <row r="64" spans="2:12">
      <c r="B64" s="576" t="s">
        <v>205</v>
      </c>
      <c r="C64" s="565">
        <f>SUM(Year1!J34:M34)*$C$76</f>
        <v>2134750.5041375393</v>
      </c>
      <c r="D64" s="586">
        <f>SUM(Year2!J34:M34)*$D$76</f>
        <v>2087573.6974162676</v>
      </c>
      <c r="E64" s="586">
        <f>SUM(Year3!J34:M34)*$E$76</f>
        <v>2128853.4032973801</v>
      </c>
      <c r="F64" s="586">
        <f>SUM(Year4!J34:M34)*$F$76</f>
        <v>2087573.6974162676</v>
      </c>
      <c r="G64" s="586">
        <f>SUM(Year5!J34:M34)*$F$76</f>
        <v>2087573.6974162676</v>
      </c>
      <c r="H64" s="586">
        <f>SUM(Year6!J34:M34)*$H$76</f>
        <v>1963734.5797729297</v>
      </c>
      <c r="I64" s="586">
        <f>SUM(Year7!J34:M34)*$I$76</f>
        <v>2128853.4032973801</v>
      </c>
      <c r="J64" s="586">
        <f>SUM(Year8!J34:M34)*$J$76</f>
        <v>2087573.6974162676</v>
      </c>
      <c r="K64" s="586">
        <f>SUM(Year9!J34:M34)*$K$76</f>
        <v>2128853.4032973801</v>
      </c>
      <c r="L64" s="595">
        <f>SUM(Year10!J33:M33)*$L$76</f>
        <v>2087573.6974162676</v>
      </c>
    </row>
    <row r="65" spans="2:12">
      <c r="B65" s="576" t="s">
        <v>206</v>
      </c>
      <c r="C65" s="565">
        <f>$C$76*SUM(Accomodations!H7:K7)</f>
        <v>43729.599999999999</v>
      </c>
      <c r="D65" s="606">
        <f>$D$76*SUM(Accomodations!H7:K7)</f>
        <v>42763.199999999997</v>
      </c>
      <c r="E65" s="606">
        <f>$E$76*SUM(Accomodations!H7:K7)</f>
        <v>43608.799999999996</v>
      </c>
      <c r="F65" s="606">
        <f>$F$76*SUM(Accomodations!H7:K7)</f>
        <v>42763.199999999997</v>
      </c>
      <c r="G65" s="606">
        <f>$G$76*SUM(Accomodations!H7:K7)</f>
        <v>43608.799999999996</v>
      </c>
      <c r="H65" s="606">
        <f>$H$76*SUM(Accomodations!H7:K7)</f>
        <v>40226.400000000001</v>
      </c>
      <c r="I65" s="606">
        <f>$I$76*SUM(Accomodations!H7:K7)</f>
        <v>43608.799999999996</v>
      </c>
      <c r="J65" s="606">
        <f>$J$76*SUM(Accomodations!H7:K7)</f>
        <v>42763.199999999997</v>
      </c>
      <c r="K65" s="586">
        <f>$K$76*SUM(Accomodations!H7:K7)</f>
        <v>43608.799999999996</v>
      </c>
      <c r="L65" s="595">
        <f>$L$76*SUM(Accomodations!H7:K7)</f>
        <v>42763.199999999997</v>
      </c>
    </row>
    <row r="66" spans="2:12">
      <c r="B66" s="552" t="s">
        <v>207</v>
      </c>
      <c r="C66" s="565">
        <f>SUM(Year1!J36:M36)*$C$76</f>
        <v>3000</v>
      </c>
      <c r="D66" s="586">
        <f>SUM(Year2!J36:M36)*$D$76</f>
        <v>3000</v>
      </c>
      <c r="E66" s="586">
        <f>SUM(Year3!J36:M36)*$E$76</f>
        <v>3000</v>
      </c>
      <c r="F66" s="586">
        <f>SUM(Year4!J36:M36)*$F$76</f>
        <v>3000</v>
      </c>
      <c r="G66" s="586">
        <f>SUM(Year5!J36:M36)*$F$76</f>
        <v>2941.8282548476454</v>
      </c>
      <c r="H66" s="586">
        <f>SUM(Year6!J36:M36)*$H$76</f>
        <v>3000</v>
      </c>
      <c r="I66" s="586">
        <f>SUM(Year7!J36:M36)*$I$76</f>
        <v>3000</v>
      </c>
      <c r="J66" s="586">
        <f>SUM(Year8!J36:M36)*$J$76</f>
        <v>3000</v>
      </c>
      <c r="K66" s="586">
        <f>SUM(Year9!J36:M36)*$K$76</f>
        <v>3000</v>
      </c>
      <c r="L66" s="595">
        <f>SUM(Year10!J35:M35)*$L$76</f>
        <v>3000</v>
      </c>
    </row>
    <row r="67" spans="2:12">
      <c r="B67" s="563" t="s">
        <v>208</v>
      </c>
      <c r="C67" s="565">
        <f>SUM(C60:C66)</f>
        <v>2863508.3350274973</v>
      </c>
      <c r="D67" s="587">
        <f>SUM(D60:D66)</f>
        <v>2803180.4981110254</v>
      </c>
      <c r="E67" s="587">
        <f t="shared" ref="E67:L67" si="15">SUM(E60:E66)</f>
        <v>2855967.3554129377</v>
      </c>
      <c r="F67" s="587">
        <f t="shared" si="15"/>
        <v>2803180.4981110254</v>
      </c>
      <c r="G67" s="587">
        <f t="shared" si="15"/>
        <v>2801434.0870254296</v>
      </c>
      <c r="H67" s="587">
        <f t="shared" si="15"/>
        <v>2644819.9262052872</v>
      </c>
      <c r="I67" s="587">
        <f t="shared" si="15"/>
        <v>2855967.3554129377</v>
      </c>
      <c r="J67" s="587">
        <f t="shared" si="15"/>
        <v>2803180.4981110254</v>
      </c>
      <c r="K67" s="587">
        <f t="shared" si="15"/>
        <v>2855967.3554129377</v>
      </c>
      <c r="L67" s="608">
        <f t="shared" si="15"/>
        <v>2803180.4981110254</v>
      </c>
    </row>
    <row r="68" spans="2:12">
      <c r="B68" s="575" t="s">
        <v>209</v>
      </c>
      <c r="C68" s="566">
        <f>C59-C67</f>
        <v>1970507.6141976472</v>
      </c>
      <c r="D68" s="566">
        <f>D59-D67</f>
        <v>3893690.8680107417</v>
      </c>
      <c r="E68" s="566">
        <f>E59-E67</f>
        <v>5303785.3683270961</v>
      </c>
      <c r="F68" s="566">
        <f t="shared" ref="F68:L68" si="16">F59-F67</f>
        <v>7617787.5657321149</v>
      </c>
      <c r="G68" s="566">
        <f t="shared" si="16"/>
        <v>8144415.0800739639</v>
      </c>
      <c r="H68" s="566">
        <f t="shared" si="16"/>
        <v>10951534.798371</v>
      </c>
      <c r="I68" s="566">
        <f t="shared" si="16"/>
        <v>10326515.311590079</v>
      </c>
      <c r="J68" s="566">
        <f t="shared" si="16"/>
        <v>11397733.762596708</v>
      </c>
      <c r="K68" s="566">
        <f t="shared" si="16"/>
        <v>11948422.336650081</v>
      </c>
      <c r="L68" s="594">
        <f t="shared" si="16"/>
        <v>12630998.190549057</v>
      </c>
    </row>
    <row r="69" spans="2:12">
      <c r="B69" s="576" t="s">
        <v>210</v>
      </c>
      <c r="C69" s="565">
        <f>SUM(Year1!J38:M38)*$C$76</f>
        <v>0</v>
      </c>
      <c r="D69" s="586">
        <f>SUM(Year2!J38:M38)*$D$76</f>
        <v>0</v>
      </c>
      <c r="E69" s="586">
        <f>SUM(Year3!J38:M38)*$E$76</f>
        <v>0</v>
      </c>
      <c r="F69" s="586">
        <f>SUM(Year4!J38:M38)*$F$76</f>
        <v>0</v>
      </c>
      <c r="G69" s="586">
        <f>SUM(Year5!J38:M38)*$G$76</f>
        <v>0</v>
      </c>
      <c r="H69" s="586">
        <f>SUM(Year6!J38:M38)*$H$76</f>
        <v>0</v>
      </c>
      <c r="I69" s="586">
        <f>SUM(Year7!J38:M38)*$H$76</f>
        <v>0</v>
      </c>
      <c r="J69" s="586">
        <f>SUM(Year8!J38:M38)*$H$76</f>
        <v>0</v>
      </c>
      <c r="K69" s="586">
        <f>SUM(Year9!J38:M38)*$H$76</f>
        <v>0</v>
      </c>
      <c r="L69" s="595">
        <f>SUM(Year10!J37:M37)*$H$76</f>
        <v>0</v>
      </c>
    </row>
    <row r="70" spans="2:12">
      <c r="B70" s="576" t="s">
        <v>211</v>
      </c>
      <c r="C70" s="565">
        <f>SUM(Year1!J39:M39)*$C$76</f>
        <v>419999.99999999994</v>
      </c>
      <c r="D70" s="586">
        <f>SUM(Year2!J39:M39)*$D$76</f>
        <v>419999.99999999994</v>
      </c>
      <c r="E70" s="586">
        <f>SUM(Year3!J39:M39)*$E$76</f>
        <v>419999.99999999994</v>
      </c>
      <c r="F70" s="586">
        <f>SUM(Year4!J39:M39)*$F$76</f>
        <v>419999.99999999994</v>
      </c>
      <c r="G70" s="586">
        <f>SUM(Year5!J39:M39)*$G$76</f>
        <v>419999.99999999994</v>
      </c>
      <c r="H70" s="586">
        <f>SUM(Year6!J39:M39)*$H$76</f>
        <v>419999.99999999994</v>
      </c>
      <c r="I70" s="586">
        <f>SUM(Year7!J39:M39)*$H$76</f>
        <v>387423.82271468139</v>
      </c>
      <c r="J70" s="586">
        <f>SUM(Year8!J39:M39)*$H$76</f>
        <v>395084.7457627118</v>
      </c>
      <c r="K70" s="586">
        <f>SUM(Year9!J39:M39)*$H$76</f>
        <v>387423.82271468139</v>
      </c>
      <c r="L70" s="595">
        <f>SUM(Year10!J38:M38)*$H$76</f>
        <v>395084.7457627118</v>
      </c>
    </row>
    <row r="71" spans="2:12">
      <c r="B71" s="552" t="s">
        <v>212</v>
      </c>
      <c r="C71" s="565">
        <f>SUM(Year1!J40:M40)*$C$76</f>
        <v>1165716.5891932491</v>
      </c>
      <c r="D71" s="586">
        <f>SUM(Year2!J40:M40)*$D$76</f>
        <v>1165716.5891932491</v>
      </c>
      <c r="E71" s="586">
        <f>SUM(Year3!J40:M40)*$E$76</f>
        <v>1165716.5891932494</v>
      </c>
      <c r="F71" s="586">
        <f>SUM(Year4!J40:M40)*$F$76</f>
        <v>1165716.5891932491</v>
      </c>
      <c r="G71" s="586">
        <f>SUM(Year5!J40:M40)*$G$76</f>
        <v>1165716.5891932494</v>
      </c>
      <c r="H71" s="586">
        <f>SUM(Year6!J40:M40)*$H$76</f>
        <v>1165716.5891932491</v>
      </c>
      <c r="I71" s="586">
        <f>SUM(Year7!J40:M40)*$H$76</f>
        <v>1075300.8980646869</v>
      </c>
      <c r="J71" s="586">
        <f>SUM(Year8!J40:M40)*$H$76</f>
        <v>1096563.9101733107</v>
      </c>
      <c r="K71" s="586">
        <f>SUM(Year9!J40:M40)*$H$76</f>
        <v>1075300.8980646869</v>
      </c>
      <c r="L71" s="595">
        <f>SUM(Year10!J39:M39)*$H$76</f>
        <v>1096563.9101733107</v>
      </c>
    </row>
    <row r="72" spans="2:12">
      <c r="B72" s="552" t="s">
        <v>213</v>
      </c>
      <c r="C72" s="565">
        <f>SUM(Year1!J41:M41)*$C$76</f>
        <v>2940000</v>
      </c>
      <c r="D72" s="586">
        <f>SUM(Year2!J41:M41)*$D$76</f>
        <v>2940000.0000000005</v>
      </c>
      <c r="E72" s="586">
        <f>SUM(Year3!J41:M41)*$E$76</f>
        <v>2940000</v>
      </c>
      <c r="F72" s="586">
        <f>SUM(Year4!J41:M41)*$F$76</f>
        <v>2940000.0000000005</v>
      </c>
      <c r="G72" s="586">
        <f>SUM(Year5!J41:M41)*$G$76</f>
        <v>2940000</v>
      </c>
      <c r="H72" s="586">
        <f>SUM(Year6!J41:M41)*$H$76</f>
        <v>2940000</v>
      </c>
      <c r="I72" s="586">
        <f>SUM(Year7!J41:M41)*$H$76</f>
        <v>2711966.7590027703</v>
      </c>
      <c r="J72" s="586">
        <f>SUM(Year8!J41:M41)*$H$76</f>
        <v>2765593.2203389835</v>
      </c>
      <c r="K72" s="586">
        <f>SUM(Year9!J41:M41)*$H$76</f>
        <v>2711966.7590027703</v>
      </c>
      <c r="L72" s="595">
        <f>SUM(Year10!J40:M40)*$H$76</f>
        <v>2765593.2203389835</v>
      </c>
    </row>
    <row r="73" spans="2:12">
      <c r="B73" s="563" t="s">
        <v>214</v>
      </c>
      <c r="C73" s="565">
        <f>SUM(C69:C72)</f>
        <v>4525716.5891932491</v>
      </c>
      <c r="D73" s="586">
        <f>SUM(D69:D72)</f>
        <v>4525716.5891932491</v>
      </c>
      <c r="E73" s="586">
        <f>SUM(E69:E72)</f>
        <v>4525716.5891932491</v>
      </c>
      <c r="F73" s="586">
        <f>SUM(F69:F72)</f>
        <v>4525716.5891932491</v>
      </c>
      <c r="G73" s="586">
        <f t="shared" ref="G73:L73" si="17">SUM(G69:G72)</f>
        <v>4525716.5891932491</v>
      </c>
      <c r="H73" s="586">
        <f t="shared" si="17"/>
        <v>4525716.5891932491</v>
      </c>
      <c r="I73" s="586">
        <f t="shared" si="17"/>
        <v>4174691.4797821385</v>
      </c>
      <c r="J73" s="586">
        <f t="shared" si="17"/>
        <v>4257241.8762750058</v>
      </c>
      <c r="K73" s="586">
        <f t="shared" si="17"/>
        <v>4174691.4797821385</v>
      </c>
      <c r="L73" s="595">
        <f t="shared" si="17"/>
        <v>4257241.8762750058</v>
      </c>
    </row>
    <row r="74" spans="2:12">
      <c r="B74" s="596" t="s">
        <v>215</v>
      </c>
      <c r="C74" s="585">
        <f>C68-C73</f>
        <v>-2555208.9749956019</v>
      </c>
      <c r="D74" s="585">
        <f>D68-D73</f>
        <v>-632025.72118250746</v>
      </c>
      <c r="E74" s="584">
        <f>E68-E73</f>
        <v>778068.77913384698</v>
      </c>
      <c r="F74" s="617">
        <f>F68-F73</f>
        <v>3092070.9765388658</v>
      </c>
      <c r="G74" s="617">
        <f t="shared" ref="G74:L74" si="18">G68-G73</f>
        <v>3618698.4908807147</v>
      </c>
      <c r="H74" s="617">
        <f t="shared" si="18"/>
        <v>6425818.2091777511</v>
      </c>
      <c r="I74" s="617">
        <f t="shared" si="18"/>
        <v>6151823.8318079412</v>
      </c>
      <c r="J74" s="617">
        <f t="shared" si="18"/>
        <v>7140491.886321702</v>
      </c>
      <c r="K74" s="617">
        <f t="shared" si="18"/>
        <v>7773730.856867943</v>
      </c>
      <c r="L74" s="618">
        <f t="shared" si="18"/>
        <v>8373756.3142740512</v>
      </c>
    </row>
    <row r="75" spans="2:12">
      <c r="B75" s="613"/>
      <c r="C75" s="614"/>
      <c r="D75" s="614"/>
      <c r="E75" s="614"/>
      <c r="F75" s="614"/>
      <c r="G75" s="614"/>
      <c r="H75" s="615"/>
      <c r="I75" s="615"/>
      <c r="J75" s="615"/>
      <c r="K75" s="615"/>
      <c r="L75" s="616"/>
    </row>
    <row r="76" spans="2:12">
      <c r="B76" s="610" t="s">
        <v>216</v>
      </c>
      <c r="C76" s="611">
        <f>Year1!J13</f>
        <v>362</v>
      </c>
      <c r="D76" s="611">
        <f>Year2!J13</f>
        <v>354</v>
      </c>
      <c r="E76" s="611">
        <f>Year3!J13</f>
        <v>361</v>
      </c>
      <c r="F76" s="611">
        <f>Year4!J13</f>
        <v>354</v>
      </c>
      <c r="G76" s="611">
        <f>Year5!J13</f>
        <v>361</v>
      </c>
      <c r="H76" s="611">
        <f>Year6!J13</f>
        <v>333</v>
      </c>
      <c r="I76" s="611">
        <f>Year7!J13</f>
        <v>361</v>
      </c>
      <c r="J76" s="611">
        <f>Year8!J13</f>
        <v>354</v>
      </c>
      <c r="K76" s="611">
        <f>Year9!J13</f>
        <v>361</v>
      </c>
      <c r="L76" s="612">
        <f>Year10!J13</f>
        <v>354</v>
      </c>
    </row>
    <row r="77" spans="2:12">
      <c r="B77" s="551" t="s">
        <v>217</v>
      </c>
      <c r="C77" s="589">
        <f>SUM(Year1!$J$10:$M$10)*C76</f>
        <v>3912.7863858887381</v>
      </c>
      <c r="D77" s="589">
        <f>SUM(Year1!$J$10:$M$10)*D76</f>
        <v>3826.3159685210312</v>
      </c>
      <c r="E77" s="589">
        <f>SUM(Year1!$J$10:$M$10)*E76</f>
        <v>3901.9775837177745</v>
      </c>
      <c r="F77" s="589">
        <f>SUM(Year1!$J$10:$M$10)*F76</f>
        <v>3826.3159685210312</v>
      </c>
      <c r="G77" s="589">
        <f>SUM(Year1!$J$10:$M$10)*G76</f>
        <v>3901.9775837177745</v>
      </c>
      <c r="H77" s="589">
        <f>SUM(Year1!$J$10:$M$10)*H76</f>
        <v>3599.3311229308001</v>
      </c>
      <c r="I77" s="589">
        <f>SUM(Year1!$J$10:$M$10)*I76</f>
        <v>3901.9775837177745</v>
      </c>
      <c r="J77" s="589">
        <f>SUM(Year1!$J$10:$M$10)*J76</f>
        <v>3826.3159685210312</v>
      </c>
      <c r="K77" s="589">
        <f>SUM(Year1!$J$10:$M$10)*K76</f>
        <v>3901.9775837177745</v>
      </c>
      <c r="L77" s="609">
        <f>SUM(Year1!$J$10:$M$10)*L76</f>
        <v>3826.3159685210312</v>
      </c>
    </row>
    <row r="78" spans="2:12">
      <c r="B78" s="552" t="s">
        <v>218</v>
      </c>
      <c r="C78" s="558">
        <f>27*C76*SUM(Year1!$J$9:$M$9)</f>
        <v>63453660.292800002</v>
      </c>
      <c r="D78" s="558">
        <f>27*D76*SUM(Year1!$J$9:$M$9)</f>
        <v>62051369.457599998</v>
      </c>
      <c r="E78" s="558">
        <f>27*E76*SUM(Year1!$J$9:$M$9)</f>
        <v>63278373.9384</v>
      </c>
      <c r="F78" s="558">
        <f>27*F76*SUM(Year1!$J$9:$M$9)</f>
        <v>62051369.457599998</v>
      </c>
      <c r="G78" s="558">
        <f>27*G76*SUM(Year1!$J$9:$M$9)</f>
        <v>63278373.9384</v>
      </c>
      <c r="H78" s="558">
        <f>27*H76*SUM(Year1!$J$9:$M$9)</f>
        <v>58370356.015199997</v>
      </c>
      <c r="I78" s="558">
        <f>27*I76*SUM(Year1!$J$9:$M$9)</f>
        <v>63278373.9384</v>
      </c>
      <c r="J78" s="558">
        <f>27*J76*SUM(Year1!$J$9:$M$9)</f>
        <v>62051369.457599998</v>
      </c>
      <c r="K78" s="558">
        <f>27*K76*SUM(Year1!$J$9:$M$9)</f>
        <v>63278373.9384</v>
      </c>
      <c r="L78" s="559">
        <f>27*L76*SUM(Year1!$J$9:$M$9)</f>
        <v>62051369.457599998</v>
      </c>
    </row>
    <row r="79" spans="2:12">
      <c r="B79" s="551" t="s">
        <v>219</v>
      </c>
      <c r="C79" s="557">
        <f>C77/C76</f>
        <v>10.808802170963364</v>
      </c>
      <c r="D79" s="557">
        <f t="shared" ref="D79:L79" si="19">D77/D76</f>
        <v>10.808802170963364</v>
      </c>
      <c r="E79" s="557">
        <f t="shared" si="19"/>
        <v>10.808802170963364</v>
      </c>
      <c r="F79" s="557">
        <f t="shared" si="19"/>
        <v>10.808802170963364</v>
      </c>
      <c r="G79" s="557">
        <f t="shared" si="19"/>
        <v>10.808802170963364</v>
      </c>
      <c r="H79" s="557">
        <f t="shared" si="19"/>
        <v>10.808802170963364</v>
      </c>
      <c r="I79" s="557">
        <f t="shared" si="19"/>
        <v>10.808802170963364</v>
      </c>
      <c r="J79" s="557">
        <f t="shared" si="19"/>
        <v>10.808802170963364</v>
      </c>
      <c r="K79" s="557">
        <f t="shared" si="19"/>
        <v>10.808802170963364</v>
      </c>
      <c r="L79" s="592">
        <f t="shared" si="19"/>
        <v>10.808802170963364</v>
      </c>
    </row>
    <row r="80" spans="2:12">
      <c r="B80" s="553" t="s">
        <v>220</v>
      </c>
      <c r="C80" s="558">
        <v>2</v>
      </c>
      <c r="D80" s="558">
        <v>2</v>
      </c>
      <c r="E80" s="558">
        <v>2</v>
      </c>
      <c r="F80" s="558">
        <v>2</v>
      </c>
      <c r="G80" s="558">
        <v>2</v>
      </c>
      <c r="H80" s="558">
        <v>2</v>
      </c>
      <c r="I80" s="558">
        <v>2</v>
      </c>
      <c r="J80" s="558">
        <v>2</v>
      </c>
      <c r="K80" s="558">
        <v>2</v>
      </c>
      <c r="L80" s="559">
        <v>2</v>
      </c>
    </row>
    <row r="81" spans="2:12">
      <c r="B81" s="551" t="s">
        <v>221</v>
      </c>
      <c r="C81" s="554">
        <f>C49/C78</f>
        <v>0.22247934531842684</v>
      </c>
      <c r="D81" s="554">
        <f t="shared" ref="D81:L81" si="20">D49/D78</f>
        <v>0.25422214996342901</v>
      </c>
      <c r="E81" s="554">
        <f t="shared" si="20"/>
        <v>0.27524761671845155</v>
      </c>
      <c r="F81" s="554">
        <f t="shared" si="20"/>
        <v>0.31423849980831148</v>
      </c>
      <c r="G81" s="554">
        <f t="shared" si="20"/>
        <v>0.31927682085178721</v>
      </c>
      <c r="H81" s="554">
        <f t="shared" si="20"/>
        <v>0.37923004586778269</v>
      </c>
      <c r="I81" s="554">
        <f t="shared" si="20"/>
        <v>0.35462275913523511</v>
      </c>
      <c r="J81" s="554">
        <f t="shared" si="20"/>
        <v>0.37515490229717918</v>
      </c>
      <c r="K81" s="554">
        <f t="shared" si="20"/>
        <v>0.38025405975365634</v>
      </c>
      <c r="L81" s="555">
        <f t="shared" si="20"/>
        <v>0.39502979690035217</v>
      </c>
    </row>
    <row r="82" spans="2:12">
      <c r="B82" s="551" t="s">
        <v>222</v>
      </c>
      <c r="C82" s="554">
        <f>C58/C77</f>
        <v>2372.5069388540919</v>
      </c>
      <c r="D82" s="554">
        <f t="shared" ref="D82:L82" si="21">D58/D77</f>
        <v>2372.5069388540915</v>
      </c>
      <c r="E82" s="554">
        <f t="shared" si="21"/>
        <v>2372.5069388540919</v>
      </c>
      <c r="F82" s="554">
        <f t="shared" si="21"/>
        <v>2372.5069388540915</v>
      </c>
      <c r="G82" s="554">
        <f t="shared" si="21"/>
        <v>2372.5069388540919</v>
      </c>
      <c r="H82" s="554">
        <f t="shared" si="21"/>
        <v>2372.5069388540924</v>
      </c>
      <c r="I82" s="554">
        <f t="shared" si="21"/>
        <v>2372.5069388540919</v>
      </c>
      <c r="J82" s="554">
        <f t="shared" si="21"/>
        <v>2372.5069388540915</v>
      </c>
      <c r="K82" s="554">
        <f t="shared" si="21"/>
        <v>2372.5069388540919</v>
      </c>
      <c r="L82" s="555">
        <f t="shared" si="21"/>
        <v>2372.5069388540915</v>
      </c>
    </row>
    <row r="83" spans="2:12">
      <c r="B83" s="551" t="s">
        <v>223</v>
      </c>
      <c r="C83" s="554">
        <f>C67/C77</f>
        <v>731.83354587272947</v>
      </c>
      <c r="D83" s="554">
        <f t="shared" ref="D83:L83" si="22">D67/D77</f>
        <v>732.60559796229438</v>
      </c>
      <c r="E83" s="554">
        <f t="shared" si="22"/>
        <v>731.9281810665334</v>
      </c>
      <c r="F83" s="554">
        <f t="shared" si="22"/>
        <v>732.60559796229438</v>
      </c>
      <c r="G83" s="554">
        <f t="shared" si="22"/>
        <v>717.95237848502563</v>
      </c>
      <c r="H83" s="554">
        <f t="shared" si="22"/>
        <v>734.80872858724638</v>
      </c>
      <c r="I83" s="554">
        <f t="shared" si="22"/>
        <v>731.9281810665334</v>
      </c>
      <c r="J83" s="554">
        <f t="shared" si="22"/>
        <v>732.60559796229438</v>
      </c>
      <c r="K83" s="554">
        <f t="shared" si="22"/>
        <v>731.9281810665334</v>
      </c>
      <c r="L83" s="555">
        <f t="shared" si="22"/>
        <v>732.60559796229438</v>
      </c>
    </row>
    <row r="84" spans="2:12">
      <c r="B84" s="551" t="s">
        <v>224</v>
      </c>
      <c r="C84" s="554">
        <f>C73/C77</f>
        <v>1156.6480106133604</v>
      </c>
      <c r="D84" s="554">
        <f t="shared" ref="D84:L84" si="23">D73/D77</f>
        <v>1182.7869487063176</v>
      </c>
      <c r="E84" s="554">
        <f t="shared" si="23"/>
        <v>1159.8520217230928</v>
      </c>
      <c r="F84" s="554">
        <f t="shared" si="23"/>
        <v>1182.7869487063176</v>
      </c>
      <c r="G84" s="554">
        <f t="shared" si="23"/>
        <v>1159.8520217230928</v>
      </c>
      <c r="H84" s="554">
        <f t="shared" si="23"/>
        <v>1257.3771166427523</v>
      </c>
      <c r="I84" s="554">
        <f t="shared" si="23"/>
        <v>1069.8912000936009</v>
      </c>
      <c r="J84" s="554">
        <f t="shared" si="23"/>
        <v>1112.6216212406887</v>
      </c>
      <c r="K84" s="554">
        <f t="shared" si="23"/>
        <v>1069.8912000936009</v>
      </c>
      <c r="L84" s="555">
        <f t="shared" si="23"/>
        <v>1112.6216212406887</v>
      </c>
    </row>
    <row r="85" spans="2:12">
      <c r="B85" s="556" t="s">
        <v>225</v>
      </c>
      <c r="C85" s="560">
        <f>SUM(C58,C67,C73)/C77</f>
        <v>4260.9884953401815</v>
      </c>
      <c r="D85" s="560">
        <f t="shared" ref="D85:L85" si="24">SUM(D58,D67,D73)/D77</f>
        <v>4287.8994855227038</v>
      </c>
      <c r="E85" s="560">
        <f t="shared" si="24"/>
        <v>4264.2871416437183</v>
      </c>
      <c r="F85" s="560">
        <f t="shared" si="24"/>
        <v>4287.8994855227038</v>
      </c>
      <c r="G85" s="560">
        <f t="shared" si="24"/>
        <v>4250.3113390622102</v>
      </c>
      <c r="H85" s="560">
        <f t="shared" si="24"/>
        <v>4364.6927840840908</v>
      </c>
      <c r="I85" s="560">
        <f t="shared" si="24"/>
        <v>4174.3263200142264</v>
      </c>
      <c r="J85" s="560">
        <f t="shared" si="24"/>
        <v>4217.7341580570746</v>
      </c>
      <c r="K85" s="560">
        <f t="shared" si="24"/>
        <v>4174.3263200142264</v>
      </c>
      <c r="L85" s="593">
        <f t="shared" si="24"/>
        <v>4217.7341580570746</v>
      </c>
    </row>
    <row r="89" spans="2:12">
      <c r="B89" s="571" t="s">
        <v>227</v>
      </c>
      <c r="C89" s="572"/>
      <c r="D89" s="572"/>
      <c r="E89" s="572"/>
      <c r="F89" s="572"/>
      <c r="G89" s="572"/>
      <c r="H89" s="572"/>
      <c r="I89" s="572"/>
      <c r="J89" s="572"/>
      <c r="K89" s="572"/>
      <c r="L89" s="573"/>
    </row>
    <row r="90" spans="2:12">
      <c r="B90" s="553"/>
      <c r="C90" s="567">
        <v>2023</v>
      </c>
      <c r="D90" s="568">
        <v>2024</v>
      </c>
      <c r="E90" s="569">
        <v>2025</v>
      </c>
      <c r="F90" s="570">
        <v>2026</v>
      </c>
      <c r="G90" s="569">
        <v>2027</v>
      </c>
      <c r="H90" s="570">
        <v>2028</v>
      </c>
      <c r="I90" s="569">
        <v>2029</v>
      </c>
      <c r="J90" s="570">
        <v>2030</v>
      </c>
      <c r="K90" s="569">
        <v>2031</v>
      </c>
      <c r="L90" s="574">
        <v>2032</v>
      </c>
    </row>
    <row r="91" spans="2:12">
      <c r="B91" s="575" t="s">
        <v>190</v>
      </c>
      <c r="D91" s="566"/>
      <c r="E91" s="566">
        <f>SUM(Profitability!AS55:AS58)</f>
        <v>15252360.48710658</v>
      </c>
      <c r="F91" s="566">
        <f>SUM(Profitability!AT55:AT58)</f>
        <v>16973223.893485643</v>
      </c>
      <c r="G91" s="566">
        <f>SUM(Profitability!AU55:AU58)</f>
        <v>18830708.482707761</v>
      </c>
      <c r="H91" s="566">
        <f>SUM(Profitability!AV55:AV58)</f>
        <v>19322107.631826773</v>
      </c>
      <c r="I91" s="566">
        <f>SUM(Profitability!AW55:AW58)</f>
        <v>18283151.638933204</v>
      </c>
      <c r="J91" s="566">
        <f>SUM(Profitability!AX55:AX58)</f>
        <v>20042753.861218166</v>
      </c>
      <c r="K91" s="566">
        <f>SUM(Profitability!AY55:AY58)</f>
        <v>20627458.027255587</v>
      </c>
      <c r="L91" s="566">
        <f>SUM(Profitability!AZ55:AZ58)</f>
        <v>21053239.586742774</v>
      </c>
    </row>
    <row r="92" spans="2:12">
      <c r="B92" s="576" t="s">
        <v>191</v>
      </c>
      <c r="C92" s="587"/>
      <c r="D92" s="587"/>
      <c r="E92" s="586">
        <f>SUM(Year3!N20:Q20)*$E$118</f>
        <v>1370544.7627940297</v>
      </c>
      <c r="F92" s="586">
        <f>SUM(Year4!N20:Q20)*$F$118</f>
        <v>1374416.358169154</v>
      </c>
      <c r="G92" s="586">
        <f>SUM(Year5!N20:Q20)*$G$118</f>
        <v>1401517.5257950248</v>
      </c>
      <c r="H92" s="586">
        <f>SUM(Year6!N20:Q20)*$H$118</f>
        <v>1374416.358169154</v>
      </c>
      <c r="I92" s="586">
        <f>SUM(Year7!N20:Q20)*$I$118</f>
        <v>1320214.0229174129</v>
      </c>
      <c r="J92" s="586">
        <f>SUM(Year8!N20:Q20)*$J$118</f>
        <v>1374416.358169154</v>
      </c>
      <c r="K92" s="586">
        <f>SUM(Year9!N20:Q20)*$K$118</f>
        <v>1401517.5257950248</v>
      </c>
      <c r="L92" s="595">
        <f>SUM(Year10!N20:Q20)*$L$118</f>
        <v>1374416.358169154</v>
      </c>
    </row>
    <row r="93" spans="2:12">
      <c r="B93" s="576" t="s">
        <v>192</v>
      </c>
      <c r="C93" s="587"/>
      <c r="D93" s="587"/>
      <c r="E93" s="586">
        <f>SUM(Year3!N21:Q21)*$E$118</f>
        <v>1856145.0439919834</v>
      </c>
      <c r="F93" s="586">
        <f>SUM(Year4!N21:Q21)*$F$118</f>
        <v>1861388.3915738815</v>
      </c>
      <c r="G93" s="586">
        <f>SUM(Year5!N21:Q21)*$G$118</f>
        <v>1898091.8246471693</v>
      </c>
      <c r="H93" s="586">
        <f>SUM(Year6!N21:Q21)*$H$118</f>
        <v>1861388.3915738815</v>
      </c>
      <c r="I93" s="586">
        <f>SUM(Year7!N21:Q21)*$I$118</f>
        <v>1787981.5254273058</v>
      </c>
      <c r="J93" s="586">
        <f>SUM(Year8!N21:Q21)*$J$118</f>
        <v>1861388.3915738815</v>
      </c>
      <c r="K93" s="586">
        <f>SUM(Year9!N21:Q21)*$K$118</f>
        <v>1898091.8246471693</v>
      </c>
      <c r="L93" s="595">
        <f>SUM(Year10!N21:Q21)*$L$118</f>
        <v>1861388.3915738815</v>
      </c>
    </row>
    <row r="94" spans="2:12">
      <c r="B94" s="576" t="s">
        <v>193</v>
      </c>
      <c r="C94" s="587"/>
      <c r="D94" s="587"/>
      <c r="E94" s="586">
        <f>SUM(Year3!N22:Q22)*$E$118</f>
        <v>4945859.3409499805</v>
      </c>
      <c r="F94" s="586">
        <f>SUM(Year4!N22:Q22)*$F$118</f>
        <v>4959830.6950204605</v>
      </c>
      <c r="G94" s="586">
        <f>SUM(Year5!N22:Q22)*$G$118</f>
        <v>5057630.1735138223</v>
      </c>
      <c r="H94" s="586">
        <f>SUM(Year6!N22:Q22)*$H$118</f>
        <v>4959830.6950204605</v>
      </c>
      <c r="I94" s="586">
        <f>SUM(Year7!N22:Q22)*$I$118</f>
        <v>4764231.738033738</v>
      </c>
      <c r="J94" s="586">
        <f>SUM(Year8!N22:Q22)*$J$118</f>
        <v>4959830.6950204605</v>
      </c>
      <c r="K94" s="586">
        <f>SUM(Year9!N22:Q22)*$K$118</f>
        <v>5057630.1735138223</v>
      </c>
      <c r="L94" s="595">
        <f>SUM(Year10!N22:Q22)*$L$118</f>
        <v>4959830.6950204605</v>
      </c>
    </row>
    <row r="95" spans="2:12">
      <c r="B95" s="576" t="s">
        <v>194</v>
      </c>
      <c r="C95" s="587"/>
      <c r="D95" s="587"/>
      <c r="E95" s="586">
        <f>SUM(Year3!N23:Q23)*$E$118</f>
        <v>463385.99999999994</v>
      </c>
      <c r="F95" s="586">
        <f>SUM(Year4!N23:Q23)*$F$118</f>
        <v>464694.99999999994</v>
      </c>
      <c r="G95" s="586">
        <f>SUM(Year5!N23:Q23)*$G$118</f>
        <v>473857.99999999994</v>
      </c>
      <c r="H95" s="586">
        <f>SUM(Year6!N23:Q23)*$H$118</f>
        <v>464694.99999999994</v>
      </c>
      <c r="I95" s="586">
        <f>SUM(Year7!N23:Q23)*$I$118</f>
        <v>446368.99999999994</v>
      </c>
      <c r="J95" s="586">
        <f>SUM(Year8!N23:Q23)*$J$118</f>
        <v>464694.99999999994</v>
      </c>
      <c r="K95" s="586">
        <f>SUM(Year9!N23:Q23)*$K$118</f>
        <v>473857.99999999994</v>
      </c>
      <c r="L95" s="595">
        <f>SUM(Year10!N23:Q23)*$L$118</f>
        <v>464694.99999999994</v>
      </c>
    </row>
    <row r="96" spans="2:12">
      <c r="B96" s="576" t="s">
        <v>195</v>
      </c>
      <c r="C96" s="587"/>
      <c r="D96" s="586"/>
      <c r="E96" s="586">
        <f>SUM(Year3!N25:Q25)*$E$118</f>
        <v>52020.440892000006</v>
      </c>
      <c r="F96" s="586">
        <f>SUM(Year4!N25:Q25)*$F$118</f>
        <v>52167.39129</v>
      </c>
      <c r="G96" s="586">
        <f>SUM(Year5!N25:Q25)*$G$118</f>
        <v>53196.044076000006</v>
      </c>
      <c r="H96" s="586">
        <f>SUM(Year6!N25:Q25)*$H$118</f>
        <v>52167.39129</v>
      </c>
      <c r="I96" s="586">
        <f>SUM(Year7!N25:Q25)*$I$118</f>
        <v>50110.085718000002</v>
      </c>
      <c r="J96" s="586">
        <f>SUM(Year8!N25:Q25)*$J$118</f>
        <v>52167.39129</v>
      </c>
      <c r="K96" s="586">
        <f>SUM(Year9!N25:Q25)*$K$118</f>
        <v>53196.044076000006</v>
      </c>
      <c r="L96" s="595">
        <f>SUM(Year10!N24:Q24)*$L$118</f>
        <v>52167.39129</v>
      </c>
    </row>
    <row r="97" spans="2:12">
      <c r="B97" s="576" t="s">
        <v>196</v>
      </c>
      <c r="C97" s="587"/>
      <c r="D97" s="586"/>
      <c r="E97" s="586">
        <f>SUM(Year3!N26:Q26)*$E$118</f>
        <v>448220.63999999996</v>
      </c>
      <c r="F97" s="586">
        <f>SUM(Year4!N26:Q26)*$F$118</f>
        <v>449486.79999999993</v>
      </c>
      <c r="G97" s="586">
        <f>SUM(Year5!N26:Q26)*$G$118</f>
        <v>458349.91999999993</v>
      </c>
      <c r="H97" s="586">
        <f>SUM(Year6!N26:Q26)*$H$118</f>
        <v>449486.79999999993</v>
      </c>
      <c r="I97" s="586">
        <f>SUM(Year7!N26:Q26)*$I$118</f>
        <v>431760.55999999994</v>
      </c>
      <c r="J97" s="586">
        <f>SUM(Year8!N26:Q26)*$J$118</f>
        <v>449486.79999999993</v>
      </c>
      <c r="K97" s="586">
        <f>SUM(Year9!N26:Q26)*$K$118</f>
        <v>458349.91999999993</v>
      </c>
      <c r="L97" s="595">
        <f>SUM(Year10!N25:Q25)*$L$118</f>
        <v>449486.79999999993</v>
      </c>
    </row>
    <row r="98" spans="2:12">
      <c r="B98" s="576" t="s">
        <v>197</v>
      </c>
      <c r="C98" s="587"/>
      <c r="D98" s="586"/>
      <c r="E98" s="586">
        <f>SUM(Year3!N27:Q27)*$E$118</f>
        <v>590250.67587160075</v>
      </c>
      <c r="F98" s="586">
        <f>SUM(Year4!N27:Q27)*$F$118</f>
        <v>591918.05066219845</v>
      </c>
      <c r="G98" s="586">
        <f>SUM(Year5!N27:Q27)*$G$118</f>
        <v>603589.67419638275</v>
      </c>
      <c r="H98" s="586">
        <f>SUM(Year6!N27:Q27)*$H$118</f>
        <v>591918.05066219845</v>
      </c>
      <c r="I98" s="586">
        <f>SUM(Year7!N27:Q27)*$I$118</f>
        <v>568574.80359383009</v>
      </c>
      <c r="J98" s="586">
        <f>SUM(Year8!N27:Q27)*$J$118</f>
        <v>591918.05066219845</v>
      </c>
      <c r="K98" s="586">
        <f>SUM(Year9!N27:Q27)*$K$118</f>
        <v>603589.67419638275</v>
      </c>
      <c r="L98" s="595">
        <f>SUM(Year10!N26:Q26)*$L$118</f>
        <v>591918.05066219845</v>
      </c>
    </row>
    <row r="99" spans="2:12">
      <c r="B99" s="576" t="s">
        <v>198</v>
      </c>
      <c r="C99" s="587"/>
      <c r="D99" s="586"/>
      <c r="E99" s="586">
        <f>SUM(Year3!N28:Q28)*$E$118</f>
        <v>22842.823499999999</v>
      </c>
      <c r="F99" s="586">
        <f>SUM(Year4!N28:Q28)*$F$118</f>
        <v>22907.35125</v>
      </c>
      <c r="G99" s="586">
        <f>SUM(Year5!N28:Q28)*$G$118</f>
        <v>23359.0455</v>
      </c>
      <c r="H99" s="586">
        <f>SUM(Year6!N28:Q28)*$H$118</f>
        <v>22907.35125</v>
      </c>
      <c r="I99" s="586">
        <f>SUM(Year7!N28:Q28)*$I$118</f>
        <v>22003.962749999999</v>
      </c>
      <c r="J99" s="586">
        <f>SUM(Year8!N28:Q28)*$J$118</f>
        <v>22907.35125</v>
      </c>
      <c r="K99" s="586">
        <f>SUM(Year9!N28:Q28)*$K$118</f>
        <v>23359.0455</v>
      </c>
      <c r="L99" s="595">
        <f>SUM(Year10!N27:Q27)*$L$118</f>
        <v>22907.35125</v>
      </c>
    </row>
    <row r="100" spans="2:12">
      <c r="B100" s="563" t="s">
        <v>199</v>
      </c>
      <c r="C100" s="587"/>
      <c r="D100" s="565"/>
      <c r="E100" s="605">
        <f>SUM(E92:E99)</f>
        <v>9749269.7279995941</v>
      </c>
      <c r="F100" s="605">
        <f t="shared" ref="F100:L100" si="25">SUM(F92:F99)</f>
        <v>9776810.0379656963</v>
      </c>
      <c r="G100" s="605">
        <f t="shared" si="25"/>
        <v>9969592.2077283971</v>
      </c>
      <c r="H100" s="605">
        <f t="shared" si="25"/>
        <v>9776810.0379656963</v>
      </c>
      <c r="I100" s="605">
        <f t="shared" si="25"/>
        <v>9391245.6984402873</v>
      </c>
      <c r="J100" s="605">
        <f t="shared" si="25"/>
        <v>9776810.0379656963</v>
      </c>
      <c r="K100" s="605">
        <f t="shared" si="25"/>
        <v>9969592.2077283971</v>
      </c>
      <c r="L100" s="605">
        <f t="shared" si="25"/>
        <v>9776810.0379656963</v>
      </c>
    </row>
    <row r="101" spans="2:12">
      <c r="B101" s="575" t="s">
        <v>200</v>
      </c>
      <c r="C101" s="566"/>
      <c r="D101" s="566"/>
      <c r="E101" s="566">
        <f>E91-E100</f>
        <v>5503090.7591069862</v>
      </c>
      <c r="F101" s="566">
        <f t="shared" ref="F101:L101" si="26">F91-F100</f>
        <v>7196413.8555199467</v>
      </c>
      <c r="G101" s="566">
        <f t="shared" si="26"/>
        <v>8861116.2749793641</v>
      </c>
      <c r="H101" s="566">
        <f t="shared" si="26"/>
        <v>9545297.593861077</v>
      </c>
      <c r="I101" s="566">
        <f t="shared" si="26"/>
        <v>8891905.9404929169</v>
      </c>
      <c r="J101" s="607">
        <f t="shared" si="26"/>
        <v>10265943.823252469</v>
      </c>
      <c r="K101" s="607">
        <f t="shared" si="26"/>
        <v>10657865.81952719</v>
      </c>
      <c r="L101" s="607">
        <f t="shared" si="26"/>
        <v>11276429.548777077</v>
      </c>
    </row>
    <row r="102" spans="2:12">
      <c r="B102" s="576" t="s">
        <v>201</v>
      </c>
      <c r="C102" s="565"/>
      <c r="D102" s="586"/>
      <c r="E102" s="586">
        <f>SUM(Year3!N30:Q30)*$E$118</f>
        <v>91853.402048648393</v>
      </c>
      <c r="F102" s="586">
        <f>SUM(Year4!J30:M30)*$F$118</f>
        <v>92047.09328832227</v>
      </c>
      <c r="G102" s="586">
        <f>SUM(Year5!N30:Q30)*$G$118</f>
        <v>91853.402048648393</v>
      </c>
      <c r="H102" s="586">
        <f>SUM(Year6!N30:Q30)*$H$118</f>
        <v>91853.402048648393</v>
      </c>
      <c r="I102" s="620">
        <f>SUM(Year7!N30:Q30)*$I$118</f>
        <v>91853.402048648393</v>
      </c>
      <c r="J102" s="586">
        <f>SUM(Year8!R30:U30)*$J$118</f>
        <v>95583.155159798029</v>
      </c>
      <c r="K102" s="586">
        <f>SUM(Year9!N30:Q30)*$K$118</f>
        <v>91853.402048648393</v>
      </c>
      <c r="L102" s="586">
        <f>SUM(Year10!N29:Q29)*$L$118</f>
        <v>91853.402048648393</v>
      </c>
    </row>
    <row r="103" spans="2:12">
      <c r="B103" s="576" t="s">
        <v>202</v>
      </c>
      <c r="C103" s="565"/>
      <c r="D103" s="586"/>
      <c r="E103" s="586">
        <f>SUM(Year3!N31:Q31)*$E$118</f>
        <v>230725.85217600001</v>
      </c>
      <c r="F103" s="586">
        <f>SUM(Year4!J31:M31)*$F$118</f>
        <v>231377.62012000001</v>
      </c>
      <c r="G103" s="586">
        <f>SUM(Year5!N31:Q31)*$G$118</f>
        <v>235939.99572800001</v>
      </c>
      <c r="H103" s="586">
        <f>SUM(Year6!N31:Q31)*$H$118</f>
        <v>231377.62012000001</v>
      </c>
      <c r="I103" s="620">
        <f>SUM(Year7!N31:Q31)*$I$118</f>
        <v>222252.86890400003</v>
      </c>
      <c r="J103" s="586">
        <f>SUM(Year8!R31:U31)*$J$118</f>
        <v>231377.62012000001</v>
      </c>
      <c r="K103" s="586">
        <f>SUM(Year9!N31:Q31)*$K$118</f>
        <v>235939.99572800001</v>
      </c>
      <c r="L103" s="586">
        <f>SUM(Year10!N30:Q30)*$L$118</f>
        <v>231377.62012000001</v>
      </c>
    </row>
    <row r="104" spans="2:12">
      <c r="B104" s="576" t="s">
        <v>203</v>
      </c>
      <c r="C104" s="565"/>
      <c r="D104" s="586"/>
      <c r="E104" s="586">
        <f>SUM(Year3!N32:Q32)*$E$118</f>
        <v>308444.03396160004</v>
      </c>
      <c r="F104" s="586">
        <f>SUM(Year4!J32:M32)*$F$118</f>
        <v>309315.34479200002</v>
      </c>
      <c r="G104" s="586">
        <f>SUM(Year5!N32:Q32)*$G$118</f>
        <v>315414.52060480003</v>
      </c>
      <c r="H104" s="586">
        <f>SUM(Year6!N32:Q32)*$H$118</f>
        <v>309315.34479200002</v>
      </c>
      <c r="I104" s="620">
        <f>SUM(Year7!N32:Q32)*$I$118</f>
        <v>297116.99316640006</v>
      </c>
      <c r="J104" s="586">
        <f>SUM(Year8!R32:U32)*$J$118</f>
        <v>309315.34479200002</v>
      </c>
      <c r="K104" s="586">
        <f>SUM(Year9!N32:Q32)*$K$118</f>
        <v>315414.52060480003</v>
      </c>
      <c r="L104" s="586">
        <f>SUM(Year10!N31:Q31)*$L$118</f>
        <v>309315.34479200002</v>
      </c>
    </row>
    <row r="105" spans="2:12">
      <c r="B105" s="578" t="s">
        <v>204</v>
      </c>
      <c r="C105" s="565"/>
      <c r="D105" s="586"/>
      <c r="E105" s="586">
        <f>SUM(Year3!N33:Q33)*$E$118</f>
        <v>38885.908855563306</v>
      </c>
      <c r="F105" s="586">
        <f>SUM(Year4!J33:M33)*$F$118</f>
        <v>38995.756055720267</v>
      </c>
      <c r="G105" s="586">
        <f>SUM(Year5!N33:Q33)*$G$118</f>
        <v>38885.908855563306</v>
      </c>
      <c r="H105" s="586">
        <f>SUM(Year6!N33:Q33)*$H$118</f>
        <v>38885.908855563306</v>
      </c>
      <c r="I105" s="620">
        <f>SUM(Year7!N33:Q33)*$I$118</f>
        <v>38885.908855563306</v>
      </c>
      <c r="J105" s="586">
        <f>SUM(Year8!R33:U33)*$J$118</f>
        <v>40482.397782184671</v>
      </c>
      <c r="K105" s="586">
        <f>SUM(Year9!N33:Q33)*$K$118</f>
        <v>38885.908855563306</v>
      </c>
      <c r="L105" s="586">
        <f>SUM(Year10!N32:Q32)*$L$118</f>
        <v>38885.908855563306</v>
      </c>
    </row>
    <row r="106" spans="2:12">
      <c r="B106" s="576" t="s">
        <v>205</v>
      </c>
      <c r="C106" s="565"/>
      <c r="D106" s="586"/>
      <c r="E106" s="586">
        <f>SUM(Year3!N34:Q34)*$E$118</f>
        <v>2219627.8766714716</v>
      </c>
      <c r="F106" s="586">
        <f>SUM(Year4!J34:M34)*$F$118</f>
        <v>2093470.7982564266</v>
      </c>
      <c r="G106" s="586">
        <f>SUM(Year5!N34:Q34)*$G$118</f>
        <v>2269788.9586301488</v>
      </c>
      <c r="H106" s="586">
        <f>SUM(Year6!N34:Q34)*$H$118</f>
        <v>2225898.0119163063</v>
      </c>
      <c r="I106" s="620">
        <f>SUM(Year7!N34:Q34)*$I$118</f>
        <v>2138116.118488621</v>
      </c>
      <c r="J106" s="586">
        <f>SUM(Year8!N34:Q34)*$J$118</f>
        <v>2225898.0119163063</v>
      </c>
      <c r="K106" s="586">
        <f>SUM(Year9!N34:Q34)*$K$118</f>
        <v>2269788.9586301488</v>
      </c>
      <c r="L106" s="586">
        <f>SUM(Year10!N33:Q33)*$L$118</f>
        <v>2225898.0119163063</v>
      </c>
    </row>
    <row r="107" spans="2:12">
      <c r="B107" s="576" t="s">
        <v>206</v>
      </c>
      <c r="C107" s="565"/>
      <c r="D107" s="606"/>
      <c r="E107" s="586">
        <f>E118*SUM(Accomodations!$L$7:$O$7)</f>
        <v>26719.920000000002</v>
      </c>
      <c r="F107" s="586">
        <f>F118*SUM(Accomodations!$L$7:$O$7)</f>
        <v>26795.4</v>
      </c>
      <c r="G107" s="586">
        <f>G118*SUM(Accomodations!$L$7:$O$7)</f>
        <v>27323.760000000002</v>
      </c>
      <c r="H107" s="586">
        <f>H118*SUM(Accomodations!$L$7:$O$7)</f>
        <v>26795.4</v>
      </c>
      <c r="I107" s="586">
        <f>I118*SUM(Accomodations!$L$7:$O$7)</f>
        <v>25738.68</v>
      </c>
      <c r="J107" s="586">
        <f>J118*SUM(Accomodations!$L$7:$O$7)</f>
        <v>26795.4</v>
      </c>
      <c r="K107" s="586">
        <f>K118*SUM(Accomodations!$L$7:$O$7)</f>
        <v>27323.760000000002</v>
      </c>
      <c r="L107" s="586">
        <f>L118*SUM(Accomodations!$L$7:$O$7)</f>
        <v>26795.4</v>
      </c>
    </row>
    <row r="108" spans="2:12">
      <c r="B108" s="552" t="s">
        <v>207</v>
      </c>
      <c r="C108" s="565"/>
      <c r="D108" s="586"/>
      <c r="E108" s="586">
        <f>SUM(Year3!N36:Q36)*$E$118</f>
        <v>1534.1278439869989</v>
      </c>
      <c r="F108" s="586">
        <f>SUM(Year4!J36:M36)*$F$118</f>
        <v>3008.4745762711868</v>
      </c>
      <c r="G108" s="586">
        <f>SUM(Year5!N36:Q36)*$G$118</f>
        <v>1538.4615384615386</v>
      </c>
      <c r="H108" s="586">
        <f>SUM(Year6!N36:Q36)*$H$118</f>
        <v>1538.4615384615383</v>
      </c>
      <c r="I108" s="620">
        <f>SUM(Year7!N36:Q36)*$I$118</f>
        <v>1449.2137696557586</v>
      </c>
      <c r="J108" s="619">
        <f>SUM(Year8!R36:U36)*$J$118</f>
        <v>1635.19115614924</v>
      </c>
      <c r="K108" s="606">
        <f>SUM(Year9!N36:Q36)*$K$118</f>
        <v>1538.4615384615386</v>
      </c>
      <c r="L108" s="586">
        <f>SUM(Year10!N35:Q35)*$L$118</f>
        <v>1508.7122821929452</v>
      </c>
    </row>
    <row r="109" spans="2:12">
      <c r="B109" s="563" t="s">
        <v>208</v>
      </c>
      <c r="C109" s="565"/>
      <c r="D109" s="587"/>
      <c r="E109" s="587">
        <f t="shared" ref="E109:L109" si="27">SUM(E102:E108)</f>
        <v>2917791.1215572702</v>
      </c>
      <c r="F109" s="587">
        <f t="shared" si="27"/>
        <v>2795010.4870887403</v>
      </c>
      <c r="G109" s="587">
        <f t="shared" si="27"/>
        <v>2980745.0074056215</v>
      </c>
      <c r="H109" s="587">
        <f t="shared" si="27"/>
        <v>2925664.1492709797</v>
      </c>
      <c r="I109" s="587">
        <f t="shared" si="27"/>
        <v>2815413.1852328884</v>
      </c>
      <c r="J109" s="621">
        <f t="shared" si="27"/>
        <v>2931087.1209264384</v>
      </c>
      <c r="K109" s="621">
        <f t="shared" si="27"/>
        <v>2980745.0074056215</v>
      </c>
      <c r="L109" s="622">
        <f t="shared" si="27"/>
        <v>2925634.4000147111</v>
      </c>
    </row>
    <row r="110" spans="2:12">
      <c r="B110" s="575" t="s">
        <v>209</v>
      </c>
      <c r="C110" s="566"/>
      <c r="D110" s="566"/>
      <c r="E110" s="566">
        <f>E101-E109</f>
        <v>2585299.637549716</v>
      </c>
      <c r="F110" s="566">
        <f t="shared" ref="F110:L110" si="28">F101-F109</f>
        <v>4401403.3684312068</v>
      </c>
      <c r="G110" s="566">
        <f t="shared" si="28"/>
        <v>5880371.2675737422</v>
      </c>
      <c r="H110" s="566">
        <f t="shared" si="28"/>
        <v>6619633.4445900973</v>
      </c>
      <c r="I110" s="566">
        <f t="shared" si="28"/>
        <v>6076492.7552600279</v>
      </c>
      <c r="J110" s="566">
        <f t="shared" si="28"/>
        <v>7334856.7023260314</v>
      </c>
      <c r="K110" s="566">
        <f t="shared" si="28"/>
        <v>7677120.8121215682</v>
      </c>
      <c r="L110" s="594">
        <f t="shared" si="28"/>
        <v>8350795.1487623658</v>
      </c>
    </row>
    <row r="111" spans="2:12">
      <c r="B111" s="576" t="s">
        <v>210</v>
      </c>
      <c r="C111" s="565"/>
      <c r="D111" s="586"/>
      <c r="E111" s="586">
        <f>SUM(Year3!N38:Q38)*$E$118</f>
        <v>0</v>
      </c>
      <c r="F111" s="586">
        <f>SUM(Year4!N38:Q38)*$F$118</f>
        <v>0</v>
      </c>
      <c r="G111" s="586">
        <f>SUM(Year5!N38:Q38)*$G$118</f>
        <v>0</v>
      </c>
      <c r="H111" s="586">
        <f>SUM(Year6!N38:Q38)*$H$118</f>
        <v>0</v>
      </c>
      <c r="I111" s="586">
        <f>SUM(Year7!N38:Q38)*$I$118</f>
        <v>0</v>
      </c>
      <c r="J111" s="586">
        <f>SUM(Year8!N38:Q38)*$J$118</f>
        <v>0</v>
      </c>
      <c r="K111" s="586">
        <f>SUM(Year9!N38:Q38)*$K$118</f>
        <v>0</v>
      </c>
      <c r="L111" s="595">
        <f>SUM(Year10!R37:U37)*$L$118</f>
        <v>0</v>
      </c>
    </row>
    <row r="112" spans="2:12">
      <c r="B112" s="576" t="s">
        <v>211</v>
      </c>
      <c r="C112" s="565"/>
      <c r="D112" s="586"/>
      <c r="E112" s="586">
        <f>SUM(Year3!N39:Q39)*$E$118</f>
        <v>419999.99999999994</v>
      </c>
      <c r="F112" s="586">
        <f>SUM(Year4!N39:Q39)*$F$118</f>
        <v>419999.99999999994</v>
      </c>
      <c r="G112" s="586">
        <f>SUM(Year5!N39:Q39)*$G$118</f>
        <v>419999.99999999994</v>
      </c>
      <c r="H112" s="586">
        <f>SUM(Year6!N39:Q39)*$H$118</f>
        <v>419999.99999999994</v>
      </c>
      <c r="I112" s="586">
        <f>SUM(Year7!N39:Q39)*$I$118</f>
        <v>419999.99999999994</v>
      </c>
      <c r="J112" s="586">
        <f>SUM(Year8!N39:Q39)*$J$118</f>
        <v>419999.99999999994</v>
      </c>
      <c r="K112" s="586">
        <f>SUM(Year9!N39:Q39)*$K$118</f>
        <v>419999.99999999994</v>
      </c>
      <c r="L112" s="595">
        <f>SUM(Year10!R38:U38)*$L$118</f>
        <v>411878.45303867402</v>
      </c>
    </row>
    <row r="113" spans="2:12">
      <c r="B113" s="552" t="s">
        <v>212</v>
      </c>
      <c r="C113" s="565"/>
      <c r="D113" s="586"/>
      <c r="E113" s="586">
        <f>SUM(Year3!N40:Q40)*$E$118</f>
        <v>1096363.6363636365</v>
      </c>
      <c r="F113" s="586">
        <f>SUM(Year4!N40:Q40)*$F$118</f>
        <v>1096363.6363636362</v>
      </c>
      <c r="G113" s="586">
        <f>SUM(Year5!N40:Q40)*$G$118</f>
        <v>1096363.6363636365</v>
      </c>
      <c r="H113" s="586">
        <f>SUM(Year6!N40:Q40)*$H$118</f>
        <v>1096363.6363636362</v>
      </c>
      <c r="I113" s="586">
        <f>SUM(Year7!N40:Q40)*$I$118</f>
        <v>1096363.6363636365</v>
      </c>
      <c r="J113" s="586">
        <f>SUM(Year8!N40:Q40)*$J$118</f>
        <v>1096363.6363636362</v>
      </c>
      <c r="K113" s="586">
        <f>SUM(Year9!N40:Q40)*$K$118</f>
        <v>1096363.6363636365</v>
      </c>
      <c r="L113" s="595">
        <f>SUM(Year10!R39:U39)*$L$118</f>
        <v>1100632.414392686</v>
      </c>
    </row>
    <row r="114" spans="2:12">
      <c r="B114" s="552" t="s">
        <v>213</v>
      </c>
      <c r="C114" s="565"/>
      <c r="D114" s="586"/>
      <c r="E114" s="586">
        <f>SUM(Year3!N41:Q41)*$E$118</f>
        <v>2940000</v>
      </c>
      <c r="F114" s="586">
        <f>SUM(Year4!N41:Q41)*$F$118</f>
        <v>2940000.0000000005</v>
      </c>
      <c r="G114" s="586">
        <f>SUM(Year5!N41:Q41)*$G$118</f>
        <v>2940000</v>
      </c>
      <c r="H114" s="623">
        <f>SUM(Year6!N41:Q41)*$H$118</f>
        <v>2940000.0000000005</v>
      </c>
      <c r="I114" s="586">
        <f>SUM(Year7!N41:Q41)*$I$118</f>
        <v>2940000</v>
      </c>
      <c r="J114" s="586">
        <f>SUM(Year8!N41:Q41)*$J$118</f>
        <v>2940000.0000000005</v>
      </c>
      <c r="K114" s="586">
        <f>SUM(Year9!N41:Q41)*$K$118</f>
        <v>2940000</v>
      </c>
      <c r="L114" s="595">
        <f>SUM(Year10!R40:U40)*$L$118</f>
        <v>2883149.1712707188</v>
      </c>
    </row>
    <row r="115" spans="2:12">
      <c r="B115" s="563" t="s">
        <v>214</v>
      </c>
      <c r="C115" s="565"/>
      <c r="D115" s="586"/>
      <c r="E115" s="586">
        <f>SUM(E111:E114)</f>
        <v>4456363.6363636367</v>
      </c>
      <c r="F115" s="586">
        <f t="shared" ref="F115:L115" si="29">SUM(F111:F114)</f>
        <v>4456363.6363636367</v>
      </c>
      <c r="G115" s="586">
        <f t="shared" si="29"/>
        <v>4456363.6363636367</v>
      </c>
      <c r="H115" s="586">
        <f t="shared" si="29"/>
        <v>4456363.6363636367</v>
      </c>
      <c r="I115" s="586">
        <f t="shared" si="29"/>
        <v>4456363.6363636367</v>
      </c>
      <c r="J115" s="586">
        <f t="shared" si="29"/>
        <v>4456363.6363636367</v>
      </c>
      <c r="K115" s="586">
        <f t="shared" si="29"/>
        <v>4456363.6363636367</v>
      </c>
      <c r="L115" s="586">
        <f t="shared" si="29"/>
        <v>4395660.0387020791</v>
      </c>
    </row>
    <row r="116" spans="2:12">
      <c r="B116" s="596" t="s">
        <v>215</v>
      </c>
      <c r="C116" s="585"/>
      <c r="D116" s="585"/>
      <c r="E116" s="585">
        <f>E110-E115</f>
        <v>-1871063.9988139207</v>
      </c>
      <c r="F116" s="625">
        <f>F110-F115</f>
        <v>-54960.26793242991</v>
      </c>
      <c r="G116" s="617">
        <f t="shared" ref="G116" si="30">G110-G115</f>
        <v>1424007.6312101055</v>
      </c>
      <c r="H116" s="624">
        <f t="shared" ref="H116" si="31">H110-H115</f>
        <v>2163269.8082264606</v>
      </c>
      <c r="I116" s="617">
        <f t="shared" ref="I116" si="32">I110-I115</f>
        <v>1620129.1188963912</v>
      </c>
      <c r="J116" s="617">
        <f t="shared" ref="J116" si="33">J110-J115</f>
        <v>2878493.0659623947</v>
      </c>
      <c r="K116" s="617">
        <f t="shared" ref="K116" si="34">K110-K115</f>
        <v>3220757.1757579315</v>
      </c>
      <c r="L116" s="618">
        <f t="shared" ref="L116" si="35">L110-L115</f>
        <v>3955135.1100602867</v>
      </c>
    </row>
    <row r="117" spans="2:12">
      <c r="B117" s="613"/>
      <c r="C117" s="614"/>
      <c r="D117" s="614"/>
      <c r="E117" s="614"/>
      <c r="F117" s="614"/>
      <c r="G117" s="614"/>
      <c r="H117" s="615"/>
      <c r="I117" s="615"/>
      <c r="J117" s="615"/>
      <c r="K117" s="615"/>
      <c r="L117" s="616"/>
    </row>
    <row r="118" spans="2:12">
      <c r="B118" s="610" t="s">
        <v>216</v>
      </c>
      <c r="C118" s="611"/>
      <c r="D118" s="611"/>
      <c r="E118" s="611">
        <f>Year3!N13</f>
        <v>354</v>
      </c>
      <c r="F118" s="611">
        <f>Year4!N13</f>
        <v>355</v>
      </c>
      <c r="G118" s="611">
        <f>Year5!N13</f>
        <v>362</v>
      </c>
      <c r="H118" s="611">
        <f>Year6!N13</f>
        <v>355</v>
      </c>
      <c r="I118" s="611">
        <f>Year7!N13</f>
        <v>341</v>
      </c>
      <c r="J118" s="611">
        <f>Year8!N13</f>
        <v>355</v>
      </c>
      <c r="K118" s="611">
        <f>Year9!N13</f>
        <v>362</v>
      </c>
      <c r="L118" s="612">
        <f>Year10!N13</f>
        <v>355</v>
      </c>
    </row>
    <row r="119" spans="2:12">
      <c r="B119" s="551" t="s">
        <v>217</v>
      </c>
      <c r="C119" s="589"/>
      <c r="D119" s="589"/>
      <c r="E119" s="589">
        <f>SUM(Year1!$J$10:$M$10)*E118</f>
        <v>3826.3159685210312</v>
      </c>
      <c r="F119" s="589">
        <f>SUM(Year1!$J$10:$M$10)*F118</f>
        <v>3837.1247706919944</v>
      </c>
      <c r="G119" s="589">
        <f>SUM(Year1!$J$10:$M$10)*G118</f>
        <v>3912.7863858887381</v>
      </c>
      <c r="H119" s="589">
        <f>SUM(Year1!$J$10:$M$10)*H118</f>
        <v>3837.1247706919944</v>
      </c>
      <c r="I119" s="589">
        <f>SUM(Year1!$J$10:$M$10)*I118</f>
        <v>3685.8015402985075</v>
      </c>
      <c r="J119" s="589">
        <f>SUM(Year1!$J$10:$M$10)*J118</f>
        <v>3837.1247706919944</v>
      </c>
      <c r="K119" s="589">
        <f>SUM(Year1!$J$10:$M$10)*K118</f>
        <v>3912.7863858887381</v>
      </c>
      <c r="L119" s="609">
        <f>SUM(Year1!$J$10:$M$10)*L118</f>
        <v>3837.1247706919944</v>
      </c>
    </row>
    <row r="120" spans="2:12">
      <c r="B120" s="552" t="s">
        <v>218</v>
      </c>
      <c r="C120" s="558"/>
      <c r="D120" s="558"/>
      <c r="E120" s="558">
        <f>27*E118*SUM(Year1!$J$9:$M$9)</f>
        <v>62051369.457599998</v>
      </c>
      <c r="F120" s="558">
        <f>27*F118*SUM(Year1!$J$9:$M$9)</f>
        <v>62226655.811999999</v>
      </c>
      <c r="G120" s="558">
        <f>27*G118*SUM(Year1!$J$9:$M$9)</f>
        <v>63453660.292800002</v>
      </c>
      <c r="H120" s="558">
        <f>27*H118*SUM(Year1!$J$9:$M$9)</f>
        <v>62226655.811999999</v>
      </c>
      <c r="I120" s="558">
        <f>27*I118*SUM(Year1!$J$9:$M$9)</f>
        <v>59772646.850400001</v>
      </c>
      <c r="J120" s="558">
        <f>27*J118*SUM(Year1!$J$9:$M$9)</f>
        <v>62226655.811999999</v>
      </c>
      <c r="K120" s="558">
        <f>27*K118*SUM(Year1!$J$9:$M$9)</f>
        <v>63453660.292800002</v>
      </c>
      <c r="L120" s="559">
        <f>27*L118*SUM(Year1!$J$9:$M$9)</f>
        <v>62226655.811999999</v>
      </c>
    </row>
    <row r="121" spans="2:12">
      <c r="B121" s="551" t="s">
        <v>219</v>
      </c>
      <c r="C121" s="557"/>
      <c r="D121" s="557"/>
      <c r="E121" s="557">
        <f t="shared" ref="E121:L121" si="36">E119/E118</f>
        <v>10.808802170963364</v>
      </c>
      <c r="F121" s="557">
        <f t="shared" si="36"/>
        <v>10.808802170963364</v>
      </c>
      <c r="G121" s="557">
        <f t="shared" si="36"/>
        <v>10.808802170963364</v>
      </c>
      <c r="H121" s="557">
        <f t="shared" si="36"/>
        <v>10.808802170963364</v>
      </c>
      <c r="I121" s="557">
        <f t="shared" si="36"/>
        <v>10.808802170963364</v>
      </c>
      <c r="J121" s="557">
        <f t="shared" si="36"/>
        <v>10.808802170963364</v>
      </c>
      <c r="K121" s="557">
        <f t="shared" si="36"/>
        <v>10.808802170963364</v>
      </c>
      <c r="L121" s="592">
        <f t="shared" si="36"/>
        <v>10.808802170963364</v>
      </c>
    </row>
    <row r="122" spans="2:12">
      <c r="B122" s="553" t="s">
        <v>220</v>
      </c>
      <c r="C122" s="558"/>
      <c r="D122" s="558"/>
      <c r="E122" s="558">
        <v>2</v>
      </c>
      <c r="F122" s="558">
        <v>2</v>
      </c>
      <c r="G122" s="558">
        <v>2</v>
      </c>
      <c r="H122" s="558">
        <v>2</v>
      </c>
      <c r="I122" s="558">
        <v>2</v>
      </c>
      <c r="J122" s="558">
        <v>2</v>
      </c>
      <c r="K122" s="558">
        <v>2</v>
      </c>
      <c r="L122" s="559">
        <v>2</v>
      </c>
    </row>
    <row r="123" spans="2:12">
      <c r="B123" s="551" t="s">
        <v>221</v>
      </c>
      <c r="C123" s="554"/>
      <c r="D123" s="554"/>
      <c r="E123" s="554">
        <f>E91/E120</f>
        <v>0.24580215747742026</v>
      </c>
      <c r="F123" s="554">
        <f t="shared" ref="F123:L123" si="37">F91/F120</f>
        <v>0.27276451983480154</v>
      </c>
      <c r="G123" s="554">
        <f t="shared" si="37"/>
        <v>0.29676315591276387</v>
      </c>
      <c r="H123" s="554">
        <f t="shared" si="37"/>
        <v>0.31051174741260373</v>
      </c>
      <c r="I123" s="554">
        <f t="shared" si="37"/>
        <v>0.3058782336457776</v>
      </c>
      <c r="J123" s="554">
        <f t="shared" si="37"/>
        <v>0.32209273662032556</v>
      </c>
      <c r="K123" s="554">
        <f t="shared" si="37"/>
        <v>0.32507908814199887</v>
      </c>
      <c r="L123" s="555">
        <f t="shared" si="37"/>
        <v>0.33833152869967981</v>
      </c>
    </row>
    <row r="124" spans="2:12">
      <c r="B124" s="551" t="s">
        <v>222</v>
      </c>
      <c r="C124" s="554"/>
      <c r="D124" s="554"/>
      <c r="E124" s="554">
        <f>E99/E119</f>
        <v>5.9699260824059266</v>
      </c>
      <c r="F124" s="554">
        <f>F99/F119</f>
        <v>5.9699260824059275</v>
      </c>
      <c r="G124" s="554">
        <f>G99/G119</f>
        <v>5.9699260824059275</v>
      </c>
      <c r="H124" s="554">
        <f>H98/H119</f>
        <v>154.26082966685777</v>
      </c>
      <c r="I124" s="554">
        <f>I99/I119</f>
        <v>5.9699260824059266</v>
      </c>
      <c r="J124" s="554">
        <f>J99/J119</f>
        <v>5.9699260824059275</v>
      </c>
      <c r="K124" s="554">
        <f>K99/K119</f>
        <v>5.9699260824059275</v>
      </c>
      <c r="L124" s="555">
        <f t="shared" ref="L124" si="38">L100/L119</f>
        <v>2547.9520792863163</v>
      </c>
    </row>
    <row r="125" spans="2:12">
      <c r="B125" s="551" t="s">
        <v>223</v>
      </c>
      <c r="C125" s="554"/>
      <c r="D125" s="554"/>
      <c r="E125" s="554">
        <f t="shared" ref="E125:L125" si="39">E109/E119</f>
        <v>762.55885440769566</v>
      </c>
      <c r="F125" s="554">
        <f t="shared" si="39"/>
        <v>728.41271892878342</v>
      </c>
      <c r="G125" s="554">
        <f t="shared" si="39"/>
        <v>761.79599738833792</v>
      </c>
      <c r="H125" s="554">
        <f t="shared" si="39"/>
        <v>762.46260523432488</v>
      </c>
      <c r="I125" s="554">
        <f t="shared" si="39"/>
        <v>763.85371118079036</v>
      </c>
      <c r="J125" s="554">
        <f t="shared" si="39"/>
        <v>763.87589564825134</v>
      </c>
      <c r="K125" s="554">
        <f t="shared" si="39"/>
        <v>761.79599738833792</v>
      </c>
      <c r="L125" s="555">
        <f t="shared" si="39"/>
        <v>762.45485222704826</v>
      </c>
    </row>
    <row r="126" spans="2:12">
      <c r="B126" s="551" t="s">
        <v>224</v>
      </c>
      <c r="C126" s="554"/>
      <c r="D126" s="554"/>
      <c r="E126" s="554">
        <f t="shared" ref="E126:L126" si="40">E115/E119</f>
        <v>1164.6616936567668</v>
      </c>
      <c r="F126" s="554">
        <f t="shared" si="40"/>
        <v>1161.3809564915366</v>
      </c>
      <c r="G126" s="554">
        <f t="shared" si="40"/>
        <v>1138.9233136864516</v>
      </c>
      <c r="H126" s="554">
        <f t="shared" si="40"/>
        <v>1161.3809564915366</v>
      </c>
      <c r="I126" s="554">
        <f t="shared" si="40"/>
        <v>1209.0622860835645</v>
      </c>
      <c r="J126" s="554">
        <f t="shared" si="40"/>
        <v>1161.3809564915366</v>
      </c>
      <c r="K126" s="554">
        <f t="shared" si="40"/>
        <v>1138.9233136864516</v>
      </c>
      <c r="L126" s="555">
        <f t="shared" si="40"/>
        <v>1145.5608825327192</v>
      </c>
    </row>
    <row r="127" spans="2:12">
      <c r="B127" s="556" t="s">
        <v>225</v>
      </c>
      <c r="C127" s="560"/>
      <c r="D127" s="560"/>
      <c r="E127" s="560">
        <f>SUM(E99,E109,E115)/E119</f>
        <v>1933.1904741468686</v>
      </c>
      <c r="F127" s="560">
        <f>SUM(F99,F109,F115)/F119</f>
        <v>1895.763601502726</v>
      </c>
      <c r="G127" s="560">
        <f>SUM(G99,G109,G115)/G119</f>
        <v>1906.6892371571955</v>
      </c>
      <c r="H127" s="560">
        <f>SUM(H98,H109,H115)/H119</f>
        <v>2078.1043913927197</v>
      </c>
      <c r="I127" s="560">
        <f>SUM(I99,I109,I115)/I119</f>
        <v>1978.8859233467606</v>
      </c>
      <c r="J127" s="560">
        <f>SUM(J99,J109,J115)/J119</f>
        <v>1931.2267782221938</v>
      </c>
      <c r="K127" s="560">
        <f>SUM(K99,K109,K115)/K119</f>
        <v>1906.6892371571955</v>
      </c>
      <c r="L127" s="593">
        <f t="shared" ref="L127" si="41">SUM(L100,L109,L115)/L119</f>
        <v>4455.9678140460837</v>
      </c>
    </row>
    <row r="131" spans="2:12">
      <c r="B131" s="571" t="s">
        <v>228</v>
      </c>
      <c r="C131" s="572"/>
      <c r="D131" s="572"/>
      <c r="E131" s="572"/>
      <c r="F131" s="572"/>
      <c r="G131" s="572"/>
      <c r="H131" s="572"/>
      <c r="I131" s="572"/>
      <c r="J131" s="572"/>
      <c r="K131" s="572"/>
      <c r="L131" s="573"/>
    </row>
    <row r="132" spans="2:12">
      <c r="B132" s="553"/>
      <c r="C132" s="567">
        <v>2023</v>
      </c>
      <c r="D132" s="568">
        <v>2024</v>
      </c>
      <c r="E132" s="569">
        <v>2025</v>
      </c>
      <c r="F132" s="570">
        <v>2026</v>
      </c>
      <c r="G132" s="569">
        <v>2027</v>
      </c>
      <c r="H132" s="570">
        <v>2028</v>
      </c>
      <c r="I132" s="569">
        <v>2029</v>
      </c>
      <c r="J132" s="570">
        <v>2030</v>
      </c>
      <c r="K132" s="569">
        <v>2031</v>
      </c>
      <c r="L132" s="574">
        <v>2032</v>
      </c>
    </row>
    <row r="133" spans="2:12">
      <c r="B133" s="575" t="s">
        <v>190</v>
      </c>
      <c r="D133" s="566"/>
      <c r="E133" s="566"/>
      <c r="F133" s="566">
        <f>SUM(Profitability!AT59:AT62)</f>
        <v>16122860.561394248</v>
      </c>
      <c r="G133" s="566">
        <f>SUM(Profitability!AU59:AU62)</f>
        <v>18452842.46194414</v>
      </c>
      <c r="H133" s="566">
        <f>SUM(Profitability!AV59:AV62)</f>
        <v>19001876.210360311</v>
      </c>
      <c r="I133" s="566">
        <f>SUM(Profitability!AW59:AW62)</f>
        <v>19442593.797978971</v>
      </c>
      <c r="J133" s="566">
        <f>SUM(Profitability!AX59:AX62)</f>
        <v>18710823.24344445</v>
      </c>
      <c r="K133" s="566">
        <f>SUM(Profitability!AY59:AY62)</f>
        <v>20302980.879045963</v>
      </c>
      <c r="L133" s="566">
        <f>SUM(Profitability!AZ59:AZ62)</f>
        <v>20998063.527474009</v>
      </c>
    </row>
    <row r="134" spans="2:12">
      <c r="B134" s="576" t="s">
        <v>191</v>
      </c>
      <c r="C134" s="587"/>
      <c r="D134" s="587"/>
      <c r="E134" s="586"/>
      <c r="F134" s="586">
        <f>SUM(Year4!R20:U20)*$F$160</f>
        <v>1369085.7152807596</v>
      </c>
      <c r="G134" s="586">
        <f>SUM(Year5!R20:U20)*$G$160</f>
        <v>1342611.6821123471</v>
      </c>
      <c r="H134" s="586">
        <f>SUM(Year6!R20:U20)*$H$160</f>
        <v>1369085.7152807596</v>
      </c>
      <c r="I134" s="586">
        <f>SUM(Year7!R20:U20)*$I$160</f>
        <v>1342611.6821123471</v>
      </c>
      <c r="J134" s="586">
        <f>SUM(Year8!R20:U20)*$J$160</f>
        <v>1289663.6157755223</v>
      </c>
      <c r="K134" s="586">
        <f>SUM(Year8!R20:U20)*$K$160</f>
        <v>1342611.6821123471</v>
      </c>
      <c r="L134" s="595">
        <f>SUM(Year10!R20:U20)*$L$160</f>
        <v>1369085.7152807596</v>
      </c>
    </row>
    <row r="135" spans="2:12">
      <c r="B135" s="576" t="s">
        <v>192</v>
      </c>
      <c r="C135" s="587"/>
      <c r="D135" s="587"/>
      <c r="E135" s="586"/>
      <c r="F135" s="586">
        <f>SUM(Year4!R21:U21)*$F$160</f>
        <v>1854169.0386222759</v>
      </c>
      <c r="G135" s="586">
        <f>SUM(Year5!R21:U21)*$G$160</f>
        <v>1818314.9411903536</v>
      </c>
      <c r="H135" s="586">
        <f>SUM(Year6!R21:U21)*$H$160</f>
        <v>1854169.0386222759</v>
      </c>
      <c r="I135" s="586">
        <f>SUM(Year7!R21:U21)*$I$160</f>
        <v>1818314.9411903536</v>
      </c>
      <c r="J135" s="586">
        <f>SUM(Year8!R21:U21)*$J$160</f>
        <v>1746606.7463265085</v>
      </c>
      <c r="K135" s="586">
        <f>SUM(Year8!R21:U21)*$K$160</f>
        <v>1818314.9411903536</v>
      </c>
      <c r="L135" s="595">
        <f>SUM(Year10!R21:U21)*$L$160</f>
        <v>1854169.0386222759</v>
      </c>
    </row>
    <row r="136" spans="2:12">
      <c r="B136" s="576" t="s">
        <v>193</v>
      </c>
      <c r="C136" s="587"/>
      <c r="D136" s="587"/>
      <c r="E136" s="586"/>
      <c r="F136" s="586">
        <f>SUM(Year4!R22:U22)*$F$160</f>
        <v>4921994.8450201359</v>
      </c>
      <c r="G136" s="586">
        <f>SUM(Year5!R22:U22)*$G$160</f>
        <v>4826818.149121956</v>
      </c>
      <c r="H136" s="586">
        <f>SUM(Year6!R22:U22)*$H$160</f>
        <v>4921994.8450201359</v>
      </c>
      <c r="I136" s="586">
        <f>SUM(Year7!R22:U22)*$I$160</f>
        <v>4826818.149121956</v>
      </c>
      <c r="J136" s="586">
        <f>SUM(Year8!R22:U22)*$J$160</f>
        <v>4636464.7573255971</v>
      </c>
      <c r="K136" s="586">
        <f>SUM(Year8!R22:U22)*$K$160</f>
        <v>4826818.149121956</v>
      </c>
      <c r="L136" s="595">
        <f>SUM(Year10!R22:U22)*$L$160</f>
        <v>4921994.8450201359</v>
      </c>
    </row>
    <row r="137" spans="2:12">
      <c r="B137" s="576" t="s">
        <v>194</v>
      </c>
      <c r="C137" s="587"/>
      <c r="D137" s="587"/>
      <c r="E137" s="586"/>
      <c r="F137" s="586">
        <f>SUM(Year4!R23:U23)*$F$160</f>
        <v>473857.99999999994</v>
      </c>
      <c r="G137" s="586">
        <f>SUM(Year5!R23:U23)*$G$160</f>
        <v>464694.99999999994</v>
      </c>
      <c r="H137" s="586">
        <f>SUM(Year6!R23:U23)*$H$160</f>
        <v>473857.99999999994</v>
      </c>
      <c r="I137" s="586">
        <f>SUM(Year7!R23:U23)*$I$160</f>
        <v>464694.99999999994</v>
      </c>
      <c r="J137" s="586">
        <f>SUM(Year8!R23:U23)*$J$160</f>
        <v>446368.99999999994</v>
      </c>
      <c r="K137" s="586">
        <f>SUM(Year8!R23:U23)*$K$160</f>
        <v>464694.99999999994</v>
      </c>
      <c r="L137" s="595">
        <f>SUM(Year10!R23:U23)*$L$160</f>
        <v>473857.99999999994</v>
      </c>
    </row>
    <row r="138" spans="2:12">
      <c r="B138" s="576" t="s">
        <v>195</v>
      </c>
      <c r="C138" s="587"/>
      <c r="D138" s="586"/>
      <c r="E138" s="586"/>
      <c r="F138" s="586">
        <f>SUM(Year4!R25:U25)*$F$160</f>
        <v>42204.631559999994</v>
      </c>
      <c r="G138" s="586">
        <f>SUM(Year5!R25:U25)*$G$160</f>
        <v>41388.519899999992</v>
      </c>
      <c r="H138" s="586">
        <f>SUM(Year6!R25:U25)*$H$160</f>
        <v>42204.631559999994</v>
      </c>
      <c r="I138" s="586">
        <f>SUM(Year7!R25:U25)*$I$160</f>
        <v>41388.519899999992</v>
      </c>
      <c r="J138" s="586">
        <f>SUM(Year8!R25:U25)*$J$160</f>
        <v>39756.296579999995</v>
      </c>
      <c r="K138" s="586">
        <f>SUM(Year8!R25:U25)*$K$160</f>
        <v>41388.519899999992</v>
      </c>
      <c r="L138" s="595">
        <f>SUM(Year10!R24:U24)*$L$160</f>
        <v>42204.631559999994</v>
      </c>
    </row>
    <row r="139" spans="2:12">
      <c r="B139" s="576" t="s">
        <v>196</v>
      </c>
      <c r="C139" s="587"/>
      <c r="D139" s="586"/>
      <c r="E139" s="586"/>
      <c r="F139" s="586">
        <f>SUM(Year4!R26:U26)*$F$160</f>
        <v>438128.6</v>
      </c>
      <c r="G139" s="586">
        <f>SUM(Year5!R26:U26)*$G$160</f>
        <v>429656.5</v>
      </c>
      <c r="H139" s="586">
        <f>SUM(Year6!R26:U26)*$H$160</f>
        <v>438128.6</v>
      </c>
      <c r="I139" s="586">
        <f>SUM(Year7!R26:U26)*$I$160</f>
        <v>429656.5</v>
      </c>
      <c r="J139" s="586">
        <f>SUM(Year8!R26:U26)*$J$160</f>
        <v>412712.3</v>
      </c>
      <c r="K139" s="586">
        <f>SUM(Year8!R26:U26)*$K$160</f>
        <v>429656.5</v>
      </c>
      <c r="L139" s="595">
        <f>SUM(Year10!R25:U25)*$L$160</f>
        <v>438128.6</v>
      </c>
    </row>
    <row r="140" spans="2:12">
      <c r="B140" s="576" t="s">
        <v>197</v>
      </c>
      <c r="C140" s="587"/>
      <c r="D140" s="586"/>
      <c r="E140" s="586"/>
      <c r="F140" s="586">
        <f>SUM(Year4!R27:U27)*$F$160</f>
        <v>448216.92489898868</v>
      </c>
      <c r="G140" s="586">
        <f>SUM(Year5!R27:U27)*$G$160</f>
        <v>439549.74679320713</v>
      </c>
      <c r="H140" s="586">
        <f>SUM(Year6!R27:U27)*$H$160</f>
        <v>448216.92489898868</v>
      </c>
      <c r="I140" s="586">
        <f>SUM(Year7!R27:U27)*$I$160</f>
        <v>439549.74679320713</v>
      </c>
      <c r="J140" s="586">
        <f>SUM(Year8!R27:U27)*$J$160</f>
        <v>422215.39058164402</v>
      </c>
      <c r="K140" s="586">
        <f>SUM(Year8!R27:U27)*$K$160</f>
        <v>439549.74679320713</v>
      </c>
      <c r="L140" s="595">
        <f>SUM(Year10!R26:U26)*$L$160</f>
        <v>448216.92489898868</v>
      </c>
    </row>
    <row r="141" spans="2:12">
      <c r="B141" s="576" t="s">
        <v>198</v>
      </c>
      <c r="C141" s="587"/>
      <c r="D141" s="586"/>
      <c r="E141" s="586"/>
      <c r="F141" s="586">
        <f>SUM(Year4!R28:U28)*$F$160</f>
        <v>17163.56754</v>
      </c>
      <c r="G141" s="586">
        <f>SUM(Year5!R28:U28)*$G$160</f>
        <v>16831.675350000001</v>
      </c>
      <c r="H141" s="586">
        <f>SUM(Year6!R28:U28)*$H$160</f>
        <v>17163.56754</v>
      </c>
      <c r="I141" s="586">
        <f>SUM(Year7!R28:U28)*$I$160</f>
        <v>16831.675350000001</v>
      </c>
      <c r="J141" s="586">
        <f>SUM(Year8!R28:U28)*$J$160</f>
        <v>16167.89097</v>
      </c>
      <c r="K141" s="586">
        <f>SUM(Year8!R28:U28)*$K$160</f>
        <v>16831.675350000001</v>
      </c>
      <c r="L141" s="595">
        <f>SUM(Year10!R27:U27)*$L$160</f>
        <v>17163.56754</v>
      </c>
    </row>
    <row r="142" spans="2:12">
      <c r="B142" s="563" t="s">
        <v>199</v>
      </c>
      <c r="C142" s="587"/>
      <c r="D142" s="565"/>
      <c r="E142" s="605"/>
      <c r="F142" s="605">
        <f>SUM(F134:F141)</f>
        <v>9564821.322922159</v>
      </c>
      <c r="G142" s="605">
        <f t="shared" ref="G142:L142" si="42">SUM(G134:G141)</f>
        <v>9379866.2144678626</v>
      </c>
      <c r="H142" s="605">
        <f t="shared" si="42"/>
        <v>9564821.322922159</v>
      </c>
      <c r="I142" s="605">
        <f t="shared" si="42"/>
        <v>9379866.2144678626</v>
      </c>
      <c r="J142" s="605">
        <f t="shared" si="42"/>
        <v>9009955.9975592699</v>
      </c>
      <c r="K142" s="605">
        <f t="shared" si="42"/>
        <v>9379866.2144678626</v>
      </c>
      <c r="L142" s="605">
        <f>SUM(L134:L141)</f>
        <v>9564821.322922159</v>
      </c>
    </row>
    <row r="143" spans="2:12">
      <c r="B143" s="575" t="s">
        <v>200</v>
      </c>
      <c r="C143" s="566"/>
      <c r="D143" s="566"/>
      <c r="E143" s="566"/>
      <c r="F143" s="566">
        <f>F133-F142</f>
        <v>6558039.2384720892</v>
      </c>
      <c r="G143" s="566">
        <f t="shared" ref="G143:L143" si="43">G133-G142</f>
        <v>9072976.2474762779</v>
      </c>
      <c r="H143" s="566">
        <f t="shared" si="43"/>
        <v>9437054.887438152</v>
      </c>
      <c r="I143" s="566">
        <f t="shared" si="43"/>
        <v>10062727.583511109</v>
      </c>
      <c r="J143" s="566">
        <f t="shared" si="43"/>
        <v>9700867.2458851803</v>
      </c>
      <c r="K143" s="566">
        <f t="shared" si="43"/>
        <v>10923114.664578101</v>
      </c>
      <c r="L143" s="566">
        <f>L133-L142</f>
        <v>11433242.20455185</v>
      </c>
    </row>
    <row r="144" spans="2:12">
      <c r="B144" s="576" t="s">
        <v>201</v>
      </c>
      <c r="C144" s="565"/>
      <c r="D144" s="586"/>
      <c r="E144" s="586"/>
      <c r="F144" s="586">
        <f>SUM(Year4!R30:U30)*$F$160</f>
        <v>91813.678618284874</v>
      </c>
      <c r="G144" s="586">
        <f>SUM(Year5!R30:U30)*$G$160</f>
        <v>91813.678618284888</v>
      </c>
      <c r="H144" s="586">
        <f>SUM(Year6!R30:U30)*$H$160</f>
        <v>91813.678618284874</v>
      </c>
      <c r="I144" s="620">
        <f>SUM(Year7!R30:U30)*$I$160</f>
        <v>91813.678618284888</v>
      </c>
      <c r="J144" s="586">
        <f>SUM(Year9!R30:U30)*$J$160</f>
        <v>88192.857489676462</v>
      </c>
      <c r="K144" s="586">
        <f>SUM(Year9!R30:U30)*$K$160</f>
        <v>91813.678618284888</v>
      </c>
      <c r="L144" s="586">
        <f>SUM(Year10!R29:U29)*$L$160</f>
        <v>91813.678618284874</v>
      </c>
    </row>
    <row r="145" spans="2:12">
      <c r="B145" s="576" t="s">
        <v>202</v>
      </c>
      <c r="C145" s="565"/>
      <c r="D145" s="586"/>
      <c r="E145" s="586"/>
      <c r="F145" s="586">
        <f>SUM(Year4!R31:U31)*$F$160</f>
        <v>235939.99572800001</v>
      </c>
      <c r="G145" s="586">
        <f>SUM(Year5!R31:U31)*$G$160</f>
        <v>231377.62012000001</v>
      </c>
      <c r="H145" s="586">
        <f>SUM(Year6!R31:U31)*$H$160</f>
        <v>235939.99572800001</v>
      </c>
      <c r="I145" s="620">
        <f>SUM(Year7!R31:U31)*$I$160</f>
        <v>231377.62012000001</v>
      </c>
      <c r="J145" s="586">
        <f>SUM(Year9!R31:U31)*$J$160</f>
        <v>222252.86890400003</v>
      </c>
      <c r="K145" s="586">
        <f>SUM(Year9!R31:U31)*$K$160</f>
        <v>231377.62012000001</v>
      </c>
      <c r="L145" s="586">
        <f>SUM(Year10!R30:U30)*$L$160</f>
        <v>235939.99572800001</v>
      </c>
    </row>
    <row r="146" spans="2:12">
      <c r="B146" s="576" t="s">
        <v>203</v>
      </c>
      <c r="C146" s="565"/>
      <c r="D146" s="586"/>
      <c r="E146" s="586"/>
      <c r="F146" s="586">
        <f>SUM(Year4!R32:U32)*$F$160</f>
        <v>315414.52060480003</v>
      </c>
      <c r="G146" s="586">
        <f>SUM(Year5!R32:U32)*$G$160</f>
        <v>309315.34479200002</v>
      </c>
      <c r="H146" s="586">
        <f>SUM(Year6!R32:U32)*$H$160</f>
        <v>315414.52060480003</v>
      </c>
      <c r="I146" s="620">
        <f>SUM(Year7!R32:U32)*$I$160</f>
        <v>309315.34479200002</v>
      </c>
      <c r="J146" s="586">
        <f>SUM(Year9!R32:U32)*$J$160</f>
        <v>297116.99316640006</v>
      </c>
      <c r="K146" s="586">
        <f>SUM(Year9!R32:U32)*$K$160</f>
        <v>309315.34479200002</v>
      </c>
      <c r="L146" s="586">
        <f>SUM(Year10!R31:U31)*$L$160</f>
        <v>315414.52060480003</v>
      </c>
    </row>
    <row r="147" spans="2:12">
      <c r="B147" s="578" t="s">
        <v>204</v>
      </c>
      <c r="C147" s="565"/>
      <c r="D147" s="586"/>
      <c r="E147" s="586"/>
      <c r="F147" s="586">
        <f>SUM(Year4!R33:U33)*$F$160</f>
        <v>38885.908855563306</v>
      </c>
      <c r="G147" s="586">
        <f>SUM(Year5!R33:U33)*$G$160</f>
        <v>38885.908855563306</v>
      </c>
      <c r="H147" s="586">
        <f>SUM(Year6!R33:U33)*$H$160</f>
        <v>38885.908855563306</v>
      </c>
      <c r="I147" s="620">
        <f>SUM(Year7!R33:U33)*$I$160</f>
        <v>38885.908855563306</v>
      </c>
      <c r="J147" s="586">
        <f>SUM(Year9!R33:U33)*$J$160</f>
        <v>37352.380055625596</v>
      </c>
      <c r="K147" s="586">
        <f>SUM(Year9!R33:U33)*$K$160</f>
        <v>38885.908855563306</v>
      </c>
      <c r="L147" s="586">
        <f>SUM(Year10!R32:U32)*$L$160</f>
        <v>38885.908855563306</v>
      </c>
    </row>
    <row r="148" spans="2:12">
      <c r="B148" s="576" t="s">
        <v>205</v>
      </c>
      <c r="C148" s="565"/>
      <c r="D148" s="586"/>
      <c r="E148" s="586"/>
      <c r="F148" s="586">
        <f>SUM(Year4!R34:U34)*$F$160</f>
        <v>2217264.916612261</v>
      </c>
      <c r="G148" s="586">
        <f>SUM(Year5!R34:U34)*$G$160</f>
        <v>2174389.6281694826</v>
      </c>
      <c r="H148" s="586">
        <f>SUM(Year6!R34:U34)*$H$160</f>
        <v>2217264.916612261</v>
      </c>
      <c r="I148" s="620">
        <f>SUM(Year7!R34:U34)*$I$160</f>
        <v>2174389.6281694826</v>
      </c>
      <c r="J148" s="586">
        <f>SUM(Year9!R34:U34)*$J$160</f>
        <v>2088639.0512839255</v>
      </c>
      <c r="K148" s="586">
        <f>SUM(Year9!R34:U34)*$K$160</f>
        <v>2174389.6281694826</v>
      </c>
      <c r="L148" s="586">
        <f>SUM(Year10!R33:U33)*$L$160</f>
        <v>2217264.916612261</v>
      </c>
    </row>
    <row r="149" spans="2:12">
      <c r="B149" s="576" t="s">
        <v>206</v>
      </c>
      <c r="C149" s="565"/>
      <c r="D149" s="606"/>
      <c r="E149" s="586"/>
      <c r="F149" s="586">
        <f>SUM(Accomodations!$P$7:$S$7)*$F$160</f>
        <v>5241.76</v>
      </c>
      <c r="G149" s="586">
        <f>SUM(Accomodations!$P$7:$S$7)*$F$160</f>
        <v>5241.76</v>
      </c>
      <c r="H149" s="586">
        <f>SUM(Accomodations!$P$7:$S$7)*$F$160</f>
        <v>5241.76</v>
      </c>
      <c r="I149" s="586">
        <f>SUM(Accomodations!$P$7:$S$7)*$F$160</f>
        <v>5241.76</v>
      </c>
      <c r="J149" s="586">
        <f>SUM(Accomodations!$P$7:$S$7)*$F$160</f>
        <v>5241.76</v>
      </c>
      <c r="K149" s="586">
        <f>SUM(Accomodations!$P$7:$S$7)*$F$160</f>
        <v>5241.76</v>
      </c>
      <c r="L149" s="586">
        <f>SUM(Accomodations!$P$7:$S$7)*$F$160</f>
        <v>5241.76</v>
      </c>
    </row>
    <row r="150" spans="2:12">
      <c r="B150" s="552" t="s">
        <v>207</v>
      </c>
      <c r="C150" s="565"/>
      <c r="D150" s="586"/>
      <c r="E150" s="586"/>
      <c r="F150" s="586">
        <f>SUM(Year4!R36:U36)*$F$160</f>
        <v>1538.4615384615386</v>
      </c>
      <c r="G150" s="586">
        <f>SUM(Year5!R36:U36)*$G$160</f>
        <v>1508.7122821929452</v>
      </c>
      <c r="H150" s="586">
        <f>SUM(Year6!R36:U36)*$H$160</f>
        <v>1568.7973997833153</v>
      </c>
      <c r="I150" s="620">
        <f>SUM(Year7!R36:U36)*$I$160</f>
        <v>1508.7122821929452</v>
      </c>
      <c r="J150" s="586">
        <f>SUM(Year9!R36:U36)*$J$160</f>
        <v>1449.2137696557586</v>
      </c>
      <c r="K150" s="586">
        <f>SUM(Year9!R36:U36)*$K$160</f>
        <v>1508.7122821929452</v>
      </c>
      <c r="L150" s="586">
        <f>SUM(Year10!R35:U35)*$L$160</f>
        <v>1538.4615384615386</v>
      </c>
    </row>
    <row r="151" spans="2:12">
      <c r="B151" s="563" t="s">
        <v>208</v>
      </c>
      <c r="C151" s="565"/>
      <c r="D151" s="587"/>
      <c r="E151" s="587"/>
      <c r="F151" s="587">
        <f t="shared" ref="F151:L151" si="44">SUM(F144:F150)</f>
        <v>2906099.2419573707</v>
      </c>
      <c r="G151" s="586">
        <f>SUM(Year5!R37:U37)*$G$160</f>
        <v>0</v>
      </c>
      <c r="H151" s="587">
        <f t="shared" si="44"/>
        <v>2906129.5778186927</v>
      </c>
      <c r="I151" s="587">
        <f t="shared" si="44"/>
        <v>2852532.6528375233</v>
      </c>
      <c r="J151" s="586"/>
      <c r="K151" s="586">
        <f>SUM(Year9!R37:U37)*$K$160</f>
        <v>0</v>
      </c>
      <c r="L151" s="622">
        <f t="shared" si="44"/>
        <v>2906099.2419573707</v>
      </c>
    </row>
    <row r="152" spans="2:12">
      <c r="B152" s="575" t="s">
        <v>209</v>
      </c>
      <c r="C152" s="566"/>
      <c r="D152" s="566"/>
      <c r="E152" s="566"/>
      <c r="F152" s="566">
        <f t="shared" ref="F152:L152" si="45">F143-F151</f>
        <v>3651939.9965147185</v>
      </c>
      <c r="G152" s="566">
        <f t="shared" si="45"/>
        <v>9072976.2474762779</v>
      </c>
      <c r="H152" s="566">
        <f t="shared" si="45"/>
        <v>6530925.3096194593</v>
      </c>
      <c r="I152" s="566">
        <f t="shared" si="45"/>
        <v>7210194.9306735853</v>
      </c>
      <c r="J152" s="566">
        <f t="shared" si="45"/>
        <v>9700867.2458851803</v>
      </c>
      <c r="K152" s="566">
        <f t="shared" si="45"/>
        <v>10923114.664578101</v>
      </c>
      <c r="L152" s="594">
        <f t="shared" si="45"/>
        <v>8527142.9625944793</v>
      </c>
    </row>
    <row r="153" spans="2:12">
      <c r="B153" s="576" t="s">
        <v>210</v>
      </c>
      <c r="C153" s="565"/>
      <c r="D153" s="586"/>
      <c r="E153" s="586"/>
      <c r="F153" s="586">
        <f>SUM(Year4!R38:U38)*$F$160</f>
        <v>0</v>
      </c>
      <c r="G153" s="586">
        <f>SUM(Year5!R38:U38)*$G$160</f>
        <v>0</v>
      </c>
      <c r="H153" s="586">
        <f>SUM(Year6!R38:U38)*$H$160</f>
        <v>0</v>
      </c>
      <c r="I153" s="586">
        <f>SUM(Year7!R38:U38)*$I$160</f>
        <v>0</v>
      </c>
      <c r="J153" s="586">
        <f>SUM(Year8!R38:U38)*$J$160</f>
        <v>0</v>
      </c>
      <c r="K153" s="586">
        <f>SUM(Year9!R38:U38)*$K$160</f>
        <v>0</v>
      </c>
      <c r="L153" s="595">
        <f>SUM(Year10!R37:U37)*$L$160</f>
        <v>0</v>
      </c>
    </row>
    <row r="154" spans="2:12">
      <c r="B154" s="576" t="s">
        <v>211</v>
      </c>
      <c r="C154" s="565"/>
      <c r="D154" s="586"/>
      <c r="E154" s="586"/>
      <c r="F154" s="586">
        <f>SUM(Year4!R39:U39)*$F$160</f>
        <v>419999.99999999994</v>
      </c>
      <c r="G154" s="586">
        <f>SUM(Year5!R39:U39)*$G$160</f>
        <v>419999.99999999994</v>
      </c>
      <c r="H154" s="586">
        <f>SUM(Year6!R39:U39)*$H$160</f>
        <v>419999.99999999994</v>
      </c>
      <c r="I154" s="586">
        <f>SUM(Year7!R39:U39)*$I$160</f>
        <v>419999.99999999994</v>
      </c>
      <c r="J154" s="586">
        <f>SUM(Year8!R39:U39)*$J$160</f>
        <v>419999.99999999994</v>
      </c>
      <c r="K154" s="586">
        <f>SUM(Year9!R39:U39)*$K$160</f>
        <v>419999.99999999994</v>
      </c>
      <c r="L154" s="595">
        <f>SUM(Year10!R38:U38)*$L$160</f>
        <v>419999.99999999994</v>
      </c>
    </row>
    <row r="155" spans="2:12">
      <c r="B155" s="552" t="s">
        <v>212</v>
      </c>
      <c r="C155" s="565"/>
      <c r="D155" s="586"/>
      <c r="E155" s="586"/>
      <c r="F155" s="586">
        <f>SUM(Year4!R40:U40)*$F$160</f>
        <v>1122335.0253807108</v>
      </c>
      <c r="G155" s="586">
        <f>SUM(Year5!R40:U40)*$G$160</f>
        <v>1122335.0253807108</v>
      </c>
      <c r="H155" s="586">
        <f>SUM(Year6!R40:U40)*$H$160</f>
        <v>1122335.0253807108</v>
      </c>
      <c r="I155" s="586">
        <f>SUM(Year7!R40:U40)*$I$160</f>
        <v>1122335.0253807108</v>
      </c>
      <c r="J155" s="586">
        <f>SUM(Year8!R40:U40)*$J$160</f>
        <v>1122335.0253807108</v>
      </c>
      <c r="K155" s="586">
        <f>SUM(Year9!R40:U40)*$K$160</f>
        <v>1122335.0253807108</v>
      </c>
      <c r="L155" s="595">
        <f>SUM(Year10!R39:U39)*$L$160</f>
        <v>1122335.0253807108</v>
      </c>
    </row>
    <row r="156" spans="2:12">
      <c r="B156" s="552" t="s">
        <v>213</v>
      </c>
      <c r="C156" s="565"/>
      <c r="D156" s="586"/>
      <c r="E156" s="586"/>
      <c r="F156" s="586">
        <f>SUM(Year4!R41:U41)*$F$160</f>
        <v>2940000.0000000005</v>
      </c>
      <c r="G156" s="586">
        <f>SUM(Year5!R41:U41)*$G$160</f>
        <v>2940000.0000000005</v>
      </c>
      <c r="H156" s="586">
        <f>SUM(Year6!R41:U41)*$H$160</f>
        <v>2940000.0000000005</v>
      </c>
      <c r="I156" s="586">
        <f>SUM(Year7!R41:U41)*$I$160</f>
        <v>2940000.0000000005</v>
      </c>
      <c r="J156" s="586">
        <f>SUM(Year8!R41:U41)*$J$160</f>
        <v>2940000.0000000009</v>
      </c>
      <c r="K156" s="586">
        <f>SUM(Year9!R41:U41)*$K$160</f>
        <v>2940000.0000000005</v>
      </c>
      <c r="L156" s="595">
        <f>SUM(Year10!R40:U40)*$L$160</f>
        <v>2940000.0000000005</v>
      </c>
    </row>
    <row r="157" spans="2:12">
      <c r="B157" s="563" t="s">
        <v>214</v>
      </c>
      <c r="C157" s="565"/>
      <c r="D157" s="586"/>
      <c r="E157" s="586"/>
      <c r="F157" s="586">
        <f>SUM(F153:F156)</f>
        <v>4482335.0253807111</v>
      </c>
      <c r="G157" s="586">
        <f t="shared" ref="G157:L157" si="46">SUM(G153:G156)</f>
        <v>4482335.0253807111</v>
      </c>
      <c r="H157" s="586">
        <f t="shared" si="46"/>
        <v>4482335.0253807111</v>
      </c>
      <c r="I157" s="586">
        <f t="shared" si="46"/>
        <v>4482335.0253807111</v>
      </c>
      <c r="J157" s="586">
        <f t="shared" si="46"/>
        <v>4482335.025380712</v>
      </c>
      <c r="K157" s="586">
        <f t="shared" si="46"/>
        <v>4482335.0253807111</v>
      </c>
      <c r="L157" s="586">
        <f t="shared" si="46"/>
        <v>4482335.0253807111</v>
      </c>
    </row>
    <row r="158" spans="2:12">
      <c r="B158" s="596" t="s">
        <v>215</v>
      </c>
      <c r="C158" s="585"/>
      <c r="D158" s="585"/>
      <c r="E158" s="585"/>
      <c r="F158" s="625">
        <f>F152-F157</f>
        <v>-830395.02886599256</v>
      </c>
      <c r="G158" s="617">
        <f>G152-G157</f>
        <v>4590641.2220955668</v>
      </c>
      <c r="H158" s="624">
        <f t="shared" ref="H158" si="47">H152-H157</f>
        <v>2048590.2842387483</v>
      </c>
      <c r="I158" s="617">
        <f t="shared" ref="I158" si="48">I152-I157</f>
        <v>2727859.9052928742</v>
      </c>
      <c r="J158" s="617">
        <f t="shared" ref="J158" si="49">J152-J157</f>
        <v>5218532.2205044683</v>
      </c>
      <c r="K158" s="617">
        <f t="shared" ref="K158" si="50">K152-K157</f>
        <v>6440779.6391973896</v>
      </c>
      <c r="L158" s="618">
        <f t="shared" ref="L158" si="51">L152-L157</f>
        <v>4044807.9372137683</v>
      </c>
    </row>
    <row r="159" spans="2:12">
      <c r="B159" s="613"/>
      <c r="C159" s="614"/>
      <c r="D159" s="614"/>
      <c r="E159" s="614"/>
      <c r="F159" s="614"/>
      <c r="G159" s="614"/>
      <c r="H159" s="615"/>
      <c r="I159" s="615"/>
      <c r="J159" s="615"/>
      <c r="K159" s="615"/>
      <c r="L159" s="616"/>
    </row>
    <row r="160" spans="2:12">
      <c r="B160" s="610" t="s">
        <v>216</v>
      </c>
      <c r="C160" s="611"/>
      <c r="D160" s="611"/>
      <c r="E160" s="611"/>
      <c r="F160" s="611">
        <f>Year4!R13</f>
        <v>362</v>
      </c>
      <c r="G160" s="611">
        <f>Year5!R13</f>
        <v>355</v>
      </c>
      <c r="H160" s="611">
        <f>Year6!R13</f>
        <v>362</v>
      </c>
      <c r="I160" s="611">
        <f>Year7!R13</f>
        <v>355</v>
      </c>
      <c r="J160" s="611">
        <f>Year8!R13</f>
        <v>341</v>
      </c>
      <c r="K160" s="611">
        <f>Year9!R13</f>
        <v>355</v>
      </c>
      <c r="L160" s="612">
        <f>Year10!R13</f>
        <v>362</v>
      </c>
    </row>
    <row r="161" spans="2:12">
      <c r="B161" s="551" t="s">
        <v>217</v>
      </c>
      <c r="C161" s="589"/>
      <c r="D161" s="589"/>
      <c r="E161" s="589"/>
      <c r="F161" s="589">
        <f>SUM(Year1!$J$10:$M$10)*F160</f>
        <v>3912.7863858887381</v>
      </c>
      <c r="G161" s="589">
        <f>SUM(Year1!$J$10:$M$10)*G160</f>
        <v>3837.1247706919944</v>
      </c>
      <c r="H161" s="589">
        <f>SUM(Year1!$J$10:$M$10)*H160</f>
        <v>3912.7863858887381</v>
      </c>
      <c r="I161" s="589">
        <f>SUM(Year1!$J$10:$M$10)*I160</f>
        <v>3837.1247706919944</v>
      </c>
      <c r="J161" s="589">
        <f>SUM(Year1!$J$10:$M$10)*J160</f>
        <v>3685.8015402985075</v>
      </c>
      <c r="K161" s="589">
        <f>SUM(Year1!$J$10:$M$10)*K160</f>
        <v>3837.1247706919944</v>
      </c>
      <c r="L161" s="609">
        <f>SUM(Year1!$J$10:$M$10)*L160</f>
        <v>3912.7863858887381</v>
      </c>
    </row>
    <row r="162" spans="2:12">
      <c r="B162" s="552" t="s">
        <v>218</v>
      </c>
      <c r="C162" s="558"/>
      <c r="D162" s="558"/>
      <c r="E162" s="558"/>
      <c r="F162" s="558">
        <f>27*F160*SUM(Year1!$J$9:$M$9)</f>
        <v>63453660.292800002</v>
      </c>
      <c r="G162" s="558">
        <f>27*G160*SUM(Year1!$J$9:$M$9)</f>
        <v>62226655.811999999</v>
      </c>
      <c r="H162" s="558">
        <f>27*H160*SUM(Year1!$J$9:$M$9)</f>
        <v>63453660.292800002</v>
      </c>
      <c r="I162" s="558">
        <f>27*I160*SUM(Year1!$J$9:$M$9)</f>
        <v>62226655.811999999</v>
      </c>
      <c r="J162" s="558">
        <f>27*J160*SUM(Year1!$J$9:$M$9)</f>
        <v>59772646.850400001</v>
      </c>
      <c r="K162" s="558">
        <f>27*K160*SUM(Year1!$J$9:$M$9)</f>
        <v>62226655.811999999</v>
      </c>
      <c r="L162" s="559">
        <f>27*L160*SUM(Year1!$J$9:$M$9)</f>
        <v>63453660.292800002</v>
      </c>
    </row>
    <row r="163" spans="2:12">
      <c r="B163" s="551" t="s">
        <v>219</v>
      </c>
      <c r="C163" s="557"/>
      <c r="D163" s="557"/>
      <c r="E163" s="557"/>
      <c r="F163" s="557">
        <f t="shared" ref="E163:L163" si="52">F161/F160</f>
        <v>10.808802170963364</v>
      </c>
      <c r="G163" s="557">
        <f t="shared" si="52"/>
        <v>10.808802170963364</v>
      </c>
      <c r="H163" s="557">
        <f t="shared" si="52"/>
        <v>10.808802170963364</v>
      </c>
      <c r="I163" s="557">
        <f t="shared" si="52"/>
        <v>10.808802170963364</v>
      </c>
      <c r="J163" s="557">
        <f t="shared" si="52"/>
        <v>10.808802170963364</v>
      </c>
      <c r="K163" s="557">
        <f t="shared" si="52"/>
        <v>10.808802170963364</v>
      </c>
      <c r="L163" s="592">
        <f t="shared" si="52"/>
        <v>10.808802170963364</v>
      </c>
    </row>
    <row r="164" spans="2:12">
      <c r="B164" s="553" t="s">
        <v>220</v>
      </c>
      <c r="C164" s="558"/>
      <c r="D164" s="558"/>
      <c r="E164" s="558"/>
      <c r="F164" s="558">
        <v>2</v>
      </c>
      <c r="G164" s="558">
        <v>2</v>
      </c>
      <c r="H164" s="558">
        <v>2</v>
      </c>
      <c r="I164" s="558">
        <v>2</v>
      </c>
      <c r="J164" s="558">
        <v>2</v>
      </c>
      <c r="K164" s="558">
        <v>2</v>
      </c>
      <c r="L164" s="559">
        <v>2</v>
      </c>
    </row>
    <row r="165" spans="2:12">
      <c r="B165" s="551" t="s">
        <v>221</v>
      </c>
      <c r="C165" s="554"/>
      <c r="D165" s="554"/>
      <c r="E165" s="554"/>
      <c r="F165" s="554">
        <f t="shared" ref="F165:L165" si="53">F133/F162</f>
        <v>0.25408873951474298</v>
      </c>
      <c r="G165" s="554">
        <f t="shared" si="53"/>
        <v>0.29654240969809004</v>
      </c>
      <c r="H165" s="554">
        <f t="shared" si="53"/>
        <v>0.29946067922131242</v>
      </c>
      <c r="I165" s="554">
        <f t="shared" si="53"/>
        <v>0.31244799426019604</v>
      </c>
      <c r="J165" s="554">
        <f t="shared" si="53"/>
        <v>0.31303320547731839</v>
      </c>
      <c r="K165" s="554">
        <f t="shared" si="53"/>
        <v>0.3262746585705264</v>
      </c>
      <c r="L165" s="555">
        <f t="shared" si="53"/>
        <v>0.33091965744104801</v>
      </c>
    </row>
    <row r="166" spans="2:12">
      <c r="B166" s="551" t="s">
        <v>222</v>
      </c>
      <c r="C166" s="554"/>
      <c r="D166" s="554"/>
      <c r="E166" s="554"/>
      <c r="F166" s="554">
        <f>F140/F161</f>
        <v>114.55185146714369</v>
      </c>
      <c r="G166" s="554">
        <f>G140/G161</f>
        <v>114.55185146714369</v>
      </c>
      <c r="H166" s="554">
        <f>H139/H161</f>
        <v>111.97355459528487</v>
      </c>
      <c r="I166" s="554">
        <f>I140/I161</f>
        <v>114.55185146714369</v>
      </c>
      <c r="J166" s="554">
        <f>J140/J161</f>
        <v>114.55185146714368</v>
      </c>
      <c r="K166" s="554">
        <f>K140/K161</f>
        <v>114.55185146714369</v>
      </c>
      <c r="L166" s="555">
        <f t="shared" ref="L166" si="54">L142/L161</f>
        <v>2444.5038342540734</v>
      </c>
    </row>
    <row r="167" spans="2:12">
      <c r="B167" s="551" t="s">
        <v>223</v>
      </c>
      <c r="C167" s="554"/>
      <c r="D167" s="554"/>
      <c r="E167" s="554"/>
      <c r="F167" s="554">
        <f t="shared" ref="E167:L167" si="55">F151/F161</f>
        <v>742.71860391818666</v>
      </c>
      <c r="G167" s="554">
        <f t="shared" si="55"/>
        <v>0</v>
      </c>
      <c r="H167" s="554">
        <f t="shared" si="55"/>
        <v>742.72635692546339</v>
      </c>
      <c r="I167" s="554">
        <f t="shared" si="55"/>
        <v>743.40367418469225</v>
      </c>
      <c r="J167" s="554">
        <f t="shared" si="55"/>
        <v>0</v>
      </c>
      <c r="K167" s="554">
        <f t="shared" si="55"/>
        <v>0</v>
      </c>
      <c r="L167" s="555">
        <f t="shared" si="55"/>
        <v>742.71860391818666</v>
      </c>
    </row>
    <row r="168" spans="2:12">
      <c r="B168" s="551" t="s">
        <v>224</v>
      </c>
      <c r="C168" s="554"/>
      <c r="D168" s="554"/>
      <c r="E168" s="554"/>
      <c r="F168" s="554">
        <f t="shared" ref="E168:L168" si="56">F157/F161</f>
        <v>1145.560882532719</v>
      </c>
      <c r="G168" s="554">
        <f t="shared" si="56"/>
        <v>1168.1494069770263</v>
      </c>
      <c r="H168" s="554">
        <f t="shared" si="56"/>
        <v>1145.560882532719</v>
      </c>
      <c r="I168" s="554">
        <f t="shared" si="56"/>
        <v>1168.1494069770263</v>
      </c>
      <c r="J168" s="554">
        <f t="shared" si="56"/>
        <v>1216.108620166699</v>
      </c>
      <c r="K168" s="554">
        <f t="shared" si="56"/>
        <v>1168.1494069770263</v>
      </c>
      <c r="L168" s="555">
        <f t="shared" si="56"/>
        <v>1145.560882532719</v>
      </c>
    </row>
    <row r="169" spans="2:12">
      <c r="B169" s="556" t="s">
        <v>225</v>
      </c>
      <c r="C169" s="560"/>
      <c r="D169" s="560"/>
      <c r="E169" s="560"/>
      <c r="F169" s="560">
        <f>SUM(F140,F151,F157)/F161</f>
        <v>2002.8313379180493</v>
      </c>
      <c r="G169" s="560">
        <f>SUM(G140,G151,G157)/G161</f>
        <v>1282.7012584441698</v>
      </c>
      <c r="H169" s="560">
        <f>SUM(H139,H151,H157)/H161</f>
        <v>2000.2607940534672</v>
      </c>
      <c r="I169" s="560">
        <f>SUM(I140,I151,I157)/I161</f>
        <v>2026.1049326288621</v>
      </c>
      <c r="J169" s="560">
        <f>SUM(J140,J151,J157)/J161</f>
        <v>1330.6604716338427</v>
      </c>
      <c r="K169" s="560">
        <f>SUM(K140,K151,K157)/K161</f>
        <v>1282.7012584441698</v>
      </c>
      <c r="L169" s="593">
        <f t="shared" ref="L169" si="57">SUM(L142,L151,L157)/L161</f>
        <v>4332.7833207049789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F9A-278C-4553-A73A-B47AD17C3374}">
  <dimension ref="A1:V140"/>
  <sheetViews>
    <sheetView topLeftCell="B12" zoomScale="51" zoomScaleNormal="51" workbookViewId="0">
      <selection activeCell="C78" sqref="C78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5"/>
      <c r="N5" s="440"/>
      <c r="O5" s="440"/>
      <c r="P5" s="440"/>
      <c r="Q5" s="440"/>
      <c r="R5" s="440"/>
      <c r="S5" s="440"/>
      <c r="T5" s="440"/>
      <c r="U5" s="440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8"/>
      <c r="N6" s="440"/>
      <c r="O6" s="440"/>
      <c r="P6" s="440"/>
      <c r="Q6" s="440"/>
      <c r="R6" s="440"/>
      <c r="S6" s="440"/>
      <c r="T6" s="440"/>
      <c r="U6" s="440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1"/>
      <c r="N7" s="440"/>
      <c r="O7" s="440"/>
      <c r="P7" s="440"/>
      <c r="Q7" s="440"/>
      <c r="R7" s="440"/>
      <c r="S7" s="440"/>
      <c r="T7" s="440"/>
      <c r="U7" s="440"/>
    </row>
    <row r="8" spans="1:21">
      <c r="A8" s="16" t="s">
        <v>237</v>
      </c>
      <c r="B8" s="17">
        <v>245000</v>
      </c>
      <c r="D8" s="441" t="s">
        <v>126</v>
      </c>
      <c r="E8" s="19" t="str" cm="1">
        <f t="array" ref="E8:M9">TRANSPOSE('[2]Block time &amp; Fuel'!B3:C11)</f>
        <v>PLM-SUB</v>
      </c>
      <c r="F8" s="19" t="str">
        <v>SUB-CGK</v>
      </c>
      <c r="G8" s="19" t="str">
        <v>CGK-PKY</v>
      </c>
      <c r="H8" s="19" t="str">
        <v>PKY-CGK</v>
      </c>
      <c r="I8" s="19" t="str">
        <v>CGK-PLM</v>
      </c>
      <c r="J8" s="19" t="str">
        <v>MDC-SRG</v>
      </c>
      <c r="K8" s="19" t="str">
        <v>SRG-KDI</v>
      </c>
      <c r="L8" s="19" t="str">
        <v>KDI-PNK</v>
      </c>
      <c r="M8" s="442" t="str">
        <v>PNK-MDC</v>
      </c>
      <c r="N8" s="431"/>
      <c r="O8" s="431"/>
      <c r="P8" s="431"/>
      <c r="Q8" s="431"/>
      <c r="R8" s="431"/>
      <c r="S8" s="431"/>
      <c r="T8" s="431"/>
      <c r="U8" s="431"/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68">
        <v>1738.0871999999999</v>
      </c>
      <c r="N9" s="432"/>
      <c r="O9" s="432"/>
      <c r="P9" s="432"/>
      <c r="Q9" s="432"/>
      <c r="R9" s="432"/>
      <c r="S9" s="432"/>
      <c r="T9" s="432"/>
      <c r="U9" s="432"/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M10">TRANSPOSE('[2]Block time &amp; Fuel'!G3:G11)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70">
        <v>2.8583272727272728</v>
      </c>
      <c r="N10" s="433"/>
      <c r="O10" s="433"/>
      <c r="P10" s="433"/>
      <c r="Q10" s="433"/>
      <c r="R10" s="433"/>
      <c r="S10" s="433"/>
      <c r="T10" s="433"/>
      <c r="U10" s="433"/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M11">TRANSPOSE('[2]Block time &amp; Fuel'!L3:L11)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68">
        <v>5304.8154964001114</v>
      </c>
      <c r="N11" s="432"/>
      <c r="O11" s="432"/>
      <c r="P11" s="432"/>
      <c r="Q11" s="432"/>
      <c r="R11" s="432"/>
      <c r="S11" s="432"/>
      <c r="T11" s="432"/>
      <c r="U11" s="432"/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3912.7863858887381</v>
      </c>
      <c r="K12" s="855"/>
      <c r="L12" s="855"/>
      <c r="M12" s="856"/>
      <c r="N12" s="857"/>
      <c r="O12" s="857"/>
      <c r="P12" s="857"/>
      <c r="Q12" s="857"/>
      <c r="R12" s="857"/>
      <c r="S12" s="857"/>
      <c r="T12" s="857"/>
      <c r="U12" s="857"/>
    </row>
    <row r="13" spans="1:21">
      <c r="A13" s="14" t="s">
        <v>246</v>
      </c>
      <c r="B13" s="24">
        <v>3800</v>
      </c>
      <c r="D13" s="444" t="s">
        <v>247</v>
      </c>
      <c r="E13" s="851">
        <f>Summary!C6</f>
        <v>362</v>
      </c>
      <c r="F13" s="852"/>
      <c r="G13" s="852"/>
      <c r="H13" s="852"/>
      <c r="I13" s="853"/>
      <c r="J13" s="854">
        <f>Summary!C7</f>
        <v>362</v>
      </c>
      <c r="K13" s="855"/>
      <c r="L13" s="855"/>
      <c r="M13" s="856"/>
      <c r="N13" s="857"/>
      <c r="O13" s="857"/>
      <c r="P13" s="857"/>
      <c r="Q13" s="857"/>
      <c r="R13" s="857"/>
      <c r="S13" s="857"/>
      <c r="T13" s="857"/>
      <c r="U13" s="857"/>
    </row>
    <row r="14" spans="1:21">
      <c r="A14" s="14" t="s">
        <v>248</v>
      </c>
      <c r="B14" s="17"/>
      <c r="D14" s="443" t="s">
        <v>249</v>
      </c>
      <c r="E14" s="858">
        <v>2</v>
      </c>
      <c r="F14" s="859"/>
      <c r="G14" s="859"/>
      <c r="H14" s="859"/>
      <c r="I14" s="859"/>
      <c r="J14" s="859"/>
      <c r="K14" s="859"/>
      <c r="L14" s="859"/>
      <c r="M14" s="860"/>
      <c r="N14" s="434"/>
      <c r="O14" s="434"/>
      <c r="P14" s="434"/>
      <c r="Q14" s="434"/>
      <c r="R14" s="434"/>
      <c r="S14" s="434"/>
      <c r="T14" s="434"/>
      <c r="U14" s="434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45"/>
      <c r="N15" s="435"/>
      <c r="O15" s="435"/>
      <c r="P15" s="435"/>
      <c r="Q15" s="435"/>
      <c r="R15" s="435"/>
      <c r="S15" s="435"/>
      <c r="T15" s="435"/>
      <c r="U15" s="435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447"/>
      <c r="N16" s="18"/>
      <c r="O16" s="18"/>
      <c r="P16" s="18"/>
      <c r="Q16" s="18"/>
      <c r="R16" s="18"/>
      <c r="S16" s="18"/>
      <c r="T16" s="18"/>
      <c r="U16" s="18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447"/>
      <c r="N17" s="18"/>
      <c r="O17" s="18"/>
      <c r="P17" s="18"/>
      <c r="Q17" s="18"/>
      <c r="R17" s="18"/>
      <c r="S17" s="18"/>
      <c r="T17" s="18"/>
      <c r="U17" s="18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447"/>
      <c r="N18" s="18"/>
      <c r="O18" s="18"/>
      <c r="P18" s="18"/>
      <c r="Q18" s="18"/>
      <c r="R18" s="18"/>
      <c r="S18" s="18"/>
      <c r="T18" s="18"/>
      <c r="U18" s="18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3"/>
      <c r="N19" s="436"/>
      <c r="O19" s="436"/>
      <c r="P19" s="436"/>
      <c r="Q19" s="436"/>
      <c r="R19" s="436"/>
      <c r="S19" s="436"/>
      <c r="T19" s="436"/>
      <c r="U19" s="436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>$E14*J10*($B59+$B29)</f>
        <v>1023.6644442256251</v>
      </c>
      <c r="K20" s="27">
        <f>$E14*K10*($B59+$B29)</f>
        <v>795.5739965057827</v>
      </c>
      <c r="L20" s="27">
        <f>$E14*L10*($B59+$B29)</f>
        <v>859.11021340569869</v>
      </c>
      <c r="M20" s="450">
        <f>$E14*M10*($B59+$B29)</f>
        <v>962.91065653083979</v>
      </c>
      <c r="N20" s="437"/>
      <c r="O20" s="437"/>
      <c r="P20" s="437"/>
      <c r="Q20" s="437"/>
      <c r="R20" s="437"/>
      <c r="S20" s="437"/>
      <c r="T20" s="437"/>
      <c r="U20" s="437"/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M21" si="0">F10*$B30</f>
        <v>656.501784014534</v>
      </c>
      <c r="G21" s="30">
        <f t="shared" si="0"/>
        <v>795.78787680403912</v>
      </c>
      <c r="H21" s="30">
        <f t="shared" si="0"/>
        <v>795.78787680403912</v>
      </c>
      <c r="I21" s="30">
        <f t="shared" si="0"/>
        <v>486.88227546198107</v>
      </c>
      <c r="J21" s="31">
        <f t="shared" si="0"/>
        <v>1386.3609102315406</v>
      </c>
      <c r="K21" s="31">
        <f t="shared" si="0"/>
        <v>1077.4553088894827</v>
      </c>
      <c r="L21" s="31">
        <f t="shared" si="0"/>
        <v>1163.5031617683323</v>
      </c>
      <c r="M21" s="452">
        <f t="shared" si="0"/>
        <v>1304.0813342594831</v>
      </c>
      <c r="N21" s="437"/>
      <c r="O21" s="437"/>
      <c r="P21" s="437"/>
      <c r="Q21" s="437"/>
      <c r="R21" s="437"/>
      <c r="S21" s="437"/>
      <c r="T21" s="437"/>
      <c r="U21" s="437"/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M22" si="1">F11*$B57/2.903</f>
        <v>1472.2253958218339</v>
      </c>
      <c r="G22" s="30">
        <f t="shared" si="1"/>
        <v>1902.346448238671</v>
      </c>
      <c r="H22" s="30">
        <f t="shared" si="1"/>
        <v>1902.346448238671</v>
      </c>
      <c r="I22" s="30">
        <f t="shared" si="1"/>
        <v>948.43353643421858</v>
      </c>
      <c r="J22" s="31">
        <f t="shared" si="1"/>
        <v>3726.0597104860608</v>
      </c>
      <c r="K22" s="31">
        <f t="shared" si="1"/>
        <v>2772.1467986816087</v>
      </c>
      <c r="L22" s="31">
        <f t="shared" si="1"/>
        <v>3037.8660266191209</v>
      </c>
      <c r="M22" s="452">
        <f t="shared" si="1"/>
        <v>3471.9770730830905</v>
      </c>
      <c r="N22" s="437"/>
      <c r="O22" s="437"/>
      <c r="P22" s="437"/>
      <c r="Q22" s="437"/>
      <c r="R22" s="437"/>
      <c r="S22" s="437"/>
      <c r="T22" s="437"/>
      <c r="U22" s="437"/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M23" si="2">$B20*$B9/1000</f>
        <v>327.24999999999994</v>
      </c>
      <c r="G23" s="30">
        <f t="shared" si="2"/>
        <v>327.24999999999994</v>
      </c>
      <c r="H23" s="30">
        <f t="shared" si="2"/>
        <v>327.24999999999994</v>
      </c>
      <c r="I23" s="30">
        <f t="shared" si="2"/>
        <v>327.24999999999994</v>
      </c>
      <c r="J23" s="31">
        <f t="shared" si="2"/>
        <v>327.24999999999994</v>
      </c>
      <c r="K23" s="31">
        <f t="shared" si="2"/>
        <v>327.24999999999994</v>
      </c>
      <c r="L23" s="31">
        <f t="shared" si="2"/>
        <v>327.24999999999994</v>
      </c>
      <c r="M23" s="452">
        <f t="shared" si="2"/>
        <v>327.24999999999994</v>
      </c>
      <c r="N23" s="437"/>
      <c r="O23" s="437"/>
      <c r="P23" s="437"/>
      <c r="Q23" s="437"/>
      <c r="R23" s="437"/>
      <c r="S23" s="437"/>
      <c r="T23" s="437"/>
      <c r="U23" s="437"/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452"/>
      <c r="N24" s="437"/>
      <c r="O24" s="437"/>
      <c r="P24" s="437"/>
      <c r="Q24" s="437"/>
      <c r="R24" s="437"/>
      <c r="S24" s="437"/>
      <c r="T24" s="437"/>
      <c r="U24" s="437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452">
        <f>'[2]Parking &amp; Landing Fee'!AJ26</f>
        <v>32.664939999999994</v>
      </c>
      <c r="N25" s="437"/>
      <c r="O25" s="437"/>
      <c r="P25" s="437"/>
      <c r="Q25" s="437"/>
      <c r="R25" s="437"/>
      <c r="S25" s="437"/>
      <c r="T25" s="437"/>
      <c r="U25" s="437"/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M26" si="3">$B18*ROUNDDOWN(((F9-20)/100),0)*$B19</f>
        <v>111.71999999999998</v>
      </c>
      <c r="G26" s="30">
        <f t="shared" si="3"/>
        <v>148.95999999999998</v>
      </c>
      <c r="H26" s="30">
        <f t="shared" si="3"/>
        <v>148.95999999999998</v>
      </c>
      <c r="I26" s="30">
        <f t="shared" si="3"/>
        <v>55.859999999999992</v>
      </c>
      <c r="J26" s="31">
        <f t="shared" si="3"/>
        <v>335.15999999999997</v>
      </c>
      <c r="K26" s="31">
        <f t="shared" si="3"/>
        <v>242.05999999999997</v>
      </c>
      <c r="L26" s="31">
        <f t="shared" si="3"/>
        <v>260.67999999999995</v>
      </c>
      <c r="M26" s="452">
        <f t="shared" si="3"/>
        <v>316.53999999999996</v>
      </c>
      <c r="N26" s="437"/>
      <c r="O26" s="437"/>
      <c r="P26" s="437"/>
      <c r="Q26" s="437"/>
      <c r="R26" s="437"/>
      <c r="S26" s="437"/>
      <c r="T26" s="437"/>
      <c r="U26" s="437"/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452">
        <f>IF([2]Profitability!AY151&gt;=($B12/1000),($B63)*$B12,($B63)*N126*1000)</f>
        <v>400.28160794862418</v>
      </c>
      <c r="N27" s="437"/>
      <c r="O27" s="437"/>
      <c r="P27" s="437"/>
      <c r="Q27" s="437"/>
      <c r="R27" s="437"/>
      <c r="S27" s="437"/>
      <c r="T27" s="437"/>
      <c r="U27" s="437"/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455">
        <f>IF([2]Profitability!AY151&lt;=$B12,'[2]Parking &amp; Landing Fee'!AJ25*($B10/1000+'[2]cost rute lama'!$B$12/1000),'[2]Parking &amp; Landing Fee'!AJ25*($B10/1000+[2]Profitability!AY151))</f>
        <v>14.688764999999997</v>
      </c>
      <c r="N28" s="437"/>
      <c r="O28" s="437"/>
      <c r="P28" s="437"/>
      <c r="Q28" s="437"/>
      <c r="R28" s="437"/>
      <c r="S28" s="437"/>
      <c r="T28" s="437"/>
      <c r="U28" s="437"/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6"/>
      <c r="N29" s="438"/>
      <c r="O29" s="438"/>
      <c r="P29" s="438"/>
      <c r="Q29" s="438"/>
      <c r="R29" s="438"/>
      <c r="S29" s="438"/>
      <c r="T29" s="438"/>
      <c r="U29" s="438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71.29951983697525</v>
      </c>
      <c r="K30" s="27">
        <f>(($B73*(K9/1.852))+(980*$B9/1000))*K10/$J12</f>
        <v>55.383785669257882</v>
      </c>
      <c r="L30" s="27">
        <f>(($B73*(L9/1.852))+(980*$B9/1000))*L10/$J12</f>
        <v>59.815558854741212</v>
      </c>
      <c r="M30" s="450">
        <f>(($B73*(M9/1.852))+(980*$B9/1000))*M10/$J12</f>
        <v>67.058609952822891</v>
      </c>
      <c r="N30" s="437"/>
      <c r="O30" s="437"/>
      <c r="P30" s="437"/>
      <c r="Q30" s="437"/>
      <c r="R30" s="437"/>
      <c r="S30" s="437"/>
      <c r="T30" s="437"/>
      <c r="U30" s="437"/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M31" si="4">$B65*$B11/1000</f>
        <v>162.94198600000001</v>
      </c>
      <c r="G31" s="30">
        <f t="shared" si="4"/>
        <v>162.94198600000001</v>
      </c>
      <c r="H31" s="30">
        <f t="shared" si="4"/>
        <v>162.94198600000001</v>
      </c>
      <c r="I31" s="30">
        <f t="shared" si="4"/>
        <v>162.94198600000001</v>
      </c>
      <c r="J31" s="31">
        <f t="shared" si="4"/>
        <v>162.94198600000001</v>
      </c>
      <c r="K31" s="31">
        <f t="shared" si="4"/>
        <v>162.94198600000001</v>
      </c>
      <c r="L31" s="31">
        <f t="shared" si="4"/>
        <v>162.94198600000001</v>
      </c>
      <c r="M31" s="452">
        <f t="shared" si="4"/>
        <v>162.94198600000001</v>
      </c>
      <c r="N31" s="437"/>
      <c r="O31" s="437"/>
      <c r="P31" s="437"/>
      <c r="Q31" s="437"/>
      <c r="R31" s="437"/>
      <c r="S31" s="437"/>
      <c r="T31" s="437"/>
      <c r="U31" s="437"/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M32" si="5">$B66*$B11/1000</f>
        <v>217.82770760000002</v>
      </c>
      <c r="G32" s="30">
        <f t="shared" si="5"/>
        <v>217.82770760000002</v>
      </c>
      <c r="H32" s="30">
        <f t="shared" si="5"/>
        <v>217.82770760000002</v>
      </c>
      <c r="I32" s="30">
        <f t="shared" si="5"/>
        <v>217.82770760000002</v>
      </c>
      <c r="J32" s="31">
        <f t="shared" si="5"/>
        <v>217.82770760000002</v>
      </c>
      <c r="K32" s="31">
        <f t="shared" si="5"/>
        <v>217.82770760000002</v>
      </c>
      <c r="L32" s="31">
        <f t="shared" si="5"/>
        <v>217.82770760000002</v>
      </c>
      <c r="M32" s="452">
        <f t="shared" si="5"/>
        <v>217.82770760000002</v>
      </c>
      <c r="N32" s="437"/>
      <c r="O32" s="437"/>
      <c r="P32" s="437"/>
      <c r="Q32" s="437"/>
      <c r="R32" s="437"/>
      <c r="S32" s="437"/>
      <c r="T32" s="437"/>
      <c r="U32" s="437"/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26.854909430637644</v>
      </c>
      <c r="K33" s="505">
        <f>[2]Profitability!$AQ68/$J$13</f>
        <v>26.854909430637644</v>
      </c>
      <c r="L33" s="505">
        <f>[2]Profitability!$AQ68/$J$13</f>
        <v>26.854909430637644</v>
      </c>
      <c r="M33" s="506">
        <f>[2]Profitability!$AQ68/$J$13</f>
        <v>26.854909430637644</v>
      </c>
      <c r="N33" s="439"/>
      <c r="O33" s="439"/>
      <c r="P33" s="439"/>
      <c r="Q33" s="439"/>
      <c r="R33" s="439"/>
      <c r="S33" s="439"/>
      <c r="T33" s="439"/>
      <c r="U33" s="439"/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M34" si="6">$B31*F10</f>
        <v>785.06238809293541</v>
      </c>
      <c r="G34" s="30">
        <f t="shared" si="6"/>
        <v>951.62442234179014</v>
      </c>
      <c r="H34" s="30">
        <f t="shared" si="6"/>
        <v>951.62442234179014</v>
      </c>
      <c r="I34" s="30">
        <f t="shared" si="6"/>
        <v>582.22684416321886</v>
      </c>
      <c r="J34" s="31">
        <f t="shared" si="6"/>
        <v>1657.8474475569342</v>
      </c>
      <c r="K34" s="31">
        <f t="shared" si="6"/>
        <v>1288.449869378363</v>
      </c>
      <c r="L34" s="31">
        <f t="shared" si="6"/>
        <v>1391.3481927587666</v>
      </c>
      <c r="M34" s="452">
        <f t="shared" si="6"/>
        <v>1559.4553304648846</v>
      </c>
      <c r="N34" s="437"/>
      <c r="O34" s="437"/>
      <c r="P34" s="437"/>
      <c r="Q34" s="437"/>
      <c r="R34" s="437"/>
      <c r="S34" s="437"/>
      <c r="T34" s="437"/>
      <c r="U34" s="437"/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452" t="e">
        <f>'[4]Crew Accomodation'!$K$13/($J13*4)</f>
        <v>#REF!</v>
      </c>
      <c r="N35" s="437"/>
      <c r="O35" s="437"/>
      <c r="P35" s="437"/>
      <c r="Q35" s="437"/>
      <c r="R35" s="437"/>
      <c r="S35" s="437"/>
      <c r="T35" s="437"/>
      <c r="U35" s="437"/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7">$B75/($E13*13)</f>
        <v>1.0624734381640459</v>
      </c>
      <c r="G36" s="38">
        <f t="shared" si="7"/>
        <v>1.0624734381640459</v>
      </c>
      <c r="H36" s="38">
        <f t="shared" si="7"/>
        <v>1.0624734381640459</v>
      </c>
      <c r="I36" s="38">
        <f t="shared" si="7"/>
        <v>1.0624734381640459</v>
      </c>
      <c r="J36" s="39">
        <f>$B76/($J13*4)</f>
        <v>2.0718232044198897</v>
      </c>
      <c r="K36" s="39">
        <f t="shared" ref="K36:M36" si="8">$B76/($J13*4)</f>
        <v>2.0718232044198897</v>
      </c>
      <c r="L36" s="39">
        <f t="shared" si="8"/>
        <v>2.0718232044198897</v>
      </c>
      <c r="M36" s="455">
        <f t="shared" si="8"/>
        <v>2.0718232044198897</v>
      </c>
      <c r="N36" s="437"/>
      <c r="O36" s="437"/>
      <c r="P36" s="437"/>
      <c r="Q36" s="437"/>
      <c r="R36" s="437"/>
      <c r="S36" s="437"/>
      <c r="T36" s="437"/>
      <c r="U36" s="437"/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9"/>
      <c r="N37" s="438"/>
      <c r="O37" s="438"/>
      <c r="P37" s="438"/>
      <c r="Q37" s="438"/>
      <c r="R37" s="438"/>
      <c r="S37" s="438"/>
      <c r="T37" s="438"/>
      <c r="U37" s="438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459">
        <f>($B2*2-($B8*12))*M10/$J$12</f>
        <v>0</v>
      </c>
      <c r="N38" s="437"/>
      <c r="O38" s="437"/>
      <c r="P38" s="437"/>
      <c r="Q38" s="437"/>
      <c r="R38" s="437"/>
      <c r="S38" s="437"/>
      <c r="T38" s="437"/>
      <c r="U38" s="437"/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290.0552486187845</v>
      </c>
      <c r="K39" s="31">
        <f>($B81*$B6)/($J$13*4)</f>
        <v>290.0552486187845</v>
      </c>
      <c r="L39" s="31">
        <f>($B81*$B6)/($J$13*4)</f>
        <v>290.0552486187845</v>
      </c>
      <c r="M39" s="452">
        <f>($B81*$B6)/($J$13*4)</f>
        <v>290.0552486187845</v>
      </c>
      <c r="N39" s="437"/>
      <c r="O39" s="437"/>
      <c r="P39" s="437"/>
      <c r="Q39" s="437"/>
      <c r="R39" s="437"/>
      <c r="S39" s="437"/>
      <c r="T39" s="437"/>
      <c r="U39" s="437"/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805.05289308926046</v>
      </c>
      <c r="K40" s="27">
        <f>(($B6*(1+$B78)-($B85*$B6))/($B79*$J$12))/4</f>
        <v>805.05289308926046</v>
      </c>
      <c r="L40" s="27">
        <f>(($B6*(1+$B78)-($B85*$B6))/($B79*$J$12))/4</f>
        <v>805.05289308926046</v>
      </c>
      <c r="M40" s="450">
        <f>(($B6*(1+$B78)-($B85*$B6))/($B79*$J$12))/4</f>
        <v>805.05289308926046</v>
      </c>
      <c r="N40" s="437"/>
      <c r="O40" s="437"/>
      <c r="P40" s="437"/>
      <c r="Q40" s="437"/>
      <c r="R40" s="437"/>
      <c r="S40" s="437"/>
      <c r="T40" s="437"/>
      <c r="U40" s="437"/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2283.2042837654981</v>
      </c>
      <c r="K41" s="57">
        <f>$B8*12*K10/$J$12</f>
        <v>1774.4662004437819</v>
      </c>
      <c r="L41" s="57">
        <f>$B8*12*L10/$J$12</f>
        <v>1916.1788128319954</v>
      </c>
      <c r="M41" s="462">
        <f>$B8*12*M10/$J$12</f>
        <v>2147.6976642846912</v>
      </c>
      <c r="N41" s="437"/>
      <c r="O41" s="437"/>
      <c r="P41" s="437"/>
      <c r="Q41" s="437"/>
      <c r="R41" s="437"/>
      <c r="S41" s="437"/>
      <c r="T41" s="437"/>
      <c r="U41" s="437"/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2"/>
      <c r="N42" s="436"/>
      <c r="O42" s="436"/>
      <c r="P42" s="436"/>
      <c r="Q42" s="436"/>
      <c r="R42" s="436"/>
      <c r="S42" s="436"/>
      <c r="T42" s="436"/>
      <c r="U42" s="436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L43" si="9">SUM(F20:F28)+SUM(F30:F36)+SUM(F38:F41)</f>
        <v>#REF!</v>
      </c>
      <c r="G43" s="26" t="e">
        <f t="shared" si="9"/>
        <v>#REF!</v>
      </c>
      <c r="H43" s="26" t="e">
        <f t="shared" si="9"/>
        <v>#REF!</v>
      </c>
      <c r="I43" s="26" t="e">
        <f t="shared" si="9"/>
        <v>#REF!</v>
      </c>
      <c r="J43" s="27" t="e">
        <f t="shared" si="9"/>
        <v>#REF!</v>
      </c>
      <c r="K43" s="27" t="e">
        <f t="shared" si="9"/>
        <v>#REF!</v>
      </c>
      <c r="L43" s="27" t="e">
        <f t="shared" si="9"/>
        <v>#REF!</v>
      </c>
      <c r="M43" s="450" t="e">
        <f>SUM(M20:M28)+SUM(M30:M36)+SUM(M38:M41)</f>
        <v>#REF!</v>
      </c>
      <c r="N43" s="437"/>
      <c r="O43" s="437"/>
      <c r="P43" s="437"/>
      <c r="Q43" s="437"/>
      <c r="R43" s="437"/>
      <c r="S43" s="437"/>
      <c r="T43" s="437"/>
      <c r="U43" s="437"/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M44" si="10">F43/F10</f>
        <v>#REF!</v>
      </c>
      <c r="G44" s="464" t="e">
        <f t="shared" si="10"/>
        <v>#REF!</v>
      </c>
      <c r="H44" s="464" t="e">
        <f t="shared" si="10"/>
        <v>#REF!</v>
      </c>
      <c r="I44" s="464" t="e">
        <f t="shared" si="10"/>
        <v>#REF!</v>
      </c>
      <c r="J44" s="465" t="e">
        <f t="shared" si="10"/>
        <v>#REF!</v>
      </c>
      <c r="K44" s="465" t="e">
        <f t="shared" si="10"/>
        <v>#REF!</v>
      </c>
      <c r="L44" s="465" t="e">
        <f t="shared" si="10"/>
        <v>#REF!</v>
      </c>
      <c r="M44" s="466" t="e">
        <f t="shared" si="10"/>
        <v>#REF!</v>
      </c>
      <c r="N44" s="437"/>
      <c r="O44" s="437"/>
      <c r="P44" s="437"/>
      <c r="Q44" s="437"/>
      <c r="R44" s="437"/>
      <c r="S44" s="437"/>
      <c r="T44" s="437"/>
      <c r="U44" s="437"/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</f>
        <v>2279590.1306308629</v>
      </c>
    </row>
    <row r="49" spans="1:5" ht="14.45">
      <c r="A49" s="61"/>
      <c r="B49" s="62"/>
      <c r="D49" t="s">
        <v>177</v>
      </c>
      <c r="E49" s="108">
        <f>SUM(E22:I22)*E13+SUM(J22:M22)*J13</f>
        <v>7725186.5517606242</v>
      </c>
    </row>
    <row r="50" spans="1:5" ht="15.6" customHeight="1">
      <c r="A50" s="63"/>
      <c r="B50" s="64"/>
      <c r="C50" s="49">
        <f>SUM(Year1!J20)</f>
        <v>1023.6644442256251</v>
      </c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</f>
        <v>3369430.5916418084</v>
      </c>
    </row>
    <row r="52" spans="1:5" ht="14.45">
      <c r="A52" s="63"/>
      <c r="B52" s="66"/>
      <c r="D52" t="s">
        <v>180</v>
      </c>
      <c r="E52" s="108">
        <f>SUM(E40:I40)*E13+SUM(J40:M40)*J13</f>
        <v>2763892.3055687761</v>
      </c>
    </row>
    <row r="53" spans="1:5" ht="14.45">
      <c r="A53" s="65"/>
      <c r="B53" s="9"/>
      <c r="D53" t="s">
        <v>181</v>
      </c>
      <c r="E53" s="108" t="e">
        <f>SUM(E30:I36)*E13+SUM(J30:M36)*J13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SUM(E20:M28)</f>
        <v>45473.710641693076</v>
      </c>
    </row>
    <row r="56" spans="1:5" ht="15" thickBot="1">
      <c r="A56" s="68" t="s">
        <v>279</v>
      </c>
      <c r="D56" t="s">
        <v>184</v>
      </c>
      <c r="E56" s="49" t="e">
        <f>SUM(E30:M36)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SUM(E38:M41)</f>
        <v>26198.597529195511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>
        <v>5000</v>
      </c>
      <c r="B76" s="1">
        <v>3000</v>
      </c>
    </row>
    <row r="77" spans="1:2" ht="13.9" thickTop="1">
      <c r="A77" s="79">
        <v>3000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1">AVERAGE(G117:G126)</f>
        <v>18.878724498674316</v>
      </c>
      <c r="H127" s="1">
        <f t="shared" si="11"/>
        <v>9.4780002955942102</v>
      </c>
      <c r="I127" s="1">
        <f t="shared" si="11"/>
        <v>15.778570288450373</v>
      </c>
      <c r="J127" s="1">
        <f t="shared" si="11"/>
        <v>20.908844366886122</v>
      </c>
      <c r="K127" s="1">
        <f t="shared" si="11"/>
        <v>4.9616135934658718</v>
      </c>
      <c r="L127" s="1">
        <f t="shared" si="11"/>
        <v>7.7945348608329255</v>
      </c>
      <c r="M127" s="1">
        <f t="shared" si="11"/>
        <v>13.113606250031561</v>
      </c>
      <c r="N127" s="1">
        <f t="shared" si="11"/>
        <v>11.739250984481306</v>
      </c>
      <c r="O127" s="1">
        <f t="shared" si="11"/>
        <v>15.54235561022559</v>
      </c>
      <c r="P127" s="1">
        <f t="shared" si="11"/>
        <v>16.40764782558783</v>
      </c>
      <c r="Q127" s="1">
        <f t="shared" si="11"/>
        <v>2.4421372363425062</v>
      </c>
      <c r="R127" s="1">
        <f t="shared" si="11"/>
        <v>4.6054965528326788</v>
      </c>
      <c r="S127" s="1">
        <f t="shared" si="11"/>
        <v>5.3005866145016638</v>
      </c>
      <c r="T127" s="1">
        <f t="shared" si="11"/>
        <v>2.8675110004724522</v>
      </c>
      <c r="U127" s="1">
        <f t="shared" si="11"/>
        <v>4.2630018963694409</v>
      </c>
      <c r="V127" s="1">
        <f t="shared" si="11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2">AVERAGE(G130:G139)</f>
        <v>264.30214298144051</v>
      </c>
      <c r="H140" s="1">
        <f t="shared" si="12"/>
        <v>119.42280372448701</v>
      </c>
      <c r="I140" s="1">
        <f t="shared" si="12"/>
        <v>883.59993615322071</v>
      </c>
      <c r="J140" s="1">
        <f t="shared" si="12"/>
        <v>263.4514390227651</v>
      </c>
      <c r="K140" s="1">
        <f t="shared" si="12"/>
        <v>191.02212334843608</v>
      </c>
      <c r="L140" s="1">
        <f t="shared" si="12"/>
        <v>300.0895921420676</v>
      </c>
      <c r="M140" s="1">
        <f t="shared" si="12"/>
        <v>734.36195000176713</v>
      </c>
      <c r="N140" s="1">
        <f t="shared" si="12"/>
        <v>657.39805513095303</v>
      </c>
      <c r="O140" s="1">
        <f t="shared" si="12"/>
        <v>870.37191417263296</v>
      </c>
      <c r="P140" s="1">
        <f t="shared" si="12"/>
        <v>918.82827823291848</v>
      </c>
      <c r="Q140" s="1">
        <f t="shared" si="12"/>
        <v>150.43565375869838</v>
      </c>
      <c r="R140" s="1">
        <f t="shared" si="12"/>
        <v>177.31161728405814</v>
      </c>
      <c r="S140" s="1">
        <f t="shared" si="12"/>
        <v>326.51613545330247</v>
      </c>
      <c r="T140" s="1">
        <f t="shared" si="12"/>
        <v>160.58061602645731</v>
      </c>
      <c r="U140" s="1">
        <f t="shared" si="12"/>
        <v>262.60091681635754</v>
      </c>
      <c r="V140" s="1">
        <f t="shared" si="12"/>
        <v>154.42611290544656</v>
      </c>
    </row>
  </sheetData>
  <mergeCells count="16">
    <mergeCell ref="D5:M7"/>
    <mergeCell ref="R13:U13"/>
    <mergeCell ref="E12:I12"/>
    <mergeCell ref="J12:M12"/>
    <mergeCell ref="N12:Q12"/>
    <mergeCell ref="R12:U12"/>
    <mergeCell ref="A115:B115"/>
    <mergeCell ref="A60:B60"/>
    <mergeCell ref="E13:I13"/>
    <mergeCell ref="J13:M13"/>
    <mergeCell ref="N13:Q13"/>
    <mergeCell ref="E14:M14"/>
    <mergeCell ref="D19:M19"/>
    <mergeCell ref="D29:M29"/>
    <mergeCell ref="D37:M37"/>
    <mergeCell ref="D42:M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4B8-285F-43A0-BC55-9C8F6C089A23}">
  <dimension ref="A1:V140"/>
  <sheetViews>
    <sheetView topLeftCell="A12" zoomScale="70" zoomScaleNormal="70" workbookViewId="0">
      <selection activeCell="E35" sqref="E35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5"/>
      <c r="N5" s="440"/>
      <c r="O5" s="440"/>
      <c r="P5" s="440"/>
      <c r="Q5" s="440"/>
      <c r="R5" s="440"/>
      <c r="S5" s="440"/>
      <c r="T5" s="440"/>
      <c r="U5" s="440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8"/>
      <c r="N6" s="440"/>
      <c r="O6" s="440"/>
      <c r="P6" s="440"/>
      <c r="Q6" s="440"/>
      <c r="R6" s="440"/>
      <c r="S6" s="440"/>
      <c r="T6" s="440"/>
      <c r="U6" s="440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1"/>
      <c r="N7" s="440"/>
      <c r="O7" s="440"/>
      <c r="P7" s="440"/>
      <c r="Q7" s="440"/>
      <c r="R7" s="440"/>
      <c r="S7" s="440"/>
      <c r="T7" s="440"/>
      <c r="U7" s="440"/>
    </row>
    <row r="8" spans="1:21">
      <c r="A8" s="16" t="s">
        <v>237</v>
      </c>
      <c r="B8" s="17">
        <v>245000</v>
      </c>
      <c r="D8" s="441" t="s">
        <v>126</v>
      </c>
      <c r="E8" s="19" t="str" cm="1">
        <f t="array" ref="E8:M9">TRANSPOSE('[2]Block time &amp; Fuel'!B3:C11)</f>
        <v>PLM-SUB</v>
      </c>
      <c r="F8" s="19" t="str">
        <v>SUB-CGK</v>
      </c>
      <c r="G8" s="19" t="str">
        <v>CGK-PKY</v>
      </c>
      <c r="H8" s="19" t="str">
        <v>PKY-CGK</v>
      </c>
      <c r="I8" s="19" t="str">
        <v>CGK-PLM</v>
      </c>
      <c r="J8" s="19" t="str">
        <v>MDC-SRG</v>
      </c>
      <c r="K8" s="19" t="str">
        <v>SRG-KDI</v>
      </c>
      <c r="L8" s="19" t="str">
        <v>KDI-PNK</v>
      </c>
      <c r="M8" s="442" t="str">
        <v>PNK-MDC</v>
      </c>
      <c r="N8" s="431"/>
      <c r="O8" s="431"/>
      <c r="P8" s="431"/>
      <c r="Q8" s="431"/>
      <c r="R8" s="431"/>
      <c r="S8" s="431"/>
      <c r="T8" s="431"/>
      <c r="U8" s="431"/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68">
        <v>1738.0871999999999</v>
      </c>
      <c r="N9" s="432"/>
      <c r="O9" s="432"/>
      <c r="P9" s="432"/>
      <c r="Q9" s="432"/>
      <c r="R9" s="432"/>
      <c r="S9" s="432"/>
      <c r="T9" s="432"/>
      <c r="U9" s="432"/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M10">TRANSPOSE('[2]Block time &amp; Fuel'!G3:G11)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70">
        <v>2.8583272727272728</v>
      </c>
      <c r="N10" s="433"/>
      <c r="O10" s="433"/>
      <c r="P10" s="433"/>
      <c r="Q10" s="433"/>
      <c r="R10" s="433"/>
      <c r="S10" s="433"/>
      <c r="T10" s="433"/>
      <c r="U10" s="433"/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M11">TRANSPOSE('[2]Block time &amp; Fuel'!L3:L11)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68">
        <v>5304.8154964001114</v>
      </c>
      <c r="N11" s="432"/>
      <c r="O11" s="432"/>
      <c r="P11" s="432"/>
      <c r="Q11" s="432"/>
      <c r="R11" s="432"/>
      <c r="S11" s="432"/>
      <c r="T11" s="432"/>
      <c r="U11" s="432"/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3826.3159685210312</v>
      </c>
      <c r="K12" s="855"/>
      <c r="L12" s="855"/>
      <c r="M12" s="856"/>
      <c r="N12" s="857"/>
      <c r="O12" s="857"/>
      <c r="P12" s="857"/>
      <c r="Q12" s="857"/>
      <c r="R12" s="857"/>
      <c r="S12" s="857"/>
      <c r="T12" s="857"/>
      <c r="U12" s="857"/>
    </row>
    <row r="13" spans="1:21">
      <c r="A13" s="14" t="s">
        <v>246</v>
      </c>
      <c r="B13" s="24">
        <v>3800</v>
      </c>
      <c r="D13" s="444" t="s">
        <v>247</v>
      </c>
      <c r="E13" s="851">
        <f>Summary!C7</f>
        <v>362</v>
      </c>
      <c r="F13" s="852"/>
      <c r="G13" s="852"/>
      <c r="H13" s="852"/>
      <c r="I13" s="853"/>
      <c r="J13" s="854">
        <f>Summary!D7</f>
        <v>354</v>
      </c>
      <c r="K13" s="855"/>
      <c r="L13" s="855"/>
      <c r="M13" s="856"/>
      <c r="N13" s="857"/>
      <c r="O13" s="857"/>
      <c r="P13" s="857"/>
      <c r="Q13" s="857"/>
      <c r="R13" s="857"/>
      <c r="S13" s="857"/>
      <c r="T13" s="857"/>
      <c r="U13" s="857"/>
    </row>
    <row r="14" spans="1:21">
      <c r="A14" s="14" t="s">
        <v>248</v>
      </c>
      <c r="B14" s="17"/>
      <c r="D14" s="443" t="s">
        <v>249</v>
      </c>
      <c r="E14" s="858">
        <v>2</v>
      </c>
      <c r="F14" s="859"/>
      <c r="G14" s="859"/>
      <c r="H14" s="859"/>
      <c r="I14" s="859"/>
      <c r="J14" s="859"/>
      <c r="K14" s="859"/>
      <c r="L14" s="859"/>
      <c r="M14" s="860"/>
      <c r="N14" s="434"/>
      <c r="O14" s="434"/>
      <c r="P14" s="434"/>
      <c r="Q14" s="434"/>
      <c r="R14" s="434"/>
      <c r="S14" s="434"/>
      <c r="T14" s="434"/>
      <c r="U14" s="434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45"/>
      <c r="N15" s="435"/>
      <c r="O15" s="435"/>
      <c r="P15" s="435"/>
      <c r="Q15" s="435"/>
      <c r="R15" s="435"/>
      <c r="S15" s="435"/>
      <c r="T15" s="435"/>
      <c r="U15" s="435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447"/>
      <c r="N16" s="18"/>
      <c r="O16" s="18"/>
      <c r="P16" s="18"/>
      <c r="Q16" s="18"/>
      <c r="R16" s="18"/>
      <c r="S16" s="18"/>
      <c r="T16" s="18"/>
      <c r="U16" s="18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447"/>
      <c r="N17" s="18"/>
      <c r="O17" s="18"/>
      <c r="P17" s="18"/>
      <c r="Q17" s="18"/>
      <c r="R17" s="18"/>
      <c r="S17" s="18"/>
      <c r="T17" s="18"/>
      <c r="U17" s="18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447"/>
      <c r="N18" s="18"/>
      <c r="O18" s="18"/>
      <c r="P18" s="18"/>
      <c r="Q18" s="18"/>
      <c r="R18" s="18"/>
      <c r="S18" s="18"/>
      <c r="T18" s="18"/>
      <c r="U18" s="18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3"/>
      <c r="N19" s="436"/>
      <c r="O19" s="436"/>
      <c r="P19" s="436"/>
      <c r="Q19" s="436"/>
      <c r="R19" s="436"/>
      <c r="S19" s="436"/>
      <c r="T19" s="436"/>
      <c r="U19" s="436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>$E14*J10*($B59+$B29)</f>
        <v>1023.6644442256251</v>
      </c>
      <c r="K20" s="27">
        <f>$E14*K10*($B59+$B29)</f>
        <v>795.5739965057827</v>
      </c>
      <c r="L20" s="27">
        <f>$E14*L10*($B59+$B29)</f>
        <v>859.11021340569869</v>
      </c>
      <c r="M20" s="450">
        <f>$E14*M10*($B59+$B29)</f>
        <v>962.91065653083979</v>
      </c>
      <c r="N20" s="437"/>
      <c r="O20" s="437"/>
      <c r="P20" s="437"/>
      <c r="Q20" s="437"/>
      <c r="R20" s="437"/>
      <c r="S20" s="437"/>
      <c r="T20" s="437"/>
      <c r="U20" s="437"/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M21" si="0">F10*$B30</f>
        <v>656.501784014534</v>
      </c>
      <c r="G21" s="30">
        <f t="shared" si="0"/>
        <v>795.78787680403912</v>
      </c>
      <c r="H21" s="30">
        <f t="shared" si="0"/>
        <v>795.78787680403912</v>
      </c>
      <c r="I21" s="30">
        <f t="shared" si="0"/>
        <v>486.88227546198107</v>
      </c>
      <c r="J21" s="31">
        <f t="shared" si="0"/>
        <v>1386.3609102315406</v>
      </c>
      <c r="K21" s="31">
        <f t="shared" si="0"/>
        <v>1077.4553088894827</v>
      </c>
      <c r="L21" s="31">
        <f t="shared" si="0"/>
        <v>1163.5031617683323</v>
      </c>
      <c r="M21" s="452">
        <f t="shared" si="0"/>
        <v>1304.0813342594831</v>
      </c>
      <c r="N21" s="437"/>
      <c r="O21" s="437"/>
      <c r="P21" s="437"/>
      <c r="Q21" s="437"/>
      <c r="R21" s="437"/>
      <c r="S21" s="437"/>
      <c r="T21" s="437"/>
      <c r="U21" s="437"/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M22" si="1">F11*$B57/2.903</f>
        <v>1472.2253958218339</v>
      </c>
      <c r="G22" s="30">
        <f t="shared" si="1"/>
        <v>1902.346448238671</v>
      </c>
      <c r="H22" s="30">
        <f t="shared" si="1"/>
        <v>1902.346448238671</v>
      </c>
      <c r="I22" s="30">
        <f t="shared" si="1"/>
        <v>948.43353643421858</v>
      </c>
      <c r="J22" s="31">
        <f t="shared" si="1"/>
        <v>3726.0597104860608</v>
      </c>
      <c r="K22" s="31">
        <f t="shared" si="1"/>
        <v>2772.1467986816087</v>
      </c>
      <c r="L22" s="31">
        <f t="shared" si="1"/>
        <v>3037.8660266191209</v>
      </c>
      <c r="M22" s="452">
        <f t="shared" si="1"/>
        <v>3471.9770730830905</v>
      </c>
      <c r="N22" s="437"/>
      <c r="O22" s="437"/>
      <c r="P22" s="437"/>
      <c r="Q22" s="437"/>
      <c r="R22" s="437"/>
      <c r="S22" s="437"/>
      <c r="T22" s="437"/>
      <c r="U22" s="437"/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M23" si="2">$B20*$B9/1000</f>
        <v>327.24999999999994</v>
      </c>
      <c r="G23" s="30">
        <f t="shared" si="2"/>
        <v>327.24999999999994</v>
      </c>
      <c r="H23" s="30">
        <f t="shared" si="2"/>
        <v>327.24999999999994</v>
      </c>
      <c r="I23" s="30">
        <f t="shared" si="2"/>
        <v>327.24999999999994</v>
      </c>
      <c r="J23" s="31">
        <f t="shared" si="2"/>
        <v>327.24999999999994</v>
      </c>
      <c r="K23" s="31">
        <f t="shared" si="2"/>
        <v>327.24999999999994</v>
      </c>
      <c r="L23" s="31">
        <f t="shared" si="2"/>
        <v>327.24999999999994</v>
      </c>
      <c r="M23" s="452">
        <f t="shared" si="2"/>
        <v>327.24999999999994</v>
      </c>
      <c r="N23" s="437"/>
      <c r="O23" s="437"/>
      <c r="P23" s="437"/>
      <c r="Q23" s="437"/>
      <c r="R23" s="437"/>
      <c r="S23" s="437"/>
      <c r="T23" s="437"/>
      <c r="U23" s="437"/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452"/>
      <c r="N24" s="437"/>
      <c r="O24" s="437"/>
      <c r="P24" s="437"/>
      <c r="Q24" s="437"/>
      <c r="R24" s="437"/>
      <c r="S24" s="437"/>
      <c r="T24" s="437"/>
      <c r="U24" s="437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452">
        <f>'[2]Parking &amp; Landing Fee'!AJ26</f>
        <v>32.664939999999994</v>
      </c>
      <c r="N25" s="437"/>
      <c r="O25" s="437"/>
      <c r="P25" s="437"/>
      <c r="Q25" s="437"/>
      <c r="R25" s="437"/>
      <c r="S25" s="437"/>
      <c r="T25" s="437"/>
      <c r="U25" s="437"/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M26" si="3">$B18*ROUNDDOWN(((F9-20)/100),0)*$B19</f>
        <v>111.71999999999998</v>
      </c>
      <c r="G26" s="30">
        <f t="shared" si="3"/>
        <v>148.95999999999998</v>
      </c>
      <c r="H26" s="30">
        <f t="shared" si="3"/>
        <v>148.95999999999998</v>
      </c>
      <c r="I26" s="30">
        <f t="shared" si="3"/>
        <v>55.859999999999992</v>
      </c>
      <c r="J26" s="31">
        <f t="shared" si="3"/>
        <v>335.15999999999997</v>
      </c>
      <c r="K26" s="31">
        <f t="shared" si="3"/>
        <v>242.05999999999997</v>
      </c>
      <c r="L26" s="31">
        <f t="shared" si="3"/>
        <v>260.67999999999995</v>
      </c>
      <c r="M26" s="452">
        <f t="shared" si="3"/>
        <v>316.53999999999996</v>
      </c>
      <c r="N26" s="437"/>
      <c r="O26" s="437"/>
      <c r="P26" s="437"/>
      <c r="Q26" s="437"/>
      <c r="R26" s="437"/>
      <c r="S26" s="437"/>
      <c r="T26" s="437"/>
      <c r="U26" s="437"/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452">
        <f>IF([2]Profitability!AY151&gt;=($B12/1000),($B63)*$B12,($B63)*N126*1000)</f>
        <v>400.28160794862418</v>
      </c>
      <c r="N27" s="437"/>
      <c r="O27" s="437"/>
      <c r="P27" s="437"/>
      <c r="Q27" s="437"/>
      <c r="R27" s="437"/>
      <c r="S27" s="437"/>
      <c r="T27" s="437"/>
      <c r="U27" s="437"/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455">
        <f>IF([2]Profitability!AY151&lt;=$B12,'[2]Parking &amp; Landing Fee'!AJ25*($B10/1000+'[2]cost rute lama'!$B$12/1000),'[2]Parking &amp; Landing Fee'!AJ25*($B10/1000+[2]Profitability!AY151))</f>
        <v>14.688764999999997</v>
      </c>
      <c r="N28" s="437"/>
      <c r="O28" s="437"/>
      <c r="P28" s="437"/>
      <c r="Q28" s="437"/>
      <c r="R28" s="437"/>
      <c r="S28" s="437"/>
      <c r="T28" s="437"/>
      <c r="U28" s="437"/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6"/>
      <c r="N29" s="438"/>
      <c r="O29" s="438"/>
      <c r="P29" s="438"/>
      <c r="Q29" s="438"/>
      <c r="R29" s="438"/>
      <c r="S29" s="438"/>
      <c r="T29" s="438"/>
      <c r="U29" s="438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72.910808420861699</v>
      </c>
      <c r="K30" s="27">
        <f>(($B73*(K9/1.852))+(980*$B9/1000))*K10/$J12</f>
        <v>56.63539664483433</v>
      </c>
      <c r="L30" s="27">
        <f>(($B73*(L9/1.852))+(980*$B9/1000))*L10/$J12</f>
        <v>61.167322896656273</v>
      </c>
      <c r="M30" s="450">
        <f>(($B73*(M9/1.852))+(980*$B9/1000))*M10/$J12</f>
        <v>68.574058765316067</v>
      </c>
      <c r="N30" s="437"/>
      <c r="O30" s="437"/>
      <c r="P30" s="437"/>
      <c r="Q30" s="437"/>
      <c r="R30" s="437"/>
      <c r="S30" s="437"/>
      <c r="T30" s="437"/>
      <c r="U30" s="437"/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M31" si="4">$B65*$B11/1000</f>
        <v>162.94198600000001</v>
      </c>
      <c r="G31" s="30">
        <f t="shared" si="4"/>
        <v>162.94198600000001</v>
      </c>
      <c r="H31" s="30">
        <f t="shared" si="4"/>
        <v>162.94198600000001</v>
      </c>
      <c r="I31" s="30">
        <f t="shared" si="4"/>
        <v>162.94198600000001</v>
      </c>
      <c r="J31" s="31">
        <f t="shared" si="4"/>
        <v>162.94198600000001</v>
      </c>
      <c r="K31" s="31">
        <f t="shared" si="4"/>
        <v>162.94198600000001</v>
      </c>
      <c r="L31" s="31">
        <f t="shared" si="4"/>
        <v>162.94198600000001</v>
      </c>
      <c r="M31" s="452">
        <f t="shared" si="4"/>
        <v>162.94198600000001</v>
      </c>
      <c r="N31" s="437"/>
      <c r="O31" s="437"/>
      <c r="P31" s="437"/>
      <c r="Q31" s="437"/>
      <c r="R31" s="437"/>
      <c r="S31" s="437"/>
      <c r="T31" s="437"/>
      <c r="U31" s="437"/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M32" si="5">$B66*$B11/1000</f>
        <v>217.82770760000002</v>
      </c>
      <c r="G32" s="30">
        <f t="shared" si="5"/>
        <v>217.82770760000002</v>
      </c>
      <c r="H32" s="30">
        <f t="shared" si="5"/>
        <v>217.82770760000002</v>
      </c>
      <c r="I32" s="30">
        <f t="shared" si="5"/>
        <v>217.82770760000002</v>
      </c>
      <c r="J32" s="31">
        <f t="shared" si="5"/>
        <v>217.82770760000002</v>
      </c>
      <c r="K32" s="31">
        <f t="shared" si="5"/>
        <v>217.82770760000002</v>
      </c>
      <c r="L32" s="31">
        <f t="shared" si="5"/>
        <v>217.82770760000002</v>
      </c>
      <c r="M32" s="452">
        <f t="shared" si="5"/>
        <v>217.82770760000002</v>
      </c>
      <c r="N32" s="437"/>
      <c r="O32" s="437"/>
      <c r="P32" s="437"/>
      <c r="Q32" s="437"/>
      <c r="R32" s="437"/>
      <c r="S32" s="437"/>
      <c r="T32" s="437"/>
      <c r="U32" s="437"/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27.461800039239623</v>
      </c>
      <c r="K33" s="505">
        <f>[2]Profitability!$AQ68/$J$13</f>
        <v>27.461800039239623</v>
      </c>
      <c r="L33" s="505">
        <f>[2]Profitability!$AQ68/$J$13</f>
        <v>27.461800039239623</v>
      </c>
      <c r="M33" s="506">
        <f>[2]Profitability!$AQ68/$J$13</f>
        <v>27.461800039239623</v>
      </c>
      <c r="N33" s="439"/>
      <c r="O33" s="439"/>
      <c r="P33" s="439"/>
      <c r="Q33" s="439"/>
      <c r="R33" s="439"/>
      <c r="S33" s="439"/>
      <c r="T33" s="439"/>
      <c r="U33" s="439"/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M34" si="6">$B31*F10</f>
        <v>785.06238809293541</v>
      </c>
      <c r="G34" s="30">
        <f t="shared" si="6"/>
        <v>951.62442234179014</v>
      </c>
      <c r="H34" s="30">
        <f t="shared" si="6"/>
        <v>951.62442234179014</v>
      </c>
      <c r="I34" s="30">
        <f t="shared" si="6"/>
        <v>582.22684416321886</v>
      </c>
      <c r="J34" s="31">
        <f t="shared" si="6"/>
        <v>1657.8474475569342</v>
      </c>
      <c r="K34" s="31">
        <f t="shared" si="6"/>
        <v>1288.449869378363</v>
      </c>
      <c r="L34" s="31">
        <f t="shared" si="6"/>
        <v>1391.3481927587666</v>
      </c>
      <c r="M34" s="452">
        <f t="shared" si="6"/>
        <v>1559.4553304648846</v>
      </c>
      <c r="N34" s="437"/>
      <c r="O34" s="437"/>
      <c r="P34" s="437"/>
      <c r="Q34" s="437"/>
      <c r="R34" s="437"/>
      <c r="S34" s="437"/>
      <c r="T34" s="437"/>
      <c r="U34" s="437"/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452" t="e">
        <f>'[4]Crew Accomodation'!$K$13/($J13*4)</f>
        <v>#REF!</v>
      </c>
      <c r="N35" s="437"/>
      <c r="O35" s="437"/>
      <c r="P35" s="437"/>
      <c r="Q35" s="437"/>
      <c r="R35" s="437"/>
      <c r="S35" s="437"/>
      <c r="T35" s="437"/>
      <c r="U35" s="437"/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7">$B75/($E13*13)</f>
        <v>1.0624734381640459</v>
      </c>
      <c r="G36" s="38">
        <f t="shared" si="7"/>
        <v>1.0624734381640459</v>
      </c>
      <c r="H36" s="38">
        <f t="shared" si="7"/>
        <v>1.0624734381640459</v>
      </c>
      <c r="I36" s="38">
        <f t="shared" si="7"/>
        <v>1.0624734381640459</v>
      </c>
      <c r="J36" s="39">
        <f>$B76/($J13*4)</f>
        <v>2.1186440677966103</v>
      </c>
      <c r="K36" s="39">
        <f t="shared" ref="K36:M36" si="8">$B76/($J13*4)</f>
        <v>2.1186440677966103</v>
      </c>
      <c r="L36" s="39">
        <f t="shared" si="8"/>
        <v>2.1186440677966103</v>
      </c>
      <c r="M36" s="455">
        <f t="shared" si="8"/>
        <v>2.1186440677966103</v>
      </c>
      <c r="N36" s="437"/>
      <c r="O36" s="437"/>
      <c r="P36" s="437"/>
      <c r="Q36" s="437"/>
      <c r="R36" s="437"/>
      <c r="S36" s="437"/>
      <c r="T36" s="437"/>
      <c r="U36" s="437"/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9"/>
      <c r="N37" s="438"/>
      <c r="O37" s="438"/>
      <c r="P37" s="438"/>
      <c r="Q37" s="438"/>
      <c r="R37" s="438"/>
      <c r="S37" s="438"/>
      <c r="T37" s="438"/>
      <c r="U37" s="438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459">
        <f>($B2*2-($B8*12))*M10/$J$12</f>
        <v>0</v>
      </c>
      <c r="N38" s="437"/>
      <c r="O38" s="437"/>
      <c r="P38" s="437"/>
      <c r="Q38" s="437"/>
      <c r="R38" s="437"/>
      <c r="S38" s="437"/>
      <c r="T38" s="437"/>
      <c r="U38" s="437"/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296.61016949152537</v>
      </c>
      <c r="K39" s="31">
        <f>($B81*$B6)/($J$13*4)</f>
        <v>296.61016949152537</v>
      </c>
      <c r="L39" s="31">
        <f>($B81*$B6)/($J$13*4)</f>
        <v>296.61016949152537</v>
      </c>
      <c r="M39" s="452">
        <f>($B81*$B6)/($J$13*4)</f>
        <v>296.61016949152537</v>
      </c>
      <c r="N39" s="437"/>
      <c r="O39" s="437"/>
      <c r="P39" s="437"/>
      <c r="Q39" s="437"/>
      <c r="R39" s="437"/>
      <c r="S39" s="437"/>
      <c r="T39" s="437"/>
      <c r="U39" s="437"/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823.2461788087918</v>
      </c>
      <c r="K40" s="27">
        <f>(($B6*(1+$B78)-($B85*$B6))/($B79*$J$12))/4</f>
        <v>823.2461788087918</v>
      </c>
      <c r="L40" s="27">
        <f>(($B6*(1+$B78)-($B85*$B6))/($B79*$J$12))/4</f>
        <v>823.2461788087918</v>
      </c>
      <c r="M40" s="450">
        <f>(($B6*(1+$B78)-($B85*$B6))/($B79*$J$12))/4</f>
        <v>823.2461788087918</v>
      </c>
      <c r="N40" s="437"/>
      <c r="O40" s="437"/>
      <c r="P40" s="437"/>
      <c r="Q40" s="437"/>
      <c r="R40" s="437"/>
      <c r="S40" s="437"/>
      <c r="T40" s="437"/>
      <c r="U40" s="437"/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2334.8021206867525</v>
      </c>
      <c r="K41" s="57">
        <f>$B8*12*K10/$J$12</f>
        <v>1814.5671315272571</v>
      </c>
      <c r="L41" s="57">
        <f>$B8*12*L10/$J$12</f>
        <v>1959.4822888281985</v>
      </c>
      <c r="M41" s="462">
        <f>$B8*12*M10/$J$12</f>
        <v>2196.2332047205036</v>
      </c>
      <c r="N41" s="437"/>
      <c r="O41" s="437"/>
      <c r="P41" s="437"/>
      <c r="Q41" s="437"/>
      <c r="R41" s="437"/>
      <c r="S41" s="437"/>
      <c r="T41" s="437"/>
      <c r="U41" s="437"/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2"/>
      <c r="N42" s="436"/>
      <c r="O42" s="436"/>
      <c r="P42" s="436"/>
      <c r="Q42" s="436"/>
      <c r="R42" s="436"/>
      <c r="S42" s="436"/>
      <c r="T42" s="436"/>
      <c r="U42" s="436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L43" si="9">SUM(F20:F28)+SUM(F30:F36)+SUM(F38:F41)</f>
        <v>#REF!</v>
      </c>
      <c r="G43" s="26" t="e">
        <f t="shared" si="9"/>
        <v>#REF!</v>
      </c>
      <c r="H43" s="26" t="e">
        <f t="shared" si="9"/>
        <v>#REF!</v>
      </c>
      <c r="I43" s="26" t="e">
        <f t="shared" si="9"/>
        <v>#REF!</v>
      </c>
      <c r="J43" s="27" t="e">
        <f t="shared" si="9"/>
        <v>#REF!</v>
      </c>
      <c r="K43" s="27" t="e">
        <f t="shared" si="9"/>
        <v>#REF!</v>
      </c>
      <c r="L43" s="27" t="e">
        <f t="shared" si="9"/>
        <v>#REF!</v>
      </c>
      <c r="M43" s="450" t="e">
        <f>SUM(M20:M28)+SUM(M30:M36)+SUM(M38:M41)</f>
        <v>#REF!</v>
      </c>
      <c r="N43" s="437"/>
      <c r="O43" s="437"/>
      <c r="P43" s="437"/>
      <c r="Q43" s="437"/>
      <c r="R43" s="437"/>
      <c r="S43" s="437"/>
      <c r="T43" s="437"/>
      <c r="U43" s="437"/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M44" si="10">F43/F10</f>
        <v>#REF!</v>
      </c>
      <c r="G44" s="464" t="e">
        <f t="shared" si="10"/>
        <v>#REF!</v>
      </c>
      <c r="H44" s="464" t="e">
        <f t="shared" si="10"/>
        <v>#REF!</v>
      </c>
      <c r="I44" s="464" t="e">
        <f t="shared" si="10"/>
        <v>#REF!</v>
      </c>
      <c r="J44" s="465" t="e">
        <f t="shared" si="10"/>
        <v>#REF!</v>
      </c>
      <c r="K44" s="465" t="e">
        <f t="shared" si="10"/>
        <v>#REF!</v>
      </c>
      <c r="L44" s="465" t="e">
        <f t="shared" si="10"/>
        <v>#REF!</v>
      </c>
      <c r="M44" s="466" t="e">
        <f t="shared" si="10"/>
        <v>#REF!</v>
      </c>
      <c r="N44" s="437"/>
      <c r="O44" s="437"/>
      <c r="P44" s="437"/>
      <c r="Q44" s="437"/>
      <c r="R44" s="437"/>
      <c r="S44" s="437"/>
      <c r="T44" s="437"/>
      <c r="U44" s="437"/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</f>
        <v>2250460.056145519</v>
      </c>
    </row>
    <row r="49" spans="1:5" ht="14.45">
      <c r="A49" s="61"/>
      <c r="B49" s="62"/>
      <c r="D49" t="s">
        <v>177</v>
      </c>
      <c r="E49" s="108">
        <f>SUM(E22:I22)*E13+SUM(J22:M22)*J13</f>
        <v>7621122.1548896646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</f>
        <v>3336924.6035088077</v>
      </c>
    </row>
    <row r="52" spans="1:5" ht="14.45">
      <c r="A52" s="63"/>
      <c r="B52" s="66"/>
      <c r="D52" t="s">
        <v>180</v>
      </c>
      <c r="E52" s="108">
        <f>SUM(E40:I40)*E13+SUM(J40:M40)*J13</f>
        <v>2763892.3055687761</v>
      </c>
    </row>
    <row r="53" spans="1:5" ht="14.45">
      <c r="A53" s="65"/>
      <c r="B53" s="9"/>
      <c r="D53" t="s">
        <v>181</v>
      </c>
      <c r="E53" s="108" t="e">
        <f>SUM(E30:I36)*E13+SUM(J30:M36)*J13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SUM(E20:M28)</f>
        <v>45473.710641693076</v>
      </c>
    </row>
    <row r="56" spans="1:5" ht="15" thickBot="1">
      <c r="A56" s="68" t="s">
        <v>279</v>
      </c>
      <c r="D56" t="s">
        <v>184</v>
      </c>
      <c r="E56" s="49" t="e">
        <f>SUM(E30:M36)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SUM(E38:M41)</f>
        <v>26481.128140001347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1">AVERAGE(G117:G126)</f>
        <v>18.878724498674316</v>
      </c>
      <c r="H127" s="1">
        <f t="shared" si="11"/>
        <v>9.4780002955942102</v>
      </c>
      <c r="I127" s="1">
        <f t="shared" si="11"/>
        <v>15.778570288450373</v>
      </c>
      <c r="J127" s="1">
        <f t="shared" si="11"/>
        <v>20.908844366886122</v>
      </c>
      <c r="K127" s="1">
        <f t="shared" si="11"/>
        <v>4.9616135934658718</v>
      </c>
      <c r="L127" s="1">
        <f t="shared" si="11"/>
        <v>7.7945348608329255</v>
      </c>
      <c r="M127" s="1">
        <f t="shared" si="11"/>
        <v>13.113606250031561</v>
      </c>
      <c r="N127" s="1">
        <f t="shared" si="11"/>
        <v>11.739250984481306</v>
      </c>
      <c r="O127" s="1">
        <f t="shared" si="11"/>
        <v>15.54235561022559</v>
      </c>
      <c r="P127" s="1">
        <f t="shared" si="11"/>
        <v>16.40764782558783</v>
      </c>
      <c r="Q127" s="1">
        <f t="shared" si="11"/>
        <v>2.4421372363425062</v>
      </c>
      <c r="R127" s="1">
        <f t="shared" si="11"/>
        <v>4.6054965528326788</v>
      </c>
      <c r="S127" s="1">
        <f t="shared" si="11"/>
        <v>5.3005866145016638</v>
      </c>
      <c r="T127" s="1">
        <f t="shared" si="11"/>
        <v>2.8675110004724522</v>
      </c>
      <c r="U127" s="1">
        <f t="shared" si="11"/>
        <v>4.2630018963694409</v>
      </c>
      <c r="V127" s="1">
        <f t="shared" si="11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2">AVERAGE(G130:G139)</f>
        <v>264.30214298144051</v>
      </c>
      <c r="H140" s="1">
        <f t="shared" si="12"/>
        <v>119.42280372448701</v>
      </c>
      <c r="I140" s="1">
        <f t="shared" si="12"/>
        <v>883.59993615322071</v>
      </c>
      <c r="J140" s="1">
        <f t="shared" si="12"/>
        <v>263.4514390227651</v>
      </c>
      <c r="K140" s="1">
        <f t="shared" si="12"/>
        <v>191.02212334843608</v>
      </c>
      <c r="L140" s="1">
        <f t="shared" si="12"/>
        <v>300.0895921420676</v>
      </c>
      <c r="M140" s="1">
        <f t="shared" si="12"/>
        <v>734.36195000176713</v>
      </c>
      <c r="N140" s="1">
        <f t="shared" si="12"/>
        <v>657.39805513095303</v>
      </c>
      <c r="O140" s="1">
        <f t="shared" si="12"/>
        <v>870.37191417263296</v>
      </c>
      <c r="P140" s="1">
        <f t="shared" si="12"/>
        <v>918.82827823291848</v>
      </c>
      <c r="Q140" s="1">
        <f t="shared" si="12"/>
        <v>150.43565375869838</v>
      </c>
      <c r="R140" s="1">
        <f t="shared" si="12"/>
        <v>177.31161728405814</v>
      </c>
      <c r="S140" s="1">
        <f t="shared" si="12"/>
        <v>326.51613545330247</v>
      </c>
      <c r="T140" s="1">
        <f t="shared" si="12"/>
        <v>160.58061602645731</v>
      </c>
      <c r="U140" s="1">
        <f t="shared" si="12"/>
        <v>262.60091681635754</v>
      </c>
      <c r="V140" s="1">
        <f t="shared" si="12"/>
        <v>154.42611290544656</v>
      </c>
    </row>
  </sheetData>
  <mergeCells count="16">
    <mergeCell ref="N12:Q12"/>
    <mergeCell ref="R12:U12"/>
    <mergeCell ref="E13:I13"/>
    <mergeCell ref="J13:M13"/>
    <mergeCell ref="N13:Q13"/>
    <mergeCell ref="R13:U13"/>
    <mergeCell ref="A60:B60"/>
    <mergeCell ref="A115:B115"/>
    <mergeCell ref="D5:M7"/>
    <mergeCell ref="E14:M14"/>
    <mergeCell ref="D19:M19"/>
    <mergeCell ref="D29:M29"/>
    <mergeCell ref="D37:M37"/>
    <mergeCell ref="D42:M42"/>
    <mergeCell ref="E12:I12"/>
    <mergeCell ref="J12:M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75A6-9F15-4BB1-8E1F-6FC43D8C226D}">
  <dimension ref="A1:V140"/>
  <sheetViews>
    <sheetView topLeftCell="D19" zoomScale="85" zoomScaleNormal="85" workbookViewId="0">
      <selection activeCell="E111" sqref="E111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6.28515625" style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5"/>
      <c r="R5" s="440"/>
      <c r="S5" s="440"/>
      <c r="T5" s="440"/>
      <c r="U5" s="440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8"/>
      <c r="R6" s="440"/>
      <c r="S6" s="440"/>
      <c r="T6" s="440"/>
      <c r="U6" s="440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1"/>
      <c r="R7" s="440"/>
      <c r="S7" s="440"/>
      <c r="T7" s="440"/>
      <c r="U7" s="440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Q9">TRANSPOSE('[2]Block time &amp; Fuel'!B3:C15)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88" t="str">
        <v>CGK-TTE</v>
      </c>
      <c r="R8" s="431"/>
      <c r="S8" s="431"/>
      <c r="T8" s="431"/>
      <c r="U8" s="431"/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490">
        <v>2428</v>
      </c>
      <c r="R9" s="432"/>
      <c r="S9" s="432"/>
      <c r="T9" s="432"/>
      <c r="U9" s="432"/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Q10">TRANSPOSE('[2]Block time &amp; Fuel'!G3:G15)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492">
        <v>3.794436906377205</v>
      </c>
      <c r="R10" s="433"/>
      <c r="S10" s="433"/>
      <c r="T10" s="433"/>
      <c r="U10" s="433"/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Q11">TRANSPOSE('[2]Block time &amp; Fuel'!L3:L15)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490">
        <v>7319.9118588169331</v>
      </c>
      <c r="R11" s="432"/>
      <c r="S11" s="432"/>
      <c r="T11" s="432"/>
      <c r="U11" s="432"/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2798.8161465400271</v>
      </c>
      <c r="F12" s="852"/>
      <c r="G12" s="852"/>
      <c r="H12" s="852"/>
      <c r="I12" s="853"/>
      <c r="J12" s="854">
        <f>SUM(J10:M10)*J13</f>
        <v>3901.9775837177745</v>
      </c>
      <c r="K12" s="855"/>
      <c r="L12" s="855"/>
      <c r="M12" s="884"/>
      <c r="N12" s="885">
        <f>SUM(N10:Q10)*N13</f>
        <v>4068.3582089552237</v>
      </c>
      <c r="O12" s="886"/>
      <c r="P12" s="886"/>
      <c r="Q12" s="887"/>
      <c r="R12" s="857"/>
      <c r="S12" s="857"/>
      <c r="T12" s="857"/>
      <c r="U12" s="857"/>
    </row>
    <row r="13" spans="1:21">
      <c r="A13" s="14" t="s">
        <v>246</v>
      </c>
      <c r="B13" s="24">
        <v>3800</v>
      </c>
      <c r="D13" s="444" t="s">
        <v>247</v>
      </c>
      <c r="E13" s="851">
        <f>Summary!C8</f>
        <v>355</v>
      </c>
      <c r="F13" s="852"/>
      <c r="G13" s="852"/>
      <c r="H13" s="852"/>
      <c r="I13" s="853"/>
      <c r="J13" s="854">
        <f>Summary!D8</f>
        <v>361</v>
      </c>
      <c r="K13" s="855"/>
      <c r="L13" s="855"/>
      <c r="M13" s="884"/>
      <c r="N13" s="885">
        <f>Summary!D9</f>
        <v>354</v>
      </c>
      <c r="O13" s="886"/>
      <c r="P13" s="886"/>
      <c r="Q13" s="887"/>
      <c r="R13" s="857"/>
      <c r="S13" s="857"/>
      <c r="T13" s="857"/>
      <c r="U13" s="857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3"/>
      <c r="R14" s="434"/>
      <c r="S14" s="434"/>
      <c r="T14" s="434"/>
      <c r="U14" s="434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77"/>
      <c r="R15" s="435"/>
      <c r="S15" s="435"/>
      <c r="T15" s="435"/>
      <c r="U15" s="435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47"/>
      <c r="R16" s="18"/>
      <c r="S16" s="18"/>
      <c r="T16" s="18"/>
      <c r="U16" s="18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447"/>
      <c r="R17" s="18"/>
      <c r="S17" s="18"/>
      <c r="T17" s="18"/>
      <c r="U17" s="18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47"/>
      <c r="R18" s="18"/>
      <c r="S18" s="18"/>
      <c r="T18" s="18"/>
      <c r="U18" s="18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3"/>
      <c r="R19" s="436"/>
      <c r="S19" s="436"/>
      <c r="T19" s="436"/>
      <c r="U19" s="436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Q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478">
        <f t="shared" si="0"/>
        <v>1278.2664069109001</v>
      </c>
      <c r="R20" s="437"/>
      <c r="S20" s="437"/>
      <c r="T20" s="437"/>
      <c r="U20" s="437"/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Q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453">
        <f t="shared" si="1"/>
        <v>1731.1713710482265</v>
      </c>
      <c r="R21" s="437"/>
      <c r="S21" s="437"/>
      <c r="T21" s="437"/>
      <c r="U21" s="437"/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Q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453">
        <f t="shared" si="2"/>
        <v>4790.8482713579651</v>
      </c>
      <c r="R22" s="437"/>
      <c r="S22" s="437"/>
      <c r="T22" s="437"/>
      <c r="U22" s="437"/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Q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453">
        <f t="shared" si="3"/>
        <v>327.24999999999994</v>
      </c>
      <c r="R23" s="437"/>
      <c r="S23" s="437"/>
      <c r="T23" s="437"/>
      <c r="U23" s="437"/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453"/>
      <c r="R24" s="437"/>
      <c r="S24" s="437"/>
      <c r="T24" s="437"/>
      <c r="U24" s="437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453">
        <f>'[2]Parking &amp; Landing Fee'!AN26</f>
        <v>24.351208</v>
      </c>
      <c r="R25" s="437"/>
      <c r="S25" s="437"/>
      <c r="T25" s="437"/>
      <c r="U25" s="437"/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Q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453">
        <f t="shared" si="4"/>
        <v>446.87999999999994</v>
      </c>
      <c r="R26" s="437"/>
      <c r="S26" s="437"/>
      <c r="T26" s="437"/>
      <c r="U26" s="437"/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453">
        <f>IF([2]Profitability!BC151&gt;=($B12/1000),($B63)*$B12,($B63)*R126*1000)</f>
        <v>206.71626119189679</v>
      </c>
      <c r="R27" s="437"/>
      <c r="S27" s="437"/>
      <c r="T27" s="437"/>
      <c r="U27" s="437"/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457">
        <f>IF([2]Profitability!BC151&lt;=$B12,'[2]Parking &amp; Landing Fee'!AN25*($B10/1000+'[2]cost rute lama'!$B$12/1000),'[2]Parking &amp; Landing Fee'!AN25*($B10/1000+[2]Profitability!BC151))</f>
        <v>14.72625</v>
      </c>
      <c r="R28" s="437"/>
      <c r="S28" s="437"/>
      <c r="T28" s="437"/>
      <c r="U28" s="437"/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6"/>
      <c r="R29" s="438"/>
      <c r="S29" s="438"/>
      <c r="T29" s="438"/>
      <c r="U29" s="438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61.923750697328011</v>
      </c>
      <c r="F30" s="26">
        <f>(($B73*(F9/1.852))+(980*$B9/1000))*F10/$E12</f>
        <v>47.143478019871949</v>
      </c>
      <c r="G30" s="26">
        <f>(($B73*(G9/1.852))+(980*$B9/1000))*G10/$E12</f>
        <v>57.159107312341405</v>
      </c>
      <c r="H30" s="26">
        <f>(($B73*(H9/1.852))+(980*$B9/1000))*H10/$E12</f>
        <v>57.159107312341405</v>
      </c>
      <c r="I30" s="26">
        <f>(($B73*(I9/1.852))+(980*$B9/1000))*I10/$E12</f>
        <v>34.953037953405087</v>
      </c>
      <c r="J30" s="27">
        <f>(($B73*(J9/1.852))+(980*$B9/1000))*J10/$J12</f>
        <v>71.497025432091533</v>
      </c>
      <c r="K30" s="27">
        <f>(($B73*(K9/1.852))+(980*$B9/1000))*K10/$J12</f>
        <v>55.537203358092391</v>
      </c>
      <c r="L30" s="27">
        <f>(($B73*(L9/1.852))+(980*$B9/1000))*L10/$J12</f>
        <v>59.981252923590915</v>
      </c>
      <c r="M30" s="27">
        <f>(($B73*(M9/1.852))+(980*$B9/1000))*M10/$J12</f>
        <v>67.244367875129882</v>
      </c>
      <c r="N30" s="26">
        <f>(($B73*(N9/1.852))+(980*$B9/1000))*N10/$N12</f>
        <v>108.95716829906726</v>
      </c>
      <c r="O30" s="26">
        <f>(($B73*(O9/1.852))+(980*$B9/1000))*O10/$N12</f>
        <v>25.116833819384141</v>
      </c>
      <c r="P30" s="26">
        <f>(($B73*(P9/1.852))+(980*$B9/1000))*P10/$N12</f>
        <v>39.720656056718433</v>
      </c>
      <c r="Q30" s="478">
        <f>(($B73*(Q9/1.852))+(980*$B9/1000))*Q10/$N12</f>
        <v>85.678228967904744</v>
      </c>
      <c r="R30" s="437"/>
      <c r="S30" s="437"/>
      <c r="T30" s="437"/>
      <c r="U30" s="437"/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Q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453">
        <f t="shared" si="5"/>
        <v>162.94198600000001</v>
      </c>
      <c r="R31" s="437"/>
      <c r="S31" s="437"/>
      <c r="T31" s="437"/>
      <c r="U31" s="437"/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Q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453">
        <f t="shared" si="6"/>
        <v>217.82770760000002</v>
      </c>
      <c r="R32" s="437"/>
      <c r="S32" s="437"/>
      <c r="T32" s="437"/>
      <c r="U32" s="437"/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27.384442856030496</v>
      </c>
      <c r="F33" s="504">
        <f>[2]Profitability!$AQ68/$E$13</f>
        <v>27.384442856030496</v>
      </c>
      <c r="G33" s="504">
        <f>[2]Profitability!$AQ68/$E$13</f>
        <v>27.384442856030496</v>
      </c>
      <c r="H33" s="504">
        <f>[2]Profitability!$AQ68/$E$13</f>
        <v>27.384442856030496</v>
      </c>
      <c r="I33" s="504">
        <f>[2]Profitability!$AQ68/$E$13</f>
        <v>27.384442856030496</v>
      </c>
      <c r="J33" s="505">
        <f>[2]Profitability!$AQ68/$J$13</f>
        <v>26.929299761470432</v>
      </c>
      <c r="K33" s="505">
        <f>[2]Profitability!$AQ68/$J$13</f>
        <v>26.929299761470432</v>
      </c>
      <c r="L33" s="505">
        <f>[2]Profitability!$AQ68/$J$13</f>
        <v>26.929299761470432</v>
      </c>
      <c r="M33" s="505">
        <f>[2]Profitability!$AQ68/$J$13</f>
        <v>26.929299761470432</v>
      </c>
      <c r="N33" s="504">
        <f>[2]Profitability!$AQ68/$N$13</f>
        <v>27.461800039239623</v>
      </c>
      <c r="O33" s="504">
        <f>[2]Profitability!$AQ68/$N$13</f>
        <v>27.461800039239623</v>
      </c>
      <c r="P33" s="504">
        <f>[2]Profitability!$AQ68/$N$13</f>
        <v>27.461800039239623</v>
      </c>
      <c r="Q33" s="507">
        <f>[2]Profitability!$AQ68/$N$13</f>
        <v>27.461800039239623</v>
      </c>
      <c r="R33" s="439"/>
      <c r="S33" s="439"/>
      <c r="T33" s="439"/>
      <c r="U33" s="439"/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Q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453">
        <f t="shared" si="7"/>
        <v>2070.1810167863214</v>
      </c>
      <c r="R34" s="437"/>
      <c r="S34" s="437"/>
      <c r="T34" s="437"/>
      <c r="U34" s="437"/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453" t="e">
        <f>'[4]Crew Accomodation'!$L$13/($N13*4)</f>
        <v>#REF!</v>
      </c>
      <c r="R35" s="437"/>
      <c r="S35" s="437"/>
      <c r="T35" s="437"/>
      <c r="U35" s="437"/>
    </row>
    <row r="36" spans="1:21" ht="13.9" thickBot="1">
      <c r="A36" s="45"/>
      <c r="B36" s="29"/>
      <c r="D36" s="476" t="s">
        <v>207</v>
      </c>
      <c r="E36" s="38">
        <f>$B75/($E13*13)</f>
        <v>1.0834236186348862</v>
      </c>
      <c r="F36" s="38">
        <f t="shared" ref="F36:I36" si="8">$B75/($E13*13)</f>
        <v>1.0834236186348862</v>
      </c>
      <c r="G36" s="38">
        <f t="shared" si="8"/>
        <v>1.0834236186348862</v>
      </c>
      <c r="H36" s="38">
        <f t="shared" si="8"/>
        <v>1.0834236186348862</v>
      </c>
      <c r="I36" s="38">
        <f t="shared" si="8"/>
        <v>1.0834236186348862</v>
      </c>
      <c r="J36" s="39">
        <f>$B76/($J13*4)</f>
        <v>2.0775623268698062</v>
      </c>
      <c r="K36" s="39">
        <f t="shared" ref="K36:M36" si="9">$B76/($J13*4)</f>
        <v>2.0775623268698062</v>
      </c>
      <c r="L36" s="39">
        <f t="shared" si="9"/>
        <v>2.0775623268698062</v>
      </c>
      <c r="M36" s="39">
        <f t="shared" si="9"/>
        <v>2.0775623268698062</v>
      </c>
      <c r="N36" s="38">
        <f>$B75/($E13*13)</f>
        <v>1.0834236186348862</v>
      </c>
      <c r="O36" s="38">
        <f t="shared" ref="O36:Q36" si="10">$B75/($E13*13)</f>
        <v>1.0834236186348862</v>
      </c>
      <c r="P36" s="38">
        <f t="shared" si="10"/>
        <v>1.0834236186348862</v>
      </c>
      <c r="Q36" s="457">
        <f t="shared" si="10"/>
        <v>1.0834236186348862</v>
      </c>
      <c r="R36" s="437"/>
      <c r="S36" s="437"/>
      <c r="T36" s="437"/>
      <c r="U36" s="437"/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9"/>
      <c r="R37" s="438"/>
      <c r="S37" s="438"/>
      <c r="T37" s="438"/>
      <c r="U37" s="438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479">
        <f>($B2*2-($B8*12))*Q10/$N$12</f>
        <v>0</v>
      </c>
      <c r="R38" s="437"/>
      <c r="S38" s="437"/>
      <c r="T38" s="437"/>
      <c r="U38" s="437"/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236.61971830985911</v>
      </c>
      <c r="F39" s="30">
        <f>($B81*$B6)/($E13*5)</f>
        <v>236.61971830985911</v>
      </c>
      <c r="G39" s="30">
        <f>($B81*$B6)/($E13*5)</f>
        <v>236.61971830985911</v>
      </c>
      <c r="H39" s="30">
        <f>($B81*$B6)/($E13*5)</f>
        <v>236.61971830985911</v>
      </c>
      <c r="I39" s="30">
        <f>($B81*$B6)/($E13*5)</f>
        <v>236.61971830985911</v>
      </c>
      <c r="J39" s="31">
        <f>($B81*$B6)/($J$13*4)</f>
        <v>290.8587257617728</v>
      </c>
      <c r="K39" s="31">
        <f>($B81*$B6)/($J$13*4)</f>
        <v>290.8587257617728</v>
      </c>
      <c r="L39" s="31">
        <f>($B81*$B6)/($J$13*4)</f>
        <v>290.8587257617728</v>
      </c>
      <c r="M39" s="31">
        <f>($B81*$B6)/($J$13*4)</f>
        <v>290.8587257617728</v>
      </c>
      <c r="N39" s="30">
        <f>($B81*$B6)/($N$13*4)</f>
        <v>296.61016949152537</v>
      </c>
      <c r="O39" s="30">
        <f>($B81*$B6)/($N$13*4)</f>
        <v>296.61016949152537</v>
      </c>
      <c r="P39" s="30">
        <f>($B81*$B6)/($N$13*4)</f>
        <v>296.61016949152537</v>
      </c>
      <c r="Q39" s="453">
        <f>($B81*$B6)/($N$13*4)</f>
        <v>296.61016949152537</v>
      </c>
      <c r="R39" s="437"/>
      <c r="S39" s="437"/>
      <c r="T39" s="437"/>
      <c r="U39" s="437"/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900.3806852819871</v>
      </c>
      <c r="F40" s="26">
        <f>(($B6*(1+$B78)-($B85*$B6))/($B79*$E$12))/5</f>
        <v>900.3806852819871</v>
      </c>
      <c r="G40" s="26">
        <f>(($B6*(1+$B78)-($B85*$B6))/($B79*$E$12))/5</f>
        <v>900.3806852819871</v>
      </c>
      <c r="H40" s="26">
        <f>(($B6*(1+$B78)-($B85*$B6))/($B79*$E$12))/5</f>
        <v>900.3806852819871</v>
      </c>
      <c r="I40" s="26">
        <f>(($B6*(1+$B78)-($B85*$B6))/($B79*$E$12))/5</f>
        <v>900.3806852819871</v>
      </c>
      <c r="J40" s="27">
        <f>(($B6*(1+$B78)-($B85*$B6))/($B79*$J$12))/4</f>
        <v>807.28295650502025</v>
      </c>
      <c r="K40" s="27">
        <f>(($B6*(1+$B78)-($B85*$B6))/($B79*$J$12))/4</f>
        <v>807.28295650502025</v>
      </c>
      <c r="L40" s="27">
        <f>(($B6*(1+$B78)-($B85*$B6))/($B79*$J$12))/4</f>
        <v>807.28295650502025</v>
      </c>
      <c r="M40" s="27">
        <f>(($B6*(1+$B78)-($B85*$B6))/($B79*$J$12))/4</f>
        <v>807.28295650502025</v>
      </c>
      <c r="N40" s="26">
        <f>(($B6*(1+$B78)-($B85*$B6))/($B79*$N$12))/4</f>
        <v>774.26810477657943</v>
      </c>
      <c r="O40" s="26">
        <f>(($B6*(1+$B78)-($B85*$B6))/($B79*$N$12))/4</f>
        <v>774.26810477657943</v>
      </c>
      <c r="P40" s="26">
        <f>(($B6*(1+$B78)-($B85*$B6))/($B79*$N$12))/4</f>
        <v>774.26810477657943</v>
      </c>
      <c r="Q40" s="478">
        <f>(($B6*(1+$B78)-($B85*$B6))/($B79*$N$12))/4</f>
        <v>774.26810477657943</v>
      </c>
      <c r="R40" s="437"/>
      <c r="S40" s="437"/>
      <c r="T40" s="437"/>
      <c r="U40" s="437"/>
    </row>
    <row r="41" spans="1:21" ht="13.9" thickBot="1">
      <c r="D41" s="461" t="s">
        <v>213</v>
      </c>
      <c r="E41" s="56">
        <f>$B8*12*E10/$E$12</f>
        <v>1984.7265331945202</v>
      </c>
      <c r="F41" s="56">
        <f>$B8*12*F10/$E$12</f>
        <v>1511.5278193556831</v>
      </c>
      <c r="G41" s="56">
        <f>$B8*12*G10/$E$12</f>
        <v>1832.2197187946542</v>
      </c>
      <c r="H41" s="56">
        <f>$B8*12*H10/$E$12</f>
        <v>1832.2197187946542</v>
      </c>
      <c r="I41" s="56">
        <f>$B8*12*I10/$E$12</f>
        <v>1120.9963507055584</v>
      </c>
      <c r="J41" s="57">
        <f>$B8*12*J10/$J$12</f>
        <v>2289.5289493714968</v>
      </c>
      <c r="K41" s="57">
        <f>$B8*12*K10/$J$12</f>
        <v>1779.3816192815764</v>
      </c>
      <c r="L41" s="57">
        <f>$B8*12*L10/$J$12</f>
        <v>1921.4867873827766</v>
      </c>
      <c r="M41" s="57">
        <f>$B8*12*M10/$J$12</f>
        <v>2153.6469652937903</v>
      </c>
      <c r="N41" s="56">
        <f>$B8*12*N10/$N$12</f>
        <v>3484.3115282252415</v>
      </c>
      <c r="O41" s="56">
        <f>$B8*12*O10/$N$12</f>
        <v>805.50497268524998</v>
      </c>
      <c r="P41" s="56">
        <f>$B8*12*P10/$N$12</f>
        <v>1273.217537470234</v>
      </c>
      <c r="Q41" s="480">
        <f>$B8*12*Q10/$N$12</f>
        <v>2742.0507073819867</v>
      </c>
      <c r="R41" s="437"/>
      <c r="S41" s="437"/>
      <c r="T41" s="437"/>
      <c r="U41" s="437"/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2"/>
      <c r="R42" s="436"/>
      <c r="S42" s="436"/>
      <c r="T42" s="436"/>
      <c r="U42" s="436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Q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478" t="e">
        <f t="shared" si="11"/>
        <v>#REF!</v>
      </c>
      <c r="R43" s="437"/>
      <c r="S43" s="437"/>
      <c r="T43" s="437"/>
      <c r="U43" s="437"/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Q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81" t="e">
        <f t="shared" si="12"/>
        <v>#REF!</v>
      </c>
      <c r="R44" s="437"/>
      <c r="S44" s="437"/>
      <c r="T44" s="437"/>
      <c r="U44" s="437"/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</f>
        <v>3627901.977149629</v>
      </c>
    </row>
    <row r="49" spans="1:5" ht="14.45">
      <c r="A49" s="61"/>
      <c r="B49" s="62"/>
      <c r="D49" t="s">
        <v>177</v>
      </c>
      <c r="E49" s="108">
        <f>SUM(E22:I22)*E13+SUM(J22:M22)*J13+SUM(N22:Q22)*N13</f>
        <v>12599712.129970662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SUM(E23:I28)*E13+SUM(J23:M28)*J13+SUM(N23:Q28)*N13</f>
        <v>4905375.9278076664</v>
      </c>
    </row>
    <row r="52" spans="1:5" ht="14.45">
      <c r="A52" s="63"/>
      <c r="B52" s="66"/>
      <c r="D52" t="s">
        <v>180</v>
      </c>
      <c r="E52" s="108">
        <f>SUM(E40:I40)*E13+SUM(J40:M40)*J13+SUM(N40:Q40)*N13</f>
        <v>3860255.9419324128</v>
      </c>
    </row>
    <row r="53" spans="1:5" ht="14.45">
      <c r="A53" s="65"/>
      <c r="B53" s="9"/>
      <c r="D53" t="s">
        <v>181</v>
      </c>
      <c r="E53" s="108" t="e">
        <f>SUM(E30:I36)*E13+SUM(J30:M36)*J13+SUM(N30:Q36)*N13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SUM(E20:Q28)</f>
        <v>73014.020607793602</v>
      </c>
    </row>
    <row r="56" spans="1:5" ht="15" thickBot="1">
      <c r="A56" s="68" t="s">
        <v>279</v>
      </c>
      <c r="D56" t="s">
        <v>184</v>
      </c>
      <c r="E56" s="49" t="e">
        <f>SUM(E30:Q36)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SUM(E38:Q41)</f>
        <v>39091.90105203625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R12:U12"/>
    <mergeCell ref="E13:I13"/>
    <mergeCell ref="J13:M13"/>
    <mergeCell ref="N13:Q13"/>
    <mergeCell ref="R13:U13"/>
    <mergeCell ref="A60:B60"/>
    <mergeCell ref="A115:B115"/>
    <mergeCell ref="E14:Q14"/>
    <mergeCell ref="D5:Q7"/>
    <mergeCell ref="D19:Q19"/>
    <mergeCell ref="D29:Q29"/>
    <mergeCell ref="D37:Q37"/>
    <mergeCell ref="D42:Q42"/>
    <mergeCell ref="E12:I12"/>
    <mergeCell ref="J12:M12"/>
    <mergeCell ref="N12:Q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C12C-1073-4342-B6DB-0B317986FE4B}">
  <dimension ref="A1:V140"/>
  <sheetViews>
    <sheetView topLeftCell="E22" zoomScale="55" zoomScaleNormal="55" workbookViewId="0">
      <selection activeCell="F153" sqref="F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3826.3159685210312</v>
      </c>
      <c r="K12" s="855"/>
      <c r="L12" s="855"/>
      <c r="M12" s="884"/>
      <c r="N12" s="885">
        <f>SUM(N10:Q10)*N13</f>
        <v>4079.8507462686566</v>
      </c>
      <c r="O12" s="886"/>
      <c r="P12" s="886"/>
      <c r="Q12" s="886"/>
      <c r="R12" s="890">
        <f>SUM(R10:U10)*R13</f>
        <v>4064.0271370420619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Summary!C9</f>
        <v>362</v>
      </c>
      <c r="F13" s="852"/>
      <c r="G13" s="852"/>
      <c r="H13" s="852"/>
      <c r="I13" s="853"/>
      <c r="J13" s="854">
        <f>Summary!D9</f>
        <v>354</v>
      </c>
      <c r="K13" s="855"/>
      <c r="L13" s="855"/>
      <c r="M13" s="884"/>
      <c r="N13" s="885">
        <f>Summary!E9</f>
        <v>355</v>
      </c>
      <c r="O13" s="886"/>
      <c r="P13" s="886"/>
      <c r="Q13" s="886"/>
      <c r="R13" s="890">
        <f>Summary!F9</f>
        <v>362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72.910808420861699</v>
      </c>
      <c r="K30" s="27">
        <f>(($B73*(K9/1.852))+(980*$B9/1000))*K10/$J12</f>
        <v>56.63539664483433</v>
      </c>
      <c r="L30" s="27">
        <f>(($B73*(L9/1.852))+(980*$B9/1000))*L10/$J12</f>
        <v>61.167322896656273</v>
      </c>
      <c r="M30" s="27">
        <f>(($B73*(M9/1.852))+(980*$B9/1000))*M10/$J12</f>
        <v>68.574058765316067</v>
      </c>
      <c r="N30" s="26">
        <f>(($B73*(N9/1.852))+(980*$B9/1000))*N10/$N12</f>
        <v>108.65024669822482</v>
      </c>
      <c r="O30" s="26">
        <f>(($B73*(O9/1.852))+(980*$B9/1000))*O10/$N12</f>
        <v>25.046082174822494</v>
      </c>
      <c r="P30" s="26">
        <f>(($B73*(P9/1.852))+(980*$B9/1000))*P10/$N12</f>
        <v>39.608766884727679</v>
      </c>
      <c r="Q30" s="26">
        <f>(($B73*(Q9/1.852))+(980*$B9/1000))*Q10/$N12</f>
        <v>85.436881844051484</v>
      </c>
      <c r="R30" s="28">
        <f>(($B73*(R9/1.852))+(980*$B9/1000))*R10/$R12</f>
        <v>82.63234560596608</v>
      </c>
      <c r="S30" s="28">
        <f>(($B73*(S9/1.852))+(980*$B9/1000))*S10/$R12</f>
        <v>41.326929794057783</v>
      </c>
      <c r="T30" s="28">
        <f>(($B73*(T9/1.852))+(980*$B9/1000))*T10/$R12</f>
        <v>84.662216775261157</v>
      </c>
      <c r="U30" s="493">
        <f>(($B73*(U9/1.852))+(980*$B9/1000))*U10/$R12</f>
        <v>45.007454284065453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27.461800039239623</v>
      </c>
      <c r="K33" s="505">
        <f>[2]Profitability!$AQ68/$J$13</f>
        <v>27.461800039239623</v>
      </c>
      <c r="L33" s="505">
        <f>[2]Profitability!$AQ68/$J$13</f>
        <v>27.461800039239623</v>
      </c>
      <c r="M33" s="505">
        <f>[2]Profitability!$AQ68/$J$13</f>
        <v>27.461800039239623</v>
      </c>
      <c r="N33" s="504">
        <f>[2]Profitability!$AQ68/$N$13</f>
        <v>27.384442856030496</v>
      </c>
      <c r="O33" s="504">
        <f>[2]Profitability!$AQ68/$N$13</f>
        <v>27.384442856030496</v>
      </c>
      <c r="P33" s="504">
        <f>[2]Profitability!$AQ68/$N$13</f>
        <v>27.384442856030496</v>
      </c>
      <c r="Q33" s="504">
        <f>[2]Profitability!$AQ68/$N$13</f>
        <v>27.384442856030496</v>
      </c>
      <c r="R33" s="505">
        <f>[2]Profitability!$AQ68/$R$13</f>
        <v>26.854909430637644</v>
      </c>
      <c r="S33" s="505">
        <f>[2]Profitability!$AQ68/$R$13</f>
        <v>26.854909430637644</v>
      </c>
      <c r="T33" s="505">
        <f>[2]Profitability!$AQ68/$R$13</f>
        <v>26.854909430637644</v>
      </c>
      <c r="U33" s="506">
        <f>[2]Profitability!$AQ68/$R$13</f>
        <v>26.854909430637644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8">$B75/($E13*13)</f>
        <v>1.0624734381640459</v>
      </c>
      <c r="G36" s="38">
        <f t="shared" si="8"/>
        <v>1.0624734381640459</v>
      </c>
      <c r="H36" s="38">
        <f t="shared" si="8"/>
        <v>1.0624734381640459</v>
      </c>
      <c r="I36" s="38">
        <f t="shared" si="8"/>
        <v>1.0624734381640459</v>
      </c>
      <c r="J36" s="39">
        <f>$B76/($J13*4)</f>
        <v>2.1186440677966103</v>
      </c>
      <c r="K36" s="39">
        <f t="shared" ref="K36:M36" si="9">$B76/($J13*4)</f>
        <v>2.1186440677966103</v>
      </c>
      <c r="L36" s="39">
        <f t="shared" si="9"/>
        <v>2.1186440677966103</v>
      </c>
      <c r="M36" s="39">
        <f t="shared" si="9"/>
        <v>2.1186440677966103</v>
      </c>
      <c r="N36" s="38">
        <f>$B75/($E13*13)</f>
        <v>1.0624734381640459</v>
      </c>
      <c r="O36" s="38">
        <f t="shared" ref="O36:U36" si="10">$B75/($E13*13)</f>
        <v>1.0624734381640459</v>
      </c>
      <c r="P36" s="38">
        <f t="shared" si="10"/>
        <v>1.0624734381640459</v>
      </c>
      <c r="Q36" s="38">
        <f t="shared" si="10"/>
        <v>1.0624734381640459</v>
      </c>
      <c r="R36" s="39">
        <f t="shared" si="10"/>
        <v>1.0624734381640459</v>
      </c>
      <c r="S36" s="39">
        <f t="shared" si="10"/>
        <v>1.0624734381640459</v>
      </c>
      <c r="T36" s="39">
        <f t="shared" si="10"/>
        <v>1.0624734381640459</v>
      </c>
      <c r="U36" s="455">
        <f t="shared" si="10"/>
        <v>1.0624734381640459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296.61016949152537</v>
      </c>
      <c r="K39" s="31">
        <f>($B81*$B6)/($J$13*4)</f>
        <v>296.61016949152537</v>
      </c>
      <c r="L39" s="31">
        <f>($B81*$B6)/($J$13*4)</f>
        <v>296.61016949152537</v>
      </c>
      <c r="M39" s="31">
        <f>($B81*$B6)/($J$13*4)</f>
        <v>296.61016949152537</v>
      </c>
      <c r="N39" s="30">
        <f>($B81*$B6)/($N$13*4)</f>
        <v>295.77464788732391</v>
      </c>
      <c r="O39" s="30">
        <f>($B81*$B6)/($N$13*4)</f>
        <v>295.77464788732391</v>
      </c>
      <c r="P39" s="30">
        <f>($B81*$B6)/($N$13*4)</f>
        <v>295.77464788732391</v>
      </c>
      <c r="Q39" s="30">
        <f>($B81*$B6)/($N$13*4)</f>
        <v>295.77464788732391</v>
      </c>
      <c r="R39" s="32">
        <f>($B81*$B6)/($R$13*4)</f>
        <v>290.0552486187845</v>
      </c>
      <c r="S39" s="32">
        <f>($B81*$B6)/($R$13*4)</f>
        <v>290.0552486187845</v>
      </c>
      <c r="T39" s="32">
        <f>($B81*$B6)/($R$13*4)</f>
        <v>290.0552486187845</v>
      </c>
      <c r="U39" s="494">
        <f>($B81*$B6)/($R$13*4)</f>
        <v>290.0552486187845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823.2461788087918</v>
      </c>
      <c r="K40" s="27">
        <f>(($B6*(1+$B78)-($B85*$B6))/($B79*$J$12))/4</f>
        <v>823.2461788087918</v>
      </c>
      <c r="L40" s="27">
        <f>(($B6*(1+$B78)-($B85*$B6))/($B79*$J$12))/4</f>
        <v>823.2461788087918</v>
      </c>
      <c r="M40" s="27">
        <f>(($B6*(1+$B78)-($B85*$B6))/($B79*$J$12))/4</f>
        <v>823.2461788087918</v>
      </c>
      <c r="N40" s="26">
        <f>(($B6*(1+$B78)-($B85*$B6))/($B79*$N$12))/4</f>
        <v>772.0870678617157</v>
      </c>
      <c r="O40" s="26">
        <f>(($B6*(1+$B78)-($B85*$B6))/($B79*$N$12))/4</f>
        <v>772.0870678617157</v>
      </c>
      <c r="P40" s="26">
        <f>(($B6*(1+$B78)-($B85*$B6))/($B79*$N$12))/4</f>
        <v>772.0870678617157</v>
      </c>
      <c r="Q40" s="26">
        <f>(($B6*(1+$B78)-($B85*$B6))/($B79*$N$12))/4</f>
        <v>772.0870678617157</v>
      </c>
      <c r="R40" s="28">
        <f>(($B6*(1+$B78)-($B85*$B6))/($B79*$R$12))/4</f>
        <v>775.09324957231411</v>
      </c>
      <c r="S40" s="28">
        <f>(($B6*(1+$B78)-($B85*$B6))/($B79*$R$12))/4</f>
        <v>775.09324957231411</v>
      </c>
      <c r="T40" s="28">
        <f>(($B6*(1+$B78)-($B85*$B6))/($B79*$R$12))/4</f>
        <v>775.09324957231411</v>
      </c>
      <c r="U40" s="493">
        <f>(($B6*(1+$B78)-($B85*$B6))/($B79*$R$12))/4</f>
        <v>775.09324957231411</v>
      </c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2334.8021206867525</v>
      </c>
      <c r="K41" s="57">
        <f>$B8*12*K10/$J$12</f>
        <v>1814.5671315272571</v>
      </c>
      <c r="L41" s="57">
        <f>$B8*12*L10/$J$12</f>
        <v>1959.4822888281985</v>
      </c>
      <c r="M41" s="57">
        <f>$B8*12*M10/$J$12</f>
        <v>2196.2332047205036</v>
      </c>
      <c r="N41" s="56">
        <f>$B8*12*N10/$N$12</f>
        <v>3474.4965661739029</v>
      </c>
      <c r="O41" s="56">
        <f>$B8*12*O10/$N$12</f>
        <v>803.23594459317883</v>
      </c>
      <c r="P41" s="56">
        <f>$B8*12*P10/$N$12</f>
        <v>1269.63100919567</v>
      </c>
      <c r="Q41" s="56">
        <f>$B8*12*Q10/$N$12</f>
        <v>2734.3266208823188</v>
      </c>
      <c r="R41" s="58">
        <f>$B8*12*R10/$R$12</f>
        <v>2644.8523431584267</v>
      </c>
      <c r="S41" s="58">
        <f>$B8*12*S10/$R$12</f>
        <v>1324.6347140813868</v>
      </c>
      <c r="T41" s="58">
        <f>$B8*12*T10/$R$12</f>
        <v>2709.636256555515</v>
      </c>
      <c r="U41" s="496">
        <f>$B8*12*U10/$R$12</f>
        <v>1442.4236475306393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4993962.1295954324</v>
      </c>
    </row>
    <row r="49" spans="1:5" ht="14.45">
      <c r="A49" s="61"/>
      <c r="B49" s="62"/>
      <c r="D49" t="s">
        <v>177</v>
      </c>
      <c r="E49" s="108">
        <f>SUM(E22:I22)*E13+SUM(J22:M22)*J13+SUM(N22:Q22)*N13+SUM(R22:U22)*R13</f>
        <v>17502947.694930263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SUM(E23:I28)*E13+SUM(J23:M28)*J13+SUM(N23:Q28)*N13+SUM(R23:U28)*R13</f>
        <v>6337670.9207099937</v>
      </c>
    </row>
    <row r="52" spans="1:5" ht="14.45">
      <c r="A52" s="63"/>
      <c r="B52" s="66"/>
      <c r="D52" t="s">
        <v>180</v>
      </c>
      <c r="E52" s="108">
        <f>SUM(E40:I40)*E13+SUM(J40:M40)*J13+SUM(N40:Q40)*N13+SUM(R40:U40)*R13</f>
        <v>4982590.9673131229</v>
      </c>
    </row>
    <row r="53" spans="1:5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5" ht="15" thickBot="1">
      <c r="A56" s="68" t="s">
        <v>279</v>
      </c>
      <c r="D56" t="s">
        <v>184</v>
      </c>
      <c r="E56" s="49" t="e">
        <f>SUM(E30:U36)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SUM(E38:U41)</f>
        <v>51416.406097932937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768E-0142-41B8-9687-97C5A4DD0A1E}">
  <dimension ref="A1:V140"/>
  <sheetViews>
    <sheetView topLeftCell="F29" zoomScale="40" zoomScaleNormal="40" workbookViewId="0">
      <selection activeCell="G153" sqref="G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3901.9775837177745</v>
      </c>
      <c r="K12" s="855"/>
      <c r="L12" s="855"/>
      <c r="M12" s="884"/>
      <c r="N12" s="885">
        <f>SUM(N10:Q10)*N13</f>
        <v>4160.2985074626868</v>
      </c>
      <c r="O12" s="886"/>
      <c r="P12" s="886"/>
      <c r="Q12" s="886"/>
      <c r="R12" s="890">
        <f>SUM(R10:U10)*R13</f>
        <v>3985.4409769335139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Summary!C10</f>
        <v>362</v>
      </c>
      <c r="F13" s="852"/>
      <c r="G13" s="852"/>
      <c r="H13" s="852"/>
      <c r="I13" s="853"/>
      <c r="J13" s="854">
        <f>Summary!D10</f>
        <v>361</v>
      </c>
      <c r="K13" s="855"/>
      <c r="L13" s="855"/>
      <c r="M13" s="884"/>
      <c r="N13" s="885">
        <f>Summary!E10</f>
        <v>362</v>
      </c>
      <c r="O13" s="886"/>
      <c r="P13" s="886"/>
      <c r="Q13" s="886"/>
      <c r="R13" s="890">
        <f>Summary!F10</f>
        <v>355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71.497025432091533</v>
      </c>
      <c r="K30" s="27">
        <f>(($B73*(K9/1.852))+(980*$B9/1000))*K10/$J12</f>
        <v>55.537203358092391</v>
      </c>
      <c r="L30" s="27">
        <f>(($B73*(L9/1.852))+(980*$B9/1000))*L10/$J12</f>
        <v>59.981252923590915</v>
      </c>
      <c r="M30" s="27">
        <f>(($B73*(M9/1.852))+(980*$B9/1000))*M10/$J12</f>
        <v>67.244367875129882</v>
      </c>
      <c r="N30" s="26">
        <f>(($B73*(N9/1.852))+(980*$B9/1000))*N10/$N12</f>
        <v>106.54927507698842</v>
      </c>
      <c r="O30" s="26">
        <f>(($B73*(O9/1.852))+(980*$B9/1000))*O10/$N12</f>
        <v>24.561765668679516</v>
      </c>
      <c r="P30" s="26">
        <f>(($B73*(P9/1.852))+(980*$B9/1000))*P10/$N12</f>
        <v>38.842851502978796</v>
      </c>
      <c r="Q30" s="26">
        <f>(($B73*(Q9/1.852))+(980*$B9/1000))*Q10/$N12</f>
        <v>83.784787443752137</v>
      </c>
      <c r="R30" s="28">
        <f>(($B73*(R9/1.852))+(980*$B9/1000))*R10/$R12</f>
        <v>84.261715801013295</v>
      </c>
      <c r="S30" s="28">
        <f>(($B73*(S9/1.852))+(980*$B9/1000))*S10/$R12</f>
        <v>42.141827001264559</v>
      </c>
      <c r="T30" s="28">
        <f>(($B73*(T9/1.852))+(980*$B9/1000))*T10/$R12</f>
        <v>86.331612598998703</v>
      </c>
      <c r="U30" s="493">
        <f>(($B73*(U9/1.852))+(980*$B9/1000))*U10/$R12</f>
        <v>45.894925213610406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26.929299761470432</v>
      </c>
      <c r="K33" s="505">
        <f>[2]Profitability!$AQ68/$J$13</f>
        <v>26.929299761470432</v>
      </c>
      <c r="L33" s="505">
        <f>[2]Profitability!$AQ68/$J$13</f>
        <v>26.929299761470432</v>
      </c>
      <c r="M33" s="505">
        <f>[2]Profitability!$AQ68/$J$13</f>
        <v>26.929299761470432</v>
      </c>
      <c r="N33" s="504">
        <f>[2]Profitability!$AQ68/$N$13</f>
        <v>26.854909430637644</v>
      </c>
      <c r="O33" s="504">
        <f>[2]Profitability!$AQ68/$N$13</f>
        <v>26.854909430637644</v>
      </c>
      <c r="P33" s="504">
        <f>[2]Profitability!$AQ68/$N$13</f>
        <v>26.854909430637644</v>
      </c>
      <c r="Q33" s="504">
        <f>[2]Profitability!$AQ68/$N$13</f>
        <v>26.854909430637644</v>
      </c>
      <c r="R33" s="505">
        <f>[2]Profitability!$AQ68/$R$13</f>
        <v>27.384442856030496</v>
      </c>
      <c r="S33" s="505">
        <f>[2]Profitability!$AQ68/$R$13</f>
        <v>27.384442856030496</v>
      </c>
      <c r="T33" s="505">
        <f>[2]Profitability!$AQ68/$R$13</f>
        <v>27.384442856030496</v>
      </c>
      <c r="U33" s="506">
        <f>[2]Profitability!$AQ68/$R$13</f>
        <v>27.384442856030496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8">$B75/($E13*13)</f>
        <v>1.0624734381640459</v>
      </c>
      <c r="G36" s="38">
        <f t="shared" si="8"/>
        <v>1.0624734381640459</v>
      </c>
      <c r="H36" s="38">
        <f t="shared" si="8"/>
        <v>1.0624734381640459</v>
      </c>
      <c r="I36" s="38">
        <f t="shared" si="8"/>
        <v>1.0624734381640459</v>
      </c>
      <c r="J36" s="39">
        <f>$B76/($J13*4)</f>
        <v>2.0775623268698062</v>
      </c>
      <c r="K36" s="39">
        <f t="shared" ref="K36:M36" si="9">$B76/($J13*4)</f>
        <v>2.0775623268698062</v>
      </c>
      <c r="L36" s="39">
        <f t="shared" si="9"/>
        <v>2.0775623268698062</v>
      </c>
      <c r="M36" s="39">
        <f t="shared" si="9"/>
        <v>2.0775623268698062</v>
      </c>
      <c r="N36" s="38">
        <f>$B75/($E13*13)</f>
        <v>1.0624734381640459</v>
      </c>
      <c r="O36" s="38">
        <f t="shared" ref="O36:U36" si="10">$B75/($E13*13)</f>
        <v>1.0624734381640459</v>
      </c>
      <c r="P36" s="38">
        <f t="shared" si="10"/>
        <v>1.0624734381640459</v>
      </c>
      <c r="Q36" s="38">
        <f t="shared" si="10"/>
        <v>1.0624734381640459</v>
      </c>
      <c r="R36" s="39">
        <f t="shared" si="10"/>
        <v>1.0624734381640459</v>
      </c>
      <c r="S36" s="39">
        <f t="shared" si="10"/>
        <v>1.0624734381640459</v>
      </c>
      <c r="T36" s="39">
        <f t="shared" si="10"/>
        <v>1.0624734381640459</v>
      </c>
      <c r="U36" s="455">
        <f t="shared" si="10"/>
        <v>1.0624734381640459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290.8587257617728</v>
      </c>
      <c r="K39" s="31">
        <f>($B81*$B6)/($J$13*4)</f>
        <v>290.8587257617728</v>
      </c>
      <c r="L39" s="31">
        <f>($B81*$B6)/($J$13*4)</f>
        <v>290.8587257617728</v>
      </c>
      <c r="M39" s="31">
        <f>($B81*$B6)/($J$13*4)</f>
        <v>290.8587257617728</v>
      </c>
      <c r="N39" s="30">
        <f>($B81*$B6)/($N$13*4)</f>
        <v>290.0552486187845</v>
      </c>
      <c r="O39" s="30">
        <f>($B81*$B6)/($N$13*4)</f>
        <v>290.0552486187845</v>
      </c>
      <c r="P39" s="30">
        <f>($B81*$B6)/($N$13*4)</f>
        <v>290.0552486187845</v>
      </c>
      <c r="Q39" s="30">
        <f>($B81*$B6)/($N$13*4)</f>
        <v>290.0552486187845</v>
      </c>
      <c r="R39" s="32">
        <f>($B81*$B6)/($R$13*4)</f>
        <v>295.77464788732391</v>
      </c>
      <c r="S39" s="32">
        <f>($B81*$B6)/($R$13*4)</f>
        <v>295.77464788732391</v>
      </c>
      <c r="T39" s="32">
        <f>($B81*$B6)/($R$13*4)</f>
        <v>295.77464788732391</v>
      </c>
      <c r="U39" s="494">
        <f>($B81*$B6)/($R$13*4)</f>
        <v>295.77464788732391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807.28295650502025</v>
      </c>
      <c r="K40" s="27">
        <f>(($B6*(1+$B78)-($B85*$B6))/($B79*$J$12))/4</f>
        <v>807.28295650502025</v>
      </c>
      <c r="L40" s="27">
        <f>(($B6*(1+$B78)-($B85*$B6))/($B79*$J$12))/4</f>
        <v>807.28295650502025</v>
      </c>
      <c r="M40" s="27">
        <f>(($B6*(1+$B78)-($B85*$B6))/($B79*$J$12))/4</f>
        <v>807.28295650502025</v>
      </c>
      <c r="N40" s="26">
        <f>(($B6*(1+$B78)-($B85*$B6))/($B79*$N$12))/4</f>
        <v>757.15720743345059</v>
      </c>
      <c r="O40" s="26">
        <f>(($B6*(1+$B78)-($B85*$B6))/($B79*$N$12))/4</f>
        <v>757.15720743345059</v>
      </c>
      <c r="P40" s="26">
        <f>(($B6*(1+$B78)-($B85*$B6))/($B79*$N$12))/4</f>
        <v>757.15720743345059</v>
      </c>
      <c r="Q40" s="26">
        <f>(($B6*(1+$B78)-($B85*$B6))/($B79*$N$12))/4</f>
        <v>757.15720743345059</v>
      </c>
      <c r="R40" s="28">
        <f>(($B6*(1+$B78)-($B85*$B6))/($B79*$R$12))/4</f>
        <v>790.37677843712027</v>
      </c>
      <c r="S40" s="28">
        <f>(($B6*(1+$B78)-($B85*$B6))/($B79*$R$12))/4</f>
        <v>790.37677843712027</v>
      </c>
      <c r="T40" s="28">
        <f>(($B6*(1+$B78)-($B85*$B6))/($B79*$R$12))/4</f>
        <v>790.37677843712027</v>
      </c>
      <c r="U40" s="493">
        <f>(($B6*(1+$B78)-($B85*$B6))/($B79*$R$12))/4</f>
        <v>790.37677843712027</v>
      </c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2289.5289493714968</v>
      </c>
      <c r="K41" s="57">
        <f>$B8*12*K10/$J$12</f>
        <v>1779.3816192815764</v>
      </c>
      <c r="L41" s="57">
        <f>$B8*12*L10/$J$12</f>
        <v>1921.4867873827766</v>
      </c>
      <c r="M41" s="57">
        <f>$B8*12*M10/$J$12</f>
        <v>2153.6469652937903</v>
      </c>
      <c r="N41" s="56">
        <f>$B8*12*N10/$N$12</f>
        <v>3407.3101684854569</v>
      </c>
      <c r="O41" s="56">
        <f>$B8*12*O10/$N$12</f>
        <v>787.7037578192776</v>
      </c>
      <c r="P41" s="56">
        <f>$B8*12*P10/$N$12</f>
        <v>1245.0801333272452</v>
      </c>
      <c r="Q41" s="56">
        <f>$B8*12*Q10/$N$12</f>
        <v>2681.4529016939869</v>
      </c>
      <c r="R41" s="58">
        <f>$B8*12*R10/$R$12</f>
        <v>2697.0043611925362</v>
      </c>
      <c r="S41" s="58">
        <f>$B8*12*S10/$R$12</f>
        <v>1350.7542718238367</v>
      </c>
      <c r="T41" s="58">
        <f>$B8*12*T10/$R$12</f>
        <v>2763.0657038678773</v>
      </c>
      <c r="U41" s="496">
        <f>$B8*12*U10/$R$12</f>
        <v>1470.865803960821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5020078.0792275667</v>
      </c>
    </row>
    <row r="49" spans="1:5" ht="14.45">
      <c r="A49" s="61"/>
      <c r="B49" s="62"/>
      <c r="D49" t="s">
        <v>177</v>
      </c>
      <c r="E49" s="108">
        <f>SUM(E22:I22)*E13+SUM(J22:M22)*J13+SUM(N22:Q22)*N13+SUM(R22:U22)*R13</f>
        <v>17596626.824787531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SUM(E23:I28)*E13+SUM(J23:M28)*J13+SUM(N23:Q28)*N13+SUM(R23:U28)*R13</f>
        <v>6369841.4689407721</v>
      </c>
    </row>
    <row r="52" spans="1:5" ht="14.45">
      <c r="A52" s="63"/>
      <c r="B52" s="66"/>
      <c r="D52" t="s">
        <v>180</v>
      </c>
      <c r="E52" s="108">
        <f>SUM(E40:I40)*E13+SUM(J40:M40)*J13+SUM(N40:Q40)*N13+SUM(R40:U40)*R13</f>
        <v>4982590.9673131239</v>
      </c>
    </row>
    <row r="53" spans="1:5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5" ht="15" thickBot="1">
      <c r="A56" s="68" t="s">
        <v>279</v>
      </c>
      <c r="D56" t="s">
        <v>184</v>
      </c>
      <c r="E56" s="49" t="e">
        <f>SUM(E30:U36)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SUM(E38:U41)</f>
        <v>51169.921683111927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78A-F6FB-4E0A-8DC4-6BFF9D8DCED6}">
  <dimension ref="A1:V140"/>
  <sheetViews>
    <sheetView topLeftCell="D29" zoomScale="55" zoomScaleNormal="55" workbookViewId="0">
      <selection activeCell="H153" sqref="H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2798.8161465400271</v>
      </c>
      <c r="F12" s="852"/>
      <c r="G12" s="852"/>
      <c r="H12" s="852"/>
      <c r="I12" s="853"/>
      <c r="J12" s="854">
        <f>SUM(J10:M10)*J13</f>
        <v>3599.3311229308001</v>
      </c>
      <c r="K12" s="855"/>
      <c r="L12" s="855"/>
      <c r="M12" s="884"/>
      <c r="N12" s="885">
        <f>SUM(N10:Q10)*N13</f>
        <v>4079.8507462686566</v>
      </c>
      <c r="O12" s="886"/>
      <c r="P12" s="886"/>
      <c r="Q12" s="886"/>
      <c r="R12" s="890">
        <f>SUM(R10:U10)*R13</f>
        <v>4064.0271370420619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Summary!C11</f>
        <v>355</v>
      </c>
      <c r="F13" s="852"/>
      <c r="G13" s="852"/>
      <c r="H13" s="852"/>
      <c r="I13" s="853"/>
      <c r="J13" s="854">
        <f>Summary!D11</f>
        <v>333</v>
      </c>
      <c r="K13" s="855"/>
      <c r="L13" s="855"/>
      <c r="M13" s="884"/>
      <c r="N13" s="885">
        <f>Summary!E11</f>
        <v>355</v>
      </c>
      <c r="O13" s="886"/>
      <c r="P13" s="886"/>
      <c r="Q13" s="886"/>
      <c r="R13" s="890">
        <f>Summary!F11</f>
        <v>362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61.923750697328011</v>
      </c>
      <c r="F30" s="26">
        <f>(($B73*(F9/1.852))+(980*$B9/1000))*F10/$E12</f>
        <v>47.143478019871949</v>
      </c>
      <c r="G30" s="26">
        <f>(($B73*(G9/1.852))+(980*$B9/1000))*G10/$E12</f>
        <v>57.159107312341405</v>
      </c>
      <c r="H30" s="26">
        <f>(($B73*(H9/1.852))+(980*$B9/1000))*H10/$E12</f>
        <v>57.159107312341405</v>
      </c>
      <c r="I30" s="26">
        <f>(($B73*(I9/1.852))+(980*$B9/1000))*I10/$E12</f>
        <v>34.953037953405087</v>
      </c>
      <c r="J30" s="27">
        <f>(($B73*(J9/1.852))+(980*$B9/1000))*J10/$J12</f>
        <v>77.508787330285415</v>
      </c>
      <c r="K30" s="27">
        <f>(($B73*(K9/1.852))+(980*$B9/1000))*K10/$J12</f>
        <v>60.206998235049113</v>
      </c>
      <c r="L30" s="27">
        <f>(($B73*(L9/1.852))+(980*$B9/1000))*L10/$J12</f>
        <v>65.024721637886856</v>
      </c>
      <c r="M30" s="27">
        <f>(($B73*(M9/1.852))+(980*$B9/1000))*M10/$J12</f>
        <v>72.898548957723392</v>
      </c>
      <c r="N30" s="26">
        <f>(($B73*(N9/1.852))+(980*$B9/1000))*N10/$N12</f>
        <v>108.65024669822482</v>
      </c>
      <c r="O30" s="26">
        <f>(($B73*(O9/1.852))+(980*$B9/1000))*O10/$N12</f>
        <v>25.046082174822494</v>
      </c>
      <c r="P30" s="26">
        <f>(($B73*(P9/1.852))+(980*$B9/1000))*P10/$N12</f>
        <v>39.608766884727679</v>
      </c>
      <c r="Q30" s="26">
        <f>(($B73*(Q9/1.852))+(980*$B9/1000))*Q10/$N12</f>
        <v>85.436881844051484</v>
      </c>
      <c r="R30" s="28">
        <f>(($B73*(R9/1.852))+(980*$B9/1000))*R10/$R12</f>
        <v>82.63234560596608</v>
      </c>
      <c r="S30" s="28">
        <f>(($B73*(S9/1.852))+(980*$B9/1000))*S10/$R12</f>
        <v>41.326929794057783</v>
      </c>
      <c r="T30" s="28">
        <f>(($B73*(T9/1.852))+(980*$B9/1000))*T10/$R12</f>
        <v>84.662216775261157</v>
      </c>
      <c r="U30" s="493">
        <f>(($B73*(U9/1.852))+(980*$B9/1000))*U10/$R12</f>
        <v>45.007454284065453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27.384442856030496</v>
      </c>
      <c r="F33" s="504">
        <f>[2]Profitability!$AQ68/$E$13</f>
        <v>27.384442856030496</v>
      </c>
      <c r="G33" s="504">
        <f>[2]Profitability!$AQ68/$E$13</f>
        <v>27.384442856030496</v>
      </c>
      <c r="H33" s="504">
        <f>[2]Profitability!$AQ68/$E$13</f>
        <v>27.384442856030496</v>
      </c>
      <c r="I33" s="504">
        <f>[2]Profitability!$AQ68/$E$13</f>
        <v>27.384442856030496</v>
      </c>
      <c r="J33" s="505">
        <f>[2]Profitability!$AQ68/$J$13</f>
        <v>29.193625266939421</v>
      </c>
      <c r="K33" s="505">
        <f>[2]Profitability!$AQ68/$J$13</f>
        <v>29.193625266939421</v>
      </c>
      <c r="L33" s="505">
        <f>[2]Profitability!$AQ68/$J$13</f>
        <v>29.193625266939421</v>
      </c>
      <c r="M33" s="505">
        <f>[2]Profitability!$AQ68/$J$13</f>
        <v>29.193625266939421</v>
      </c>
      <c r="N33" s="504">
        <f>[2]Profitability!$AQ68/$N$13</f>
        <v>27.384442856030496</v>
      </c>
      <c r="O33" s="504">
        <f>[2]Profitability!$AQ68/$N$13</f>
        <v>27.384442856030496</v>
      </c>
      <c r="P33" s="504">
        <f>[2]Profitability!$AQ68/$N$13</f>
        <v>27.384442856030496</v>
      </c>
      <c r="Q33" s="504">
        <f>[2]Profitability!$AQ68/$N$13</f>
        <v>27.384442856030496</v>
      </c>
      <c r="R33" s="505">
        <f>[2]Profitability!$AQ68/$R$13</f>
        <v>26.854909430637644</v>
      </c>
      <c r="S33" s="505">
        <f>[2]Profitability!$AQ68/$R$13</f>
        <v>26.854909430637644</v>
      </c>
      <c r="T33" s="505">
        <f>[2]Profitability!$AQ68/$R$13</f>
        <v>26.854909430637644</v>
      </c>
      <c r="U33" s="506">
        <f>[2]Profitability!$AQ68/$R$13</f>
        <v>26.854909430637644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1.0834236186348862</v>
      </c>
      <c r="F36" s="38">
        <f t="shared" ref="F36:I36" si="8">$B75/($E13*13)</f>
        <v>1.0834236186348862</v>
      </c>
      <c r="G36" s="38">
        <f t="shared" si="8"/>
        <v>1.0834236186348862</v>
      </c>
      <c r="H36" s="38">
        <f t="shared" si="8"/>
        <v>1.0834236186348862</v>
      </c>
      <c r="I36" s="38">
        <f t="shared" si="8"/>
        <v>1.0834236186348862</v>
      </c>
      <c r="J36" s="39">
        <f>$B76/($J13*4)</f>
        <v>2.2522522522522523</v>
      </c>
      <c r="K36" s="39">
        <f t="shared" ref="K36:M36" si="9">$B76/($J13*4)</f>
        <v>2.2522522522522523</v>
      </c>
      <c r="L36" s="39">
        <f t="shared" si="9"/>
        <v>2.2522522522522523</v>
      </c>
      <c r="M36" s="39">
        <f t="shared" si="9"/>
        <v>2.2522522522522523</v>
      </c>
      <c r="N36" s="38">
        <f>$B75/($E13*13)</f>
        <v>1.0834236186348862</v>
      </c>
      <c r="O36" s="38">
        <f t="shared" ref="O36:U36" si="10">$B75/($E13*13)</f>
        <v>1.0834236186348862</v>
      </c>
      <c r="P36" s="38">
        <f t="shared" si="10"/>
        <v>1.0834236186348862</v>
      </c>
      <c r="Q36" s="38">
        <f t="shared" si="10"/>
        <v>1.0834236186348862</v>
      </c>
      <c r="R36" s="39">
        <f t="shared" si="10"/>
        <v>1.0834236186348862</v>
      </c>
      <c r="S36" s="39">
        <f t="shared" si="10"/>
        <v>1.0834236186348862</v>
      </c>
      <c r="T36" s="39">
        <f t="shared" si="10"/>
        <v>1.0834236186348862</v>
      </c>
      <c r="U36" s="455">
        <f t="shared" si="10"/>
        <v>1.0834236186348862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236.61971830985911</v>
      </c>
      <c r="F39" s="30">
        <f>($B81*$B6)/($E13*5)</f>
        <v>236.61971830985911</v>
      </c>
      <c r="G39" s="30">
        <f>($B81*$B6)/($E13*5)</f>
        <v>236.61971830985911</v>
      </c>
      <c r="H39" s="30">
        <f>($B81*$B6)/($E13*5)</f>
        <v>236.61971830985911</v>
      </c>
      <c r="I39" s="30">
        <f>($B81*$B6)/($E13*5)</f>
        <v>236.61971830985911</v>
      </c>
      <c r="J39" s="31">
        <f>($B81*$B6)/($J$13*4)</f>
        <v>315.31531531531527</v>
      </c>
      <c r="K39" s="31">
        <f>($B81*$B6)/($J$13*4)</f>
        <v>315.31531531531527</v>
      </c>
      <c r="L39" s="31">
        <f>($B81*$B6)/($J$13*4)</f>
        <v>315.31531531531527</v>
      </c>
      <c r="M39" s="31">
        <f>($B81*$B6)/($J$13*4)</f>
        <v>315.31531531531527</v>
      </c>
      <c r="N39" s="30">
        <f>($B81*$B6)/($N$13*4)</f>
        <v>295.77464788732391</v>
      </c>
      <c r="O39" s="30">
        <f>($B81*$B6)/($N$13*4)</f>
        <v>295.77464788732391</v>
      </c>
      <c r="P39" s="30">
        <f>($B81*$B6)/($N$13*4)</f>
        <v>295.77464788732391</v>
      </c>
      <c r="Q39" s="30">
        <f>($B81*$B6)/($N$13*4)</f>
        <v>295.77464788732391</v>
      </c>
      <c r="R39" s="32">
        <f>($B81*$B6)/($R$13*4)</f>
        <v>290.0552486187845</v>
      </c>
      <c r="S39" s="32">
        <f>($B81*$B6)/($R$13*4)</f>
        <v>290.0552486187845</v>
      </c>
      <c r="T39" s="32">
        <f>($B81*$B6)/($R$13*4)</f>
        <v>290.0552486187845</v>
      </c>
      <c r="U39" s="494">
        <f>($B81*$B6)/($R$13*4)</f>
        <v>290.0552486187845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900.3806852819871</v>
      </c>
      <c r="F40" s="26">
        <f>(($B6*(1+$B78)-($B85*$B6))/($B79*$E$12))/5</f>
        <v>900.3806852819871</v>
      </c>
      <c r="G40" s="26">
        <f>(($B6*(1+$B78)-($B85*$B6))/($B79*$E$12))/5</f>
        <v>900.3806852819871</v>
      </c>
      <c r="H40" s="26">
        <f>(($B6*(1+$B78)-($B85*$B6))/($B79*$E$12))/5</f>
        <v>900.3806852819871</v>
      </c>
      <c r="I40" s="26">
        <f>(($B6*(1+$B78)-($B85*$B6))/($B79*$E$12))/5</f>
        <v>900.3806852819871</v>
      </c>
      <c r="J40" s="27">
        <f>(($B6*(1+$B78)-($B85*$B6))/($B79*$J$12))/4</f>
        <v>875.16260449943627</v>
      </c>
      <c r="K40" s="27">
        <f>(($B6*(1+$B78)-($B85*$B6))/($B79*$J$12))/4</f>
        <v>875.16260449943627</v>
      </c>
      <c r="L40" s="27">
        <f>(($B6*(1+$B78)-($B85*$B6))/($B79*$J$12))/4</f>
        <v>875.16260449943627</v>
      </c>
      <c r="M40" s="27">
        <f>(($B6*(1+$B78)-($B85*$B6))/($B79*$J$12))/4</f>
        <v>875.16260449943627</v>
      </c>
      <c r="N40" s="26">
        <f>(($B6*(1+$B78)-($B85*$B6))/($B79*$N$12))/4</f>
        <v>772.0870678617157</v>
      </c>
      <c r="O40" s="26">
        <f>(($B6*(1+$B78)-($B85*$B6))/($B79*$N$12))/4</f>
        <v>772.0870678617157</v>
      </c>
      <c r="P40" s="26">
        <f>(($B6*(1+$B78)-($B85*$B6))/($B79*$N$12))/4</f>
        <v>772.0870678617157</v>
      </c>
      <c r="Q40" s="26">
        <f>(($B6*(1+$B78)-($B85*$B6))/($B79*$N$12))/4</f>
        <v>772.0870678617157</v>
      </c>
      <c r="R40" s="28">
        <f>(($B6*(1+$B78)-($B85*$B6))/($B79*$R$12))/4</f>
        <v>775.09324957231411</v>
      </c>
      <c r="S40" s="28">
        <f>(($B6*(1+$B78)-($B85*$B6))/($B79*$R$12))/4</f>
        <v>775.09324957231411</v>
      </c>
      <c r="T40" s="28">
        <f>(($B6*(1+$B78)-($B85*$B6))/($B79*$R$12))/4</f>
        <v>775.09324957231411</v>
      </c>
      <c r="U40" s="493">
        <f>(($B6*(1+$B78)-($B85*$B6))/($B79*$R$12))/4</f>
        <v>775.09324957231411</v>
      </c>
    </row>
    <row r="41" spans="1:21" ht="13.9" thickBot="1">
      <c r="D41" s="461" t="s">
        <v>213</v>
      </c>
      <c r="E41" s="56">
        <f>$B8*12*E10/$E$12</f>
        <v>1984.7265331945202</v>
      </c>
      <c r="F41" s="56">
        <f>$B8*12*F10/$E$12</f>
        <v>1511.5278193556831</v>
      </c>
      <c r="G41" s="56">
        <f>$B8*12*G10/$E$12</f>
        <v>1832.2197187946542</v>
      </c>
      <c r="H41" s="56">
        <f>$B8*12*H10/$E$12</f>
        <v>1832.2197187946542</v>
      </c>
      <c r="I41" s="56">
        <f>$B8*12*I10/$E$12</f>
        <v>1120.9963507055584</v>
      </c>
      <c r="J41" s="57">
        <f>$B8*12*J10/$J$12</f>
        <v>2482.0418940633945</v>
      </c>
      <c r="K41" s="57">
        <f>$B8*12*K10/$J$12</f>
        <v>1928.9992929749224</v>
      </c>
      <c r="L41" s="57">
        <f>$B8*12*L10/$J$12</f>
        <v>2083.0532439795265</v>
      </c>
      <c r="M41" s="57">
        <f>$B8*12*M10/$J$12</f>
        <v>2334.7343978109861</v>
      </c>
      <c r="N41" s="56">
        <f>$B8*12*N10/$N$12</f>
        <v>3474.4965661739029</v>
      </c>
      <c r="O41" s="56">
        <f>$B8*12*O10/$N$12</f>
        <v>803.23594459317883</v>
      </c>
      <c r="P41" s="56">
        <f>$B8*12*P10/$N$12</f>
        <v>1269.63100919567</v>
      </c>
      <c r="Q41" s="56">
        <f>$B8*12*Q10/$N$12</f>
        <v>2734.3266208823188</v>
      </c>
      <c r="R41" s="58">
        <f>$B8*12*R10/$R$12</f>
        <v>2644.8523431584267</v>
      </c>
      <c r="S41" s="58">
        <f>$B8*12*S10/$R$12</f>
        <v>1324.6347140813868</v>
      </c>
      <c r="T41" s="58">
        <f>$B8*12*T10/$R$12</f>
        <v>2709.636256555515</v>
      </c>
      <c r="U41" s="496">
        <f>$B8*12*U10/$R$12</f>
        <v>1442.4236475306393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4898904.0271068104</v>
      </c>
    </row>
    <row r="49" spans="1:8" ht="14.45">
      <c r="A49" s="61"/>
      <c r="B49" s="62"/>
      <c r="D49" t="s">
        <v>177</v>
      </c>
      <c r="E49" s="108">
        <f>SUM(E22:I22)*E13+SUM(J22:M22)*J13+SUM(N22:Q22)*N13+SUM(R22:U22)*R13</f>
        <v>17171452.940012924</v>
      </c>
    </row>
    <row r="50" spans="1:8" ht="15.6" customHeight="1">
      <c r="A50" s="63"/>
      <c r="B50" s="64"/>
      <c r="D50" t="s">
        <v>178</v>
      </c>
      <c r="E50" t="s">
        <v>44</v>
      </c>
    </row>
    <row r="51" spans="1:8" ht="14.45">
      <c r="A51" s="65"/>
      <c r="B51" s="9"/>
      <c r="D51" t="s">
        <v>179</v>
      </c>
      <c r="E51" s="108">
        <f>SUM(E23:I28)*E13+SUM(J23:M28)*J13+SUM(N23:Q28)*N13+SUM(R23:U28)*R13</f>
        <v>6215630.7062797491</v>
      </c>
    </row>
    <row r="52" spans="1:8" ht="14.45">
      <c r="A52" s="63"/>
      <c r="B52" s="66"/>
      <c r="D52" t="s">
        <v>180</v>
      </c>
      <c r="E52" s="108">
        <f>SUM(E40:I40)*E13+SUM(J40:M40)*J13+SUM(N40:Q40)*N13+SUM(R40:U40)*R13</f>
        <v>4982590.9673131229</v>
      </c>
    </row>
    <row r="53" spans="1:8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8" ht="14.45">
      <c r="A54" s="67"/>
      <c r="B54" s="9"/>
      <c r="D54"/>
      <c r="E54"/>
    </row>
    <row r="55" spans="1:8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8" ht="15" thickBot="1">
      <c r="A56" s="68" t="s">
        <v>279</v>
      </c>
      <c r="D56" t="s">
        <v>184</v>
      </c>
      <c r="E56" s="49" t="e">
        <f>SUM(E30:U36)</f>
        <v>#REF!</v>
      </c>
    </row>
    <row r="57" spans="1:8" ht="15" thickTop="1">
      <c r="A57" s="69" t="s">
        <v>280</v>
      </c>
      <c r="B57" s="70">
        <v>1.9</v>
      </c>
      <c r="D57" t="s">
        <v>281</v>
      </c>
      <c r="E57" s="49">
        <f>SUM(E38:U41)</f>
        <v>52492.710624823732</v>
      </c>
    </row>
    <row r="58" spans="1:8" ht="14.65" customHeight="1">
      <c r="A58" s="71" t="s">
        <v>282</v>
      </c>
      <c r="B58" s="72">
        <v>18950</v>
      </c>
    </row>
    <row r="59" spans="1:8">
      <c r="A59" s="73" t="s">
        <v>283</v>
      </c>
      <c r="B59" s="74">
        <f>B58/1050</f>
        <v>18.047619047619047</v>
      </c>
    </row>
    <row r="60" spans="1:8" ht="14.65" customHeight="1">
      <c r="A60" s="850" t="s">
        <v>284</v>
      </c>
      <c r="B60" s="895"/>
      <c r="H60" s="49">
        <f>SUM(Year6!J30:M30)</f>
        <v>275.63905616094479</v>
      </c>
    </row>
    <row r="61" spans="1:8">
      <c r="A61" s="75" t="s">
        <v>285</v>
      </c>
      <c r="B61" s="74">
        <v>2000</v>
      </c>
    </row>
    <row r="62" spans="1:8">
      <c r="A62" s="75" t="s">
        <v>286</v>
      </c>
      <c r="B62" s="74">
        <v>1.5</v>
      </c>
    </row>
    <row r="63" spans="1:8">
      <c r="A63" s="75" t="s">
        <v>287</v>
      </c>
      <c r="B63" s="74">
        <f>0.96/30</f>
        <v>3.2000000000000001E-2</v>
      </c>
    </row>
    <row r="64" spans="1:8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F48-F9AF-4F7B-A28D-03EA32AC27C9}">
  <dimension ref="A1:V140"/>
  <sheetViews>
    <sheetView topLeftCell="G29" zoomScale="40" zoomScaleNormal="40" workbookViewId="0">
      <selection activeCell="I153" sqref="I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3901.9775837177745</v>
      </c>
      <c r="K12" s="855"/>
      <c r="L12" s="855"/>
      <c r="M12" s="884"/>
      <c r="N12" s="885">
        <f>SUM(N10:Q10)*N13</f>
        <v>3918.9552238805968</v>
      </c>
      <c r="O12" s="886"/>
      <c r="P12" s="886"/>
      <c r="Q12" s="886"/>
      <c r="R12" s="890">
        <f>SUM(R10:U10)*R13</f>
        <v>3985.4409769335139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Summary!C12</f>
        <v>362</v>
      </c>
      <c r="F13" s="852"/>
      <c r="G13" s="852"/>
      <c r="H13" s="852"/>
      <c r="I13" s="853"/>
      <c r="J13" s="854">
        <f>Summary!D12</f>
        <v>361</v>
      </c>
      <c r="K13" s="855"/>
      <c r="L13" s="855"/>
      <c r="M13" s="884"/>
      <c r="N13" s="885">
        <f>Summary!E12</f>
        <v>341</v>
      </c>
      <c r="O13" s="886"/>
      <c r="P13" s="886"/>
      <c r="Q13" s="886"/>
      <c r="R13" s="890">
        <f>Summary!F12</f>
        <v>355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71.497025432091533</v>
      </c>
      <c r="K30" s="27">
        <f>(($B73*(K9/1.852))+(980*$B9/1000))*K10/$J12</f>
        <v>55.537203358092391</v>
      </c>
      <c r="L30" s="27">
        <f>(($B73*(L9/1.852))+(980*$B9/1000))*L10/$J12</f>
        <v>59.981252923590915</v>
      </c>
      <c r="M30" s="27">
        <f>(($B73*(M9/1.852))+(980*$B9/1000))*M10/$J12</f>
        <v>67.244367875129882</v>
      </c>
      <c r="N30" s="26">
        <f>(($B73*(N9/1.852))+(980*$B9/1000))*N10/$N12</f>
        <v>113.11096063891441</v>
      </c>
      <c r="O30" s="26">
        <f>(($B73*(O9/1.852))+(980*$B9/1000))*O10/$N12</f>
        <v>26.074367073495559</v>
      </c>
      <c r="P30" s="26">
        <f>(($B73*(P9/1.852))+(980*$B9/1000))*P10/$N12</f>
        <v>41.234933267091868</v>
      </c>
      <c r="Q30" s="26">
        <f>(($B73*(Q9/1.852))+(980*$B9/1000))*Q10/$N12</f>
        <v>88.944554412428971</v>
      </c>
      <c r="R30" s="28">
        <f>(($B73*(R9/1.852))+(980*$B9/1000))*R10/$R12</f>
        <v>84.261715801013295</v>
      </c>
      <c r="S30" s="28">
        <f>(($B73*(S9/1.852))+(980*$B9/1000))*S10/$R12</f>
        <v>42.141827001264559</v>
      </c>
      <c r="T30" s="28">
        <f>(($B73*(T9/1.852))+(980*$B9/1000))*T10/$R12</f>
        <v>86.331612598998703</v>
      </c>
      <c r="U30" s="493">
        <f>(($B73*(U9/1.852))+(980*$B9/1000))*U10/$R12</f>
        <v>45.894925213610406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26.929299761470432</v>
      </c>
      <c r="K33" s="505">
        <f>[2]Profitability!$AQ68/$J$13</f>
        <v>26.929299761470432</v>
      </c>
      <c r="L33" s="505">
        <f>[2]Profitability!$AQ68/$J$13</f>
        <v>26.929299761470432</v>
      </c>
      <c r="M33" s="505">
        <f>[2]Profitability!$AQ68/$J$13</f>
        <v>26.929299761470432</v>
      </c>
      <c r="N33" s="504">
        <f>[2]Profitability!$AQ68/$N$13</f>
        <v>28.508730832524417</v>
      </c>
      <c r="O33" s="504">
        <f>[2]Profitability!$AQ68/$N$13</f>
        <v>28.508730832524417</v>
      </c>
      <c r="P33" s="504">
        <f>[2]Profitability!$AQ68/$N$13</f>
        <v>28.508730832524417</v>
      </c>
      <c r="Q33" s="504">
        <f>[2]Profitability!$AQ68/$N$13</f>
        <v>28.508730832524417</v>
      </c>
      <c r="R33" s="505">
        <f>[2]Profitability!$AQ68/$R$13</f>
        <v>27.384442856030496</v>
      </c>
      <c r="S33" s="505">
        <f>[2]Profitability!$AQ68/$R$13</f>
        <v>27.384442856030496</v>
      </c>
      <c r="T33" s="505">
        <f>[2]Profitability!$AQ68/$R$13</f>
        <v>27.384442856030496</v>
      </c>
      <c r="U33" s="506">
        <f>[2]Profitability!$AQ68/$R$13</f>
        <v>27.384442856030496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8">$B75/($E13*13)</f>
        <v>1.0624734381640459</v>
      </c>
      <c r="G36" s="38">
        <f t="shared" si="8"/>
        <v>1.0624734381640459</v>
      </c>
      <c r="H36" s="38">
        <f t="shared" si="8"/>
        <v>1.0624734381640459</v>
      </c>
      <c r="I36" s="38">
        <f t="shared" si="8"/>
        <v>1.0624734381640459</v>
      </c>
      <c r="J36" s="39">
        <f>$B76/($J13*4)</f>
        <v>2.0775623268698062</v>
      </c>
      <c r="K36" s="39">
        <f t="shared" ref="K36:M36" si="9">$B76/($J13*4)</f>
        <v>2.0775623268698062</v>
      </c>
      <c r="L36" s="39">
        <f t="shared" si="9"/>
        <v>2.0775623268698062</v>
      </c>
      <c r="M36" s="39">
        <f t="shared" si="9"/>
        <v>2.0775623268698062</v>
      </c>
      <c r="N36" s="38">
        <f>$B75/($E13*13)</f>
        <v>1.0624734381640459</v>
      </c>
      <c r="O36" s="38">
        <f t="shared" ref="O36:U36" si="10">$B75/($E13*13)</f>
        <v>1.0624734381640459</v>
      </c>
      <c r="P36" s="38">
        <f t="shared" si="10"/>
        <v>1.0624734381640459</v>
      </c>
      <c r="Q36" s="38">
        <f t="shared" si="10"/>
        <v>1.0624734381640459</v>
      </c>
      <c r="R36" s="39">
        <f t="shared" si="10"/>
        <v>1.0624734381640459</v>
      </c>
      <c r="S36" s="39">
        <f t="shared" si="10"/>
        <v>1.0624734381640459</v>
      </c>
      <c r="T36" s="39">
        <f t="shared" si="10"/>
        <v>1.0624734381640459</v>
      </c>
      <c r="U36" s="455">
        <f t="shared" si="10"/>
        <v>1.0624734381640459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290.8587257617728</v>
      </c>
      <c r="K39" s="31">
        <f>($B81*$B6)/($J$13*4)</f>
        <v>290.8587257617728</v>
      </c>
      <c r="L39" s="31">
        <f>($B81*$B6)/($J$13*4)</f>
        <v>290.8587257617728</v>
      </c>
      <c r="M39" s="31">
        <f>($B81*$B6)/($J$13*4)</f>
        <v>290.8587257617728</v>
      </c>
      <c r="N39" s="30">
        <f>($B81*$B6)/($N$13*4)</f>
        <v>307.91788856304981</v>
      </c>
      <c r="O39" s="30">
        <f>($B81*$B6)/($N$13*4)</f>
        <v>307.91788856304981</v>
      </c>
      <c r="P39" s="30">
        <f>($B81*$B6)/($N$13*4)</f>
        <v>307.91788856304981</v>
      </c>
      <c r="Q39" s="30">
        <f>($B81*$B6)/($N$13*4)</f>
        <v>307.91788856304981</v>
      </c>
      <c r="R39" s="32">
        <f>($B81*$B6)/($R$13*4)</f>
        <v>295.77464788732391</v>
      </c>
      <c r="S39" s="32">
        <f>($B81*$B6)/($R$13*4)</f>
        <v>295.77464788732391</v>
      </c>
      <c r="T39" s="32">
        <f>($B81*$B6)/($R$13*4)</f>
        <v>295.77464788732391</v>
      </c>
      <c r="U39" s="494">
        <f>($B81*$B6)/($R$13*4)</f>
        <v>295.77464788732391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807.28295650502025</v>
      </c>
      <c r="K40" s="27">
        <f>(($B6*(1+$B78)-($B85*$B6))/($B79*$J$12))/4</f>
        <v>807.28295650502025</v>
      </c>
      <c r="L40" s="27">
        <f>(($B6*(1+$B78)-($B85*$B6))/($B79*$J$12))/4</f>
        <v>807.28295650502025</v>
      </c>
      <c r="M40" s="27">
        <f>(($B6*(1+$B78)-($B85*$B6))/($B79*$J$12))/4</f>
        <v>807.28295650502025</v>
      </c>
      <c r="N40" s="26">
        <f>(($B6*(1+$B78)-($B85*$B6))/($B79*$N$12))/4</f>
        <v>803.78565715809123</v>
      </c>
      <c r="O40" s="26">
        <f>(($B6*(1+$B78)-($B85*$B6))/($B79*$N$12))/4</f>
        <v>803.78565715809123</v>
      </c>
      <c r="P40" s="26">
        <f>(($B6*(1+$B78)-($B85*$B6))/($B79*$N$12))/4</f>
        <v>803.78565715809123</v>
      </c>
      <c r="Q40" s="26">
        <f>(($B6*(1+$B78)-($B85*$B6))/($B79*$N$12))/4</f>
        <v>803.78565715809123</v>
      </c>
      <c r="R40" s="28">
        <f>(($B6*(1+$B78)-($B85*$B6))/($B79*$R$12))/4</f>
        <v>790.37677843712027</v>
      </c>
      <c r="S40" s="28">
        <f>(($B6*(1+$B78)-($B85*$B6))/($B79*$R$12))/4</f>
        <v>790.37677843712027</v>
      </c>
      <c r="T40" s="28">
        <f>(($B6*(1+$B78)-($B85*$B6))/($B79*$R$12))/4</f>
        <v>790.37677843712027</v>
      </c>
      <c r="U40" s="493">
        <f>(($B6*(1+$B78)-($B85*$B6))/($B79*$R$12))/4</f>
        <v>790.37677843712027</v>
      </c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2289.5289493714968</v>
      </c>
      <c r="K41" s="57">
        <f>$B8*12*K10/$J$12</f>
        <v>1779.3816192815764</v>
      </c>
      <c r="L41" s="57">
        <f>$B8*12*L10/$J$12</f>
        <v>1921.4867873827766</v>
      </c>
      <c r="M41" s="57">
        <f>$B8*12*M10/$J$12</f>
        <v>2153.6469652937903</v>
      </c>
      <c r="N41" s="56">
        <f>$B8*12*N10/$N$12</f>
        <v>3617.1445190373479</v>
      </c>
      <c r="O41" s="56">
        <f>$B8*12*O10/$N$12</f>
        <v>836.21337340345599</v>
      </c>
      <c r="P41" s="56">
        <f>$B8*12*P10/$N$12</f>
        <v>1321.7566224764307</v>
      </c>
      <c r="Q41" s="56">
        <f>$B8*12*Q10/$N$12</f>
        <v>2846.5863648481622</v>
      </c>
      <c r="R41" s="58">
        <f>$B8*12*R10/$R$12</f>
        <v>2697.0043611925362</v>
      </c>
      <c r="S41" s="58">
        <f>$B8*12*S10/$R$12</f>
        <v>1350.7542718238367</v>
      </c>
      <c r="T41" s="58">
        <f>$B8*12*T10/$R$12</f>
        <v>2763.0657038678773</v>
      </c>
      <c r="U41" s="496">
        <f>$B8*12*U10/$R$12</f>
        <v>1470.865803960821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4938774.5763499551</v>
      </c>
    </row>
    <row r="49" spans="1:5" ht="14.45">
      <c r="A49" s="61"/>
      <c r="B49" s="62"/>
      <c r="D49" t="s">
        <v>177</v>
      </c>
      <c r="E49" s="108">
        <f>SUM(E22:I22)*E13+SUM(J22:M22)*J13+SUM(N22:Q22)*N13+SUM(R22:U22)*R13</f>
        <v>17303228.389307447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SUM(E23:I28)*E13+SUM(J23:M28)*J13+SUM(N23:Q28)*N13+SUM(R23:U28)*R13</f>
        <v>6276307.1972302189</v>
      </c>
    </row>
    <row r="52" spans="1:5" ht="14.45">
      <c r="A52" s="63"/>
      <c r="B52" s="66"/>
      <c r="D52" t="s">
        <v>180</v>
      </c>
      <c r="E52" s="108">
        <f>SUM(E40:I40)*E13+SUM(J40:M40)*J13+SUM(N40:Q40)*N13+SUM(R40:U40)*R13</f>
        <v>4982590.9673131239</v>
      </c>
    </row>
    <row r="53" spans="1:5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5" ht="15" thickBot="1">
      <c r="A56" s="68" t="s">
        <v>279</v>
      </c>
      <c r="D56" t="s">
        <v>184</v>
      </c>
      <c r="E56" s="49" t="e">
        <f>SUM(E30:U36)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SUM(E38:U41)</f>
        <v>51928.039960226983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D3FA-0A8D-46BA-ABEE-1DDA27CB7486}">
  <dimension ref="A1:V140"/>
  <sheetViews>
    <sheetView topLeftCell="D26" zoomScale="57" zoomScaleNormal="115" workbookViewId="0">
      <selection activeCell="J153" sqref="J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2633.2523744911805</v>
      </c>
      <c r="F12" s="852"/>
      <c r="G12" s="852"/>
      <c r="H12" s="852"/>
      <c r="I12" s="853"/>
      <c r="J12" s="854">
        <f>SUM(J10:M10)*J13</f>
        <v>3826.3159685210312</v>
      </c>
      <c r="K12" s="855"/>
      <c r="L12" s="855"/>
      <c r="M12" s="884"/>
      <c r="N12" s="885">
        <f>SUM(N10:Q10)*N13</f>
        <v>4079.8507462686566</v>
      </c>
      <c r="O12" s="886"/>
      <c r="P12" s="886"/>
      <c r="Q12" s="886"/>
      <c r="R12" s="890">
        <f>SUM(R10:U10)*R13</f>
        <v>3828.2686567164174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Summary!C13</f>
        <v>334</v>
      </c>
      <c r="F13" s="852"/>
      <c r="G13" s="852"/>
      <c r="H13" s="852"/>
      <c r="I13" s="853"/>
      <c r="J13" s="854">
        <f>Summary!D13</f>
        <v>354</v>
      </c>
      <c r="K13" s="855"/>
      <c r="L13" s="855"/>
      <c r="M13" s="884"/>
      <c r="N13" s="885">
        <f>Summary!E13</f>
        <v>355</v>
      </c>
      <c r="O13" s="886"/>
      <c r="P13" s="886"/>
      <c r="Q13" s="886"/>
      <c r="R13" s="890">
        <f>Summary!F13</f>
        <v>341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65.817160172309713</v>
      </c>
      <c r="F30" s="26">
        <f>(($B73*(F9/1.852))+(980*$B9/1000))*F10/$E12</f>
        <v>50.107588913336947</v>
      </c>
      <c r="G30" s="26">
        <f>(($B73*(G9/1.852))+(980*$B9/1000))*G10/$E12</f>
        <v>60.752943400841914</v>
      </c>
      <c r="H30" s="26">
        <f>(($B73*(H9/1.852))+(980*$B9/1000))*H10/$E12</f>
        <v>60.752943400841914</v>
      </c>
      <c r="I30" s="26">
        <f>(($B73*(I9/1.852))+(980*$B9/1000))*I10/$E12</f>
        <v>37.15068405227187</v>
      </c>
      <c r="J30" s="27">
        <f>(($B73*(J9/1.852))+(980*$B9/1000))*J10/$J12</f>
        <v>72.910808420861699</v>
      </c>
      <c r="K30" s="27">
        <f>(($B73*(K9/1.852))+(980*$B9/1000))*K10/$J12</f>
        <v>56.63539664483433</v>
      </c>
      <c r="L30" s="27">
        <f>(($B73*(L9/1.852))+(980*$B9/1000))*L10/$J12</f>
        <v>61.167322896656273</v>
      </c>
      <c r="M30" s="27">
        <f>(($B73*(M9/1.852))+(980*$B9/1000))*M10/$J12</f>
        <v>68.574058765316067</v>
      </c>
      <c r="N30" s="26">
        <f>(($B73*(N9/1.852))+(980*$B9/1000))*N10/$N12</f>
        <v>108.65024669822482</v>
      </c>
      <c r="O30" s="26">
        <f>(($B73*(O9/1.852))+(980*$B9/1000))*O10/$N12</f>
        <v>25.046082174822494</v>
      </c>
      <c r="P30" s="26">
        <f>(($B73*(P9/1.852))+(980*$B9/1000))*P10/$N12</f>
        <v>39.608766884727679</v>
      </c>
      <c r="Q30" s="26">
        <f>(($B73*(Q9/1.852))+(980*$B9/1000))*Q10/$N12</f>
        <v>85.436881844051484</v>
      </c>
      <c r="R30" s="28">
        <f>(($B73*(R9/1.852))+(980*$B9/1000))*R10/$R12</f>
        <v>87.721141083166344</v>
      </c>
      <c r="S30" s="28">
        <f>(($B73*(S9/1.852))+(980*$B9/1000))*S10/$R12</f>
        <v>43.871989986653723</v>
      </c>
      <c r="T30" s="28">
        <f>(($B73*(T9/1.852))+(980*$B9/1000))*T10/$R12</f>
        <v>89.876018981362293</v>
      </c>
      <c r="U30" s="493">
        <f>(($B73*(U9/1.852))+(980*$B9/1000))*U10/$R12</f>
        <v>47.779174342614937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29.106219203265947</v>
      </c>
      <c r="F33" s="504">
        <f>[2]Profitability!$AQ68/$E$13</f>
        <v>29.106219203265947</v>
      </c>
      <c r="G33" s="504">
        <f>[2]Profitability!$AQ68/$E$13</f>
        <v>29.106219203265947</v>
      </c>
      <c r="H33" s="504">
        <f>[2]Profitability!$AQ68/$E$13</f>
        <v>29.106219203265947</v>
      </c>
      <c r="I33" s="504">
        <f>[2]Profitability!$AQ68/$E$13</f>
        <v>29.106219203265947</v>
      </c>
      <c r="J33" s="505">
        <f>[2]Profitability!$AQ68/$J$13</f>
        <v>27.461800039239623</v>
      </c>
      <c r="K33" s="505">
        <f>[2]Profitability!$AQ68/$J$13</f>
        <v>27.461800039239623</v>
      </c>
      <c r="L33" s="505">
        <f>[2]Profitability!$AQ68/$J$13</f>
        <v>27.461800039239623</v>
      </c>
      <c r="M33" s="505">
        <f>[2]Profitability!$AQ68/$J$13</f>
        <v>27.461800039239623</v>
      </c>
      <c r="N33" s="504">
        <f>[2]Profitability!$AQ68/$N$13</f>
        <v>27.384442856030496</v>
      </c>
      <c r="O33" s="504">
        <f>[2]Profitability!$AQ68/$N$13</f>
        <v>27.384442856030496</v>
      </c>
      <c r="P33" s="504">
        <f>[2]Profitability!$AQ68/$N$13</f>
        <v>27.384442856030496</v>
      </c>
      <c r="Q33" s="504">
        <f>[2]Profitability!$AQ68/$N$13</f>
        <v>27.384442856030496</v>
      </c>
      <c r="R33" s="505">
        <f>[2]Profitability!$AQ68/$R$13</f>
        <v>28.508730832524417</v>
      </c>
      <c r="S33" s="505">
        <f>[2]Profitability!$AQ68/$R$13</f>
        <v>28.508730832524417</v>
      </c>
      <c r="T33" s="505">
        <f>[2]Profitability!$AQ68/$R$13</f>
        <v>28.508730832524417</v>
      </c>
      <c r="U33" s="506">
        <f>[2]Profitability!$AQ68/$R$13</f>
        <v>28.508730832524417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1.1515430677107323</v>
      </c>
      <c r="F36" s="38">
        <f t="shared" ref="F36:I36" si="8">$B75/($E13*13)</f>
        <v>1.1515430677107323</v>
      </c>
      <c r="G36" s="38">
        <f t="shared" si="8"/>
        <v>1.1515430677107323</v>
      </c>
      <c r="H36" s="38">
        <f t="shared" si="8"/>
        <v>1.1515430677107323</v>
      </c>
      <c r="I36" s="38">
        <f t="shared" si="8"/>
        <v>1.1515430677107323</v>
      </c>
      <c r="J36" s="39">
        <f>$B76/($J13*4)</f>
        <v>2.1186440677966103</v>
      </c>
      <c r="K36" s="39">
        <f t="shared" ref="K36:M36" si="9">$B76/($J13*4)</f>
        <v>2.1186440677966103</v>
      </c>
      <c r="L36" s="39">
        <f t="shared" si="9"/>
        <v>2.1186440677966103</v>
      </c>
      <c r="M36" s="39">
        <f t="shared" si="9"/>
        <v>2.1186440677966103</v>
      </c>
      <c r="N36" s="38">
        <f>$B75/($E13*13)</f>
        <v>1.1515430677107323</v>
      </c>
      <c r="O36" s="38">
        <f t="shared" ref="O36:U36" si="10">$B75/($E13*13)</f>
        <v>1.1515430677107323</v>
      </c>
      <c r="P36" s="38">
        <f t="shared" si="10"/>
        <v>1.1515430677107323</v>
      </c>
      <c r="Q36" s="38">
        <f t="shared" si="10"/>
        <v>1.1515430677107323</v>
      </c>
      <c r="R36" s="39">
        <f t="shared" si="10"/>
        <v>1.1515430677107323</v>
      </c>
      <c r="S36" s="39">
        <f t="shared" si="10"/>
        <v>1.1515430677107323</v>
      </c>
      <c r="T36" s="39">
        <f t="shared" si="10"/>
        <v>1.1515430677107323</v>
      </c>
      <c r="U36" s="455">
        <f t="shared" si="10"/>
        <v>1.1515430677107323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251.49700598802391</v>
      </c>
      <c r="F39" s="30">
        <f>($B81*$B6)/($E13*5)</f>
        <v>251.49700598802391</v>
      </c>
      <c r="G39" s="30">
        <f>($B81*$B6)/($E13*5)</f>
        <v>251.49700598802391</v>
      </c>
      <c r="H39" s="30">
        <f>($B81*$B6)/($E13*5)</f>
        <v>251.49700598802391</v>
      </c>
      <c r="I39" s="30">
        <f>($B81*$B6)/($E13*5)</f>
        <v>251.49700598802391</v>
      </c>
      <c r="J39" s="31">
        <f>($B81*$B6)/($J$13*4)</f>
        <v>296.61016949152537</v>
      </c>
      <c r="K39" s="31">
        <f>($B81*$B6)/($J$13*4)</f>
        <v>296.61016949152537</v>
      </c>
      <c r="L39" s="31">
        <f>($B81*$B6)/($J$13*4)</f>
        <v>296.61016949152537</v>
      </c>
      <c r="M39" s="31">
        <f>($B81*$B6)/($J$13*4)</f>
        <v>296.61016949152537</v>
      </c>
      <c r="N39" s="30">
        <f>($B81*$B6)/($N$13*4)</f>
        <v>295.77464788732391</v>
      </c>
      <c r="O39" s="30">
        <f>($B81*$B6)/($N$13*4)</f>
        <v>295.77464788732391</v>
      </c>
      <c r="P39" s="30">
        <f>($B81*$B6)/($N$13*4)</f>
        <v>295.77464788732391</v>
      </c>
      <c r="Q39" s="30">
        <f>($B81*$B6)/($N$13*4)</f>
        <v>295.77464788732391</v>
      </c>
      <c r="R39" s="32">
        <f>($B81*$B6)/($R$13*4)</f>
        <v>307.91788856304981</v>
      </c>
      <c r="S39" s="32">
        <f>($B81*$B6)/($R$13*4)</f>
        <v>307.91788856304981</v>
      </c>
      <c r="T39" s="32">
        <f>($B81*$B6)/($R$13*4)</f>
        <v>307.91788856304981</v>
      </c>
      <c r="U39" s="494">
        <f>($B81*$B6)/($R$13*4)</f>
        <v>307.91788856304981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956.9914469314532</v>
      </c>
      <c r="F40" s="26">
        <f>(($B6*(1+$B78)-($B85*$B6))/($B79*$E$12))/5</f>
        <v>956.9914469314532</v>
      </c>
      <c r="G40" s="26">
        <f>(($B6*(1+$B78)-($B85*$B6))/($B79*$E$12))/5</f>
        <v>956.9914469314532</v>
      </c>
      <c r="H40" s="26">
        <f>(($B6*(1+$B78)-($B85*$B6))/($B79*$E$12))/5</f>
        <v>956.9914469314532</v>
      </c>
      <c r="I40" s="26">
        <f>(($B6*(1+$B78)-($B85*$B6))/($B79*$E$12))/5</f>
        <v>956.9914469314532</v>
      </c>
      <c r="J40" s="27">
        <f>(($B6*(1+$B78)-($B85*$B6))/($B79*$J$12))/4</f>
        <v>823.2461788087918</v>
      </c>
      <c r="K40" s="27">
        <f>(($B6*(1+$B78)-($B85*$B6))/($B79*$J$12))/4</f>
        <v>823.2461788087918</v>
      </c>
      <c r="L40" s="27">
        <f>(($B6*(1+$B78)-($B85*$B6))/($B79*$J$12))/4</f>
        <v>823.2461788087918</v>
      </c>
      <c r="M40" s="27">
        <f>(($B6*(1+$B78)-($B85*$B6))/($B79*$J$12))/4</f>
        <v>823.2461788087918</v>
      </c>
      <c r="N40" s="26">
        <f>(($B6*(1+$B78)-($B85*$B6))/($B79*$N$12))/4</f>
        <v>772.0870678617157</v>
      </c>
      <c r="O40" s="26">
        <f>(($B6*(1+$B78)-($B85*$B6))/($B79*$N$12))/4</f>
        <v>772.0870678617157</v>
      </c>
      <c r="P40" s="26">
        <f>(($B6*(1+$B78)-($B85*$B6))/($B79*$N$12))/4</f>
        <v>772.0870678617157</v>
      </c>
      <c r="Q40" s="26">
        <f>(($B6*(1+$B78)-($B85*$B6))/($B79*$N$12))/4</f>
        <v>772.0870678617157</v>
      </c>
      <c r="R40" s="28">
        <f>(($B6*(1+$B78)-($B85*$B6))/($B79*$R$12))/4</f>
        <v>822.82626494187014</v>
      </c>
      <c r="S40" s="28">
        <f>(($B6*(1+$B78)-($B85*$B6))/($B79*$R$12))/4</f>
        <v>822.82626494187014</v>
      </c>
      <c r="T40" s="28">
        <f>(($B6*(1+$B78)-($B85*$B6))/($B79*$R$12))/4</f>
        <v>822.82626494187014</v>
      </c>
      <c r="U40" s="493">
        <f>(($B6*(1+$B78)-($B85*$B6))/($B79*$R$12))/4</f>
        <v>822.82626494187014</v>
      </c>
    </row>
    <row r="41" spans="1:21" ht="13.9" thickBot="1">
      <c r="D41" s="461" t="s">
        <v>213</v>
      </c>
      <c r="E41" s="56">
        <f>$B8*12*E10/$E$12</f>
        <v>2109.5147283953734</v>
      </c>
      <c r="F41" s="56">
        <f>$B8*12*F10/$E$12</f>
        <v>1606.5639996145735</v>
      </c>
      <c r="G41" s="56">
        <f>$B8*12*G10/$E$12</f>
        <v>1947.4191621919231</v>
      </c>
      <c r="H41" s="56">
        <f>$B8*12*H10/$E$12</f>
        <v>1947.4191621919231</v>
      </c>
      <c r="I41" s="56">
        <f>$B8*12*I10/$E$12</f>
        <v>1191.4781571870456</v>
      </c>
      <c r="J41" s="57">
        <f>$B8*12*J10/$J$12</f>
        <v>2334.8021206867525</v>
      </c>
      <c r="K41" s="57">
        <f>$B8*12*K10/$J$12</f>
        <v>1814.5671315272571</v>
      </c>
      <c r="L41" s="57">
        <f>$B8*12*L10/$J$12</f>
        <v>1959.4822888281985</v>
      </c>
      <c r="M41" s="57">
        <f>$B8*12*M10/$J$12</f>
        <v>2196.2332047205036</v>
      </c>
      <c r="N41" s="56">
        <f>$B8*12*N10/$N$12</f>
        <v>3474.4965661739029</v>
      </c>
      <c r="O41" s="56">
        <f>$B8*12*O10/$N$12</f>
        <v>803.23594459317883</v>
      </c>
      <c r="P41" s="56">
        <f>$B8*12*P10/$N$12</f>
        <v>1269.63100919567</v>
      </c>
      <c r="Q41" s="56">
        <f>$B8*12*Q10/$N$12</f>
        <v>2734.3266208823188</v>
      </c>
      <c r="R41" s="58">
        <f>$B8*12*R10/$R$12</f>
        <v>2807.7318129717023</v>
      </c>
      <c r="S41" s="58">
        <f>$B8*12*S10/$R$12</f>
        <v>1406.2104589368387</v>
      </c>
      <c r="T41" s="58">
        <f>$B8*12*T10/$R$12</f>
        <v>2876.5053515340073</v>
      </c>
      <c r="U41" s="496">
        <f>$B8*12*U10/$R$12</f>
        <v>1531.253256322849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4840173.4022318143</v>
      </c>
    </row>
    <row r="49" spans="1:5" ht="14.45">
      <c r="A49" s="61"/>
      <c r="B49" s="62"/>
      <c r="D49" t="s">
        <v>177</v>
      </c>
      <c r="E49" s="108">
        <f>SUM(E22:I22)*E13+SUM(J22:M22)*J13+SUM(N22:Q22)*N13+SUM(R22:U22)*R13</f>
        <v>16984114.754711434</v>
      </c>
    </row>
    <row r="50" spans="1:5" ht="15.6" customHeight="1">
      <c r="A50" s="63"/>
      <c r="B50" s="64"/>
      <c r="D50" t="s">
        <v>178</v>
      </c>
      <c r="E50" t="s">
        <v>44</v>
      </c>
    </row>
    <row r="51" spans="1:5" ht="14.45">
      <c r="A51" s="65"/>
      <c r="B51" s="9"/>
      <c r="D51" t="s">
        <v>179</v>
      </c>
      <c r="E51" s="108">
        <f>SUM(E23:I28)*E13+SUM(J23:M28)*J13+SUM(N23:Q28)*N13+SUM(R23:U28)*R13</f>
        <v>6108472.0925181778</v>
      </c>
    </row>
    <row r="52" spans="1:5" ht="14.45">
      <c r="A52" s="63"/>
      <c r="B52" s="66"/>
      <c r="D52" t="s">
        <v>180</v>
      </c>
      <c r="E52" s="108">
        <f>SUM(E40:I40)*E13+SUM(J40:M40)*J13+SUM(N40:Q40)*N13+SUM(R40:U40)*R13</f>
        <v>4982590.9673131229</v>
      </c>
    </row>
    <row r="53" spans="1:5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5" ht="14.45">
      <c r="A54" s="67"/>
      <c r="B54" s="9"/>
      <c r="D54"/>
      <c r="E54"/>
    </row>
    <row r="55" spans="1:5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5" ht="15" thickBot="1">
      <c r="A56" s="68" t="s">
        <v>279</v>
      </c>
      <c r="D56" t="s">
        <v>184</v>
      </c>
      <c r="E56" s="49" t="e">
        <f>SUM(E30:U36)</f>
        <v>#REF!</v>
      </c>
    </row>
    <row r="57" spans="1:5" ht="15" thickTop="1">
      <c r="A57" s="69" t="s">
        <v>280</v>
      </c>
      <c r="B57" s="70">
        <v>1.9</v>
      </c>
      <c r="D57" t="s">
        <v>281</v>
      </c>
      <c r="E57" s="49">
        <f>SUM(E38:U41)</f>
        <v>53327.162110768506</v>
      </c>
    </row>
    <row r="58" spans="1:5" ht="14.65" customHeight="1">
      <c r="A58" s="71" t="s">
        <v>282</v>
      </c>
      <c r="B58" s="72">
        <v>18950</v>
      </c>
    </row>
    <row r="59" spans="1:5">
      <c r="A59" s="73" t="s">
        <v>283</v>
      </c>
      <c r="B59" s="74">
        <f>B58/1050</f>
        <v>18.047619047619047</v>
      </c>
    </row>
    <row r="60" spans="1:5" ht="14.65" customHeight="1">
      <c r="A60" s="850" t="s">
        <v>284</v>
      </c>
      <c r="B60" s="895"/>
    </row>
    <row r="61" spans="1:5">
      <c r="A61" s="75" t="s">
        <v>285</v>
      </c>
      <c r="B61" s="74">
        <v>2000</v>
      </c>
    </row>
    <row r="62" spans="1:5">
      <c r="A62" s="75" t="s">
        <v>286</v>
      </c>
      <c r="B62" s="74">
        <v>1.5</v>
      </c>
    </row>
    <row r="63" spans="1:5">
      <c r="A63" s="75" t="s">
        <v>287</v>
      </c>
      <c r="B63" s="74">
        <f>0.96/30</f>
        <v>3.2000000000000001E-2</v>
      </c>
    </row>
    <row r="64" spans="1:5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AFBD-900A-4F4A-8D4A-67B75DB56A60}">
  <dimension ref="A1:V140"/>
  <sheetViews>
    <sheetView topLeftCell="D31" zoomScale="50" zoomScaleNormal="40" workbookViewId="0">
      <selection activeCell="K153" sqref="K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16384" width="8.7109375" style="1"/>
  </cols>
  <sheetData>
    <row r="1" spans="1:21">
      <c r="A1" s="1" t="s">
        <v>229</v>
      </c>
      <c r="B1" s="2">
        <f>((B6-2*B7)*(1+$B83))+(2*B7*(1+$B84))</f>
        <v>130175000</v>
      </c>
    </row>
    <row r="2" spans="1:21" ht="13.9" thickBot="1">
      <c r="A2" s="3" t="s">
        <v>230</v>
      </c>
      <c r="B2" s="4">
        <f>6*B8</f>
        <v>1470000</v>
      </c>
    </row>
    <row r="3" spans="1:21" ht="13.9" thickBot="1">
      <c r="A3" s="5"/>
      <c r="B3" s="6" t="s">
        <v>231</v>
      </c>
    </row>
    <row r="4" spans="1:21" ht="13.9" thickBot="1">
      <c r="A4" s="10" t="s">
        <v>232</v>
      </c>
      <c r="B4" s="11" t="s">
        <v>233</v>
      </c>
    </row>
    <row r="5" spans="1:21" ht="14.65" customHeigh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1" ht="14.65" customHeigh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</row>
    <row r="7" spans="1:21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</row>
    <row r="8" spans="1:2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</row>
    <row r="9" spans="1:21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</row>
    <row r="10" spans="1:21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</row>
    <row r="11" spans="1:21" ht="14.45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</row>
    <row r="12" spans="1:21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3901.9775837177745</v>
      </c>
      <c r="K12" s="855"/>
      <c r="L12" s="855"/>
      <c r="M12" s="884"/>
      <c r="N12" s="885">
        <f>SUM(N10:Q10)*N13</f>
        <v>4160.2985074626868</v>
      </c>
      <c r="O12" s="886"/>
      <c r="P12" s="886"/>
      <c r="Q12" s="886"/>
      <c r="R12" s="890">
        <f>SUM(R10:U10)*R13</f>
        <v>3985.4409769335139</v>
      </c>
      <c r="S12" s="890"/>
      <c r="T12" s="890"/>
      <c r="U12" s="891"/>
    </row>
    <row r="13" spans="1:21">
      <c r="A13" s="14" t="s">
        <v>246</v>
      </c>
      <c r="B13" s="24">
        <v>3800</v>
      </c>
      <c r="D13" s="444" t="s">
        <v>247</v>
      </c>
      <c r="E13" s="851">
        <f>Summary!C14</f>
        <v>362</v>
      </c>
      <c r="F13" s="852"/>
      <c r="G13" s="852"/>
      <c r="H13" s="852"/>
      <c r="I13" s="853"/>
      <c r="J13" s="854">
        <f>Summary!D14</f>
        <v>361</v>
      </c>
      <c r="K13" s="855"/>
      <c r="L13" s="855"/>
      <c r="M13" s="884"/>
      <c r="N13" s="885">
        <f>Summary!E14</f>
        <v>362</v>
      </c>
      <c r="O13" s="886"/>
      <c r="P13" s="886"/>
      <c r="Q13" s="886"/>
      <c r="R13" s="890">
        <f>Summary!F14</f>
        <v>355</v>
      </c>
      <c r="S13" s="890"/>
      <c r="T13" s="890"/>
      <c r="U13" s="891"/>
    </row>
    <row r="14" spans="1:21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</row>
    <row r="15" spans="1:21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</row>
    <row r="16" spans="1:2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</row>
    <row r="17" spans="1:21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21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21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</row>
    <row r="20" spans="1:21">
      <c r="A20" s="14" t="s">
        <v>255</v>
      </c>
      <c r="B20" s="416">
        <f>50000*0.00007</f>
        <v>3.4999999999999996</v>
      </c>
      <c r="D20" s="449" t="s">
        <v>191</v>
      </c>
      <c r="E20" s="26">
        <f>($E14*E10*($B59+$B29))</f>
        <v>636.50490671318721</v>
      </c>
      <c r="F20" s="26">
        <f>($E14*F10*($B59+$B29))</f>
        <v>484.74933829036632</v>
      </c>
      <c r="G20" s="26">
        <f>($E14*G10*($B59+$B29))</f>
        <v>587.59573255282032</v>
      </c>
      <c r="H20" s="26">
        <f>($E14*H10*($B59+$B29))</f>
        <v>587.59573255282032</v>
      </c>
      <c r="I20" s="26">
        <f>($E14*I10*($B59+$B29))</f>
        <v>359.50528483297791</v>
      </c>
      <c r="J20" s="27">
        <f t="shared" ref="J20:U20" si="0">$E14*J10*($B59+$B29)</f>
        <v>1023.6644442256251</v>
      </c>
      <c r="K20" s="27">
        <f t="shared" si="0"/>
        <v>795.5739965057827</v>
      </c>
      <c r="L20" s="27">
        <f t="shared" si="0"/>
        <v>859.11021340569869</v>
      </c>
      <c r="M20" s="27">
        <f t="shared" si="0"/>
        <v>962.91065653083979</v>
      </c>
      <c r="N20" s="26">
        <f t="shared" si="0"/>
        <v>1624.2873867183562</v>
      </c>
      <c r="O20" s="26">
        <f t="shared" si="0"/>
        <v>375.50361282935967</v>
      </c>
      <c r="P20" s="26">
        <f t="shared" si="0"/>
        <v>593.53796866576204</v>
      </c>
      <c r="Q20" s="26">
        <f t="shared" si="0"/>
        <v>1278.2664069109001</v>
      </c>
      <c r="R20" s="27">
        <f t="shared" si="0"/>
        <v>1231.6427081785876</v>
      </c>
      <c r="S20" s="27">
        <f t="shared" si="0"/>
        <v>616.84981803191829</v>
      </c>
      <c r="T20" s="27">
        <f t="shared" si="0"/>
        <v>1261.8109838289072</v>
      </c>
      <c r="U20" s="450">
        <f t="shared" si="0"/>
        <v>671.701228305227</v>
      </c>
    </row>
    <row r="21" spans="1:21">
      <c r="A21" s="10"/>
      <c r="B21" s="29"/>
      <c r="D21" s="451" t="s">
        <v>192</v>
      </c>
      <c r="E21" s="30">
        <f>E10*$B30</f>
        <v>862.02615204171479</v>
      </c>
      <c r="F21" s="30">
        <f t="shared" ref="F21:U21" si="1">F10*$B30</f>
        <v>656.501784014534</v>
      </c>
      <c r="G21" s="30">
        <f t="shared" si="1"/>
        <v>795.78787680403912</v>
      </c>
      <c r="H21" s="30">
        <f t="shared" si="1"/>
        <v>795.78787680403912</v>
      </c>
      <c r="I21" s="30">
        <f t="shared" si="1"/>
        <v>486.88227546198107</v>
      </c>
      <c r="J21" s="31">
        <f t="shared" si="1"/>
        <v>1386.3609102315406</v>
      </c>
      <c r="K21" s="31">
        <f t="shared" si="1"/>
        <v>1077.4553088894827</v>
      </c>
      <c r="L21" s="31">
        <f t="shared" si="1"/>
        <v>1163.5031617683323</v>
      </c>
      <c r="M21" s="31">
        <f t="shared" si="1"/>
        <v>1304.0813342594831</v>
      </c>
      <c r="N21" s="30">
        <f t="shared" si="1"/>
        <v>2199.7916921222504</v>
      </c>
      <c r="O21" s="30">
        <f t="shared" si="1"/>
        <v>508.54900100701525</v>
      </c>
      <c r="P21" s="30">
        <f t="shared" si="1"/>
        <v>803.83551772076601</v>
      </c>
      <c r="Q21" s="30">
        <f t="shared" si="1"/>
        <v>1731.1713710482265</v>
      </c>
      <c r="R21" s="31">
        <f t="shared" si="1"/>
        <v>1668.0283423169842</v>
      </c>
      <c r="S21" s="31">
        <f t="shared" si="1"/>
        <v>835.40703208638718</v>
      </c>
      <c r="T21" s="31">
        <f t="shared" si="1"/>
        <v>1708.8855962019056</v>
      </c>
      <c r="U21" s="452">
        <f t="shared" si="1"/>
        <v>909.69294824078986</v>
      </c>
    </row>
    <row r="22" spans="1:21">
      <c r="A22" s="10" t="s">
        <v>256</v>
      </c>
      <c r="B22" s="417">
        <v>2.1</v>
      </c>
      <c r="D22" s="451" t="s">
        <v>193</v>
      </c>
      <c r="E22" s="30">
        <f>E11*$B57/2.903</f>
        <v>2106.8929042769005</v>
      </c>
      <c r="F22" s="30">
        <f t="shared" ref="F22:U22" si="2">F11*$B57/2.903</f>
        <v>1472.2253958218339</v>
      </c>
      <c r="G22" s="30">
        <f t="shared" si="2"/>
        <v>1902.346448238671</v>
      </c>
      <c r="H22" s="30">
        <f t="shared" si="2"/>
        <v>1902.346448238671</v>
      </c>
      <c r="I22" s="30">
        <f t="shared" si="2"/>
        <v>948.43353643421858</v>
      </c>
      <c r="J22" s="31">
        <f t="shared" si="2"/>
        <v>3726.0597104860608</v>
      </c>
      <c r="K22" s="31">
        <f t="shared" si="2"/>
        <v>2772.1467986816087</v>
      </c>
      <c r="L22" s="31">
        <f t="shared" si="2"/>
        <v>3037.8660266191209</v>
      </c>
      <c r="M22" s="31">
        <f t="shared" si="2"/>
        <v>3471.9770730830905</v>
      </c>
      <c r="N22" s="30">
        <f t="shared" si="2"/>
        <v>6237.9666566003898</v>
      </c>
      <c r="O22" s="30">
        <f t="shared" si="2"/>
        <v>1015.3412556990601</v>
      </c>
      <c r="P22" s="30">
        <f t="shared" si="2"/>
        <v>1927.1978868227554</v>
      </c>
      <c r="Q22" s="30">
        <f t="shared" si="2"/>
        <v>4790.8482713579651</v>
      </c>
      <c r="R22" s="31">
        <f t="shared" si="2"/>
        <v>4595.8600609289988</v>
      </c>
      <c r="S22" s="31">
        <f t="shared" si="2"/>
        <v>2024.6919920372384</v>
      </c>
      <c r="T22" s="31">
        <f t="shared" si="2"/>
        <v>4722.0289029712712</v>
      </c>
      <c r="U22" s="452">
        <f t="shared" si="2"/>
        <v>2254.0898866595512</v>
      </c>
    </row>
    <row r="23" spans="1:2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3">$B20*$B9/1000</f>
        <v>327.24999999999994</v>
      </c>
      <c r="G23" s="30">
        <f t="shared" si="3"/>
        <v>327.24999999999994</v>
      </c>
      <c r="H23" s="30">
        <f t="shared" si="3"/>
        <v>327.24999999999994</v>
      </c>
      <c r="I23" s="30">
        <f t="shared" si="3"/>
        <v>327.24999999999994</v>
      </c>
      <c r="J23" s="31">
        <f t="shared" si="3"/>
        <v>327.24999999999994</v>
      </c>
      <c r="K23" s="31">
        <f t="shared" si="3"/>
        <v>327.24999999999994</v>
      </c>
      <c r="L23" s="31">
        <f t="shared" si="3"/>
        <v>327.24999999999994</v>
      </c>
      <c r="M23" s="31">
        <f t="shared" si="3"/>
        <v>327.24999999999994</v>
      </c>
      <c r="N23" s="30">
        <f t="shared" si="3"/>
        <v>327.24999999999994</v>
      </c>
      <c r="O23" s="30">
        <f t="shared" si="3"/>
        <v>327.24999999999994</v>
      </c>
      <c r="P23" s="30">
        <f t="shared" si="3"/>
        <v>327.24999999999994</v>
      </c>
      <c r="Q23" s="30">
        <f t="shared" si="3"/>
        <v>327.24999999999994</v>
      </c>
      <c r="R23" s="31">
        <f t="shared" si="3"/>
        <v>327.24999999999994</v>
      </c>
      <c r="S23" s="31">
        <f t="shared" si="3"/>
        <v>327.24999999999994</v>
      </c>
      <c r="T23" s="31">
        <f t="shared" si="3"/>
        <v>327.24999999999994</v>
      </c>
      <c r="U23" s="452">
        <f t="shared" si="3"/>
        <v>327.24999999999994</v>
      </c>
    </row>
    <row r="24" spans="1:21">
      <c r="A24" s="14" t="s">
        <v>258</v>
      </c>
      <c r="B24" s="33">
        <v>105</v>
      </c>
      <c r="D24" s="451"/>
      <c r="E24" s="30"/>
      <c r="F24" s="30"/>
      <c r="G24" s="30"/>
      <c r="H24" s="30"/>
      <c r="I24" s="30"/>
      <c r="J24" s="31"/>
      <c r="K24" s="31"/>
      <c r="L24" s="31"/>
      <c r="M24" s="31"/>
      <c r="N24" s="30"/>
      <c r="O24" s="30"/>
      <c r="P24" s="30"/>
      <c r="Q24" s="30"/>
      <c r="R24" s="31"/>
      <c r="S24" s="31"/>
      <c r="T24" s="31"/>
      <c r="U24" s="452"/>
    </row>
    <row r="25" spans="1:21">
      <c r="A25" s="14" t="s">
        <v>259</v>
      </c>
      <c r="B25" s="35">
        <v>0.65</v>
      </c>
      <c r="D25" s="451" t="s">
        <v>195</v>
      </c>
      <c r="E25" s="30">
        <f>'[2]Parking &amp; Landing Fee'!AB26</f>
        <v>35.302651999999995</v>
      </c>
      <c r="F25" s="30">
        <f>'[2]Parking &amp; Landing Fee'!AC26</f>
        <v>45.629989999999999</v>
      </c>
      <c r="G25" s="30">
        <f>'[2]Parking &amp; Landing Fee'!AD26</f>
        <v>18.983999999999998</v>
      </c>
      <c r="H25" s="30">
        <f>'[2]Parking &amp; Landing Fee'!AE26</f>
        <v>45.629989999999999</v>
      </c>
      <c r="I25" s="30">
        <f>'[2]Parking &amp; Landing Fee'!AF26</f>
        <v>35.434055999999998</v>
      </c>
      <c r="J25" s="31">
        <f>'[2]Parking &amp; Landing Fee'!AG26</f>
        <v>24.566807999999998</v>
      </c>
      <c r="K25" s="31">
        <f>'[2]Parking &amp; Landing Fee'!AH26</f>
        <v>33.913851999999999</v>
      </c>
      <c r="L25" s="31">
        <f>'[2]Parking &amp; Landing Fee'!AI26</f>
        <v>35.434055999999998</v>
      </c>
      <c r="M25" s="31">
        <f>'[2]Parking &amp; Landing Fee'!AJ26</f>
        <v>32.664939999999994</v>
      </c>
      <c r="N25" s="30">
        <f>'[2]Parking &amp; Landing Fee'!AK26</f>
        <v>49.479443999999994</v>
      </c>
      <c r="O25" s="30">
        <f>'[2]Parking &amp; Landing Fee'!AL26</f>
        <v>27.489755999999996</v>
      </c>
      <c r="P25" s="30">
        <f>'[2]Parking &amp; Landing Fee'!AM26</f>
        <v>45.629989999999999</v>
      </c>
      <c r="Q25" s="30">
        <f>'[2]Parking &amp; Landing Fee'!AN26</f>
        <v>24.351208</v>
      </c>
      <c r="R25" s="31">
        <f>'[2]Parking &amp; Landing Fee'!AO26</f>
        <v>24.351208</v>
      </c>
      <c r="S25" s="31">
        <f>'[2]Parking &amp; Landing Fee'!AP26</f>
        <v>24.351208</v>
      </c>
      <c r="T25" s="31">
        <f>'[2]Parking &amp; Landing Fee'!AQ26</f>
        <v>45.629989999999999</v>
      </c>
      <c r="U25" s="452">
        <f>'[2]Parking &amp; Landing Fee'!AR26</f>
        <v>22.254973999999994</v>
      </c>
    </row>
    <row r="26" spans="1:21">
      <c r="A26" s="14" t="s">
        <v>260</v>
      </c>
      <c r="B26" s="36">
        <v>0</v>
      </c>
      <c r="D26" s="451" t="s">
        <v>196</v>
      </c>
      <c r="E26" s="30">
        <f>$B18*ROUNDDOWN(((E9-20)/100),0)*$B19</f>
        <v>186.2</v>
      </c>
      <c r="F26" s="30">
        <f t="shared" ref="F26:U26" si="4">$B18*ROUNDDOWN(((F9-20)/100),0)*$B19</f>
        <v>111.71999999999998</v>
      </c>
      <c r="G26" s="30">
        <f t="shared" si="4"/>
        <v>148.95999999999998</v>
      </c>
      <c r="H26" s="30">
        <f t="shared" si="4"/>
        <v>148.95999999999998</v>
      </c>
      <c r="I26" s="30">
        <f t="shared" si="4"/>
        <v>55.859999999999992</v>
      </c>
      <c r="J26" s="31">
        <f t="shared" si="4"/>
        <v>335.15999999999997</v>
      </c>
      <c r="K26" s="31">
        <f t="shared" si="4"/>
        <v>242.05999999999997</v>
      </c>
      <c r="L26" s="31">
        <f t="shared" si="4"/>
        <v>260.67999999999995</v>
      </c>
      <c r="M26" s="31">
        <f t="shared" si="4"/>
        <v>316.53999999999996</v>
      </c>
      <c r="N26" s="30">
        <f t="shared" si="4"/>
        <v>577.21999999999991</v>
      </c>
      <c r="O26" s="30">
        <f t="shared" si="4"/>
        <v>74.47999999999999</v>
      </c>
      <c r="P26" s="30">
        <f t="shared" si="4"/>
        <v>167.57999999999998</v>
      </c>
      <c r="Q26" s="30">
        <f t="shared" si="4"/>
        <v>446.87999999999994</v>
      </c>
      <c r="R26" s="31">
        <f t="shared" si="4"/>
        <v>428.25999999999993</v>
      </c>
      <c r="S26" s="31">
        <f t="shared" si="4"/>
        <v>167.57999999999998</v>
      </c>
      <c r="T26" s="31">
        <f t="shared" si="4"/>
        <v>428.25999999999993</v>
      </c>
      <c r="U26" s="452">
        <f t="shared" si="4"/>
        <v>186.2</v>
      </c>
    </row>
    <row r="27" spans="1:21">
      <c r="A27" s="37" t="s">
        <v>261</v>
      </c>
      <c r="B27" s="17">
        <v>1</v>
      </c>
      <c r="D27" s="451" t="s">
        <v>197</v>
      </c>
      <c r="E27" s="30">
        <f>IF(Profitability!AQ151&gt;=($B12/1000),($B63)*$B12,($B63)*F126*1000)</f>
        <v>460.3671871184705</v>
      </c>
      <c r="F27" s="30">
        <f>IF([2]Profitability!AR151&gt;=($B12/1000),($B63)*$B12,($B63)*G126*1000)</f>
        <v>691.2</v>
      </c>
      <c r="G27" s="30">
        <f>IF([2]Profitability!AS151&gt;=($B12/1000),($B63)*$B12,($B63)*H126*1000)</f>
        <v>337.5961226114631</v>
      </c>
      <c r="H27" s="30">
        <f>IF([2]Profitability!AT151&gt;=($B12/1000),($B63)*$B12,($B63)*I126*1000)</f>
        <v>525.79031957262487</v>
      </c>
      <c r="I27" s="30">
        <f>IF([2]Profitability!AU151&gt;=($B12/1000),($B63)*$B12,($B63)*J126*1000)</f>
        <v>691.2</v>
      </c>
      <c r="J27" s="31">
        <f>IF([2]Profitability!AV151&gt;=($B12/1000),($B63)*$B12,($B63)*K126*1000)</f>
        <v>188.72375982856215</v>
      </c>
      <c r="K27" s="31">
        <f>IF([2]Profitability!AW151&gt;=($B12/1000),($B63)*$B12,($B63)*L126*1000)</f>
        <v>308.54858836287201</v>
      </c>
      <c r="L27" s="31">
        <f>IF([2]Profitability!AX151&gt;=($B12/1000),($B63)*$B12,($B63)*M126*1000)</f>
        <v>520.49162948503272</v>
      </c>
      <c r="M27" s="31">
        <f>IF([2]Profitability!AY151&gt;=($B12/1000),($B63)*$B12,($B63)*N126*1000)</f>
        <v>400.28160794862418</v>
      </c>
      <c r="N27" s="30">
        <f>IF([2]Profitability!AZ151&gt;=($B12/1000),($B63)*$B12,($B63)*O126*1000)</f>
        <v>659.53153728344932</v>
      </c>
      <c r="O27" s="30">
        <f>IF([2]Profitability!BA151&gt;=($B12/1000),($B63)*$B12,($B63)*P126*1000)</f>
        <v>691.2</v>
      </c>
      <c r="P27" s="30">
        <f>IF([2]Profitability!BB151&gt;=($B12/1000),($B63)*$B12,($B63)*Q126*1000)</f>
        <v>109.92699212239619</v>
      </c>
      <c r="Q27" s="30">
        <f>IF([2]Profitability!BC151&gt;=($B12/1000),($B63)*$B12,($B63)*R126*1000)</f>
        <v>206.71626119189679</v>
      </c>
      <c r="R27" s="31">
        <f>IF([2]Profitability!BD151&gt;=($B12/1000),($B63)*$B12,($B63)*S126*1000)</f>
        <v>259.92068135227237</v>
      </c>
      <c r="S27" s="31">
        <f>IF([2]Profitability!BE151&gt;=($B12/1000),($B63)*$B12,($B63)*T126*1000)</f>
        <v>147.45876660550644</v>
      </c>
      <c r="T27" s="31">
        <f>IF([2]Profitability!BF151&gt;=($B12/1000),($B63)*$B12,($B63)*U126*1000)</f>
        <v>223.12202541587402</v>
      </c>
      <c r="U27" s="452">
        <f>IF([2]Profitability!BG151&gt;=($B12/1000),($B63)*$B12,($B63)*V126*1000)</f>
        <v>607.66682745228286</v>
      </c>
    </row>
    <row r="28" spans="1:21" ht="13.9" thickBot="1">
      <c r="A28" s="10"/>
      <c r="B28" s="29"/>
      <c r="D28" s="454" t="s">
        <v>198</v>
      </c>
      <c r="E28" s="38">
        <f>IF([2]Profitability!AQ151&lt;=$B12,'[2]Parking &amp; Landing Fee'!AB25*($B10/1000+'[2]cost rute lama'!$B$12/1000),'[2]Parking &amp; Landing Fee'!AB25*($B10/1000+[2]Profitability!AQ151))</f>
        <v>15.331364999999998</v>
      </c>
      <c r="F28" s="38">
        <f>IF([2]Profitability!AR151&lt;=$B12,'[2]Parking &amp; Landing Fee'!AC25*($B10/1000+'[2]cost rute lama'!$B$12/1000),'[2]Parking &amp; Landing Fee'!AC25*($B10/1000+[2]Profitability!AR151))</f>
        <v>16.670114999999999</v>
      </c>
      <c r="G28" s="38">
        <f>IF([2]Profitability!AS151&lt;=$B12,'[2]Parking &amp; Landing Fee'!AD25*($B10/1000+'[2]cost rute lama'!$B$12/1000),'[2]Parking &amp; Landing Fee'!AD25*($B10/1000+[2]Profitability!AS151))</f>
        <v>10.576124999999999</v>
      </c>
      <c r="H28" s="38">
        <f>IF([2]Profitability!AT151&lt;=$B12,'[2]Parking &amp; Landing Fee'!AE25*($B10/1000+'[2]cost rute lama'!$B$12/1000),'[2]Parking &amp; Landing Fee'!AE25*($B10/1000+[2]Profitability!AT151))</f>
        <v>10.576124999999999</v>
      </c>
      <c r="I28" s="38">
        <f>IF([2]Profitability!AU151&lt;=$B12,'[2]Parking &amp; Landing Fee'!AF25*($B10/1000+'[2]cost rute lama'!$B$12/1000),'[2]Parking &amp; Landing Fee'!AF25*($B10/1000+[2]Profitability!AU151))</f>
        <v>16.332749999999997</v>
      </c>
      <c r="J28" s="39">
        <f>IF([2]Profitability!AV151&lt;=$B12,'[2]Parking &amp; Landing Fee'!AG25*($B10/1000+'[2]cost rute lama'!$B$12/1000),'[2]Parking &amp; Landing Fee'!AG25*($B10/1000+[2]Profitability!AV151))</f>
        <v>11.97378</v>
      </c>
      <c r="K28" s="39">
        <f>IF([2]Profitability!AW151&lt;=$B12,'[2]Parking &amp; Landing Fee'!AH25*($B10/1000+'[2]cost rute lama'!$B$12/1000),'[2]Parking &amp; Landing Fee'!AH25*($B10/1000+[2]Profitability!AW151))</f>
        <v>12.953744999999998</v>
      </c>
      <c r="L28" s="39">
        <f>IF([2]Profitability!AX151&lt;=$B12,'[2]Parking &amp; Landing Fee'!AI25*($B10/1000+'[2]cost rute lama'!$B$12/1000),'[2]Parking &amp; Landing Fee'!AI25*($B10/1000+[2]Profitability!AX151))</f>
        <v>15.566984999999999</v>
      </c>
      <c r="M28" s="39">
        <f>IF([2]Profitability!AY151&lt;=$B12,'[2]Parking &amp; Landing Fee'!AJ25*($B10/1000+'[2]cost rute lama'!$B$12/1000),'[2]Parking &amp; Landing Fee'!AJ25*($B10/1000+[2]Profitability!AY151))</f>
        <v>14.688764999999997</v>
      </c>
      <c r="N28" s="38">
        <f>IF([2]Profitability!AZ151&lt;=$B12,'[2]Parking &amp; Landing Fee'!AK25*($B10/1000+'[2]cost rute lama'!$B$12/1000),'[2]Parking &amp; Landing Fee'!AK25*($B10/1000+[2]Profitability!AZ151))</f>
        <v>16.734375</v>
      </c>
      <c r="O28" s="38">
        <f>IF([2]Profitability!BA151&lt;=$B12,'[2]Parking &amp; Landing Fee'!AL25*($B10/1000+'[2]cost rute lama'!$B$12/1000),'[2]Parking &amp; Landing Fee'!AL25*($B10/1000+[2]Profitability!BA151))</f>
        <v>17.537624999999998</v>
      </c>
      <c r="P28" s="38">
        <f>IF([2]Profitability!BB151&lt;=$B12,'[2]Parking &amp; Landing Fee'!AM25*($B10/1000+'[2]cost rute lama'!$B$12/1000),'[2]Parking &amp; Landing Fee'!AM25*($B10/1000+[2]Profitability!BB151))</f>
        <v>15.529499999999999</v>
      </c>
      <c r="Q28" s="38">
        <f>IF([2]Profitability!BC151&lt;=$B12,'[2]Parking &amp; Landing Fee'!AN25*($B10/1000+'[2]cost rute lama'!$B$12/1000),'[2]Parking &amp; Landing Fee'!AN25*($B10/1000+[2]Profitability!BC151))</f>
        <v>14.72625</v>
      </c>
      <c r="R28" s="39">
        <f>IF([2]Profitability!BD151&lt;=$B12,'[2]Parking &amp; Landing Fee'!AO25*($B10/1000+'[2]cost rute lama'!$B$12/1000),'[2]Parking &amp; Landing Fee'!AO25*($B10/1000+[2]Profitability!BD151))</f>
        <v>9.8799749999999982</v>
      </c>
      <c r="S28" s="39">
        <f>IF([2]Profitability!BE151&lt;=$B12,'[2]Parking &amp; Landing Fee'!AP25*($B10/1000+'[2]cost rute lama'!$B$12/1000),'[2]Parking &amp; Landing Fee'!AP25*($B10/1000+[2]Profitability!BE151))</f>
        <v>9.9817199999999993</v>
      </c>
      <c r="T28" s="39">
        <f>IF([2]Profitability!BF151&lt;=$B12,'[2]Parking &amp; Landing Fee'!AQ25*($B10/1000+'[2]cost rute lama'!$B$12/1000),'[2]Parking &amp; Landing Fee'!AQ25*($B10/1000+[2]Profitability!BF151))</f>
        <v>13.826609999999999</v>
      </c>
      <c r="U28" s="455">
        <f>IF([2]Profitability!BG151&lt;=$B12,'[2]Parking &amp; Landing Fee'!AR25*($B10/1000+'[2]cost rute lama'!$B$12/1000),'[2]Parking &amp; Landing Fee'!AR25*($B10/1000+[2]Profitability!BG151))</f>
        <v>13.724864999999999</v>
      </c>
    </row>
    <row r="29" spans="1:21" ht="15.6" customHeight="1" thickBot="1">
      <c r="A29" s="10" t="s">
        <v>262</v>
      </c>
      <c r="B29" s="11">
        <f>$B22*((1+B25+B26)*1.18*1.6 +24.9 + 29.6+14)*B27</f>
        <v>150.39192</v>
      </c>
      <c r="D29" s="864" t="s">
        <v>263</v>
      </c>
      <c r="E29" s="865"/>
      <c r="F29" s="865"/>
      <c r="G29" s="865"/>
      <c r="H29" s="865"/>
      <c r="I29" s="865"/>
      <c r="J29" s="865"/>
      <c r="K29" s="865"/>
      <c r="L29" s="865"/>
      <c r="M29" s="865"/>
      <c r="N29" s="865"/>
      <c r="O29" s="865"/>
      <c r="P29" s="865"/>
      <c r="Q29" s="865"/>
      <c r="R29" s="865"/>
      <c r="S29" s="865"/>
      <c r="T29" s="865"/>
      <c r="U29" s="866"/>
    </row>
    <row r="30" spans="1:21">
      <c r="A30" s="10" t="s">
        <v>264</v>
      </c>
      <c r="B30" s="40">
        <f>'[2]Maintenance Cost'!G47*B32</f>
        <v>456.23933504829</v>
      </c>
      <c r="D30" s="449" t="s">
        <v>201</v>
      </c>
      <c r="E30" s="26">
        <f>(($B73*(E9/1.852))+(980*$B9/1000))*E10/$E12</f>
        <v>60.726330103733261</v>
      </c>
      <c r="F30" s="26">
        <f>(($B73*(F9/1.852))+(980*$B9/1000))*F10/$E12</f>
        <v>46.231863804018062</v>
      </c>
      <c r="G30" s="26">
        <f>(($B73*(G9/1.852))+(980*$B9/1000))*G10/$E12</f>
        <v>56.053820706854133</v>
      </c>
      <c r="H30" s="26">
        <f>(($B73*(H9/1.852))+(980*$B9/1000))*H10/$E12</f>
        <v>56.053820706854133</v>
      </c>
      <c r="I30" s="26">
        <f>(($B73*(I9/1.852))+(980*$B9/1000))*I10/$E12</f>
        <v>34.277150479167965</v>
      </c>
      <c r="J30" s="27">
        <f>(($B73*(J9/1.852))+(980*$B9/1000))*J10/$J12</f>
        <v>71.497025432091533</v>
      </c>
      <c r="K30" s="27">
        <f>(($B73*(K9/1.852))+(980*$B9/1000))*K10/$J12</f>
        <v>55.537203358092391</v>
      </c>
      <c r="L30" s="27">
        <f>(($B73*(L9/1.852))+(980*$B9/1000))*L10/$J12</f>
        <v>59.981252923590915</v>
      </c>
      <c r="M30" s="27">
        <f>(($B73*(M9/1.852))+(980*$B9/1000))*M10/$J12</f>
        <v>67.244367875129882</v>
      </c>
      <c r="N30" s="26">
        <f>(($B73*(N9/1.852))+(980*$B9/1000))*N10/$N12</f>
        <v>106.54927507698842</v>
      </c>
      <c r="O30" s="26">
        <f>(($B73*(O9/1.852))+(980*$B9/1000))*O10/$N12</f>
        <v>24.561765668679516</v>
      </c>
      <c r="P30" s="26">
        <f>(($B73*(P9/1.852))+(980*$B9/1000))*P10/$N12</f>
        <v>38.842851502978796</v>
      </c>
      <c r="Q30" s="26">
        <f>(($B73*(Q9/1.852))+(980*$B9/1000))*Q10/$N12</f>
        <v>83.784787443752137</v>
      </c>
      <c r="R30" s="28">
        <f>(($B73*(R9/1.852))+(980*$B9/1000))*R10/$R12</f>
        <v>84.261715801013295</v>
      </c>
      <c r="S30" s="28">
        <f>(($B73*(S9/1.852))+(980*$B9/1000))*S10/$R12</f>
        <v>42.141827001264559</v>
      </c>
      <c r="T30" s="28">
        <f>(($B73*(T9/1.852))+(980*$B9/1000))*T10/$R12</f>
        <v>86.331612598998703</v>
      </c>
      <c r="U30" s="493">
        <f>(($B73*(U9/1.852))+(980*$B9/1000))*U10/$R12</f>
        <v>45.894925213610406</v>
      </c>
    </row>
    <row r="31" spans="1:21" ht="26.45">
      <c r="A31" s="41" t="s">
        <v>265</v>
      </c>
      <c r="B31" s="42">
        <f>'[2]Maintenance Cost'!G48*B32</f>
        <v>545.58319662847089</v>
      </c>
      <c r="D31" s="451" t="s">
        <v>202</v>
      </c>
      <c r="E31" s="30">
        <f>$B65*$B11/1000</f>
        <v>162.94198600000001</v>
      </c>
      <c r="F31" s="30">
        <f t="shared" ref="F31:U31" si="5">$B65*$B11/1000</f>
        <v>162.94198600000001</v>
      </c>
      <c r="G31" s="30">
        <f t="shared" si="5"/>
        <v>162.94198600000001</v>
      </c>
      <c r="H31" s="30">
        <f t="shared" si="5"/>
        <v>162.94198600000001</v>
      </c>
      <c r="I31" s="30">
        <f t="shared" si="5"/>
        <v>162.94198600000001</v>
      </c>
      <c r="J31" s="31">
        <f t="shared" si="5"/>
        <v>162.94198600000001</v>
      </c>
      <c r="K31" s="31">
        <f t="shared" si="5"/>
        <v>162.94198600000001</v>
      </c>
      <c r="L31" s="31">
        <f t="shared" si="5"/>
        <v>162.94198600000001</v>
      </c>
      <c r="M31" s="31">
        <f t="shared" si="5"/>
        <v>162.94198600000001</v>
      </c>
      <c r="N31" s="30">
        <f t="shared" si="5"/>
        <v>162.94198600000001</v>
      </c>
      <c r="O31" s="30">
        <f t="shared" si="5"/>
        <v>162.94198600000001</v>
      </c>
      <c r="P31" s="30">
        <f t="shared" si="5"/>
        <v>162.94198600000001</v>
      </c>
      <c r="Q31" s="30">
        <f t="shared" si="5"/>
        <v>162.94198600000001</v>
      </c>
      <c r="R31" s="32">
        <f t="shared" si="5"/>
        <v>162.94198600000001</v>
      </c>
      <c r="S31" s="32">
        <f t="shared" si="5"/>
        <v>162.94198600000001</v>
      </c>
      <c r="T31" s="32">
        <f t="shared" si="5"/>
        <v>162.94198600000001</v>
      </c>
      <c r="U31" s="494">
        <f t="shared" si="5"/>
        <v>162.94198600000001</v>
      </c>
    </row>
    <row r="32" spans="1:21">
      <c r="A32" s="43" t="s">
        <v>266</v>
      </c>
      <c r="B32" s="44">
        <v>0.86199999999999999</v>
      </c>
      <c r="D32" s="451" t="s">
        <v>203</v>
      </c>
      <c r="E32" s="30">
        <f>$B66*$B11/1000</f>
        <v>217.82770760000002</v>
      </c>
      <c r="F32" s="30">
        <f t="shared" ref="F32:U32" si="6">$B66*$B11/1000</f>
        <v>217.82770760000002</v>
      </c>
      <c r="G32" s="30">
        <f t="shared" si="6"/>
        <v>217.82770760000002</v>
      </c>
      <c r="H32" s="30">
        <f t="shared" si="6"/>
        <v>217.82770760000002</v>
      </c>
      <c r="I32" s="30">
        <f t="shared" si="6"/>
        <v>217.82770760000002</v>
      </c>
      <c r="J32" s="31">
        <f t="shared" si="6"/>
        <v>217.82770760000002</v>
      </c>
      <c r="K32" s="31">
        <f t="shared" si="6"/>
        <v>217.82770760000002</v>
      </c>
      <c r="L32" s="31">
        <f t="shared" si="6"/>
        <v>217.82770760000002</v>
      </c>
      <c r="M32" s="31">
        <f t="shared" si="6"/>
        <v>217.82770760000002</v>
      </c>
      <c r="N32" s="30">
        <f t="shared" si="6"/>
        <v>217.82770760000002</v>
      </c>
      <c r="O32" s="30">
        <f t="shared" si="6"/>
        <v>217.82770760000002</v>
      </c>
      <c r="P32" s="30">
        <f t="shared" si="6"/>
        <v>217.82770760000002</v>
      </c>
      <c r="Q32" s="30">
        <f t="shared" si="6"/>
        <v>217.82770760000002</v>
      </c>
      <c r="R32" s="32">
        <f t="shared" si="6"/>
        <v>217.82770760000002</v>
      </c>
      <c r="S32" s="32">
        <f t="shared" si="6"/>
        <v>217.82770760000002</v>
      </c>
      <c r="T32" s="32">
        <f t="shared" si="6"/>
        <v>217.82770760000002</v>
      </c>
      <c r="U32" s="494">
        <f t="shared" si="6"/>
        <v>217.82770760000002</v>
      </c>
    </row>
    <row r="33" spans="1:21">
      <c r="A33" s="45" t="s">
        <v>267</v>
      </c>
      <c r="B33" s="29">
        <f>B2*2 - B8*12</f>
        <v>0</v>
      </c>
      <c r="D33" s="456" t="s">
        <v>204</v>
      </c>
      <c r="E33" s="504">
        <f>[2]Profitability!$AQ68/$E$13</f>
        <v>26.854909430637644</v>
      </c>
      <c r="F33" s="504">
        <f>[2]Profitability!$AQ68/$E$13</f>
        <v>26.854909430637644</v>
      </c>
      <c r="G33" s="504">
        <f>[2]Profitability!$AQ68/$E$13</f>
        <v>26.854909430637644</v>
      </c>
      <c r="H33" s="504">
        <f>[2]Profitability!$AQ68/$E$13</f>
        <v>26.854909430637644</v>
      </c>
      <c r="I33" s="504">
        <f>[2]Profitability!$AQ68/$E$13</f>
        <v>26.854909430637644</v>
      </c>
      <c r="J33" s="505">
        <f>[2]Profitability!$AQ68/$J$13</f>
        <v>26.929299761470432</v>
      </c>
      <c r="K33" s="505">
        <f>[2]Profitability!$AQ68/$J$13</f>
        <v>26.929299761470432</v>
      </c>
      <c r="L33" s="505">
        <f>[2]Profitability!$AQ68/$J$13</f>
        <v>26.929299761470432</v>
      </c>
      <c r="M33" s="505">
        <f>[2]Profitability!$AQ68/$J$13</f>
        <v>26.929299761470432</v>
      </c>
      <c r="N33" s="504">
        <f>[2]Profitability!$AQ68/$N$13</f>
        <v>26.854909430637644</v>
      </c>
      <c r="O33" s="504">
        <f>[2]Profitability!$AQ68/$N$13</f>
        <v>26.854909430637644</v>
      </c>
      <c r="P33" s="504">
        <f>[2]Profitability!$AQ68/$N$13</f>
        <v>26.854909430637644</v>
      </c>
      <c r="Q33" s="504">
        <f>[2]Profitability!$AQ68/$N$13</f>
        <v>26.854909430637644</v>
      </c>
      <c r="R33" s="505">
        <f>[2]Profitability!$AQ68/$R$13</f>
        <v>27.384442856030496</v>
      </c>
      <c r="S33" s="505">
        <f>[2]Profitability!$AQ68/$R$13</f>
        <v>27.384442856030496</v>
      </c>
      <c r="T33" s="505">
        <f>[2]Profitability!$AQ68/$R$13</f>
        <v>27.384442856030496</v>
      </c>
      <c r="U33" s="506">
        <f>[2]Profitability!$AQ68/$R$13</f>
        <v>27.384442856030496</v>
      </c>
    </row>
    <row r="34" spans="1:21">
      <c r="A34" s="45" t="s">
        <v>268</v>
      </c>
      <c r="B34" s="29">
        <f>B8*12</f>
        <v>2940000</v>
      </c>
      <c r="D34" s="451" t="s">
        <v>205</v>
      </c>
      <c r="E34" s="30">
        <f>$B31*E10</f>
        <v>1030.8339230734678</v>
      </c>
      <c r="F34" s="30">
        <f t="shared" ref="F34:U34" si="7">$B31*F10</f>
        <v>785.06238809293541</v>
      </c>
      <c r="G34" s="30">
        <f t="shared" si="7"/>
        <v>951.62442234179014</v>
      </c>
      <c r="H34" s="30">
        <f t="shared" si="7"/>
        <v>951.62442234179014</v>
      </c>
      <c r="I34" s="30">
        <f t="shared" si="7"/>
        <v>582.22684416321886</v>
      </c>
      <c r="J34" s="31">
        <f t="shared" si="7"/>
        <v>1657.8474475569342</v>
      </c>
      <c r="K34" s="31">
        <f t="shared" si="7"/>
        <v>1288.449869378363</v>
      </c>
      <c r="L34" s="31">
        <f t="shared" si="7"/>
        <v>1391.3481927587666</v>
      </c>
      <c r="M34" s="31">
        <f t="shared" si="7"/>
        <v>1559.4553304648846</v>
      </c>
      <c r="N34" s="30">
        <f t="shared" si="7"/>
        <v>2630.569727570246</v>
      </c>
      <c r="O34" s="30">
        <f t="shared" si="7"/>
        <v>608.13649393526305</v>
      </c>
      <c r="P34" s="30">
        <f t="shared" si="7"/>
        <v>961.24800654283513</v>
      </c>
      <c r="Q34" s="30">
        <f t="shared" si="7"/>
        <v>2070.1810167863214</v>
      </c>
      <c r="R34" s="31">
        <f t="shared" si="7"/>
        <v>1994.6728945935072</v>
      </c>
      <c r="S34" s="31">
        <f t="shared" si="7"/>
        <v>999.00206763924223</v>
      </c>
      <c r="T34" s="31">
        <f t="shared" si="7"/>
        <v>2043.5310913065045</v>
      </c>
      <c r="U34" s="452">
        <f t="shared" si="7"/>
        <v>1087.8351525719647</v>
      </c>
    </row>
    <row r="35" spans="1:21">
      <c r="A35" s="46" t="s">
        <v>269</v>
      </c>
      <c r="B35" s="418">
        <f>$B81*B6</f>
        <v>419999.99999999994</v>
      </c>
      <c r="D35" s="451" t="s">
        <v>206</v>
      </c>
      <c r="E35" s="30" t="e">
        <f>'[4]Crew Accomodation'!$G$2/($E13*5)</f>
        <v>#REF!</v>
      </c>
      <c r="F35" s="30" t="e">
        <f>'[4]Crew Accomodation'!$G$2/($E13*5)</f>
        <v>#REF!</v>
      </c>
      <c r="G35" s="30" t="e">
        <f>'[4]Crew Accomodation'!$G$2/($E13*5)</f>
        <v>#REF!</v>
      </c>
      <c r="H35" s="30" t="e">
        <f>'[4]Crew Accomodation'!$G$2/($E13*5)</f>
        <v>#REF!</v>
      </c>
      <c r="I35" s="30" t="e">
        <f>'[4]Crew Accomodation'!$G$2/($E13*5)</f>
        <v>#REF!</v>
      </c>
      <c r="J35" s="31" t="e">
        <f>'[4]Crew Accomodation'!$K$13/($J13*4)</f>
        <v>#REF!</v>
      </c>
      <c r="K35" s="31" t="e">
        <f>'[4]Crew Accomodation'!$K$13/($J13*4)</f>
        <v>#REF!</v>
      </c>
      <c r="L35" s="31" t="e">
        <f>'[4]Crew Accomodation'!$K$13/($J13*4)</f>
        <v>#REF!</v>
      </c>
      <c r="M35" s="31" t="e">
        <f>'[4]Crew Accomodation'!$K$13/($J13*4)</f>
        <v>#REF!</v>
      </c>
      <c r="N35" s="30" t="e">
        <f>'[4]Crew Accomodation'!$L$13/($N13*4)</f>
        <v>#REF!</v>
      </c>
      <c r="O35" s="30" t="e">
        <f>'[4]Crew Accomodation'!$L$13/($N13*4)</f>
        <v>#REF!</v>
      </c>
      <c r="P35" s="30" t="e">
        <f>'[4]Crew Accomodation'!$L$13/($N13*4)</f>
        <v>#REF!</v>
      </c>
      <c r="Q35" s="30" t="e">
        <f>'[4]Crew Accomodation'!$L$13/($N13*4)</f>
        <v>#REF!</v>
      </c>
      <c r="R35" s="31" t="e">
        <f>'[4]Crew Accomodation'!$F$15/($R13*4)</f>
        <v>#REF!</v>
      </c>
      <c r="S35" s="31" t="e">
        <f>'[4]Crew Accomodation'!$F$15/($R13*4)</f>
        <v>#REF!</v>
      </c>
      <c r="T35" s="31" t="e">
        <f>'[4]Crew Accomodation'!$F$15/($R13*4)</f>
        <v>#REF!</v>
      </c>
      <c r="U35" s="452" t="e">
        <f>'[4]Crew Accomodation'!$F$15/($R13*4)</f>
        <v>#REF!</v>
      </c>
    </row>
    <row r="36" spans="1:21" ht="13.9" thickBot="1">
      <c r="A36" s="45"/>
      <c r="B36" s="29"/>
      <c r="D36" s="476" t="s">
        <v>207</v>
      </c>
      <c r="E36" s="38">
        <f>$B75/($E13*13)</f>
        <v>1.0624734381640459</v>
      </c>
      <c r="F36" s="38">
        <f t="shared" ref="F36:I36" si="8">$B75/($E13*13)</f>
        <v>1.0624734381640459</v>
      </c>
      <c r="G36" s="38">
        <f t="shared" si="8"/>
        <v>1.0624734381640459</v>
      </c>
      <c r="H36" s="38">
        <f t="shared" si="8"/>
        <v>1.0624734381640459</v>
      </c>
      <c r="I36" s="38">
        <f t="shared" si="8"/>
        <v>1.0624734381640459</v>
      </c>
      <c r="J36" s="39">
        <f>$B76/($J13*4)</f>
        <v>2.0775623268698062</v>
      </c>
      <c r="K36" s="39">
        <f t="shared" ref="K36:M36" si="9">$B76/($J13*4)</f>
        <v>2.0775623268698062</v>
      </c>
      <c r="L36" s="39">
        <f t="shared" si="9"/>
        <v>2.0775623268698062</v>
      </c>
      <c r="M36" s="39">
        <f t="shared" si="9"/>
        <v>2.0775623268698062</v>
      </c>
      <c r="N36" s="38">
        <f>$B75/($E13*13)</f>
        <v>1.0624734381640459</v>
      </c>
      <c r="O36" s="38">
        <f t="shared" ref="O36:U36" si="10">$B75/($E13*13)</f>
        <v>1.0624734381640459</v>
      </c>
      <c r="P36" s="38">
        <f t="shared" si="10"/>
        <v>1.0624734381640459</v>
      </c>
      <c r="Q36" s="38">
        <f t="shared" si="10"/>
        <v>1.0624734381640459</v>
      </c>
      <c r="R36" s="39">
        <f t="shared" si="10"/>
        <v>1.0624734381640459</v>
      </c>
      <c r="S36" s="39">
        <f t="shared" si="10"/>
        <v>1.0624734381640459</v>
      </c>
      <c r="T36" s="39">
        <f t="shared" si="10"/>
        <v>1.0624734381640459</v>
      </c>
      <c r="U36" s="455">
        <f t="shared" si="10"/>
        <v>1.0624734381640459</v>
      </c>
    </row>
    <row r="37" spans="1:21" ht="15" customHeight="1" thickBot="1">
      <c r="A37" s="45"/>
      <c r="B37" s="29"/>
      <c r="D37" s="867" t="s">
        <v>270</v>
      </c>
      <c r="E37" s="868"/>
      <c r="F37" s="868"/>
      <c r="G37" s="868"/>
      <c r="H37" s="868"/>
      <c r="I37" s="868"/>
      <c r="J37" s="868"/>
      <c r="K37" s="868"/>
      <c r="L37" s="868"/>
      <c r="M37" s="868"/>
      <c r="N37" s="868"/>
      <c r="O37" s="868"/>
      <c r="P37" s="868"/>
      <c r="Q37" s="868"/>
      <c r="R37" s="868"/>
      <c r="S37" s="868"/>
      <c r="T37" s="868"/>
      <c r="U37" s="869"/>
    </row>
    <row r="38" spans="1:21">
      <c r="A38" s="47" t="s">
        <v>271</v>
      </c>
      <c r="B38" s="48">
        <v>2</v>
      </c>
      <c r="D38" s="458" t="s">
        <v>210</v>
      </c>
      <c r="E38" s="50">
        <f>($B2*2-($B8*12))*E10/$E$12</f>
        <v>0</v>
      </c>
      <c r="F38" s="50">
        <f>($B2*2-($B8*12))*F10/$E$12</f>
        <v>0</v>
      </c>
      <c r="G38" s="50">
        <f>($B2*2-($B8*12))*G10/$E$12</f>
        <v>0</v>
      </c>
      <c r="H38" s="50">
        <f>($B2*2-($B8*12))*H10/$E$12</f>
        <v>0</v>
      </c>
      <c r="I38" s="50">
        <f>($B2*2-($B8*12))*I10/$E$12</f>
        <v>0</v>
      </c>
      <c r="J38" s="51">
        <f>($B2*2-($B8*12))*J10/$J$12</f>
        <v>0</v>
      </c>
      <c r="K38" s="51">
        <f>($B2*2-($B8*12))*K10/$J$12</f>
        <v>0</v>
      </c>
      <c r="L38" s="51">
        <f>($B2*2-($B8*12))*L10/$J$12</f>
        <v>0</v>
      </c>
      <c r="M38" s="51">
        <f>($B2*2-($B8*12))*M10/$J$12</f>
        <v>0</v>
      </c>
      <c r="N38" s="50">
        <f>($B2*2-($B8*12))*N10/$N$12</f>
        <v>0</v>
      </c>
      <c r="O38" s="50">
        <f>($B2*2-($B8*12))*O10/$N$12</f>
        <v>0</v>
      </c>
      <c r="P38" s="50">
        <f>($B2*2-($B8*12))*P10/$N$12</f>
        <v>0</v>
      </c>
      <c r="Q38" s="50">
        <f>($B2*2-($B8*12))*Q10/$N$12</f>
        <v>0</v>
      </c>
      <c r="R38" s="52">
        <f>($B2*2-($B8*12))*R10/$R$12</f>
        <v>0</v>
      </c>
      <c r="S38" s="52">
        <f>($B2*2-($B8*12))*S10/$R$12</f>
        <v>0</v>
      </c>
      <c r="T38" s="52">
        <f>($B2*2-($B8*12))*T10/$R$12</f>
        <v>0</v>
      </c>
      <c r="U38" s="495">
        <f>($B2*2-($B8*12))*U10/$R$12</f>
        <v>0</v>
      </c>
    </row>
    <row r="39" spans="1:21" ht="15.6" customHeight="1">
      <c r="A39" s="10" t="s">
        <v>272</v>
      </c>
      <c r="B39" s="29">
        <v>2</v>
      </c>
      <c r="D39" s="451" t="s">
        <v>211</v>
      </c>
      <c r="E39" s="30">
        <f>($B81*$B6)/($E13*5)</f>
        <v>232.04419889502759</v>
      </c>
      <c r="F39" s="30">
        <f>($B81*$B6)/($E13*5)</f>
        <v>232.04419889502759</v>
      </c>
      <c r="G39" s="30">
        <f>($B81*$B6)/($E13*5)</f>
        <v>232.04419889502759</v>
      </c>
      <c r="H39" s="30">
        <f>($B81*$B6)/($E13*5)</f>
        <v>232.04419889502759</v>
      </c>
      <c r="I39" s="30">
        <f>($B81*$B6)/($E13*5)</f>
        <v>232.04419889502759</v>
      </c>
      <c r="J39" s="31">
        <f>($B81*$B6)/($J$13*4)</f>
        <v>290.8587257617728</v>
      </c>
      <c r="K39" s="31">
        <f>($B81*$B6)/($J$13*4)</f>
        <v>290.8587257617728</v>
      </c>
      <c r="L39" s="31">
        <f>($B81*$B6)/($J$13*4)</f>
        <v>290.8587257617728</v>
      </c>
      <c r="M39" s="31">
        <f>($B81*$B6)/($J$13*4)</f>
        <v>290.8587257617728</v>
      </c>
      <c r="N39" s="30">
        <f>($B81*$B6)/($N$13*4)</f>
        <v>290.0552486187845</v>
      </c>
      <c r="O39" s="30">
        <f>($B81*$B6)/($N$13*4)</f>
        <v>290.0552486187845</v>
      </c>
      <c r="P39" s="30">
        <f>($B81*$B6)/($N$13*4)</f>
        <v>290.0552486187845</v>
      </c>
      <c r="Q39" s="30">
        <f>($B81*$B6)/($N$13*4)</f>
        <v>290.0552486187845</v>
      </c>
      <c r="R39" s="32">
        <f>($B81*$B6)/($R$13*4)</f>
        <v>295.77464788732391</v>
      </c>
      <c r="S39" s="32">
        <f>($B81*$B6)/($R$13*4)</f>
        <v>295.77464788732391</v>
      </c>
      <c r="T39" s="32">
        <f>($B81*$B6)/($R$13*4)</f>
        <v>295.77464788732391</v>
      </c>
      <c r="U39" s="494">
        <f>($B81*$B6)/($R$13*4)</f>
        <v>295.77464788732391</v>
      </c>
    </row>
    <row r="40" spans="1:21" ht="13.9" thickBot="1">
      <c r="A40" s="54" t="s">
        <v>273</v>
      </c>
      <c r="B40" s="55">
        <v>14</v>
      </c>
      <c r="D40" s="460" t="s">
        <v>212</v>
      </c>
      <c r="E40" s="26">
        <f>(($B6*(1+$B78)-($B85*$B6))/($B79*$E$12))/5</f>
        <v>882.97000904725246</v>
      </c>
      <c r="F40" s="26">
        <f>(($B6*(1+$B78)-($B85*$B6))/($B79*$E$12))/5</f>
        <v>882.97000904725246</v>
      </c>
      <c r="G40" s="26">
        <f>(($B6*(1+$B78)-($B85*$B6))/($B79*$E$12))/5</f>
        <v>882.97000904725246</v>
      </c>
      <c r="H40" s="26">
        <f>(($B6*(1+$B78)-($B85*$B6))/($B79*$E$12))/5</f>
        <v>882.97000904725246</v>
      </c>
      <c r="I40" s="26">
        <f>(($B6*(1+$B78)-($B85*$B6))/($B79*$E$12))/5</f>
        <v>882.97000904725246</v>
      </c>
      <c r="J40" s="27">
        <f>(($B6*(1+$B78)-($B85*$B6))/($B79*$J$12))/4</f>
        <v>807.28295650502025</v>
      </c>
      <c r="K40" s="27">
        <f>(($B6*(1+$B78)-($B85*$B6))/($B79*$J$12))/4</f>
        <v>807.28295650502025</v>
      </c>
      <c r="L40" s="27">
        <f>(($B6*(1+$B78)-($B85*$B6))/($B79*$J$12))/4</f>
        <v>807.28295650502025</v>
      </c>
      <c r="M40" s="27">
        <f>(($B6*(1+$B78)-($B85*$B6))/($B79*$J$12))/4</f>
        <v>807.28295650502025</v>
      </c>
      <c r="N40" s="26">
        <f>(($B6*(1+$B78)-($B85*$B6))/($B79*$N$12))/4</f>
        <v>757.15720743345059</v>
      </c>
      <c r="O40" s="26">
        <f>(($B6*(1+$B78)-($B85*$B6))/($B79*$N$12))/4</f>
        <v>757.15720743345059</v>
      </c>
      <c r="P40" s="26">
        <f>(($B6*(1+$B78)-($B85*$B6))/($B79*$N$12))/4</f>
        <v>757.15720743345059</v>
      </c>
      <c r="Q40" s="26">
        <f>(($B6*(1+$B78)-($B85*$B6))/($B79*$N$12))/4</f>
        <v>757.15720743345059</v>
      </c>
      <c r="R40" s="28">
        <f>(($B6*(1+$B78)-($B85*$B6))/($B79*$R$12))/4</f>
        <v>790.37677843712027</v>
      </c>
      <c r="S40" s="28">
        <f>(($B6*(1+$B78)-($B85*$B6))/($B79*$R$12))/4</f>
        <v>790.37677843712027</v>
      </c>
      <c r="T40" s="28">
        <f>(($B6*(1+$B78)-($B85*$B6))/($B79*$R$12))/4</f>
        <v>790.37677843712027</v>
      </c>
      <c r="U40" s="493">
        <f>(($B6*(1+$B78)-($B85*$B6))/($B79*$R$12))/4</f>
        <v>790.37677843712027</v>
      </c>
    </row>
    <row r="41" spans="1:21" ht="13.9" thickBot="1">
      <c r="D41" s="461" t="s">
        <v>213</v>
      </c>
      <c r="E41" s="56">
        <f>$B8*12*E10/$E$12</f>
        <v>1946.3478433261178</v>
      </c>
      <c r="F41" s="56">
        <f>$B8*12*F10/$E$12</f>
        <v>1482.2993808598549</v>
      </c>
      <c r="G41" s="56">
        <f>$B8*12*G10/$E$12</f>
        <v>1796.7900557240393</v>
      </c>
      <c r="H41" s="56">
        <f>$B8*12*H10/$E$12</f>
        <v>1796.7900557240393</v>
      </c>
      <c r="I41" s="56">
        <f>$B8*12*I10/$E$12</f>
        <v>1099.3196256919148</v>
      </c>
      <c r="J41" s="57">
        <f>$B8*12*J10/$J$12</f>
        <v>2289.5289493714968</v>
      </c>
      <c r="K41" s="57">
        <f>$B8*12*K10/$J$12</f>
        <v>1779.3816192815764</v>
      </c>
      <c r="L41" s="57">
        <f>$B8*12*L10/$J$12</f>
        <v>1921.4867873827766</v>
      </c>
      <c r="M41" s="57">
        <f>$B8*12*M10/$J$12</f>
        <v>2153.6469652937903</v>
      </c>
      <c r="N41" s="56">
        <f>$B8*12*N10/$N$12</f>
        <v>3407.3101684854569</v>
      </c>
      <c r="O41" s="56">
        <f>$B8*12*O10/$N$12</f>
        <v>787.7037578192776</v>
      </c>
      <c r="P41" s="56">
        <f>$B8*12*P10/$N$12</f>
        <v>1245.0801333272452</v>
      </c>
      <c r="Q41" s="56">
        <f>$B8*12*Q10/$N$12</f>
        <v>2681.4529016939869</v>
      </c>
      <c r="R41" s="58">
        <f>$B8*12*R10/$R$12</f>
        <v>2697.0043611925362</v>
      </c>
      <c r="S41" s="58">
        <f>$B8*12*S10/$R$12</f>
        <v>1350.7542718238367</v>
      </c>
      <c r="T41" s="58">
        <f>$B8*12*T10/$R$12</f>
        <v>2763.0657038678773</v>
      </c>
      <c r="U41" s="496">
        <f>$B8*12*U10/$R$12</f>
        <v>1470.865803960821</v>
      </c>
    </row>
    <row r="42" spans="1:21" ht="15" customHeight="1" thickBot="1">
      <c r="D42" s="870" t="s">
        <v>274</v>
      </c>
      <c r="E42" s="871"/>
      <c r="F42" s="871"/>
      <c r="G42" s="871"/>
      <c r="H42" s="871"/>
      <c r="I42" s="871"/>
      <c r="J42" s="871"/>
      <c r="K42" s="871"/>
      <c r="L42" s="871"/>
      <c r="M42" s="871"/>
      <c r="N42" s="871"/>
      <c r="O42" s="871"/>
      <c r="P42" s="871"/>
      <c r="Q42" s="871"/>
      <c r="R42" s="871"/>
      <c r="S42" s="871"/>
      <c r="T42" s="871"/>
      <c r="U42" s="872"/>
    </row>
    <row r="43" spans="1:21">
      <c r="D43" s="460" t="s">
        <v>275</v>
      </c>
      <c r="E43" s="26" t="e">
        <f>SUM(E20:E28)+SUM(E30:E36)+SUM(E38:E41)</f>
        <v>#REF!</v>
      </c>
      <c r="F43" s="26" t="e">
        <f t="shared" ref="F43:U43" si="11">SUM(F20:F28)+SUM(F30:F36)+SUM(F38:F41)</f>
        <v>#REF!</v>
      </c>
      <c r="G43" s="26" t="e">
        <f t="shared" si="11"/>
        <v>#REF!</v>
      </c>
      <c r="H43" s="26" t="e">
        <f t="shared" si="11"/>
        <v>#REF!</v>
      </c>
      <c r="I43" s="26" t="e">
        <f t="shared" si="11"/>
        <v>#REF!</v>
      </c>
      <c r="J43" s="27" t="e">
        <f t="shared" si="11"/>
        <v>#REF!</v>
      </c>
      <c r="K43" s="27" t="e">
        <f t="shared" si="11"/>
        <v>#REF!</v>
      </c>
      <c r="L43" s="27" t="e">
        <f t="shared" si="11"/>
        <v>#REF!</v>
      </c>
      <c r="M43" s="27" t="e">
        <f>SUM(M20:M28)+SUM(M30:M36)+SUM(M38:M41)</f>
        <v>#REF!</v>
      </c>
      <c r="N43" s="26" t="e">
        <f t="shared" si="11"/>
        <v>#REF!</v>
      </c>
      <c r="O43" s="26" t="e">
        <f t="shared" si="11"/>
        <v>#REF!</v>
      </c>
      <c r="P43" s="26" t="e">
        <f t="shared" si="11"/>
        <v>#REF!</v>
      </c>
      <c r="Q43" s="26" t="e">
        <f t="shared" si="11"/>
        <v>#REF!</v>
      </c>
      <c r="R43" s="28" t="e">
        <f t="shared" si="11"/>
        <v>#REF!</v>
      </c>
      <c r="S43" s="28" t="e">
        <f t="shared" si="11"/>
        <v>#REF!</v>
      </c>
      <c r="T43" s="28" t="e">
        <f t="shared" si="11"/>
        <v>#REF!</v>
      </c>
      <c r="U43" s="493" t="e">
        <f t="shared" si="11"/>
        <v>#REF!</v>
      </c>
    </row>
    <row r="44" spans="1:21" ht="13.9" thickBot="1">
      <c r="A44" s="59"/>
      <c r="B44" s="59"/>
      <c r="D44" s="463" t="s">
        <v>276</v>
      </c>
      <c r="E44" s="464" t="e">
        <f>E43/E10</f>
        <v>#REF!</v>
      </c>
      <c r="F44" s="464" t="e">
        <f t="shared" ref="F44:U44" si="12">F43/F10</f>
        <v>#REF!</v>
      </c>
      <c r="G44" s="464" t="e">
        <f t="shared" si="12"/>
        <v>#REF!</v>
      </c>
      <c r="H44" s="464" t="e">
        <f t="shared" si="12"/>
        <v>#REF!</v>
      </c>
      <c r="I44" s="464" t="e">
        <f t="shared" si="12"/>
        <v>#REF!</v>
      </c>
      <c r="J44" s="465" t="e">
        <f t="shared" si="12"/>
        <v>#REF!</v>
      </c>
      <c r="K44" s="465" t="e">
        <f t="shared" si="12"/>
        <v>#REF!</v>
      </c>
      <c r="L44" s="465" t="e">
        <f t="shared" si="12"/>
        <v>#REF!</v>
      </c>
      <c r="M44" s="465" t="e">
        <f t="shared" si="12"/>
        <v>#REF!</v>
      </c>
      <c r="N44" s="464" t="e">
        <f t="shared" si="12"/>
        <v>#REF!</v>
      </c>
      <c r="O44" s="464" t="e">
        <f t="shared" si="12"/>
        <v>#REF!</v>
      </c>
      <c r="P44" s="464" t="e">
        <f t="shared" si="12"/>
        <v>#REF!</v>
      </c>
      <c r="Q44" s="464" t="e">
        <f t="shared" si="12"/>
        <v>#REF!</v>
      </c>
      <c r="R44" s="497" t="e">
        <f t="shared" si="12"/>
        <v>#REF!</v>
      </c>
      <c r="S44" s="497" t="e">
        <f t="shared" si="12"/>
        <v>#REF!</v>
      </c>
      <c r="T44" s="497" t="e">
        <f t="shared" si="12"/>
        <v>#REF!</v>
      </c>
      <c r="U44" s="498" t="e">
        <f t="shared" si="12"/>
        <v>#REF!</v>
      </c>
    </row>
    <row r="45" spans="1:21">
      <c r="A45" s="59"/>
      <c r="B45" s="60"/>
    </row>
    <row r="46" spans="1:21">
      <c r="A46" s="59"/>
      <c r="B46" s="59"/>
    </row>
    <row r="47" spans="1:21">
      <c r="A47" s="59"/>
      <c r="B47" s="59"/>
    </row>
    <row r="48" spans="1:21" ht="14.45">
      <c r="A48" s="59"/>
      <c r="B48" s="59"/>
      <c r="D48" t="s">
        <v>176</v>
      </c>
      <c r="E48" s="108">
        <f>SUM(E20:I20)*E13+SUM(J20:M20)*J13+SUM(N20:Q20)*N13+SUM(R20:U20)*R13</f>
        <v>5020078.0792275667</v>
      </c>
    </row>
    <row r="49" spans="1:11" ht="14.45">
      <c r="A49" s="61"/>
      <c r="B49" s="62"/>
      <c r="D49" t="s">
        <v>177</v>
      </c>
      <c r="E49" s="108">
        <f>SUM(E22:I22)*E13+SUM(J22:M22)*J13+SUM(N22:Q22)*N13+SUM(R22:U22)*R13</f>
        <v>17596626.824787531</v>
      </c>
    </row>
    <row r="50" spans="1:11" ht="15.6" customHeight="1">
      <c r="A50" s="63"/>
      <c r="B50" s="64"/>
      <c r="D50" t="s">
        <v>178</v>
      </c>
      <c r="E50" t="s">
        <v>44</v>
      </c>
      <c r="K50" s="49">
        <f>SUM(Year9!J20:M20)</f>
        <v>3641.2593106679465</v>
      </c>
    </row>
    <row r="51" spans="1:11" ht="14.45">
      <c r="A51" s="65"/>
      <c r="B51" s="9"/>
      <c r="D51" t="s">
        <v>179</v>
      </c>
      <c r="E51" s="108">
        <f>SUM(E23:I28)*E13+SUM(J23:M28)*J13+SUM(N23:Q28)*N13+SUM(R23:U28)*R13</f>
        <v>6369841.4689407721</v>
      </c>
    </row>
    <row r="52" spans="1:11" ht="14.45">
      <c r="A52" s="63"/>
      <c r="B52" s="66"/>
      <c r="D52" t="s">
        <v>180</v>
      </c>
      <c r="E52" s="108">
        <f>SUM(E40:I40)*E13+SUM(J40:M40)*J13+SUM(N40:Q40)*N13+SUM(R40:U40)*R13</f>
        <v>4982590.9673131239</v>
      </c>
    </row>
    <row r="53" spans="1:11" ht="14.45">
      <c r="A53" s="65"/>
      <c r="B53" s="9"/>
      <c r="D53" t="s">
        <v>181</v>
      </c>
      <c r="E53" s="108" t="e">
        <f>SUM(E30:I36)*E13+SUM(J30:M36)*J13+SUM(N30:Q36)*N13+SUM(R30:U36)*R13</f>
        <v>#REF!</v>
      </c>
    </row>
    <row r="54" spans="1:11" ht="14.45">
      <c r="A54" s="67"/>
      <c r="B54" s="9"/>
      <c r="D54"/>
      <c r="E54"/>
    </row>
    <row r="55" spans="1:11" ht="14.45">
      <c r="A55" s="3" t="s">
        <v>277</v>
      </c>
      <c r="B55" s="3" t="s">
        <v>278</v>
      </c>
      <c r="D55" t="s">
        <v>183</v>
      </c>
      <c r="E55" s="49">
        <f>SUM(E20:U28)</f>
        <v>99436.178958407254</v>
      </c>
    </row>
    <row r="56" spans="1:11" ht="15" thickBot="1">
      <c r="A56" s="68" t="s">
        <v>279</v>
      </c>
      <c r="D56" t="s">
        <v>184</v>
      </c>
      <c r="E56" s="49" t="e">
        <f>SUM(E30:U36)</f>
        <v>#REF!</v>
      </c>
    </row>
    <row r="57" spans="1:11" ht="15" thickTop="1">
      <c r="A57" s="69" t="s">
        <v>280</v>
      </c>
      <c r="B57" s="70">
        <v>1.9</v>
      </c>
      <c r="D57" t="s">
        <v>281</v>
      </c>
      <c r="E57" s="49">
        <f>SUM(E38:U41)</f>
        <v>51169.921683111927</v>
      </c>
    </row>
    <row r="58" spans="1:11" ht="14.65" customHeight="1">
      <c r="A58" s="71" t="s">
        <v>282</v>
      </c>
      <c r="B58" s="72">
        <v>18950</v>
      </c>
    </row>
    <row r="59" spans="1:11">
      <c r="A59" s="73" t="s">
        <v>283</v>
      </c>
      <c r="B59" s="74">
        <f>B58/1050</f>
        <v>18.047619047619047</v>
      </c>
    </row>
    <row r="60" spans="1:11" ht="14.65" customHeight="1">
      <c r="A60" s="850" t="s">
        <v>284</v>
      </c>
      <c r="B60" s="895"/>
    </row>
    <row r="61" spans="1:11">
      <c r="A61" s="75" t="s">
        <v>285</v>
      </c>
      <c r="B61" s="74">
        <v>2000</v>
      </c>
    </row>
    <row r="62" spans="1:11">
      <c r="A62" s="75" t="s">
        <v>286</v>
      </c>
      <c r="B62" s="74">
        <v>1.5</v>
      </c>
    </row>
    <row r="63" spans="1:11">
      <c r="A63" s="75" t="s">
        <v>287</v>
      </c>
      <c r="B63" s="74">
        <f>0.96/30</f>
        <v>3.2000000000000001E-2</v>
      </c>
    </row>
    <row r="64" spans="1:11" ht="14.65" customHeight="1">
      <c r="A64" s="75" t="s">
        <v>288</v>
      </c>
      <c r="B64" s="74">
        <v>3.05</v>
      </c>
    </row>
    <row r="65" spans="1:2" ht="14.65" customHeight="1">
      <c r="A65" s="75" t="s">
        <v>202</v>
      </c>
      <c r="B65" s="74">
        <f>0.00095*1000*2.2046</f>
        <v>2.0943700000000001</v>
      </c>
    </row>
    <row r="66" spans="1:2">
      <c r="A66" s="75" t="s">
        <v>203</v>
      </c>
      <c r="B66" s="74">
        <f>0.00127*1000*2.2046</f>
        <v>2.7998420000000004</v>
      </c>
    </row>
    <row r="67" spans="1:2">
      <c r="A67" s="75" t="s">
        <v>289</v>
      </c>
      <c r="B67" s="74">
        <v>0.95699999999999996</v>
      </c>
    </row>
    <row r="68" spans="1:2">
      <c r="A68" s="75"/>
      <c r="B68" s="74"/>
    </row>
    <row r="69" spans="1:2">
      <c r="A69" s="75" t="s">
        <v>290</v>
      </c>
      <c r="B69" s="74">
        <v>17.149999999999999</v>
      </c>
    </row>
    <row r="70" spans="1:2">
      <c r="A70" s="75" t="s">
        <v>291</v>
      </c>
      <c r="B70" s="76">
        <v>0.191</v>
      </c>
    </row>
    <row r="71" spans="1:2">
      <c r="A71" s="75" t="s">
        <v>292</v>
      </c>
      <c r="B71" s="76">
        <v>3.0000000000000001E-3</v>
      </c>
    </row>
    <row r="72" spans="1:2">
      <c r="A72" s="75"/>
      <c r="B72" s="74"/>
    </row>
    <row r="73" spans="1:2">
      <c r="A73" s="75" t="s">
        <v>293</v>
      </c>
      <c r="B73" s="74">
        <v>0.17799999999999999</v>
      </c>
    </row>
    <row r="74" spans="1:2" ht="13.9" thickBot="1">
      <c r="A74" s="77" t="s">
        <v>294</v>
      </c>
      <c r="B74" s="78">
        <v>3.2000000000000002E-3</v>
      </c>
    </row>
    <row r="75" spans="1:2" ht="13.9" thickTop="1">
      <c r="A75" s="1" t="s">
        <v>295</v>
      </c>
      <c r="B75" s="1">
        <v>5000</v>
      </c>
    </row>
    <row r="76" spans="1:2" ht="13.9" thickBot="1">
      <c r="A76" s="1" t="s">
        <v>315</v>
      </c>
      <c r="B76" s="1">
        <v>3000</v>
      </c>
    </row>
    <row r="77" spans="1:2" ht="13.9" thickTop="1">
      <c r="A77" s="79" t="s">
        <v>316</v>
      </c>
      <c r="B77" s="80" t="s">
        <v>44</v>
      </c>
    </row>
    <row r="78" spans="1:2">
      <c r="A78" s="81" t="s">
        <v>296</v>
      </c>
      <c r="B78" s="82">
        <v>0.15</v>
      </c>
    </row>
    <row r="79" spans="1:2">
      <c r="A79" s="83" t="s">
        <v>297</v>
      </c>
      <c r="B79" s="84">
        <v>10</v>
      </c>
    </row>
    <row r="80" spans="1:2">
      <c r="A80" s="83" t="s">
        <v>298</v>
      </c>
      <c r="B80" s="84">
        <v>10</v>
      </c>
    </row>
    <row r="81" spans="1:2">
      <c r="A81" s="83" t="s">
        <v>299</v>
      </c>
      <c r="B81" s="85">
        <f>0.35%</f>
        <v>3.4999999999999996E-3</v>
      </c>
    </row>
    <row r="82" spans="1:2">
      <c r="A82" s="81" t="s">
        <v>300</v>
      </c>
      <c r="B82" s="85">
        <v>3.5000000000000003E-2</v>
      </c>
    </row>
    <row r="83" spans="1:2">
      <c r="A83" s="81" t="s">
        <v>301</v>
      </c>
      <c r="B83" s="82">
        <v>0.06</v>
      </c>
    </row>
    <row r="84" spans="1:2" ht="13.9" thickBot="1">
      <c r="A84" s="86" t="s">
        <v>302</v>
      </c>
      <c r="B84" s="87">
        <v>0.23</v>
      </c>
    </row>
    <row r="85" spans="1:2" ht="13.9" thickTop="1">
      <c r="A85" s="1" t="s">
        <v>303</v>
      </c>
      <c r="B85" s="25">
        <f>10%</f>
        <v>0.1</v>
      </c>
    </row>
    <row r="86" spans="1:2">
      <c r="A86" s="1" t="s">
        <v>304</v>
      </c>
      <c r="B86" s="18">
        <v>15</v>
      </c>
    </row>
    <row r="87" spans="1:2">
      <c r="A87" s="1" t="s">
        <v>305</v>
      </c>
      <c r="B87" s="1">
        <f>1.2%</f>
        <v>1.2E-2</v>
      </c>
    </row>
    <row r="88" spans="1:2">
      <c r="A88" s="1" t="s">
        <v>306</v>
      </c>
      <c r="B88" s="1">
        <v>10</v>
      </c>
    </row>
    <row r="89" spans="1:2">
      <c r="A89" s="1" t="s">
        <v>307</v>
      </c>
      <c r="B89" s="53">
        <f>8.5%</f>
        <v>8.5000000000000006E-2</v>
      </c>
    </row>
    <row r="90" spans="1:2">
      <c r="A90" s="1" t="s">
        <v>308</v>
      </c>
      <c r="B90" s="1">
        <f>30000000*0.00007</f>
        <v>2100</v>
      </c>
    </row>
    <row r="91" spans="1:2">
      <c r="A91" s="1" t="s">
        <v>309</v>
      </c>
      <c r="B91" s="1">
        <f>200*0.00007</f>
        <v>1.3999999999999999E-2</v>
      </c>
    </row>
    <row r="114" spans="1:22" ht="13.9" thickBot="1"/>
    <row r="115" spans="1:22" ht="14.45" thickTop="1" thickBot="1">
      <c r="A115" s="848" t="s">
        <v>310</v>
      </c>
      <c r="B115" s="849"/>
      <c r="D115" s="1" t="str" cm="1">
        <f t="array" ref="D115:V126">TRANSPOSE([2]Profitability!AS2:BD20)</f>
        <v>Rotation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4</v>
      </c>
      <c r="T115" s="1">
        <v>0</v>
      </c>
      <c r="U115" s="1">
        <v>0</v>
      </c>
      <c r="V115" s="1">
        <v>0</v>
      </c>
    </row>
    <row r="116" spans="1:22" ht="13.9" thickTop="1">
      <c r="A116" s="88"/>
      <c r="B116" s="89" t="s">
        <v>311</v>
      </c>
      <c r="D116" s="1" t="str">
        <v>O-D</v>
      </c>
      <c r="E116" s="1">
        <v>0</v>
      </c>
      <c r="F116" s="1" t="str">
        <v>PLM-SUB</v>
      </c>
      <c r="G116" s="1" t="str">
        <v>SUB-CGK</v>
      </c>
      <c r="H116" s="1" t="str">
        <v>CGK-PKY</v>
      </c>
      <c r="I116" s="1" t="str">
        <v>PKY-CGK</v>
      </c>
      <c r="J116" s="1" t="str">
        <v>CGK-PLM</v>
      </c>
      <c r="K116" s="1" t="str">
        <v>MDC-SRG</v>
      </c>
      <c r="L116" s="1" t="str">
        <v>SRG-KDI</v>
      </c>
      <c r="M116" s="1" t="str">
        <v>KDI-PNK</v>
      </c>
      <c r="N116" s="1" t="str">
        <v>PNK-MDC</v>
      </c>
      <c r="O116" s="1" t="str">
        <v>TTE-KNO</v>
      </c>
      <c r="P116" s="1" t="str">
        <v>KNO-PKU</v>
      </c>
      <c r="Q116" s="1" t="str">
        <v>PKU-BDO</v>
      </c>
      <c r="R116" s="1" t="str">
        <v>BDO-TTE</v>
      </c>
      <c r="S116" s="1" t="str">
        <v>LOP-TIM</v>
      </c>
      <c r="T116" s="1" t="str">
        <v>TIM-AMQ</v>
      </c>
      <c r="U116" s="1" t="str">
        <v>AMQ-CGK</v>
      </c>
      <c r="V116" s="1" t="str">
        <v>CGK-LOP</v>
      </c>
    </row>
    <row r="117" spans="1:22">
      <c r="A117" s="90" t="s">
        <v>312</v>
      </c>
      <c r="B117" s="91">
        <v>0.311</v>
      </c>
      <c r="D117" s="1" t="str">
        <v>AVERAGE DEMAND PER YEAR</v>
      </c>
      <c r="E117" s="1">
        <v>2023</v>
      </c>
      <c r="F117" s="1">
        <v>9.1743079999999964</v>
      </c>
      <c r="G117" s="1">
        <v>12.041999999999998</v>
      </c>
      <c r="H117" s="1">
        <v>7.055979999999999</v>
      </c>
      <c r="I117" s="1">
        <v>12.5298</v>
      </c>
      <c r="J117" s="1">
        <v>16.853149999999999</v>
      </c>
      <c r="K117" s="1">
        <v>3.3264000000000005</v>
      </c>
      <c r="L117" s="1">
        <v>5.1959454545454546</v>
      </c>
      <c r="M117" s="1">
        <v>8.4735999999999994</v>
      </c>
      <c r="N117" s="1">
        <v>9.1340800000000009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92"/>
      <c r="B118" s="93">
        <v>8</v>
      </c>
      <c r="D118" s="1">
        <v>0</v>
      </c>
      <c r="E118" s="1">
        <v>2024</v>
      </c>
      <c r="F118" s="1">
        <v>9.8950036799999985</v>
      </c>
      <c r="G118" s="1">
        <v>13.404640046350194</v>
      </c>
      <c r="H118" s="1">
        <v>8.4947366024822699</v>
      </c>
      <c r="I118" s="1">
        <v>14.713137159639874</v>
      </c>
      <c r="J118" s="1">
        <v>19.449545171500574</v>
      </c>
      <c r="K118" s="1">
        <v>3.7554854559714808</v>
      </c>
      <c r="L118" s="1">
        <v>5.8021693117928512</v>
      </c>
      <c r="M118" s="1">
        <v>9.6286423578947371</v>
      </c>
      <c r="N118" s="1">
        <v>10.003784267942585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Bot="1">
      <c r="A119" s="94" t="s">
        <v>312</v>
      </c>
      <c r="B119" s="95">
        <v>1.008</v>
      </c>
      <c r="D119" s="1">
        <v>0</v>
      </c>
      <c r="E119" s="1">
        <v>2025</v>
      </c>
      <c r="F119" s="1">
        <v>10.387836345599998</v>
      </c>
      <c r="G119" s="1">
        <v>15.784100031226473</v>
      </c>
      <c r="H119" s="1">
        <v>9.1454801909652534</v>
      </c>
      <c r="I119" s="1">
        <v>16.065484846644527</v>
      </c>
      <c r="J119" s="1">
        <v>21.58574849736069</v>
      </c>
      <c r="K119" s="1">
        <v>4.2217063118958178</v>
      </c>
      <c r="L119" s="1">
        <v>6.4595585698077924</v>
      </c>
      <c r="M119" s="1">
        <v>10.896611061991436</v>
      </c>
      <c r="N119" s="1">
        <v>10.918386633539722</v>
      </c>
      <c r="O119" s="1">
        <v>17.464964534857145</v>
      </c>
      <c r="P119" s="1">
        <v>17.739650885727276</v>
      </c>
      <c r="Q119" s="1">
        <v>2.3861963509007449</v>
      </c>
      <c r="R119" s="1">
        <v>4.6058900256549844</v>
      </c>
      <c r="S119" s="1">
        <v>0</v>
      </c>
      <c r="T119" s="1">
        <v>0</v>
      </c>
      <c r="U119" s="1">
        <v>0</v>
      </c>
      <c r="V119" s="1">
        <v>0</v>
      </c>
    </row>
    <row r="120" spans="1:22" ht="13.9" thickTop="1">
      <c r="D120" s="1">
        <v>0</v>
      </c>
      <c r="E120" s="1">
        <v>2026</v>
      </c>
      <c r="F120" s="1">
        <v>11.119672765727998</v>
      </c>
      <c r="G120" s="1">
        <v>18.400133730045024</v>
      </c>
      <c r="H120" s="1">
        <v>9.4347936095768379</v>
      </c>
      <c r="I120" s="1">
        <v>16.270143925044525</v>
      </c>
      <c r="J120" s="1">
        <v>21.6</v>
      </c>
      <c r="K120" s="1">
        <v>4.7277805915487896</v>
      </c>
      <c r="L120" s="1">
        <v>7.1718186511420257</v>
      </c>
      <c r="M120" s="1">
        <v>12.286370863870948</v>
      </c>
      <c r="N120" s="1">
        <v>11.87982745296372</v>
      </c>
      <c r="O120" s="1">
        <v>18.145656621714291</v>
      </c>
      <c r="P120" s="1">
        <v>18.924793200440931</v>
      </c>
      <c r="Q120" s="1">
        <v>2.6913274052782761</v>
      </c>
      <c r="R120" s="1">
        <v>5.090075193679116</v>
      </c>
      <c r="S120" s="1">
        <v>6.6056964496003108</v>
      </c>
      <c r="T120" s="1">
        <v>3.0110120541728547</v>
      </c>
      <c r="U120" s="1">
        <v>4.4160684885148989</v>
      </c>
      <c r="V120" s="1">
        <v>15.248456546599357</v>
      </c>
    </row>
    <row r="121" spans="1:22">
      <c r="D121" s="1">
        <v>0</v>
      </c>
      <c r="E121" s="1">
        <v>2027</v>
      </c>
      <c r="F121" s="1">
        <v>12.325594389719038</v>
      </c>
      <c r="G121" s="1">
        <v>21.156371179121507</v>
      </c>
      <c r="H121" s="1">
        <v>9.6247703598243728</v>
      </c>
      <c r="I121" s="1">
        <v>16.322120833844526</v>
      </c>
      <c r="J121" s="1">
        <v>21.6</v>
      </c>
      <c r="K121" s="1">
        <v>5.2766080053867528</v>
      </c>
      <c r="L121" s="1">
        <v>7.9429011906161602</v>
      </c>
      <c r="M121" s="1">
        <v>13.807402692653874</v>
      </c>
      <c r="N121" s="1">
        <v>12.602460248394504</v>
      </c>
      <c r="O121" s="1">
        <v>18.763798624914291</v>
      </c>
      <c r="P121" s="1">
        <v>20.090252296771268</v>
      </c>
      <c r="Q121" s="1">
        <v>3.0225171505643296</v>
      </c>
      <c r="R121" s="1">
        <v>5.6607677538262635</v>
      </c>
      <c r="S121" s="1">
        <v>7.1522986840411784</v>
      </c>
      <c r="T121" s="1">
        <v>3.6057334178918503</v>
      </c>
      <c r="U121" s="1">
        <v>5.3348358791439665</v>
      </c>
      <c r="V121" s="1">
        <v>16.258303335212752</v>
      </c>
    </row>
    <row r="122" spans="1:22">
      <c r="D122" s="1">
        <v>0</v>
      </c>
      <c r="E122" s="1">
        <v>2028</v>
      </c>
      <c r="F122" s="1">
        <v>13.710076153449023</v>
      </c>
      <c r="G122" s="1">
        <v>21.6</v>
      </c>
      <c r="H122" s="1">
        <v>9.8300730232108791</v>
      </c>
      <c r="I122" s="1">
        <v>16.452063105844527</v>
      </c>
      <c r="J122" s="1">
        <v>21.6</v>
      </c>
      <c r="K122" s="1">
        <v>5.424871572747767</v>
      </c>
      <c r="L122" s="1">
        <v>8.3547306174101639</v>
      </c>
      <c r="M122" s="1">
        <v>14.223546963517094</v>
      </c>
      <c r="N122" s="1">
        <v>12.602460248394504</v>
      </c>
      <c r="O122" s="1">
        <v>19.38194062811429</v>
      </c>
      <c r="P122" s="1">
        <v>20.927027511835036</v>
      </c>
      <c r="Q122" s="1">
        <v>3.1142233256884722</v>
      </c>
      <c r="R122" s="1">
        <v>5.8586158497076912</v>
      </c>
      <c r="S122" s="1">
        <v>7.531769790592624</v>
      </c>
      <c r="T122" s="1">
        <v>4.0357245431995459</v>
      </c>
      <c r="U122" s="1">
        <v>5.9550170924239456</v>
      </c>
      <c r="V122" s="1">
        <v>17.111807243174798</v>
      </c>
    </row>
    <row r="123" spans="1:22">
      <c r="D123" s="1">
        <v>0</v>
      </c>
      <c r="E123" s="1">
        <v>2029</v>
      </c>
      <c r="F123" s="1">
        <v>14.523055052491307</v>
      </c>
      <c r="G123" s="1">
        <v>21.6</v>
      </c>
      <c r="H123" s="1">
        <v>10.030315769747265</v>
      </c>
      <c r="I123" s="1">
        <v>16.237612807298351</v>
      </c>
      <c r="J123" s="1">
        <v>21.6</v>
      </c>
      <c r="K123" s="1">
        <v>5.5183848397416435</v>
      </c>
      <c r="L123" s="1">
        <v>8.7221854686877656</v>
      </c>
      <c r="M123" s="1">
        <v>14.582718763204637</v>
      </c>
      <c r="N123" s="1">
        <v>12.602460248394504</v>
      </c>
      <c r="O123" s="1">
        <v>20.000082631314289</v>
      </c>
      <c r="P123" s="1">
        <v>21.594754361103796</v>
      </c>
      <c r="Q123" s="1">
        <v>3.1661875931217782</v>
      </c>
      <c r="R123" s="1">
        <v>5.9559369938199751</v>
      </c>
      <c r="S123" s="1">
        <v>7.6559574628636895</v>
      </c>
      <c r="T123" s="1">
        <v>4.3550289643975084</v>
      </c>
      <c r="U123" s="1">
        <v>6.4139663069198463</v>
      </c>
      <c r="V123" s="1">
        <v>17.755180471765428</v>
      </c>
    </row>
    <row r="124" spans="1:22">
      <c r="D124" s="1">
        <v>0</v>
      </c>
      <c r="E124" s="1">
        <v>2030</v>
      </c>
      <c r="F124" s="1">
        <v>14.523055052491307</v>
      </c>
      <c r="G124" s="1">
        <v>21.6</v>
      </c>
      <c r="H124" s="1">
        <v>10.221043416535306</v>
      </c>
      <c r="I124" s="1">
        <v>16.27497121049835</v>
      </c>
      <c r="J124" s="1">
        <v>21.6</v>
      </c>
      <c r="K124" s="1">
        <v>5.6571840598030034</v>
      </c>
      <c r="L124" s="1">
        <v>9.1855928434978082</v>
      </c>
      <c r="M124" s="1">
        <v>15.141713205377016</v>
      </c>
      <c r="N124" s="1">
        <v>12.591310248394505</v>
      </c>
      <c r="O124" s="1">
        <v>20.500771694597031</v>
      </c>
      <c r="P124" s="1">
        <v>21.6</v>
      </c>
      <c r="Q124" s="1">
        <v>3.2485660610226956</v>
      </c>
      <c r="R124" s="1">
        <v>6.1102192947611771</v>
      </c>
      <c r="S124" s="1">
        <v>7.8521586886855914</v>
      </c>
      <c r="T124" s="1">
        <v>4.4664635282948151</v>
      </c>
      <c r="U124" s="1">
        <v>6.5995575254041299</v>
      </c>
      <c r="V124" s="1">
        <v>18.29818634462162</v>
      </c>
    </row>
    <row r="125" spans="1:22">
      <c r="D125" s="1">
        <v>0</v>
      </c>
      <c r="E125" s="1">
        <v>2031</v>
      </c>
      <c r="F125" s="1">
        <v>14.464520571760263</v>
      </c>
      <c r="G125" s="1">
        <v>21.6</v>
      </c>
      <c r="H125" s="1">
        <v>10.392931151991696</v>
      </c>
      <c r="I125" s="1">
        <v>16.489421509044526</v>
      </c>
      <c r="J125" s="1">
        <v>21.6</v>
      </c>
      <c r="K125" s="1">
        <v>5.8100976029208971</v>
      </c>
      <c r="L125" s="1">
        <v>9.4683031144894834</v>
      </c>
      <c r="M125" s="1">
        <v>15.830093170398584</v>
      </c>
      <c r="N125" s="1">
        <v>12.548940248394505</v>
      </c>
      <c r="O125" s="1">
        <v>20.55598082663678</v>
      </c>
      <c r="P125" s="1">
        <v>21.6</v>
      </c>
      <c r="Q125" s="1">
        <v>3.3571359730238863</v>
      </c>
      <c r="R125" s="1">
        <v>6.3135772546308093</v>
      </c>
      <c r="S125" s="1">
        <v>8.0854637769747306</v>
      </c>
      <c r="T125" s="1">
        <v>4.5930610403458729</v>
      </c>
      <c r="U125" s="1">
        <v>6.9380103770415547</v>
      </c>
      <c r="V125" s="1">
        <v>18.898884768556957</v>
      </c>
    </row>
    <row r="126" spans="1:22">
      <c r="D126" s="1">
        <v>0</v>
      </c>
      <c r="E126" s="1">
        <v>2032</v>
      </c>
      <c r="F126" s="1">
        <v>14.386474597452203</v>
      </c>
      <c r="G126" s="1">
        <v>21.6</v>
      </c>
      <c r="H126" s="1">
        <v>10.549878831608222</v>
      </c>
      <c r="I126" s="1">
        <v>16.430947486644527</v>
      </c>
      <c r="J126" s="1">
        <v>21.6</v>
      </c>
      <c r="K126" s="1">
        <v>5.8976174946425672</v>
      </c>
      <c r="L126" s="1">
        <v>9.6421433863397503</v>
      </c>
      <c r="M126" s="1">
        <v>16.265363421407272</v>
      </c>
      <c r="N126" s="1">
        <v>12.508800248394504</v>
      </c>
      <c r="O126" s="1">
        <v>20.610360540107791</v>
      </c>
      <c r="P126" s="1">
        <v>21.6</v>
      </c>
      <c r="Q126" s="1">
        <v>3.4352185038248808</v>
      </c>
      <c r="R126" s="1">
        <v>6.4598831622467747</v>
      </c>
      <c r="S126" s="1">
        <v>8.1225212922585115</v>
      </c>
      <c r="T126" s="1">
        <v>4.6080864564220763</v>
      </c>
      <c r="U126" s="1">
        <v>6.9725632942460631</v>
      </c>
      <c r="V126" s="1">
        <v>18.989588357883839</v>
      </c>
    </row>
    <row r="127" spans="1:22">
      <c r="D127" s="1" t="s">
        <v>313</v>
      </c>
      <c r="F127" s="1">
        <f>AVERAGE(F117:F126)</f>
        <v>12.450959660869112</v>
      </c>
      <c r="G127" s="1">
        <f t="shared" ref="G127:V127" si="13">AVERAGE(G117:G126)</f>
        <v>18.878724498674316</v>
      </c>
      <c r="H127" s="1">
        <f t="shared" si="13"/>
        <v>9.4780002955942102</v>
      </c>
      <c r="I127" s="1">
        <f t="shared" si="13"/>
        <v>15.778570288450373</v>
      </c>
      <c r="J127" s="1">
        <f t="shared" si="13"/>
        <v>20.908844366886122</v>
      </c>
      <c r="K127" s="1">
        <f t="shared" si="13"/>
        <v>4.9616135934658718</v>
      </c>
      <c r="L127" s="1">
        <f t="shared" si="13"/>
        <v>7.7945348608329255</v>
      </c>
      <c r="M127" s="1">
        <f t="shared" si="13"/>
        <v>13.113606250031561</v>
      </c>
      <c r="N127" s="1">
        <f t="shared" si="13"/>
        <v>11.739250984481306</v>
      </c>
      <c r="O127" s="1">
        <f t="shared" si="13"/>
        <v>15.54235561022559</v>
      </c>
      <c r="P127" s="1">
        <f t="shared" si="13"/>
        <v>16.40764782558783</v>
      </c>
      <c r="Q127" s="1">
        <f t="shared" si="13"/>
        <v>2.4421372363425062</v>
      </c>
      <c r="R127" s="1">
        <f t="shared" si="13"/>
        <v>4.6054965528326788</v>
      </c>
      <c r="S127" s="1">
        <f t="shared" si="13"/>
        <v>5.3005866145016638</v>
      </c>
      <c r="T127" s="1">
        <f t="shared" si="13"/>
        <v>2.8675110004724522</v>
      </c>
      <c r="U127" s="1">
        <f t="shared" si="13"/>
        <v>4.2630018963694409</v>
      </c>
      <c r="V127" s="1">
        <f t="shared" si="13"/>
        <v>12.256040706781477</v>
      </c>
    </row>
    <row r="130" spans="4:22">
      <c r="D130" s="1" t="str" cm="1">
        <f t="array" ref="D130:V139">TRANSPOSE('[2]Station Cost'!X2:AG20)</f>
        <v>Avg Station Cost</v>
      </c>
      <c r="E130" s="1">
        <v>2023</v>
      </c>
      <c r="F130" s="1">
        <v>513.7612479999998</v>
      </c>
      <c r="G130" s="1">
        <v>168.58799999999997</v>
      </c>
      <c r="H130" s="1">
        <v>88.905347999999975</v>
      </c>
      <c r="I130" s="1">
        <v>701.66879999999992</v>
      </c>
      <c r="J130" s="1">
        <v>212.34968999999995</v>
      </c>
      <c r="K130" s="1">
        <v>128.06640000000002</v>
      </c>
      <c r="L130" s="1">
        <v>200.04390000000001</v>
      </c>
      <c r="M130" s="1">
        <v>474.52159999999992</v>
      </c>
      <c r="N130" s="1">
        <v>511.50848000000002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2024</v>
      </c>
      <c r="F131" s="1">
        <v>554.12020607999989</v>
      </c>
      <c r="G131" s="1">
        <v>187.66496064890271</v>
      </c>
      <c r="H131" s="1">
        <v>107.03368119127659</v>
      </c>
      <c r="I131" s="1">
        <v>823.93568093983288</v>
      </c>
      <c r="J131" s="1">
        <v>245.0642691609072</v>
      </c>
      <c r="K131" s="1">
        <v>144.586190054902</v>
      </c>
      <c r="L131" s="1">
        <v>223.38351850402478</v>
      </c>
      <c r="M131" s="1">
        <v>539.20397204210519</v>
      </c>
      <c r="N131" s="1">
        <v>560.2119190047847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2025</v>
      </c>
      <c r="F132" s="1">
        <v>581.71883535359984</v>
      </c>
      <c r="G132" s="1">
        <v>220.97740043717059</v>
      </c>
      <c r="H132" s="1">
        <v>115.23305040616218</v>
      </c>
      <c r="I132" s="1">
        <v>899.6671514120934</v>
      </c>
      <c r="J132" s="1">
        <v>271.98043106674464</v>
      </c>
      <c r="K132" s="1">
        <v>162.53569300798898</v>
      </c>
      <c r="L132" s="1">
        <v>248.69300493759999</v>
      </c>
      <c r="M132" s="1">
        <v>610.2102194715203</v>
      </c>
      <c r="N132" s="1">
        <v>611.4296514782244</v>
      </c>
      <c r="O132" s="1">
        <v>978.03801395200003</v>
      </c>
      <c r="P132" s="1">
        <v>993.42044960072724</v>
      </c>
      <c r="Q132" s="1">
        <v>146.98969521548588</v>
      </c>
      <c r="R132" s="1">
        <v>177.3267659877169</v>
      </c>
      <c r="S132" s="1">
        <v>0</v>
      </c>
      <c r="T132" s="1">
        <v>0</v>
      </c>
      <c r="U132" s="1">
        <v>0</v>
      </c>
      <c r="V132" s="1">
        <v>0</v>
      </c>
    </row>
    <row r="133" spans="4:22">
      <c r="D133" s="1">
        <v>0</v>
      </c>
      <c r="E133" s="1">
        <v>2026</v>
      </c>
      <c r="F133" s="1">
        <v>622.70167488076777</v>
      </c>
      <c r="G133" s="1">
        <v>257.6018722206303</v>
      </c>
      <c r="H133" s="1">
        <v>118.87839948066814</v>
      </c>
      <c r="I133" s="1">
        <v>911.12805980249334</v>
      </c>
      <c r="J133" s="1">
        <v>272.15999999999997</v>
      </c>
      <c r="K133" s="1">
        <v>182.01955277462838</v>
      </c>
      <c r="L133" s="1">
        <v>276.11501806896797</v>
      </c>
      <c r="M133" s="1">
        <v>688.03676837677301</v>
      </c>
      <c r="N133" s="1">
        <v>665.27033736596832</v>
      </c>
      <c r="O133" s="1">
        <v>1016.1567708160002</v>
      </c>
      <c r="P133" s="1">
        <v>1059.788419224692</v>
      </c>
      <c r="Q133" s="1">
        <v>165.7857681651418</v>
      </c>
      <c r="R133" s="1">
        <v>195.96789495664595</v>
      </c>
      <c r="S133" s="1">
        <v>406.91090129537912</v>
      </c>
      <c r="T133" s="1">
        <v>168.61667503367983</v>
      </c>
      <c r="U133" s="1">
        <v>272.02981889251777</v>
      </c>
      <c r="V133" s="1">
        <v>192.13055248715187</v>
      </c>
    </row>
    <row r="134" spans="4:22">
      <c r="D134" s="1">
        <v>0</v>
      </c>
      <c r="E134" s="1">
        <v>2027</v>
      </c>
      <c r="F134" s="1">
        <v>690.23328582426598</v>
      </c>
      <c r="G134" s="1">
        <v>296.18919650770107</v>
      </c>
      <c r="H134" s="1">
        <v>121.27210653378708</v>
      </c>
      <c r="I134" s="1">
        <v>914.03876669529336</v>
      </c>
      <c r="J134" s="1">
        <v>272.15999999999997</v>
      </c>
      <c r="K134" s="1">
        <v>203.14940820738997</v>
      </c>
      <c r="L134" s="1">
        <v>305.8016958387222</v>
      </c>
      <c r="M134" s="1">
        <v>773.21455078861675</v>
      </c>
      <c r="N134" s="1">
        <v>705.73777391009219</v>
      </c>
      <c r="O134" s="1">
        <v>1050.7727229952002</v>
      </c>
      <c r="P134" s="1">
        <v>1125.0541286191908</v>
      </c>
      <c r="Q134" s="1">
        <v>186.1870564747627</v>
      </c>
      <c r="R134" s="1">
        <v>217.93955852231113</v>
      </c>
      <c r="S134" s="1">
        <v>440.58159893693653</v>
      </c>
      <c r="T134" s="1">
        <v>201.92107140194361</v>
      </c>
      <c r="U134" s="1">
        <v>328.62589015526834</v>
      </c>
      <c r="V134" s="1">
        <v>204.85462202368066</v>
      </c>
    </row>
    <row r="135" spans="4:22">
      <c r="D135" s="1">
        <v>0</v>
      </c>
      <c r="E135" s="1">
        <v>2028</v>
      </c>
      <c r="F135" s="1">
        <v>767.76426459314519</v>
      </c>
      <c r="G135" s="1">
        <v>302.39999999999998</v>
      </c>
      <c r="H135" s="1">
        <v>123.85892009245705</v>
      </c>
      <c r="I135" s="1">
        <v>921.31553392729336</v>
      </c>
      <c r="J135" s="1">
        <v>272.15999999999997</v>
      </c>
      <c r="K135" s="1">
        <v>208.85755555078902</v>
      </c>
      <c r="L135" s="1">
        <v>321.65712877029131</v>
      </c>
      <c r="M135" s="1">
        <v>796.51862995695717</v>
      </c>
      <c r="N135" s="1">
        <v>705.73777391009219</v>
      </c>
      <c r="O135" s="1">
        <v>1085.3886751744001</v>
      </c>
      <c r="P135" s="1">
        <v>1171.913540662762</v>
      </c>
      <c r="Q135" s="1">
        <v>191.83615686240987</v>
      </c>
      <c r="R135" s="1">
        <v>225.5567102137461</v>
      </c>
      <c r="S135" s="1">
        <v>463.95701910050559</v>
      </c>
      <c r="T135" s="1">
        <v>226.00057441917454</v>
      </c>
      <c r="U135" s="1">
        <v>366.82905289331501</v>
      </c>
      <c r="V135" s="1">
        <v>215.60877126400243</v>
      </c>
    </row>
    <row r="136" spans="4:22">
      <c r="D136" s="1">
        <v>0</v>
      </c>
      <c r="E136" s="1">
        <v>2029</v>
      </c>
      <c r="F136" s="1">
        <v>813.2910829395131</v>
      </c>
      <c r="G136" s="1">
        <v>302.39999999999998</v>
      </c>
      <c r="H136" s="1">
        <v>126.38197869881552</v>
      </c>
      <c r="I136" s="1">
        <v>909.30631720870758</v>
      </c>
      <c r="J136" s="1">
        <v>272.15999999999997</v>
      </c>
      <c r="K136" s="1">
        <v>212.45781633005328</v>
      </c>
      <c r="L136" s="1">
        <v>335.80414054447897</v>
      </c>
      <c r="M136" s="1">
        <v>816.63225073945955</v>
      </c>
      <c r="N136" s="1">
        <v>705.73777391009219</v>
      </c>
      <c r="O136" s="1">
        <v>1120.0046273536</v>
      </c>
      <c r="P136" s="1">
        <v>1209.3062442218124</v>
      </c>
      <c r="Q136" s="1">
        <v>195.03715573630151</v>
      </c>
      <c r="R136" s="1">
        <v>229.30357426206905</v>
      </c>
      <c r="S136" s="1">
        <v>471.60697971240324</v>
      </c>
      <c r="T136" s="1">
        <v>243.88162200626044</v>
      </c>
      <c r="U136" s="1">
        <v>395.1003245062625</v>
      </c>
      <c r="V136" s="1">
        <v>223.71527394424436</v>
      </c>
    </row>
    <row r="137" spans="4:22">
      <c r="D137" s="1">
        <v>0</v>
      </c>
      <c r="E137" s="1">
        <v>2030</v>
      </c>
      <c r="F137" s="1">
        <v>813.2910829395131</v>
      </c>
      <c r="G137" s="1">
        <v>302.39999999999998</v>
      </c>
      <c r="H137" s="1">
        <v>128.78514704834484</v>
      </c>
      <c r="I137" s="1">
        <v>911.3983877879075</v>
      </c>
      <c r="J137" s="1">
        <v>272.15999999999997</v>
      </c>
      <c r="K137" s="1">
        <v>217.80158630241564</v>
      </c>
      <c r="L137" s="1">
        <v>353.64532447466564</v>
      </c>
      <c r="M137" s="1">
        <v>847.93593950111278</v>
      </c>
      <c r="N137" s="1">
        <v>705.11337391009226</v>
      </c>
      <c r="O137" s="1">
        <v>1148.0432148974335</v>
      </c>
      <c r="P137" s="1">
        <v>1209.5999999999999</v>
      </c>
      <c r="Q137" s="1">
        <v>200.11166935899806</v>
      </c>
      <c r="R137" s="1">
        <v>235.24344284830531</v>
      </c>
      <c r="S137" s="1">
        <v>483.69297522303242</v>
      </c>
      <c r="T137" s="1">
        <v>250.1219575845096</v>
      </c>
      <c r="U137" s="1">
        <v>406.53274356489436</v>
      </c>
      <c r="V137" s="1">
        <v>230.55714794223238</v>
      </c>
    </row>
    <row r="138" spans="4:22">
      <c r="D138" s="1">
        <v>0</v>
      </c>
      <c r="E138" s="1">
        <v>2031</v>
      </c>
      <c r="F138" s="1">
        <v>810.0131520185746</v>
      </c>
      <c r="G138" s="1">
        <v>302.39999999999998</v>
      </c>
      <c r="H138" s="1">
        <v>130.95093251509536</v>
      </c>
      <c r="I138" s="1">
        <v>923.40760450649339</v>
      </c>
      <c r="J138" s="1">
        <v>272.15999999999997</v>
      </c>
      <c r="K138" s="1">
        <v>223.68875771245453</v>
      </c>
      <c r="L138" s="1">
        <v>364.52966990784506</v>
      </c>
      <c r="M138" s="1">
        <v>886.48521754232058</v>
      </c>
      <c r="N138" s="1">
        <v>702.74065391009219</v>
      </c>
      <c r="O138" s="1">
        <v>1151.1349262916594</v>
      </c>
      <c r="P138" s="1">
        <v>1209.5999999999999</v>
      </c>
      <c r="Q138" s="1">
        <v>206.7995759382714</v>
      </c>
      <c r="R138" s="1">
        <v>243.07272430328615</v>
      </c>
      <c r="S138" s="1">
        <v>498.06456866164342</v>
      </c>
      <c r="T138" s="1">
        <v>257.21141825936888</v>
      </c>
      <c r="U138" s="1">
        <v>427.38143922575972</v>
      </c>
      <c r="V138" s="1">
        <v>238.12594808381763</v>
      </c>
    </row>
    <row r="139" spans="4:22">
      <c r="D139" s="1">
        <v>0</v>
      </c>
      <c r="E139" s="1">
        <v>2032</v>
      </c>
      <c r="F139" s="1">
        <v>805.64257745732323</v>
      </c>
      <c r="G139" s="1">
        <v>302.39999999999998</v>
      </c>
      <c r="H139" s="1">
        <v>132.92847327826357</v>
      </c>
      <c r="I139" s="1">
        <v>920.1330592520934</v>
      </c>
      <c r="J139" s="1">
        <v>272.15999999999997</v>
      </c>
      <c r="K139" s="1">
        <v>227.05827354373884</v>
      </c>
      <c r="L139" s="1">
        <v>371.22252037408037</v>
      </c>
      <c r="M139" s="1">
        <v>910.86035159880714</v>
      </c>
      <c r="N139" s="1">
        <v>700.49281391009208</v>
      </c>
      <c r="O139" s="1">
        <v>1154.1801902460363</v>
      </c>
      <c r="P139" s="1">
        <v>1209.5999999999999</v>
      </c>
      <c r="Q139" s="1">
        <v>211.60945983561263</v>
      </c>
      <c r="R139" s="1">
        <v>248.70550174650083</v>
      </c>
      <c r="S139" s="1">
        <v>500.3473116031243</v>
      </c>
      <c r="T139" s="1">
        <v>258.05284155963625</v>
      </c>
      <c r="U139" s="1">
        <v>429.50989892555748</v>
      </c>
      <c r="V139" s="1">
        <v>239.26881330933634</v>
      </c>
    </row>
    <row r="140" spans="4:22">
      <c r="D140" s="1" t="s">
        <v>314</v>
      </c>
      <c r="F140" s="1">
        <f>AVERAGE(F130:F139)</f>
        <v>697.25374100867032</v>
      </c>
      <c r="G140" s="1">
        <f t="shared" ref="G140:V140" si="14">AVERAGE(G130:G139)</f>
        <v>264.30214298144051</v>
      </c>
      <c r="H140" s="1">
        <f t="shared" si="14"/>
        <v>119.42280372448701</v>
      </c>
      <c r="I140" s="1">
        <f t="shared" si="14"/>
        <v>883.59993615322071</v>
      </c>
      <c r="J140" s="1">
        <f t="shared" si="14"/>
        <v>263.4514390227651</v>
      </c>
      <c r="K140" s="1">
        <f t="shared" si="14"/>
        <v>191.02212334843608</v>
      </c>
      <c r="L140" s="1">
        <f t="shared" si="14"/>
        <v>300.0895921420676</v>
      </c>
      <c r="M140" s="1">
        <f t="shared" si="14"/>
        <v>734.36195000176713</v>
      </c>
      <c r="N140" s="1">
        <f t="shared" si="14"/>
        <v>657.39805513095303</v>
      </c>
      <c r="O140" s="1">
        <f t="shared" si="14"/>
        <v>870.37191417263296</v>
      </c>
      <c r="P140" s="1">
        <f t="shared" si="14"/>
        <v>918.82827823291848</v>
      </c>
      <c r="Q140" s="1">
        <f t="shared" si="14"/>
        <v>150.43565375869838</v>
      </c>
      <c r="R140" s="1">
        <f t="shared" si="14"/>
        <v>177.31161728405814</v>
      </c>
      <c r="S140" s="1">
        <f t="shared" si="14"/>
        <v>326.51613545330247</v>
      </c>
      <c r="T140" s="1">
        <f t="shared" si="14"/>
        <v>160.58061602645731</v>
      </c>
      <c r="U140" s="1">
        <f t="shared" si="14"/>
        <v>262.60091681635754</v>
      </c>
      <c r="V140" s="1">
        <f t="shared" si="14"/>
        <v>154.42611290544656</v>
      </c>
    </row>
  </sheetData>
  <mergeCells count="16">
    <mergeCell ref="E13:I13"/>
    <mergeCell ref="J13:M13"/>
    <mergeCell ref="N13:Q13"/>
    <mergeCell ref="R13:U13"/>
    <mergeCell ref="D5:U7"/>
    <mergeCell ref="E12:I12"/>
    <mergeCell ref="J12:M12"/>
    <mergeCell ref="N12:Q12"/>
    <mergeCell ref="R12:U12"/>
    <mergeCell ref="E14:U14"/>
    <mergeCell ref="A60:B60"/>
    <mergeCell ref="A115:B115"/>
    <mergeCell ref="D19:U19"/>
    <mergeCell ref="D29:U29"/>
    <mergeCell ref="D37:U37"/>
    <mergeCell ref="D42:U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5AB0-5A52-4548-A228-89DF1A44660A}">
  <dimension ref="A1:AI139"/>
  <sheetViews>
    <sheetView topLeftCell="H21" zoomScale="40" zoomScaleNormal="40" workbookViewId="0">
      <selection activeCell="L153" sqref="L153"/>
    </sheetView>
  </sheetViews>
  <sheetFormatPr defaultColWidth="8.7109375" defaultRowHeight="13.15"/>
  <cols>
    <col min="1" max="1" width="49.5703125" style="1" customWidth="1"/>
    <col min="2" max="2" width="30.5703125" style="1" bestFit="1" customWidth="1"/>
    <col min="3" max="3" width="8.7109375" style="1"/>
    <col min="4" max="4" width="37.28515625" style="1" bestFit="1" customWidth="1"/>
    <col min="5" max="5" width="13.5703125" style="1" bestFit="1" customWidth="1"/>
    <col min="6" max="8" width="10.28515625" style="1" bestFit="1" customWidth="1"/>
    <col min="9" max="9" width="13.140625" style="1" bestFit="1" customWidth="1"/>
    <col min="10" max="10" width="10.7109375" style="1" bestFit="1" customWidth="1"/>
    <col min="11" max="14" width="12.85546875" style="1" bestFit="1" customWidth="1"/>
    <col min="15" max="15" width="9.7109375" style="1" bestFit="1" customWidth="1"/>
    <col min="16" max="16" width="10.28515625" style="1" bestFit="1" customWidth="1"/>
    <col min="17" max="18" width="12.85546875" style="1" bestFit="1" customWidth="1"/>
    <col min="19" max="19" width="11" style="1" bestFit="1" customWidth="1"/>
    <col min="20" max="21" width="10.7109375" style="1" bestFit="1" customWidth="1"/>
    <col min="22" max="24" width="8.7109375" style="1"/>
    <col min="25" max="25" width="33.42578125" style="1" bestFit="1" customWidth="1"/>
    <col min="26" max="26" width="16.85546875" style="1" bestFit="1" customWidth="1"/>
    <col min="27" max="27" width="14" style="1" customWidth="1"/>
    <col min="28" max="28" width="8.7109375" style="1"/>
    <col min="29" max="29" width="33.42578125" style="1" bestFit="1" customWidth="1"/>
    <col min="30" max="30" width="16.85546875" style="1" bestFit="1" customWidth="1"/>
    <col min="31" max="31" width="10.28515625" style="1" bestFit="1" customWidth="1"/>
    <col min="32" max="32" width="8.7109375" style="1"/>
    <col min="33" max="33" width="15.5703125" style="1" customWidth="1"/>
    <col min="34" max="34" width="16.85546875" style="1" bestFit="1" customWidth="1"/>
    <col min="35" max="35" width="10.28515625" style="1" bestFit="1" customWidth="1"/>
    <col min="36" max="16384" width="8.7109375" style="1"/>
  </cols>
  <sheetData>
    <row r="1" spans="1:27">
      <c r="A1" s="1" t="s">
        <v>229</v>
      </c>
      <c r="B1" s="2">
        <f>((B6-2*B7)*(1+$B82))+(2*B7*(1+$B83))</f>
        <v>130175000</v>
      </c>
    </row>
    <row r="2" spans="1:27" ht="13.9" thickBot="1">
      <c r="A2" s="3" t="s">
        <v>230</v>
      </c>
      <c r="B2" s="4">
        <f>6*B8</f>
        <v>1470000</v>
      </c>
    </row>
    <row r="3" spans="1:27" ht="13.9" thickBot="1">
      <c r="A3" s="5"/>
      <c r="B3" s="6" t="s">
        <v>231</v>
      </c>
    </row>
    <row r="4" spans="1:27" ht="13.9" thickBot="1">
      <c r="A4" s="10" t="s">
        <v>232</v>
      </c>
      <c r="B4" s="11" t="s">
        <v>233</v>
      </c>
    </row>
    <row r="5" spans="1:27" ht="14.65" customHeight="1" thickBot="1">
      <c r="A5" s="10" t="s">
        <v>234</v>
      </c>
      <c r="B5" s="11">
        <v>2020</v>
      </c>
      <c r="D5" s="873" t="s">
        <v>231</v>
      </c>
      <c r="E5" s="874"/>
      <c r="F5" s="874"/>
      <c r="G5" s="874"/>
      <c r="H5" s="874"/>
      <c r="I5" s="874"/>
      <c r="J5" s="874"/>
      <c r="K5" s="874"/>
      <c r="L5" s="874"/>
      <c r="M5" s="874"/>
      <c r="N5" s="874"/>
      <c r="O5" s="874"/>
      <c r="P5" s="874"/>
      <c r="Q5" s="874"/>
      <c r="R5" s="874"/>
      <c r="S5" s="874"/>
      <c r="T5" s="874"/>
      <c r="U5" s="875"/>
    </row>
    <row r="6" spans="1:27" ht="14.65" customHeight="1" thickBot="1">
      <c r="A6" s="10" t="s">
        <v>235</v>
      </c>
      <c r="B6" s="13">
        <v>120000000</v>
      </c>
      <c r="D6" s="876"/>
      <c r="E6" s="877"/>
      <c r="F6" s="877"/>
      <c r="G6" s="877"/>
      <c r="H6" s="877"/>
      <c r="I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8"/>
      <c r="Y6" s="892" t="s">
        <v>317</v>
      </c>
      <c r="Z6" s="893"/>
      <c r="AA6" s="894"/>
    </row>
    <row r="7" spans="1:27" ht="15" customHeight="1" thickBot="1">
      <c r="A7" s="14" t="s">
        <v>236</v>
      </c>
      <c r="B7" s="15">
        <v>8750000</v>
      </c>
      <c r="D7" s="879"/>
      <c r="E7" s="880"/>
      <c r="F7" s="880"/>
      <c r="G7" s="880"/>
      <c r="H7" s="880"/>
      <c r="I7" s="880"/>
      <c r="J7" s="880"/>
      <c r="K7" s="880"/>
      <c r="L7" s="880"/>
      <c r="M7" s="880"/>
      <c r="N7" s="880"/>
      <c r="O7" s="880"/>
      <c r="P7" s="880"/>
      <c r="Q7" s="880"/>
      <c r="R7" s="877"/>
      <c r="S7" s="877"/>
      <c r="T7" s="877"/>
      <c r="U7" s="878"/>
      <c r="Y7" s="536" t="s">
        <v>318</v>
      </c>
      <c r="Z7" s="536" t="s">
        <v>319</v>
      </c>
      <c r="AA7" s="526" t="s">
        <v>320</v>
      </c>
    </row>
    <row r="8" spans="1:27" ht="13.9" thickBot="1">
      <c r="A8" s="16" t="s">
        <v>237</v>
      </c>
      <c r="B8" s="17">
        <v>245000</v>
      </c>
      <c r="D8" s="441" t="s">
        <v>126</v>
      </c>
      <c r="E8" s="486" t="str" cm="1">
        <f t="array" ref="E8:U9">TRANSPOSE('[2]Block time &amp; Fuel'!B3:C19)</f>
        <v>PLM-SUB</v>
      </c>
      <c r="F8" s="486" t="str">
        <v>SUB-CGK</v>
      </c>
      <c r="G8" s="486" t="str">
        <v>CGK-PKY</v>
      </c>
      <c r="H8" s="486" t="str">
        <v>PKY-CGK</v>
      </c>
      <c r="I8" s="486" t="str">
        <v>CGK-PLM</v>
      </c>
      <c r="J8" s="482" t="str">
        <v>MDC-SRG</v>
      </c>
      <c r="K8" s="482" t="str">
        <v>SRG-KDI</v>
      </c>
      <c r="L8" s="482" t="str">
        <v>KDI-PNK</v>
      </c>
      <c r="M8" s="483" t="str">
        <v>PNK-MDC</v>
      </c>
      <c r="N8" s="487" t="str">
        <v>TTE-KNO</v>
      </c>
      <c r="O8" s="487" t="str">
        <v>KNO-PKU</v>
      </c>
      <c r="P8" s="487" t="str">
        <v>PKU-CGK</v>
      </c>
      <c r="Q8" s="499" t="str">
        <v>CGK-TTE</v>
      </c>
      <c r="R8" s="502" t="str">
        <v>LOP-TIM</v>
      </c>
      <c r="S8" s="502" t="str">
        <v>TIM-AMQ</v>
      </c>
      <c r="T8" s="502" t="str">
        <v>AMQ-CGK</v>
      </c>
      <c r="U8" s="503" t="str">
        <v>CGK-LOP</v>
      </c>
      <c r="Y8" s="536" t="s">
        <v>321</v>
      </c>
      <c r="Z8" s="536" t="s">
        <v>321</v>
      </c>
      <c r="AA8" s="536" t="s">
        <v>321</v>
      </c>
    </row>
    <row r="9" spans="1:27">
      <c r="A9" s="14" t="s">
        <v>238</v>
      </c>
      <c r="B9" s="20">
        <v>93500</v>
      </c>
      <c r="D9" s="443" t="s">
        <v>239</v>
      </c>
      <c r="E9" s="472">
        <v>1024</v>
      </c>
      <c r="F9" s="473">
        <v>692</v>
      </c>
      <c r="G9" s="473">
        <v>917</v>
      </c>
      <c r="H9" s="473">
        <v>917</v>
      </c>
      <c r="I9" s="473">
        <v>418</v>
      </c>
      <c r="J9" s="467">
        <v>1871</v>
      </c>
      <c r="K9" s="467">
        <v>1372</v>
      </c>
      <c r="L9" s="467">
        <v>1511</v>
      </c>
      <c r="M9" s="484">
        <v>1738.0871999999999</v>
      </c>
      <c r="N9" s="489">
        <v>3185</v>
      </c>
      <c r="O9" s="489">
        <v>453</v>
      </c>
      <c r="P9" s="489">
        <v>930</v>
      </c>
      <c r="Q9" s="500">
        <v>2428</v>
      </c>
      <c r="R9" s="484">
        <v>2326</v>
      </c>
      <c r="S9" s="484">
        <v>981</v>
      </c>
      <c r="T9" s="484">
        <v>2392</v>
      </c>
      <c r="U9" s="468">
        <v>1101</v>
      </c>
      <c r="Y9" s="543">
        <f t="shared" ref="Y9:Y16" si="0">Z20/SUM($Z$20:$Z$27)</f>
        <v>0.14029914026477774</v>
      </c>
      <c r="Z9" s="540" t="e">
        <f>AD20/SUM($AD$20:$AD$26)</f>
        <v>#REF!</v>
      </c>
      <c r="AA9" s="540">
        <f>AH20/SUM($AH$20:$AH$22)</f>
        <v>9.121565691566727E-2</v>
      </c>
    </row>
    <row r="10" spans="1:27">
      <c r="A10" s="14" t="s">
        <v>240</v>
      </c>
      <c r="B10" s="20">
        <v>48500</v>
      </c>
      <c r="D10" s="443" t="s">
        <v>241</v>
      </c>
      <c r="E10" s="474" cm="1">
        <f t="array" ref="E10:U10">TRANSPOSE('[2]Block time &amp; Fuel'!G3:G19)</f>
        <v>1.889416553595658</v>
      </c>
      <c r="F10" s="475">
        <v>1.4389416553595658</v>
      </c>
      <c r="G10" s="475">
        <v>1.7442333785617368</v>
      </c>
      <c r="H10" s="475">
        <v>1.7442333785617368</v>
      </c>
      <c r="I10" s="475">
        <v>1.0671641791044775</v>
      </c>
      <c r="J10" s="469">
        <v>3.0386702849389415</v>
      </c>
      <c r="K10" s="469">
        <v>2.3616010854816825</v>
      </c>
      <c r="L10" s="469">
        <v>2.550203527815468</v>
      </c>
      <c r="M10" s="485">
        <v>2.8583272727272728</v>
      </c>
      <c r="N10" s="491">
        <v>4.8215739484396201</v>
      </c>
      <c r="O10" s="491">
        <v>1.1146540027137042</v>
      </c>
      <c r="P10" s="491">
        <v>1.7618724559023067</v>
      </c>
      <c r="Q10" s="501">
        <v>3.794436906377205</v>
      </c>
      <c r="R10" s="485">
        <v>3.6560379918588874</v>
      </c>
      <c r="S10" s="485">
        <v>1.8310719131614654</v>
      </c>
      <c r="T10" s="485">
        <v>3.7455902306648574</v>
      </c>
      <c r="U10" s="470">
        <v>1.9938941655359566</v>
      </c>
      <c r="Y10" s="543">
        <f t="shared" si="0"/>
        <v>0.19000879135673993</v>
      </c>
      <c r="Z10" s="540" t="e">
        <f t="shared" ref="Z10:Z15" si="1">AD21/SUM($AD$20:$AD$26)</f>
        <v>#REF!</v>
      </c>
      <c r="AA10" s="540">
        <f>AH21/SUM($AH$20:$AH$22)</f>
        <v>0.27027474467466173</v>
      </c>
    </row>
    <row r="11" spans="1:27" ht="15" thickBot="1">
      <c r="A11" s="14" t="s">
        <v>242</v>
      </c>
      <c r="B11" s="21">
        <v>77800</v>
      </c>
      <c r="D11" s="443" t="s">
        <v>243</v>
      </c>
      <c r="E11" s="472" cm="1">
        <f t="array" ref="E11:U11">TRANSPOSE('[2]Block time &amp; Fuel'!L3:L19)</f>
        <v>3219.1105795346539</v>
      </c>
      <c r="F11" s="472">
        <v>2249.4054337214652</v>
      </c>
      <c r="G11" s="472">
        <v>2906.5851259141382</v>
      </c>
      <c r="H11" s="472">
        <v>2906.5851259141382</v>
      </c>
      <c r="I11" s="472">
        <v>1449.1066085623877</v>
      </c>
      <c r="J11" s="471">
        <v>5693.0270208110715</v>
      </c>
      <c r="K11" s="471">
        <v>4235.5485034593212</v>
      </c>
      <c r="L11" s="471">
        <v>4641.5395133027941</v>
      </c>
      <c r="M11" s="484">
        <v>5304.8154964001114</v>
      </c>
      <c r="N11" s="489">
        <v>9530.9564232162811</v>
      </c>
      <c r="O11" s="489">
        <v>1551.3345606812481</v>
      </c>
      <c r="P11" s="489">
        <v>2944.5555081297152</v>
      </c>
      <c r="Q11" s="500">
        <v>7319.9118588169331</v>
      </c>
      <c r="R11" s="484">
        <v>7021.9903983562554</v>
      </c>
      <c r="S11" s="484">
        <v>3093.5162383600541</v>
      </c>
      <c r="T11" s="484">
        <v>7214.7631080661058</v>
      </c>
      <c r="U11" s="468">
        <v>3444.0120741961464</v>
      </c>
      <c r="Y11" s="543">
        <f t="shared" si="0"/>
        <v>0.49185638232755319</v>
      </c>
      <c r="Z11" s="540" t="e">
        <f t="shared" si="1"/>
        <v>#REF!</v>
      </c>
      <c r="AA11" s="541">
        <f>AH22/SUM($AH$20:$AH$22)</f>
        <v>0.63850959840967103</v>
      </c>
    </row>
    <row r="12" spans="1:27" ht="14.65" customHeight="1">
      <c r="A12" s="22" t="s">
        <v>244</v>
      </c>
      <c r="B12" s="23">
        <v>26000</v>
      </c>
      <c r="D12" s="443" t="s">
        <v>245</v>
      </c>
      <c r="E12" s="851">
        <f>SUM(E10:I10)*E13</f>
        <v>2854.0040705563097</v>
      </c>
      <c r="F12" s="852"/>
      <c r="G12" s="852"/>
      <c r="H12" s="852"/>
      <c r="I12" s="853"/>
      <c r="J12" s="854">
        <f>SUM(J10:M10)*J13</f>
        <v>3826.3159685210312</v>
      </c>
      <c r="K12" s="855"/>
      <c r="L12" s="855"/>
      <c r="M12" s="884"/>
      <c r="N12" s="885">
        <f>SUM(N10:Q10)*N13</f>
        <v>4079.8507462686566</v>
      </c>
      <c r="O12" s="886"/>
      <c r="P12" s="886"/>
      <c r="Q12" s="886"/>
      <c r="R12" s="890">
        <f>SUM(R10:U10)*R13</f>
        <v>4064.0271370420619</v>
      </c>
      <c r="S12" s="890"/>
      <c r="T12" s="890"/>
      <c r="U12" s="891"/>
      <c r="Y12" s="543">
        <f t="shared" si="0"/>
        <v>5.5947946293541932E-2</v>
      </c>
      <c r="Z12" s="540" t="e">
        <f t="shared" si="1"/>
        <v>#REF!</v>
      </c>
      <c r="AA12" s="542"/>
    </row>
    <row r="13" spans="1:27">
      <c r="A13" s="14" t="s">
        <v>246</v>
      </c>
      <c r="B13" s="24">
        <v>3800</v>
      </c>
      <c r="D13" s="444" t="s">
        <v>247</v>
      </c>
      <c r="E13" s="851">
        <f>Summary!C15</f>
        <v>362</v>
      </c>
      <c r="F13" s="852"/>
      <c r="G13" s="852"/>
      <c r="H13" s="852"/>
      <c r="I13" s="853"/>
      <c r="J13" s="854">
        <f>Summary!D15</f>
        <v>354</v>
      </c>
      <c r="K13" s="855"/>
      <c r="L13" s="855"/>
      <c r="M13" s="884"/>
      <c r="N13" s="885">
        <f>Summary!E15</f>
        <v>355</v>
      </c>
      <c r="O13" s="886"/>
      <c r="P13" s="886"/>
      <c r="Q13" s="886"/>
      <c r="R13" s="890">
        <f>Summary!F15</f>
        <v>362</v>
      </c>
      <c r="S13" s="890"/>
      <c r="T13" s="890"/>
      <c r="U13" s="891"/>
      <c r="Y13" s="543">
        <f t="shared" si="0"/>
        <v>5.7433635119756724E-3</v>
      </c>
      <c r="Z13" s="540" t="e">
        <f t="shared" si="1"/>
        <v>#REF!</v>
      </c>
      <c r="AA13" s="542"/>
    </row>
    <row r="14" spans="1:27">
      <c r="A14" s="14" t="s">
        <v>248</v>
      </c>
      <c r="B14" s="17"/>
      <c r="D14" s="443" t="s">
        <v>249</v>
      </c>
      <c r="E14" s="882">
        <v>2</v>
      </c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8"/>
      <c r="S14" s="888"/>
      <c r="T14" s="888"/>
      <c r="U14" s="889"/>
      <c r="Y14" s="543">
        <f t="shared" si="0"/>
        <v>4.306883113229186E-2</v>
      </c>
      <c r="Z14" s="540" t="e">
        <f t="shared" si="1"/>
        <v>#REF!</v>
      </c>
      <c r="AA14" s="542"/>
    </row>
    <row r="15" spans="1:27">
      <c r="A15" s="14" t="s">
        <v>250</v>
      </c>
      <c r="B15" s="17"/>
      <c r="D15" s="444"/>
      <c r="E15" s="434"/>
      <c r="F15" s="434"/>
      <c r="G15" s="434"/>
      <c r="H15" s="434"/>
      <c r="I15" s="434"/>
      <c r="J15" s="434"/>
      <c r="K15" s="434"/>
      <c r="L15" s="434"/>
      <c r="M15" s="434"/>
      <c r="N15" s="435"/>
      <c r="O15" s="435"/>
      <c r="P15" s="435"/>
      <c r="Q15" s="435"/>
      <c r="R15" s="435"/>
      <c r="S15" s="435"/>
      <c r="T15" s="435"/>
      <c r="U15" s="477"/>
      <c r="Y15" s="543">
        <f t="shared" si="0"/>
        <v>7.0696022111748302E-2</v>
      </c>
      <c r="Z15" s="540" t="e">
        <f t="shared" si="1"/>
        <v>#REF!</v>
      </c>
      <c r="AA15" s="542"/>
    </row>
    <row r="16" spans="1:27" ht="13.9" thickBot="1">
      <c r="A16" s="14" t="s">
        <v>251</v>
      </c>
      <c r="B16" s="17">
        <v>2028.47</v>
      </c>
      <c r="D16" s="444"/>
      <c r="E16" s="44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47"/>
      <c r="Y16" s="544">
        <f t="shared" si="0"/>
        <v>2.3795230013712678E-3</v>
      </c>
      <c r="Z16" s="545"/>
      <c r="AA16" s="546"/>
    </row>
    <row r="17" spans="1:35">
      <c r="A17" s="14"/>
      <c r="B17" s="17"/>
      <c r="D17" s="448"/>
      <c r="E17" s="437"/>
      <c r="F17" s="18"/>
      <c r="G17" s="437"/>
      <c r="H17" s="18"/>
      <c r="I17" s="18"/>
      <c r="J17" s="4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47"/>
    </row>
    <row r="18" spans="1:35" ht="13.9" thickBot="1">
      <c r="A18" s="10" t="s">
        <v>252</v>
      </c>
      <c r="B18" s="13">
        <v>38</v>
      </c>
      <c r="D18" s="44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47"/>
    </row>
    <row r="19" spans="1:35" ht="15" customHeight="1" thickBot="1">
      <c r="A19" s="14" t="s">
        <v>253</v>
      </c>
      <c r="B19" s="415">
        <f>7000*0.00007</f>
        <v>0.48999999999999994</v>
      </c>
      <c r="D19" s="861" t="s">
        <v>254</v>
      </c>
      <c r="E19" s="862"/>
      <c r="F19" s="862"/>
      <c r="G19" s="862"/>
      <c r="H19" s="862"/>
      <c r="I19" s="862"/>
      <c r="J19" s="862"/>
      <c r="K19" s="862"/>
      <c r="L19" s="862"/>
      <c r="M19" s="862"/>
      <c r="N19" s="862"/>
      <c r="O19" s="862"/>
      <c r="P19" s="862"/>
      <c r="Q19" s="862"/>
      <c r="R19" s="862"/>
      <c r="S19" s="862"/>
      <c r="T19" s="862"/>
      <c r="U19" s="863"/>
      <c r="Y19" s="527" t="s">
        <v>183</v>
      </c>
      <c r="Z19" s="528" t="s">
        <v>322</v>
      </c>
      <c r="AA19" s="536" t="s">
        <v>321</v>
      </c>
      <c r="AC19" s="529" t="s">
        <v>184</v>
      </c>
      <c r="AD19" s="528" t="s">
        <v>322</v>
      </c>
      <c r="AE19" s="536" t="s">
        <v>321</v>
      </c>
      <c r="AG19" s="529" t="s">
        <v>185</v>
      </c>
      <c r="AH19" s="528" t="s">
        <v>322</v>
      </c>
      <c r="AI19" s="536" t="s">
        <v>321</v>
      </c>
    </row>
    <row r="20" spans="1:35" ht="13.9" thickBot="1">
      <c r="A20" s="14" t="s">
        <v>255</v>
      </c>
      <c r="B20" s="416">
        <f>50000*0.00007</f>
        <v>3.4999999999999996</v>
      </c>
      <c r="D20" s="449" t="s">
        <v>191</v>
      </c>
      <c r="E20" s="26">
        <f>($E14*E10*($B58+$B28))</f>
        <v>636.50490671318721</v>
      </c>
      <c r="F20" s="26">
        <f>($E14*F10*($B58+$B28))</f>
        <v>484.74933829036632</v>
      </c>
      <c r="G20" s="26">
        <f>($E14*G10*($B58+$B28))</f>
        <v>587.59573255282032</v>
      </c>
      <c r="H20" s="26">
        <f>($E14*H10*($B58+$B28))</f>
        <v>587.59573255282032</v>
      </c>
      <c r="I20" s="26">
        <f>($E14*I10*($B58+$B28))</f>
        <v>359.50528483297791</v>
      </c>
      <c r="J20" s="27">
        <f t="shared" ref="J20:U20" si="2">$E14*J10*($B58+$B28)</f>
        <v>1023.6644442256251</v>
      </c>
      <c r="K20" s="27">
        <f t="shared" si="2"/>
        <v>795.5739965057827</v>
      </c>
      <c r="L20" s="27">
        <f t="shared" si="2"/>
        <v>859.11021340569869</v>
      </c>
      <c r="M20" s="27">
        <f t="shared" si="2"/>
        <v>962.91065653083979</v>
      </c>
      <c r="N20" s="26">
        <f t="shared" si="2"/>
        <v>1624.2873867183562</v>
      </c>
      <c r="O20" s="26">
        <f t="shared" si="2"/>
        <v>375.50361282935967</v>
      </c>
      <c r="P20" s="26">
        <f t="shared" si="2"/>
        <v>593.53796866576204</v>
      </c>
      <c r="Q20" s="26">
        <f t="shared" si="2"/>
        <v>1278.2664069109001</v>
      </c>
      <c r="R20" s="27">
        <f t="shared" si="2"/>
        <v>1231.6427081785876</v>
      </c>
      <c r="S20" s="27">
        <f t="shared" si="2"/>
        <v>616.84981803191829</v>
      </c>
      <c r="T20" s="27">
        <f t="shared" si="2"/>
        <v>1261.8109838289072</v>
      </c>
      <c r="U20" s="450">
        <f t="shared" si="2"/>
        <v>671.701228305227</v>
      </c>
      <c r="Y20" s="530" t="s">
        <v>193</v>
      </c>
      <c r="Z20" s="537">
        <f t="shared" ref="Z20:Z27" si="3">AVERAGE(E20:U20)</f>
        <v>820.635907004655</v>
      </c>
      <c r="AA20" s="540">
        <v>0.49185638232755319</v>
      </c>
      <c r="AC20" s="530" t="s">
        <v>205</v>
      </c>
      <c r="AD20" s="531">
        <f>AVERAGE(E29:U29)</f>
        <v>60.2942056817337</v>
      </c>
      <c r="AE20" s="540">
        <v>0.73299225099087995</v>
      </c>
      <c r="AG20" s="547" t="s">
        <v>213</v>
      </c>
      <c r="AH20" s="531">
        <f>AVERAGE(E38:U38)</f>
        <v>275.88125049798083</v>
      </c>
      <c r="AI20" s="540">
        <v>0.63839782216028296</v>
      </c>
    </row>
    <row r="21" spans="1:35" ht="13.9" thickBot="1">
      <c r="A21" s="10"/>
      <c r="B21" s="29"/>
      <c r="D21" s="451" t="s">
        <v>192</v>
      </c>
      <c r="E21" s="30">
        <f t="shared" ref="E21:U21" si="4">E10*$B29</f>
        <v>862.02615204171479</v>
      </c>
      <c r="F21" s="30">
        <f t="shared" si="4"/>
        <v>656.501784014534</v>
      </c>
      <c r="G21" s="30">
        <f t="shared" si="4"/>
        <v>795.78787680403912</v>
      </c>
      <c r="H21" s="30">
        <f t="shared" si="4"/>
        <v>795.78787680403912</v>
      </c>
      <c r="I21" s="30">
        <f t="shared" si="4"/>
        <v>486.88227546198107</v>
      </c>
      <c r="J21" s="31">
        <f t="shared" si="4"/>
        <v>1386.3609102315406</v>
      </c>
      <c r="K21" s="31">
        <f t="shared" si="4"/>
        <v>1077.4553088894827</v>
      </c>
      <c r="L21" s="31">
        <f t="shared" si="4"/>
        <v>1163.5031617683323</v>
      </c>
      <c r="M21" s="31">
        <f t="shared" si="4"/>
        <v>1304.0813342594831</v>
      </c>
      <c r="N21" s="30">
        <f t="shared" si="4"/>
        <v>2199.7916921222504</v>
      </c>
      <c r="O21" s="30">
        <f t="shared" si="4"/>
        <v>508.54900100701525</v>
      </c>
      <c r="P21" s="30">
        <f t="shared" si="4"/>
        <v>803.83551772076601</v>
      </c>
      <c r="Q21" s="30">
        <f t="shared" si="4"/>
        <v>1731.1713710482265</v>
      </c>
      <c r="R21" s="31">
        <f t="shared" si="4"/>
        <v>1668.0283423169842</v>
      </c>
      <c r="S21" s="31">
        <f t="shared" si="4"/>
        <v>835.40703208638718</v>
      </c>
      <c r="T21" s="31">
        <f t="shared" si="4"/>
        <v>1708.8855962019056</v>
      </c>
      <c r="U21" s="452">
        <f t="shared" si="4"/>
        <v>909.69294824078986</v>
      </c>
      <c r="Y21" s="451" t="s">
        <v>192</v>
      </c>
      <c r="Z21" s="538">
        <f t="shared" si="3"/>
        <v>1111.3969518246749</v>
      </c>
      <c r="AA21" s="540">
        <v>0.19000879135673993</v>
      </c>
      <c r="AC21" s="451" t="s">
        <v>203</v>
      </c>
      <c r="AD21" s="531">
        <f>AVERAGE(E30:U30)</f>
        <v>162.94198599999999</v>
      </c>
      <c r="AE21" s="540">
        <v>0.12013651864285024</v>
      </c>
      <c r="AG21" s="534" t="s">
        <v>212</v>
      </c>
      <c r="AH21" s="532">
        <f>AVERAGE(E39:U39)</f>
        <v>817.44447236514986</v>
      </c>
      <c r="AI21" s="540">
        <v>0.27040248895967656</v>
      </c>
    </row>
    <row r="22" spans="1:35" ht="13.9" thickBot="1">
      <c r="A22" s="10" t="s">
        <v>256</v>
      </c>
      <c r="B22" s="417">
        <v>2.1</v>
      </c>
      <c r="D22" s="451" t="s">
        <v>193</v>
      </c>
      <c r="E22" s="30">
        <f t="shared" ref="E22:U22" si="5">E11*$B56/2.903</f>
        <v>2106.8929042769005</v>
      </c>
      <c r="F22" s="30">
        <f t="shared" si="5"/>
        <v>1472.2253958218339</v>
      </c>
      <c r="G22" s="30">
        <f t="shared" si="5"/>
        <v>1902.346448238671</v>
      </c>
      <c r="H22" s="30">
        <f t="shared" si="5"/>
        <v>1902.346448238671</v>
      </c>
      <c r="I22" s="30">
        <f t="shared" si="5"/>
        <v>948.43353643421858</v>
      </c>
      <c r="J22" s="31">
        <f t="shared" si="5"/>
        <v>3726.0597104860608</v>
      </c>
      <c r="K22" s="31">
        <f t="shared" si="5"/>
        <v>2772.1467986816087</v>
      </c>
      <c r="L22" s="31">
        <f t="shared" si="5"/>
        <v>3037.8660266191209</v>
      </c>
      <c r="M22" s="31">
        <f t="shared" si="5"/>
        <v>3471.9770730830905</v>
      </c>
      <c r="N22" s="30">
        <f t="shared" si="5"/>
        <v>6237.9666566003898</v>
      </c>
      <c r="O22" s="30">
        <f t="shared" si="5"/>
        <v>1015.3412556990601</v>
      </c>
      <c r="P22" s="30">
        <f t="shared" si="5"/>
        <v>1927.1978868227554</v>
      </c>
      <c r="Q22" s="30">
        <f t="shared" si="5"/>
        <v>4790.8482713579651</v>
      </c>
      <c r="R22" s="31">
        <f t="shared" si="5"/>
        <v>4595.8600609289988</v>
      </c>
      <c r="S22" s="31">
        <f t="shared" si="5"/>
        <v>2024.6919920372384</v>
      </c>
      <c r="T22" s="31">
        <f t="shared" si="5"/>
        <v>4722.0289029712712</v>
      </c>
      <c r="U22" s="452">
        <f t="shared" si="5"/>
        <v>2254.0898866595512</v>
      </c>
      <c r="Y22" s="451" t="s">
        <v>191</v>
      </c>
      <c r="Z22" s="538">
        <f t="shared" si="3"/>
        <v>2876.9599561739651</v>
      </c>
      <c r="AA22" s="540">
        <v>0.14029914026477774</v>
      </c>
      <c r="AC22" s="451" t="s">
        <v>202</v>
      </c>
      <c r="AD22" s="531">
        <f>AVERAGE(E31:U31)</f>
        <v>217.82770759999997</v>
      </c>
      <c r="AE22" s="540">
        <v>8.9865899772210808E-2</v>
      </c>
      <c r="AG22" s="535" t="s">
        <v>211</v>
      </c>
      <c r="AH22" s="533">
        <f>AVERAGE(E40:U40)</f>
        <v>1931.1687534858661</v>
      </c>
      <c r="AI22" s="541">
        <v>9.1199688880040417E-2</v>
      </c>
    </row>
    <row r="23" spans="1:35" ht="13.9" thickBot="1">
      <c r="A23" s="14" t="s">
        <v>257</v>
      </c>
      <c r="B23" s="12">
        <f>0.03*540</f>
        <v>16.2</v>
      </c>
      <c r="D23" s="451" t="s">
        <v>194</v>
      </c>
      <c r="E23" s="30">
        <f>$B20*$B9/1000</f>
        <v>327.24999999999994</v>
      </c>
      <c r="F23" s="30">
        <f t="shared" ref="F23:U23" si="6">$B20*$B9/1000</f>
        <v>327.24999999999994</v>
      </c>
      <c r="G23" s="30">
        <f t="shared" si="6"/>
        <v>327.24999999999994</v>
      </c>
      <c r="H23" s="30">
        <f t="shared" si="6"/>
        <v>327.24999999999994</v>
      </c>
      <c r="I23" s="30">
        <f t="shared" si="6"/>
        <v>327.24999999999994</v>
      </c>
      <c r="J23" s="31">
        <f t="shared" si="6"/>
        <v>327.24999999999994</v>
      </c>
      <c r="K23" s="31">
        <f t="shared" si="6"/>
        <v>327.24999999999994</v>
      </c>
      <c r="L23" s="31">
        <f t="shared" si="6"/>
        <v>327.24999999999994</v>
      </c>
      <c r="M23" s="31">
        <f t="shared" si="6"/>
        <v>327.24999999999994</v>
      </c>
      <c r="N23" s="30">
        <f t="shared" si="6"/>
        <v>327.24999999999994</v>
      </c>
      <c r="O23" s="30">
        <f t="shared" si="6"/>
        <v>327.24999999999994</v>
      </c>
      <c r="P23" s="30">
        <f t="shared" si="6"/>
        <v>327.24999999999994</v>
      </c>
      <c r="Q23" s="30">
        <f t="shared" si="6"/>
        <v>327.24999999999994</v>
      </c>
      <c r="R23" s="31">
        <f t="shared" si="6"/>
        <v>327.24999999999994</v>
      </c>
      <c r="S23" s="31">
        <f t="shared" si="6"/>
        <v>327.24999999999994</v>
      </c>
      <c r="T23" s="31">
        <f t="shared" si="6"/>
        <v>327.24999999999994</v>
      </c>
      <c r="U23" s="452">
        <f t="shared" si="6"/>
        <v>327.24999999999994</v>
      </c>
      <c r="Y23" s="451" t="s">
        <v>197</v>
      </c>
      <c r="Z23" s="538">
        <f t="shared" si="3"/>
        <v>327.24999999999994</v>
      </c>
      <c r="AA23" s="540">
        <v>7.0696022111748302E-2</v>
      </c>
      <c r="AC23" s="451" t="s">
        <v>201</v>
      </c>
      <c r="AD23" s="531">
        <f>AVERAGE(E32:U32)</f>
        <v>27.122303320989364</v>
      </c>
      <c r="AE23" s="540">
        <v>3.3253510514102518E-2</v>
      </c>
    </row>
    <row r="24" spans="1:35" ht="13.9" thickBot="1">
      <c r="A24" s="14" t="s">
        <v>259</v>
      </c>
      <c r="B24" s="35">
        <v>0.65</v>
      </c>
      <c r="D24" s="451" t="s">
        <v>195</v>
      </c>
      <c r="E24" s="30">
        <f>'[2]Parking &amp; Landing Fee'!AB26</f>
        <v>35.302651999999995</v>
      </c>
      <c r="F24" s="30">
        <f>'[2]Parking &amp; Landing Fee'!AC26</f>
        <v>45.629989999999999</v>
      </c>
      <c r="G24" s="30">
        <f>'[2]Parking &amp; Landing Fee'!AD26</f>
        <v>18.983999999999998</v>
      </c>
      <c r="H24" s="30">
        <f>'[2]Parking &amp; Landing Fee'!AE26</f>
        <v>45.629989999999999</v>
      </c>
      <c r="I24" s="30">
        <f>'[2]Parking &amp; Landing Fee'!AF26</f>
        <v>35.434055999999998</v>
      </c>
      <c r="J24" s="31">
        <f>'[2]Parking &amp; Landing Fee'!AG26</f>
        <v>24.566807999999998</v>
      </c>
      <c r="K24" s="31">
        <f>'[2]Parking &amp; Landing Fee'!AH26</f>
        <v>33.913851999999999</v>
      </c>
      <c r="L24" s="31">
        <f>'[2]Parking &amp; Landing Fee'!AI26</f>
        <v>35.434055999999998</v>
      </c>
      <c r="M24" s="31">
        <f>'[2]Parking &amp; Landing Fee'!AJ26</f>
        <v>32.664939999999994</v>
      </c>
      <c r="N24" s="30">
        <f>'[2]Parking &amp; Landing Fee'!AK26</f>
        <v>49.479443999999994</v>
      </c>
      <c r="O24" s="30">
        <f>'[2]Parking &amp; Landing Fee'!AL26</f>
        <v>27.489755999999996</v>
      </c>
      <c r="P24" s="30">
        <f>'[2]Parking &amp; Landing Fee'!AM26</f>
        <v>45.629989999999999</v>
      </c>
      <c r="Q24" s="30">
        <f>'[2]Parking &amp; Landing Fee'!AN26</f>
        <v>24.351208</v>
      </c>
      <c r="R24" s="31">
        <f>'[2]Parking &amp; Landing Fee'!AO26</f>
        <v>24.351208</v>
      </c>
      <c r="S24" s="31">
        <f>'[2]Parking &amp; Landing Fee'!AP26</f>
        <v>24.351208</v>
      </c>
      <c r="T24" s="31">
        <f>'[2]Parking &amp; Landing Fee'!AQ26</f>
        <v>45.629989999999999</v>
      </c>
      <c r="U24" s="452">
        <f>'[2]Parking &amp; Landing Fee'!AR26</f>
        <v>22.254973999999994</v>
      </c>
      <c r="Y24" s="451" t="s">
        <v>194</v>
      </c>
      <c r="Z24" s="538">
        <f t="shared" si="3"/>
        <v>33.594007176470583</v>
      </c>
      <c r="AA24" s="540">
        <v>5.5947946293541932E-2</v>
      </c>
      <c r="AC24" s="549" t="s">
        <v>204</v>
      </c>
      <c r="AD24" s="531">
        <f>AVERAGE(E33:U33)</f>
        <v>1329.0381935951787</v>
      </c>
      <c r="AE24" s="540">
        <v>1.4958515307623235E-2</v>
      </c>
    </row>
    <row r="25" spans="1:35" ht="13.9" thickBot="1">
      <c r="A25" s="14" t="s">
        <v>260</v>
      </c>
      <c r="B25" s="36">
        <v>0</v>
      </c>
      <c r="D25" s="451" t="s">
        <v>196</v>
      </c>
      <c r="E25" s="30">
        <f t="shared" ref="E25:U25" si="7">$B18*ROUNDDOWN(((E9-20)/100),0)*$B19</f>
        <v>186.2</v>
      </c>
      <c r="F25" s="30">
        <f t="shared" si="7"/>
        <v>111.71999999999998</v>
      </c>
      <c r="G25" s="30">
        <f t="shared" si="7"/>
        <v>148.95999999999998</v>
      </c>
      <c r="H25" s="30">
        <f t="shared" si="7"/>
        <v>148.95999999999998</v>
      </c>
      <c r="I25" s="30">
        <f t="shared" si="7"/>
        <v>55.859999999999992</v>
      </c>
      <c r="J25" s="31">
        <f t="shared" si="7"/>
        <v>335.15999999999997</v>
      </c>
      <c r="K25" s="31">
        <f t="shared" si="7"/>
        <v>242.05999999999997</v>
      </c>
      <c r="L25" s="31">
        <f t="shared" si="7"/>
        <v>260.67999999999995</v>
      </c>
      <c r="M25" s="31">
        <f t="shared" si="7"/>
        <v>316.53999999999996</v>
      </c>
      <c r="N25" s="30">
        <f t="shared" si="7"/>
        <v>577.21999999999991</v>
      </c>
      <c r="O25" s="30">
        <f t="shared" si="7"/>
        <v>74.47999999999999</v>
      </c>
      <c r="P25" s="30">
        <f t="shared" si="7"/>
        <v>167.57999999999998</v>
      </c>
      <c r="Q25" s="30">
        <f t="shared" si="7"/>
        <v>446.87999999999994</v>
      </c>
      <c r="R25" s="31">
        <f t="shared" si="7"/>
        <v>428.25999999999993</v>
      </c>
      <c r="S25" s="31">
        <f t="shared" si="7"/>
        <v>167.57999999999998</v>
      </c>
      <c r="T25" s="31">
        <f t="shared" si="7"/>
        <v>428.25999999999993</v>
      </c>
      <c r="U25" s="452">
        <f t="shared" si="7"/>
        <v>186.2</v>
      </c>
      <c r="Y25" s="451" t="s">
        <v>196</v>
      </c>
      <c r="Z25" s="538">
        <f t="shared" si="3"/>
        <v>251.91764705882349</v>
      </c>
      <c r="AA25" s="540">
        <v>4.306883113229186E-2</v>
      </c>
      <c r="AC25" s="548" t="s">
        <v>206</v>
      </c>
      <c r="AD25" s="531" t="e">
        <f>AVERAGE(E34:U34)</f>
        <v>#REF!</v>
      </c>
      <c r="AE25" s="541">
        <v>8.0702696889576805E-3</v>
      </c>
    </row>
    <row r="26" spans="1:35">
      <c r="A26" s="37" t="s">
        <v>261</v>
      </c>
      <c r="B26" s="17">
        <v>1</v>
      </c>
      <c r="D26" s="451" t="s">
        <v>197</v>
      </c>
      <c r="E26" s="30">
        <f>IF(Profitability!AQ151&gt;=($B12/1000),($B62)*$B12,($B62)*F125*1000)</f>
        <v>460.3671871184705</v>
      </c>
      <c r="F26" s="30">
        <f>IF([2]Profitability!AR151&gt;=($B12/1000),($B62)*$B12,($B62)*G125*1000)</f>
        <v>691.2</v>
      </c>
      <c r="G26" s="30">
        <f>IF([2]Profitability!AS151&gt;=($B12/1000),($B62)*$B12,($B62)*H125*1000)</f>
        <v>337.5961226114631</v>
      </c>
      <c r="H26" s="30">
        <f>IF([2]Profitability!AT151&gt;=($B12/1000),($B62)*$B12,($B62)*I125*1000)</f>
        <v>525.79031957262487</v>
      </c>
      <c r="I26" s="30">
        <f>IF([2]Profitability!AU151&gt;=($B12/1000),($B62)*$B12,($B62)*J125*1000)</f>
        <v>691.2</v>
      </c>
      <c r="J26" s="31">
        <f>IF([2]Profitability!AV151&gt;=($B12/1000),($B62)*$B12,($B62)*K125*1000)</f>
        <v>188.72375982856215</v>
      </c>
      <c r="K26" s="31">
        <f>IF([2]Profitability!AW151&gt;=($B12/1000),($B62)*$B12,($B62)*L125*1000)</f>
        <v>308.54858836287201</v>
      </c>
      <c r="L26" s="31">
        <f>IF([2]Profitability!AX151&gt;=($B12/1000),($B62)*$B12,($B62)*M125*1000)</f>
        <v>520.49162948503272</v>
      </c>
      <c r="M26" s="31">
        <f>IF([2]Profitability!AY151&gt;=($B12/1000),($B62)*$B12,($B62)*N125*1000)</f>
        <v>400.28160794862418</v>
      </c>
      <c r="N26" s="30">
        <f>IF([2]Profitability!AZ151&gt;=($B12/1000),($B62)*$B12,($B62)*O125*1000)</f>
        <v>659.53153728344932</v>
      </c>
      <c r="O26" s="30">
        <f>IF([2]Profitability!BA151&gt;=($B12/1000),($B62)*$B12,($B62)*P125*1000)</f>
        <v>691.2</v>
      </c>
      <c r="P26" s="30">
        <f>IF([2]Profitability!BB151&gt;=($B12/1000),($B62)*$B12,($B62)*Q125*1000)</f>
        <v>109.92699212239619</v>
      </c>
      <c r="Q26" s="30">
        <f>IF([2]Profitability!BC151&gt;=($B12/1000),($B62)*$B12,($B62)*R125*1000)</f>
        <v>206.71626119189679</v>
      </c>
      <c r="R26" s="31">
        <f>IF([2]Profitability!BD151&gt;=($B12/1000),($B62)*$B12,($B62)*S125*1000)</f>
        <v>259.92068135227237</v>
      </c>
      <c r="S26" s="31">
        <f>IF([2]Profitability!BE151&gt;=($B12/1000),($B62)*$B12,($B62)*T125*1000)</f>
        <v>147.45876660550644</v>
      </c>
      <c r="T26" s="31">
        <f>IF([2]Profitability!BF151&gt;=($B12/1000),($B62)*$B12,($B62)*U125*1000)</f>
        <v>223.12202541587402</v>
      </c>
      <c r="U26" s="452">
        <f>IF([2]Profitability!BG151&gt;=($B12/1000),($B62)*$B12,($B62)*V125*1000)</f>
        <v>607.66682745228286</v>
      </c>
      <c r="Y26" s="451" t="s">
        <v>195</v>
      </c>
      <c r="Z26" s="538">
        <f t="shared" si="3"/>
        <v>413.51425331478396</v>
      </c>
      <c r="AA26" s="540">
        <v>5.7433635119756724E-3</v>
      </c>
      <c r="AC26" s="548" t="s">
        <v>207</v>
      </c>
      <c r="AD26" s="531">
        <f>AVERAGE(E35:U35)</f>
        <v>1.3109841745481783</v>
      </c>
      <c r="AE26" s="550">
        <v>7.2303508337563237E-4</v>
      </c>
    </row>
    <row r="27" spans="1:35" ht="13.9" thickBot="1">
      <c r="A27" s="10"/>
      <c r="B27" s="29"/>
      <c r="D27" s="454" t="s">
        <v>198</v>
      </c>
      <c r="E27" s="38">
        <f>IF([2]Profitability!AQ151&lt;=$B12,'[2]Parking &amp; Landing Fee'!AB25*($B10/1000+'[2]cost rute lama'!$B$12/1000),'[2]Parking &amp; Landing Fee'!AB25*($B10/1000+[2]Profitability!AQ151))</f>
        <v>15.331364999999998</v>
      </c>
      <c r="F27" s="38">
        <f>IF([2]Profitability!AR151&lt;=$B12,'[2]Parking &amp; Landing Fee'!AC25*($B10/1000+'[2]cost rute lama'!$B$12/1000),'[2]Parking &amp; Landing Fee'!AC25*($B10/1000+[2]Profitability!AR151))</f>
        <v>16.670114999999999</v>
      </c>
      <c r="G27" s="38">
        <f>IF([2]Profitability!AS151&lt;=$B12,'[2]Parking &amp; Landing Fee'!AD25*($B10/1000+'[2]cost rute lama'!$B$12/1000),'[2]Parking &amp; Landing Fee'!AD25*($B10/1000+[2]Profitability!AS151))</f>
        <v>10.576124999999999</v>
      </c>
      <c r="H27" s="38">
        <f>IF([2]Profitability!AT151&lt;=$B12,'[2]Parking &amp; Landing Fee'!AE25*($B10/1000+'[2]cost rute lama'!$B$12/1000),'[2]Parking &amp; Landing Fee'!AE25*($B10/1000+[2]Profitability!AT151))</f>
        <v>10.576124999999999</v>
      </c>
      <c r="I27" s="38">
        <f>IF([2]Profitability!AU151&lt;=$B12,'[2]Parking &amp; Landing Fee'!AF25*($B10/1000+'[2]cost rute lama'!$B$12/1000),'[2]Parking &amp; Landing Fee'!AF25*($B10/1000+[2]Profitability!AU151))</f>
        <v>16.332749999999997</v>
      </c>
      <c r="J27" s="39">
        <f>IF([2]Profitability!AV151&lt;=$B12,'[2]Parking &amp; Landing Fee'!AG25*($B10/1000+'[2]cost rute lama'!$B$12/1000),'[2]Parking &amp; Landing Fee'!AG25*($B10/1000+[2]Profitability!AV151))</f>
        <v>11.97378</v>
      </c>
      <c r="K27" s="39">
        <f>IF([2]Profitability!AW151&lt;=$B12,'[2]Parking &amp; Landing Fee'!AH25*($B10/1000+'[2]cost rute lama'!$B$12/1000),'[2]Parking &amp; Landing Fee'!AH25*($B10/1000+[2]Profitability!AW151))</f>
        <v>12.953744999999998</v>
      </c>
      <c r="L27" s="39">
        <f>IF([2]Profitability!AX151&lt;=$B12,'[2]Parking &amp; Landing Fee'!AI25*($B10/1000+'[2]cost rute lama'!$B$12/1000),'[2]Parking &amp; Landing Fee'!AI25*($B10/1000+[2]Profitability!AX151))</f>
        <v>15.566984999999999</v>
      </c>
      <c r="M27" s="39">
        <f>IF([2]Profitability!AY151&lt;=$B12,'[2]Parking &amp; Landing Fee'!AJ25*($B10/1000+'[2]cost rute lama'!$B$12/1000),'[2]Parking &amp; Landing Fee'!AJ25*($B10/1000+[2]Profitability!AY151))</f>
        <v>14.688764999999997</v>
      </c>
      <c r="N27" s="38">
        <f>IF([2]Profitability!AZ151&lt;=$B12,'[2]Parking &amp; Landing Fee'!AK25*($B10/1000+'[2]cost rute lama'!$B$12/1000),'[2]Parking &amp; Landing Fee'!AK25*($B10/1000+[2]Profitability!AZ151))</f>
        <v>16.734375</v>
      </c>
      <c r="O27" s="38">
        <f>IF([2]Profitability!BA151&lt;=$B12,'[2]Parking &amp; Landing Fee'!AL25*($B10/1000+'[2]cost rute lama'!$B$12/1000),'[2]Parking &amp; Landing Fee'!AL25*($B10/1000+[2]Profitability!BA151))</f>
        <v>17.537624999999998</v>
      </c>
      <c r="P27" s="38">
        <f>IF([2]Profitability!BB151&lt;=$B12,'[2]Parking &amp; Landing Fee'!AM25*($B10/1000+'[2]cost rute lama'!$B$12/1000),'[2]Parking &amp; Landing Fee'!AM25*($B10/1000+[2]Profitability!BB151))</f>
        <v>15.529499999999999</v>
      </c>
      <c r="Q27" s="38">
        <f>IF([2]Profitability!BC151&lt;=$B12,'[2]Parking &amp; Landing Fee'!AN25*($B10/1000+'[2]cost rute lama'!$B$12/1000),'[2]Parking &amp; Landing Fee'!AN25*($B10/1000+[2]Profitability!BC151))</f>
        <v>14.72625</v>
      </c>
      <c r="R27" s="39">
        <f>IF([2]Profitability!BD151&lt;=$B12,'[2]Parking &amp; Landing Fee'!AO25*($B10/1000+'[2]cost rute lama'!$B$12/1000),'[2]Parking &amp; Landing Fee'!AO25*($B10/1000+[2]Profitability!BD151))</f>
        <v>9.8799749999999982</v>
      </c>
      <c r="S27" s="39">
        <f>IF([2]Profitability!BE151&lt;=$B12,'[2]Parking &amp; Landing Fee'!AP25*($B10/1000+'[2]cost rute lama'!$B$12/1000),'[2]Parking &amp; Landing Fee'!AP25*($B10/1000+[2]Profitability!BE151))</f>
        <v>9.9817199999999993</v>
      </c>
      <c r="T27" s="39">
        <f>IF([2]Profitability!BF151&lt;=$B12,'[2]Parking &amp; Landing Fee'!AQ25*($B10/1000+'[2]cost rute lama'!$B$12/1000),'[2]Parking &amp; Landing Fee'!AQ25*($B10/1000+[2]Profitability!BF151))</f>
        <v>13.826609999999999</v>
      </c>
      <c r="U27" s="455">
        <f>IF([2]Profitability!BG151&lt;=$B12,'[2]Parking &amp; Landing Fee'!AR25*($B10/1000+'[2]cost rute lama'!$B$12/1000),'[2]Parking &amp; Landing Fee'!AR25*($B10/1000+[2]Profitability!BG151))</f>
        <v>13.724864999999999</v>
      </c>
      <c r="Y27" s="535" t="s">
        <v>198</v>
      </c>
      <c r="Z27" s="539">
        <f t="shared" si="3"/>
        <v>13.918274999999998</v>
      </c>
      <c r="AA27" s="541">
        <v>2.3795230013712678E-3</v>
      </c>
    </row>
    <row r="28" spans="1:35" ht="15.6" customHeight="1" thickBot="1">
      <c r="A28" s="10" t="s">
        <v>262</v>
      </c>
      <c r="B28" s="11">
        <f>$B22*((1+B24+B25)*1.18*1.6 +24.9 + 29.6+14)*B26</f>
        <v>150.39192</v>
      </c>
      <c r="D28" s="864" t="s">
        <v>263</v>
      </c>
      <c r="E28" s="865"/>
      <c r="F28" s="865"/>
      <c r="G28" s="865"/>
      <c r="H28" s="865"/>
      <c r="I28" s="865"/>
      <c r="J28" s="865"/>
      <c r="K28" s="865"/>
      <c r="L28" s="865"/>
      <c r="M28" s="865"/>
      <c r="N28" s="865"/>
      <c r="O28" s="865"/>
      <c r="P28" s="865"/>
      <c r="Q28" s="865"/>
      <c r="R28" s="865"/>
      <c r="S28" s="865"/>
      <c r="T28" s="865"/>
      <c r="U28" s="866"/>
      <c r="Z28" s="437"/>
    </row>
    <row r="29" spans="1:35">
      <c r="A29" s="10" t="s">
        <v>264</v>
      </c>
      <c r="B29" s="40">
        <f>'[2]Maintenance Cost'!G47*B31</f>
        <v>456.23933504829</v>
      </c>
      <c r="D29" s="449" t="s">
        <v>201</v>
      </c>
      <c r="E29" s="26">
        <f>(($B72*(E9/1.852))+(980*$B9/1000))*E10/$E12</f>
        <v>60.726330103733261</v>
      </c>
      <c r="F29" s="26">
        <f>(($B72*(F9/1.852))+(980*$B9/1000))*F10/$E12</f>
        <v>46.231863804018062</v>
      </c>
      <c r="G29" s="26">
        <f>(($B72*(G9/1.852))+(980*$B9/1000))*G10/$E12</f>
        <v>56.053820706854133</v>
      </c>
      <c r="H29" s="26">
        <f>(($B72*(H9/1.852))+(980*$B9/1000))*H10/$E12</f>
        <v>56.053820706854133</v>
      </c>
      <c r="I29" s="26">
        <f>(($B72*(I9/1.852))+(980*$B9/1000))*I10/$E12</f>
        <v>34.277150479167965</v>
      </c>
      <c r="J29" s="27">
        <f>(($B72*(J9/1.852))+(980*$B9/1000))*J10/$J12</f>
        <v>72.910808420861699</v>
      </c>
      <c r="K29" s="27">
        <f>(($B72*(K9/1.852))+(980*$B9/1000))*K10/$J12</f>
        <v>56.63539664483433</v>
      </c>
      <c r="L29" s="27">
        <f>(($B72*(L9/1.852))+(980*$B9/1000))*L10/$J12</f>
        <v>61.167322896656273</v>
      </c>
      <c r="M29" s="27">
        <f>(($B72*(M9/1.852))+(980*$B9/1000))*M10/$J12</f>
        <v>68.574058765316067</v>
      </c>
      <c r="N29" s="26">
        <f>(($B72*(N9/1.852))+(980*$B9/1000))*N10/$N12</f>
        <v>108.65024669822482</v>
      </c>
      <c r="O29" s="26">
        <f>(($B72*(O9/1.852))+(980*$B9/1000))*O10/$N12</f>
        <v>25.046082174822494</v>
      </c>
      <c r="P29" s="26">
        <f>(($B72*(P9/1.852))+(980*$B9/1000))*P10/$N12</f>
        <v>39.608766884727679</v>
      </c>
      <c r="Q29" s="26">
        <f>(($B72*(Q9/1.852))+(980*$B9/1000))*Q10/$N12</f>
        <v>85.436881844051484</v>
      </c>
      <c r="R29" s="28">
        <f>(($B72*(R9/1.852))+(980*$B9/1000))*R10/$R12</f>
        <v>82.63234560596608</v>
      </c>
      <c r="S29" s="28">
        <f>(($B72*(S9/1.852))+(980*$B9/1000))*S10/$R12</f>
        <v>41.326929794057783</v>
      </c>
      <c r="T29" s="28">
        <f>(($B72*(T9/1.852))+(980*$B9/1000))*T10/$R12</f>
        <v>84.662216775261157</v>
      </c>
      <c r="U29" s="493">
        <f>(($B72*(U9/1.852))+(980*$B9/1000))*U10/$R12</f>
        <v>45.007454284065453</v>
      </c>
    </row>
    <row r="30" spans="1:35" ht="26.45">
      <c r="A30" s="41" t="s">
        <v>265</v>
      </c>
      <c r="B30" s="42">
        <f>'[2]Maintenance Cost'!G48*B31</f>
        <v>545.58319662847089</v>
      </c>
      <c r="D30" s="451" t="s">
        <v>202</v>
      </c>
      <c r="E30" s="30">
        <f t="shared" ref="E30:U30" si="8">$B64*$B11/1000</f>
        <v>162.94198600000001</v>
      </c>
      <c r="F30" s="30">
        <f t="shared" si="8"/>
        <v>162.94198600000001</v>
      </c>
      <c r="G30" s="30">
        <f t="shared" si="8"/>
        <v>162.94198600000001</v>
      </c>
      <c r="H30" s="30">
        <f t="shared" si="8"/>
        <v>162.94198600000001</v>
      </c>
      <c r="I30" s="30">
        <f t="shared" si="8"/>
        <v>162.94198600000001</v>
      </c>
      <c r="J30" s="31">
        <f t="shared" si="8"/>
        <v>162.94198600000001</v>
      </c>
      <c r="K30" s="31">
        <f t="shared" si="8"/>
        <v>162.94198600000001</v>
      </c>
      <c r="L30" s="31">
        <f t="shared" si="8"/>
        <v>162.94198600000001</v>
      </c>
      <c r="M30" s="31">
        <f t="shared" si="8"/>
        <v>162.94198600000001</v>
      </c>
      <c r="N30" s="30">
        <f t="shared" si="8"/>
        <v>162.94198600000001</v>
      </c>
      <c r="O30" s="30">
        <f t="shared" si="8"/>
        <v>162.94198600000001</v>
      </c>
      <c r="P30" s="30">
        <f t="shared" si="8"/>
        <v>162.94198600000001</v>
      </c>
      <c r="Q30" s="30">
        <f t="shared" si="8"/>
        <v>162.94198600000001</v>
      </c>
      <c r="R30" s="32">
        <f t="shared" si="8"/>
        <v>162.94198600000001</v>
      </c>
      <c r="S30" s="32">
        <f t="shared" si="8"/>
        <v>162.94198600000001</v>
      </c>
      <c r="T30" s="32">
        <f t="shared" si="8"/>
        <v>162.94198600000001</v>
      </c>
      <c r="U30" s="494">
        <f t="shared" si="8"/>
        <v>162.94198600000001</v>
      </c>
    </row>
    <row r="31" spans="1:35">
      <c r="A31" s="43" t="s">
        <v>266</v>
      </c>
      <c r="B31" s="44">
        <v>0.86199999999999999</v>
      </c>
      <c r="D31" s="451" t="s">
        <v>203</v>
      </c>
      <c r="E31" s="30">
        <f t="shared" ref="E31:U31" si="9">$B65*$B11/1000</f>
        <v>217.82770760000002</v>
      </c>
      <c r="F31" s="30">
        <f t="shared" si="9"/>
        <v>217.82770760000002</v>
      </c>
      <c r="G31" s="30">
        <f t="shared" si="9"/>
        <v>217.82770760000002</v>
      </c>
      <c r="H31" s="30">
        <f t="shared" si="9"/>
        <v>217.82770760000002</v>
      </c>
      <c r="I31" s="30">
        <f t="shared" si="9"/>
        <v>217.82770760000002</v>
      </c>
      <c r="J31" s="31">
        <f t="shared" si="9"/>
        <v>217.82770760000002</v>
      </c>
      <c r="K31" s="31">
        <f t="shared" si="9"/>
        <v>217.82770760000002</v>
      </c>
      <c r="L31" s="31">
        <f t="shared" si="9"/>
        <v>217.82770760000002</v>
      </c>
      <c r="M31" s="31">
        <f t="shared" si="9"/>
        <v>217.82770760000002</v>
      </c>
      <c r="N31" s="30">
        <f t="shared" si="9"/>
        <v>217.82770760000002</v>
      </c>
      <c r="O31" s="30">
        <f t="shared" si="9"/>
        <v>217.82770760000002</v>
      </c>
      <c r="P31" s="30">
        <f t="shared" si="9"/>
        <v>217.82770760000002</v>
      </c>
      <c r="Q31" s="30">
        <f t="shared" si="9"/>
        <v>217.82770760000002</v>
      </c>
      <c r="R31" s="32">
        <f t="shared" si="9"/>
        <v>217.82770760000002</v>
      </c>
      <c r="S31" s="32">
        <f t="shared" si="9"/>
        <v>217.82770760000002</v>
      </c>
      <c r="T31" s="32">
        <f t="shared" si="9"/>
        <v>217.82770760000002</v>
      </c>
      <c r="U31" s="494">
        <f t="shared" si="9"/>
        <v>217.82770760000002</v>
      </c>
    </row>
    <row r="32" spans="1:35">
      <c r="A32" s="45" t="s">
        <v>267</v>
      </c>
      <c r="B32" s="29">
        <f>B2*2 - B8*12</f>
        <v>0</v>
      </c>
      <c r="D32" s="456" t="s">
        <v>204</v>
      </c>
      <c r="E32" s="504">
        <f>[2]Profitability!$AQ68/$E$13</f>
        <v>26.854909430637644</v>
      </c>
      <c r="F32" s="504">
        <f>[2]Profitability!$AQ68/$E$13</f>
        <v>26.854909430637644</v>
      </c>
      <c r="G32" s="504">
        <f>[2]Profitability!$AQ68/$E$13</f>
        <v>26.854909430637644</v>
      </c>
      <c r="H32" s="504">
        <f>[2]Profitability!$AQ68/$E$13</f>
        <v>26.854909430637644</v>
      </c>
      <c r="I32" s="504">
        <f>[2]Profitability!$AQ68/$E$13</f>
        <v>26.854909430637644</v>
      </c>
      <c r="J32" s="505">
        <f>[2]Profitability!$AQ68/$J$13</f>
        <v>27.461800039239623</v>
      </c>
      <c r="K32" s="505">
        <f>[2]Profitability!$AQ68/$J$13</f>
        <v>27.461800039239623</v>
      </c>
      <c r="L32" s="505">
        <f>[2]Profitability!$AQ68/$J$13</f>
        <v>27.461800039239623</v>
      </c>
      <c r="M32" s="505">
        <f>[2]Profitability!$AQ68/$J$13</f>
        <v>27.461800039239623</v>
      </c>
      <c r="N32" s="504">
        <f>[2]Profitability!$AQ68/$N$13</f>
        <v>27.384442856030496</v>
      </c>
      <c r="O32" s="504">
        <f>[2]Profitability!$AQ68/$N$13</f>
        <v>27.384442856030496</v>
      </c>
      <c r="P32" s="504">
        <f>[2]Profitability!$AQ68/$N$13</f>
        <v>27.384442856030496</v>
      </c>
      <c r="Q32" s="504">
        <f>[2]Profitability!$AQ68/$N$13</f>
        <v>27.384442856030496</v>
      </c>
      <c r="R32" s="505">
        <f>[2]Profitability!$AQ68/$R$13</f>
        <v>26.854909430637644</v>
      </c>
      <c r="S32" s="505">
        <f>[2]Profitability!$AQ68/$R$13</f>
        <v>26.854909430637644</v>
      </c>
      <c r="T32" s="505">
        <f>[2]Profitability!$AQ68/$R$13</f>
        <v>26.854909430637644</v>
      </c>
      <c r="U32" s="506">
        <f>[2]Profitability!$AQ68/$R$13</f>
        <v>26.854909430637644</v>
      </c>
    </row>
    <row r="33" spans="1:26">
      <c r="A33" s="45" t="s">
        <v>268</v>
      </c>
      <c r="B33" s="29">
        <f>B8*12</f>
        <v>2940000</v>
      </c>
      <c r="D33" s="451" t="s">
        <v>205</v>
      </c>
      <c r="E33" s="30">
        <f t="shared" ref="E33:U33" si="10">$B30*E10</f>
        <v>1030.8339230734678</v>
      </c>
      <c r="F33" s="30">
        <f t="shared" si="10"/>
        <v>785.06238809293541</v>
      </c>
      <c r="G33" s="30">
        <f t="shared" si="10"/>
        <v>951.62442234179014</v>
      </c>
      <c r="H33" s="30">
        <f t="shared" si="10"/>
        <v>951.62442234179014</v>
      </c>
      <c r="I33" s="30">
        <f t="shared" si="10"/>
        <v>582.22684416321886</v>
      </c>
      <c r="J33" s="31">
        <f t="shared" si="10"/>
        <v>1657.8474475569342</v>
      </c>
      <c r="K33" s="31">
        <f t="shared" si="10"/>
        <v>1288.449869378363</v>
      </c>
      <c r="L33" s="31">
        <f t="shared" si="10"/>
        <v>1391.3481927587666</v>
      </c>
      <c r="M33" s="31">
        <f t="shared" si="10"/>
        <v>1559.4553304648846</v>
      </c>
      <c r="N33" s="30">
        <f t="shared" si="10"/>
        <v>2630.569727570246</v>
      </c>
      <c r="O33" s="30">
        <f t="shared" si="10"/>
        <v>608.13649393526305</v>
      </c>
      <c r="P33" s="30">
        <f t="shared" si="10"/>
        <v>961.24800654283513</v>
      </c>
      <c r="Q33" s="30">
        <f t="shared" si="10"/>
        <v>2070.1810167863214</v>
      </c>
      <c r="R33" s="31">
        <f t="shared" si="10"/>
        <v>1994.6728945935072</v>
      </c>
      <c r="S33" s="31">
        <f t="shared" si="10"/>
        <v>999.00206763924223</v>
      </c>
      <c r="T33" s="31">
        <f t="shared" si="10"/>
        <v>2043.5310913065045</v>
      </c>
      <c r="U33" s="452">
        <f t="shared" si="10"/>
        <v>1087.8351525719647</v>
      </c>
    </row>
    <row r="34" spans="1:26">
      <c r="A34" s="46" t="s">
        <v>269</v>
      </c>
      <c r="B34" s="418">
        <f>$B80*B6</f>
        <v>419999.99999999994</v>
      </c>
      <c r="D34" s="451" t="s">
        <v>206</v>
      </c>
      <c r="E34" s="30" t="e">
        <f>'[4]Crew Accomodation'!$G$2/($E13*5)</f>
        <v>#REF!</v>
      </c>
      <c r="F34" s="30" t="e">
        <f>'[4]Crew Accomodation'!$G$2/($E13*5)</f>
        <v>#REF!</v>
      </c>
      <c r="G34" s="30" t="e">
        <f>'[4]Crew Accomodation'!$G$2/($E13*5)</f>
        <v>#REF!</v>
      </c>
      <c r="H34" s="30" t="e">
        <f>'[4]Crew Accomodation'!$G$2/($E13*5)</f>
        <v>#REF!</v>
      </c>
      <c r="I34" s="30" t="e">
        <f>'[4]Crew Accomodation'!$G$2/($E13*5)</f>
        <v>#REF!</v>
      </c>
      <c r="J34" s="31" t="e">
        <f>'[4]Crew Accomodation'!$K$13/($J13*4)</f>
        <v>#REF!</v>
      </c>
      <c r="K34" s="31" t="e">
        <f>'[4]Crew Accomodation'!$K$13/($J13*4)</f>
        <v>#REF!</v>
      </c>
      <c r="L34" s="31" t="e">
        <f>'[4]Crew Accomodation'!$K$13/($J13*4)</f>
        <v>#REF!</v>
      </c>
      <c r="M34" s="31" t="e">
        <f>'[4]Crew Accomodation'!$K$13/($J13*4)</f>
        <v>#REF!</v>
      </c>
      <c r="N34" s="30" t="e">
        <f>'[4]Crew Accomodation'!$L$13/($N13*4)</f>
        <v>#REF!</v>
      </c>
      <c r="O34" s="30" t="e">
        <f>'[4]Crew Accomodation'!$L$13/($N13*4)</f>
        <v>#REF!</v>
      </c>
      <c r="P34" s="30" t="e">
        <f>'[4]Crew Accomodation'!$L$13/($N13*4)</f>
        <v>#REF!</v>
      </c>
      <c r="Q34" s="30" t="e">
        <f>'[4]Crew Accomodation'!$L$13/($N13*4)</f>
        <v>#REF!</v>
      </c>
      <c r="R34" s="31" t="e">
        <f>'[4]Crew Accomodation'!$F$15/($R13*4)</f>
        <v>#REF!</v>
      </c>
      <c r="S34" s="31" t="e">
        <f>'[4]Crew Accomodation'!$F$15/($R13*4)</f>
        <v>#REF!</v>
      </c>
      <c r="T34" s="31" t="e">
        <f>'[4]Crew Accomodation'!$F$15/($R13*4)</f>
        <v>#REF!</v>
      </c>
      <c r="U34" s="452" t="e">
        <f>'[4]Crew Accomodation'!$F$15/($R13*4)</f>
        <v>#REF!</v>
      </c>
    </row>
    <row r="35" spans="1:26" ht="13.9" thickBot="1">
      <c r="A35" s="45"/>
      <c r="B35" s="29"/>
      <c r="D35" s="476" t="s">
        <v>207</v>
      </c>
      <c r="E35" s="38">
        <f>$B74/($E13*13)</f>
        <v>1.0624734381640459</v>
      </c>
      <c r="F35" s="38">
        <f>$B74/($E13*13)</f>
        <v>1.0624734381640459</v>
      </c>
      <c r="G35" s="38">
        <f>$B74/($E13*13)</f>
        <v>1.0624734381640459</v>
      </c>
      <c r="H35" s="38">
        <f>$B74/($E13*13)</f>
        <v>1.0624734381640459</v>
      </c>
      <c r="I35" s="38">
        <f>$B74/($E13*13)</f>
        <v>1.0624734381640459</v>
      </c>
      <c r="J35" s="39">
        <f>$B75/($J13*4)</f>
        <v>2.1186440677966103</v>
      </c>
      <c r="K35" s="39">
        <f>$B75/($J13*4)</f>
        <v>2.1186440677966103</v>
      </c>
      <c r="L35" s="39">
        <f>$B75/($J13*4)</f>
        <v>2.1186440677966103</v>
      </c>
      <c r="M35" s="39">
        <f>$B75/($J13*4)</f>
        <v>2.1186440677966103</v>
      </c>
      <c r="N35" s="38">
        <f t="shared" ref="N35:U35" si="11">$B74/($E13*13)</f>
        <v>1.0624734381640459</v>
      </c>
      <c r="O35" s="38">
        <f t="shared" si="11"/>
        <v>1.0624734381640459</v>
      </c>
      <c r="P35" s="38">
        <f t="shared" si="11"/>
        <v>1.0624734381640459</v>
      </c>
      <c r="Q35" s="38">
        <f t="shared" si="11"/>
        <v>1.0624734381640459</v>
      </c>
      <c r="R35" s="39">
        <f t="shared" si="11"/>
        <v>1.0624734381640459</v>
      </c>
      <c r="S35" s="39">
        <f t="shared" si="11"/>
        <v>1.0624734381640459</v>
      </c>
      <c r="T35" s="39">
        <f t="shared" si="11"/>
        <v>1.0624734381640459</v>
      </c>
      <c r="U35" s="455">
        <f t="shared" si="11"/>
        <v>1.0624734381640459</v>
      </c>
    </row>
    <row r="36" spans="1:26" ht="15" customHeight="1" thickBot="1">
      <c r="A36" s="45"/>
      <c r="B36" s="29"/>
      <c r="D36" s="867" t="s">
        <v>270</v>
      </c>
      <c r="E36" s="868"/>
      <c r="F36" s="868"/>
      <c r="G36" s="868"/>
      <c r="H36" s="868"/>
      <c r="I36" s="868"/>
      <c r="J36" s="868"/>
      <c r="K36" s="868"/>
      <c r="L36" s="868"/>
      <c r="M36" s="868"/>
      <c r="N36" s="868"/>
      <c r="O36" s="868"/>
      <c r="P36" s="868"/>
      <c r="Q36" s="868"/>
      <c r="R36" s="868"/>
      <c r="S36" s="868"/>
      <c r="T36" s="868"/>
      <c r="U36" s="869"/>
      <c r="Z36" s="437"/>
    </row>
    <row r="37" spans="1:26">
      <c r="A37" s="47" t="s">
        <v>271</v>
      </c>
      <c r="B37" s="48">
        <v>2</v>
      </c>
      <c r="D37" s="458" t="s">
        <v>210</v>
      </c>
      <c r="E37" s="50">
        <f>($B2*2-($B8*12))*E10/$E$12</f>
        <v>0</v>
      </c>
      <c r="F37" s="50">
        <f>($B2*2-($B8*12))*F10/$E$12</f>
        <v>0</v>
      </c>
      <c r="G37" s="50">
        <f>($B2*2-($B8*12))*G10/$E$12</f>
        <v>0</v>
      </c>
      <c r="H37" s="50">
        <f>($B2*2-($B8*12))*H10/$E$12</f>
        <v>0</v>
      </c>
      <c r="I37" s="50">
        <f>($B2*2-($B8*12))*I10/$E$12</f>
        <v>0</v>
      </c>
      <c r="J37" s="51">
        <f>($B2*2-($B8*12))*J10/$J$12</f>
        <v>0</v>
      </c>
      <c r="K37" s="51">
        <f>($B2*2-($B8*12))*K10/$J$12</f>
        <v>0</v>
      </c>
      <c r="L37" s="51">
        <f>($B2*2-($B8*12))*L10/$J$12</f>
        <v>0</v>
      </c>
      <c r="M37" s="51">
        <f>($B2*2-($B8*12))*M10/$J$12</f>
        <v>0</v>
      </c>
      <c r="N37" s="50">
        <f>($B2*2-($B8*12))*N10/$N$12</f>
        <v>0</v>
      </c>
      <c r="O37" s="50">
        <f>($B2*2-($B8*12))*O10/$N$12</f>
        <v>0</v>
      </c>
      <c r="P37" s="50">
        <f>($B2*2-($B8*12))*P10/$N$12</f>
        <v>0</v>
      </c>
      <c r="Q37" s="50">
        <f>($B2*2-($B8*12))*Q10/$N$12</f>
        <v>0</v>
      </c>
      <c r="R37" s="52">
        <f>($B2*2-($B8*12))*R10/$R$12</f>
        <v>0</v>
      </c>
      <c r="S37" s="52">
        <f>($B2*2-($B8*12))*S10/$R$12</f>
        <v>0</v>
      </c>
      <c r="T37" s="52">
        <f>($B2*2-($B8*12))*T10/$R$12</f>
        <v>0</v>
      </c>
      <c r="U37" s="495">
        <f>($B2*2-($B8*12))*U10/$R$12</f>
        <v>0</v>
      </c>
      <c r="Z37" s="437"/>
    </row>
    <row r="38" spans="1:26" ht="15.6" customHeight="1">
      <c r="A38" s="10" t="s">
        <v>272</v>
      </c>
      <c r="B38" s="29">
        <v>2</v>
      </c>
      <c r="D38" s="451" t="s">
        <v>211</v>
      </c>
      <c r="E38" s="30">
        <f>($B80*$B6)/($E13*5)</f>
        <v>232.04419889502759</v>
      </c>
      <c r="F38" s="30">
        <f>($B80*$B6)/($E13*5)</f>
        <v>232.04419889502759</v>
      </c>
      <c r="G38" s="30">
        <f>($B80*$B6)/($E13*5)</f>
        <v>232.04419889502759</v>
      </c>
      <c r="H38" s="30">
        <f>($B80*$B6)/($E13*5)</f>
        <v>232.04419889502759</v>
      </c>
      <c r="I38" s="30">
        <f>($B80*$B6)/($E13*5)</f>
        <v>232.04419889502759</v>
      </c>
      <c r="J38" s="31">
        <f>($B80*$B6)/($J$13*4)</f>
        <v>296.61016949152537</v>
      </c>
      <c r="K38" s="31">
        <f>($B80*$B6)/($J$13*4)</f>
        <v>296.61016949152537</v>
      </c>
      <c r="L38" s="31">
        <f>($B80*$B6)/($J$13*4)</f>
        <v>296.61016949152537</v>
      </c>
      <c r="M38" s="31">
        <f>($B80*$B6)/($J$13*4)</f>
        <v>296.61016949152537</v>
      </c>
      <c r="N38" s="30">
        <f>($B80*$B6)/($N$13*4)</f>
        <v>295.77464788732391</v>
      </c>
      <c r="O38" s="30">
        <f>($B80*$B6)/($N$13*4)</f>
        <v>295.77464788732391</v>
      </c>
      <c r="P38" s="30">
        <f>($B80*$B6)/($N$13*4)</f>
        <v>295.77464788732391</v>
      </c>
      <c r="Q38" s="30">
        <f>($B80*$B6)/($N$13*4)</f>
        <v>295.77464788732391</v>
      </c>
      <c r="R38" s="32">
        <f>($B80*$B6)/($R$13*4)</f>
        <v>290.0552486187845</v>
      </c>
      <c r="S38" s="32">
        <f>($B80*$B6)/($R$13*4)</f>
        <v>290.0552486187845</v>
      </c>
      <c r="T38" s="32">
        <f>($B80*$B6)/($R$13*4)</f>
        <v>290.0552486187845</v>
      </c>
      <c r="U38" s="494">
        <f>($B80*$B6)/($R$13*4)</f>
        <v>290.0552486187845</v>
      </c>
    </row>
    <row r="39" spans="1:26" ht="13.9" thickBot="1">
      <c r="A39" s="54" t="s">
        <v>273</v>
      </c>
      <c r="B39" s="55">
        <v>14</v>
      </c>
      <c r="D39" s="460" t="s">
        <v>212</v>
      </c>
      <c r="E39" s="26">
        <f>(($B6*(1+$B77)-($B84*$B6))/($B78*$E$12))/5</f>
        <v>882.97000904725246</v>
      </c>
      <c r="F39" s="26">
        <f>(($B6*(1+$B77)-($B84*$B6))/($B78*$E$12))/5</f>
        <v>882.97000904725246</v>
      </c>
      <c r="G39" s="26">
        <f>(($B6*(1+$B77)-($B84*$B6))/($B78*$E$12))/5</f>
        <v>882.97000904725246</v>
      </c>
      <c r="H39" s="26">
        <f>(($B6*(1+$B77)-($B84*$B6))/($B78*$E$12))/5</f>
        <v>882.97000904725246</v>
      </c>
      <c r="I39" s="26">
        <f>(($B6*(1+$B77)-($B84*$B6))/($B78*$E$12))/5</f>
        <v>882.97000904725246</v>
      </c>
      <c r="J39" s="27">
        <f>(($B6*(1+$B77)-($B84*$B6))/($B78*$J$12))/4</f>
        <v>823.2461788087918</v>
      </c>
      <c r="K39" s="27">
        <f>(($B6*(1+$B77)-($B84*$B6))/($B78*$J$12))/4</f>
        <v>823.2461788087918</v>
      </c>
      <c r="L39" s="27">
        <f>(($B6*(1+$B77)-($B84*$B6))/($B78*$J$12))/4</f>
        <v>823.2461788087918</v>
      </c>
      <c r="M39" s="27">
        <f>(($B6*(1+$B77)-($B84*$B6))/($B78*$J$12))/4</f>
        <v>823.2461788087918</v>
      </c>
      <c r="N39" s="26">
        <f>(($B6*(1+$B77)-($B84*$B6))/($B78*$N$12))/4</f>
        <v>772.0870678617157</v>
      </c>
      <c r="O39" s="26">
        <f>(($B6*(1+$B77)-($B84*$B6))/($B78*$N$12))/4</f>
        <v>772.0870678617157</v>
      </c>
      <c r="P39" s="26">
        <f>(($B6*(1+$B77)-($B84*$B6))/($B78*$N$12))/4</f>
        <v>772.0870678617157</v>
      </c>
      <c r="Q39" s="26">
        <f>(($B6*(1+$B77)-($B84*$B6))/($B78*$N$12))/4</f>
        <v>772.0870678617157</v>
      </c>
      <c r="R39" s="28">
        <f>(($B6*(1+$B77)-($B84*$B6))/($B78*$R$12))/4</f>
        <v>775.09324957231411</v>
      </c>
      <c r="S39" s="28">
        <f>(($B6*(1+$B77)-($B84*$B6))/($B78*$R$12))/4</f>
        <v>775.09324957231411</v>
      </c>
      <c r="T39" s="28">
        <f>(($B6*(1+$B77)-($B84*$B6))/($B78*$R$12))/4</f>
        <v>775.09324957231411</v>
      </c>
      <c r="U39" s="493">
        <f>(($B6*(1+$B77)-($B84*$B6))/($B78*$R$12))/4</f>
        <v>775.09324957231411</v>
      </c>
    </row>
    <row r="40" spans="1:26" ht="13.9" thickBot="1">
      <c r="D40" s="461" t="s">
        <v>213</v>
      </c>
      <c r="E40" s="56">
        <f>$B8*12*E10/$E$12</f>
        <v>1946.3478433261178</v>
      </c>
      <c r="F40" s="56">
        <f>$B8*12*F10/$E$12</f>
        <v>1482.2993808598549</v>
      </c>
      <c r="G40" s="56">
        <f>$B8*12*G10/$E$12</f>
        <v>1796.7900557240393</v>
      </c>
      <c r="H40" s="56">
        <f>$B8*12*H10/$E$12</f>
        <v>1796.7900557240393</v>
      </c>
      <c r="I40" s="56">
        <f>$B8*12*I10/$E$12</f>
        <v>1099.3196256919148</v>
      </c>
      <c r="J40" s="57">
        <f>$B8*12*J10/$J$12</f>
        <v>2334.8021206867525</v>
      </c>
      <c r="K40" s="57">
        <f>$B8*12*K10/$J$12</f>
        <v>1814.5671315272571</v>
      </c>
      <c r="L40" s="57">
        <f>$B8*12*L10/$J$12</f>
        <v>1959.4822888281985</v>
      </c>
      <c r="M40" s="57">
        <f>$B8*12*M10/$J$12</f>
        <v>2196.2332047205036</v>
      </c>
      <c r="N40" s="56">
        <f>$B8*12*N10/$N$12</f>
        <v>3474.4965661739029</v>
      </c>
      <c r="O40" s="56">
        <f>$B8*12*O10/$N$12</f>
        <v>803.23594459317883</v>
      </c>
      <c r="P40" s="56">
        <f>$B8*12*P10/$N$12</f>
        <v>1269.63100919567</v>
      </c>
      <c r="Q40" s="56">
        <f>$B8*12*Q10/$N$12</f>
        <v>2734.3266208823188</v>
      </c>
      <c r="R40" s="58">
        <f>$B8*12*R10/$R$12</f>
        <v>2644.8523431584267</v>
      </c>
      <c r="S40" s="58">
        <f>$B8*12*S10/$R$12</f>
        <v>1324.6347140813868</v>
      </c>
      <c r="T40" s="58">
        <f>$B8*12*T10/$R$12</f>
        <v>2709.636256555515</v>
      </c>
      <c r="U40" s="496">
        <f>$B8*12*U10/$R$12</f>
        <v>1442.4236475306393</v>
      </c>
    </row>
    <row r="41" spans="1:26" ht="15" customHeight="1" thickBot="1">
      <c r="D41" s="870" t="s">
        <v>274</v>
      </c>
      <c r="E41" s="871"/>
      <c r="F41" s="871"/>
      <c r="G41" s="871"/>
      <c r="H41" s="871"/>
      <c r="I41" s="871"/>
      <c r="J41" s="871"/>
      <c r="K41" s="871"/>
      <c r="L41" s="871"/>
      <c r="M41" s="871"/>
      <c r="N41" s="871"/>
      <c r="O41" s="871"/>
      <c r="P41" s="871"/>
      <c r="Q41" s="871"/>
      <c r="R41" s="871"/>
      <c r="S41" s="871"/>
      <c r="T41" s="871"/>
      <c r="U41" s="872"/>
    </row>
    <row r="42" spans="1:26">
      <c r="D42" s="460" t="s">
        <v>275</v>
      </c>
      <c r="E42" s="26" t="e">
        <f t="shared" ref="E42:U42" si="12">SUM(E20:E27)+SUM(E29:E35)+SUM(E37:E40)</f>
        <v>#REF!</v>
      </c>
      <c r="F42" s="26" t="e">
        <f t="shared" si="12"/>
        <v>#REF!</v>
      </c>
      <c r="G42" s="26" t="e">
        <f t="shared" si="12"/>
        <v>#REF!</v>
      </c>
      <c r="H42" s="26" t="e">
        <f t="shared" si="12"/>
        <v>#REF!</v>
      </c>
      <c r="I42" s="26" t="e">
        <f t="shared" si="12"/>
        <v>#REF!</v>
      </c>
      <c r="J42" s="27" t="e">
        <f t="shared" si="12"/>
        <v>#REF!</v>
      </c>
      <c r="K42" s="27" t="e">
        <f t="shared" si="12"/>
        <v>#REF!</v>
      </c>
      <c r="L42" s="27" t="e">
        <f t="shared" si="12"/>
        <v>#REF!</v>
      </c>
      <c r="M42" s="27" t="e">
        <f t="shared" si="12"/>
        <v>#REF!</v>
      </c>
      <c r="N42" s="26" t="e">
        <f t="shared" si="12"/>
        <v>#REF!</v>
      </c>
      <c r="O42" s="26" t="e">
        <f t="shared" si="12"/>
        <v>#REF!</v>
      </c>
      <c r="P42" s="26" t="e">
        <f t="shared" si="12"/>
        <v>#REF!</v>
      </c>
      <c r="Q42" s="26" t="e">
        <f t="shared" si="12"/>
        <v>#REF!</v>
      </c>
      <c r="R42" s="28" t="e">
        <f t="shared" si="12"/>
        <v>#REF!</v>
      </c>
      <c r="S42" s="28" t="e">
        <f t="shared" si="12"/>
        <v>#REF!</v>
      </c>
      <c r="T42" s="28" t="e">
        <f t="shared" si="12"/>
        <v>#REF!</v>
      </c>
      <c r="U42" s="493" t="e">
        <f t="shared" si="12"/>
        <v>#REF!</v>
      </c>
    </row>
    <row r="43" spans="1:26" ht="13.9" thickBot="1">
      <c r="A43" s="59"/>
      <c r="B43" s="59"/>
      <c r="D43" s="463" t="s">
        <v>276</v>
      </c>
      <c r="E43" s="464" t="e">
        <f t="shared" ref="E43:U43" si="13">E42/E10</f>
        <v>#REF!</v>
      </c>
      <c r="F43" s="464" t="e">
        <f t="shared" si="13"/>
        <v>#REF!</v>
      </c>
      <c r="G43" s="464" t="e">
        <f t="shared" si="13"/>
        <v>#REF!</v>
      </c>
      <c r="H43" s="464" t="e">
        <f t="shared" si="13"/>
        <v>#REF!</v>
      </c>
      <c r="I43" s="464" t="e">
        <f t="shared" si="13"/>
        <v>#REF!</v>
      </c>
      <c r="J43" s="465" t="e">
        <f t="shared" si="13"/>
        <v>#REF!</v>
      </c>
      <c r="K43" s="465" t="e">
        <f t="shared" si="13"/>
        <v>#REF!</v>
      </c>
      <c r="L43" s="465" t="e">
        <f t="shared" si="13"/>
        <v>#REF!</v>
      </c>
      <c r="M43" s="465" t="e">
        <f t="shared" si="13"/>
        <v>#REF!</v>
      </c>
      <c r="N43" s="464" t="e">
        <f t="shared" si="13"/>
        <v>#REF!</v>
      </c>
      <c r="O43" s="464" t="e">
        <f t="shared" si="13"/>
        <v>#REF!</v>
      </c>
      <c r="P43" s="464" t="e">
        <f t="shared" si="13"/>
        <v>#REF!</v>
      </c>
      <c r="Q43" s="464" t="e">
        <f t="shared" si="13"/>
        <v>#REF!</v>
      </c>
      <c r="R43" s="497" t="e">
        <f t="shared" si="13"/>
        <v>#REF!</v>
      </c>
      <c r="S43" s="497" t="e">
        <f t="shared" si="13"/>
        <v>#REF!</v>
      </c>
      <c r="T43" s="497" t="e">
        <f t="shared" si="13"/>
        <v>#REF!</v>
      </c>
      <c r="U43" s="498" t="e">
        <f t="shared" si="13"/>
        <v>#REF!</v>
      </c>
    </row>
    <row r="44" spans="1:26">
      <c r="A44" s="59"/>
      <c r="B44" s="60"/>
    </row>
    <row r="45" spans="1:26">
      <c r="A45" s="59"/>
      <c r="B45" s="59"/>
    </row>
    <row r="46" spans="1:26">
      <c r="A46" s="59"/>
      <c r="B46" s="59"/>
    </row>
    <row r="47" spans="1:26" ht="14.45">
      <c r="A47" s="59"/>
      <c r="B47" s="59"/>
      <c r="D47" t="s">
        <v>176</v>
      </c>
      <c r="E47" s="108">
        <f>SUM(E20:I20)*E13+SUM(J20:M20)*J13+SUM(N20:Q20)*N13+SUM(R20:U20)*R13</f>
        <v>4993962.1295954324</v>
      </c>
    </row>
    <row r="48" spans="1:26" ht="14.45">
      <c r="A48" s="61"/>
      <c r="B48" s="62"/>
      <c r="D48" t="s">
        <v>177</v>
      </c>
      <c r="E48" s="108">
        <f>SUM(E22:I22)*E13+SUM(J22:M22)*J13+SUM(N22:Q22)*N13+SUM(R22:U22)*R13</f>
        <v>17502947.694930263</v>
      </c>
    </row>
    <row r="49" spans="1:5" ht="15.6" customHeight="1">
      <c r="A49" s="63"/>
      <c r="B49" s="64"/>
      <c r="D49" t="s">
        <v>178</v>
      </c>
      <c r="E49" t="s">
        <v>44</v>
      </c>
    </row>
    <row r="50" spans="1:5" ht="14.45">
      <c r="A50" s="65"/>
      <c r="B50" s="9"/>
      <c r="D50" t="s">
        <v>179</v>
      </c>
      <c r="E50" s="108">
        <f>SUM(E23:I27)*E13+SUM(J23:M27)*J13+SUM(N23:Q27)*N13+SUM(R23:U27)*R13</f>
        <v>6337670.9207099937</v>
      </c>
    </row>
    <row r="51" spans="1:5" ht="14.45">
      <c r="A51" s="63"/>
      <c r="B51" s="66"/>
      <c r="D51" t="s">
        <v>180</v>
      </c>
      <c r="E51" s="108">
        <f>SUM(E39:I39)*E13+SUM(J39:M39)*J13+SUM(N39:Q39)*N13+SUM(R39:U39)*R13</f>
        <v>4982590.9673131229</v>
      </c>
    </row>
    <row r="52" spans="1:5" ht="14.45">
      <c r="A52" s="65"/>
      <c r="B52" s="9"/>
      <c r="D52" t="s">
        <v>181</v>
      </c>
      <c r="E52" s="108" t="e">
        <f>SUM(E29:I35)*E13+SUM(J29:M35)*J13+SUM(N29:Q35)*N13+SUM(R29:U35)*R13</f>
        <v>#REF!</v>
      </c>
    </row>
    <row r="53" spans="1:5" ht="14.45">
      <c r="A53" s="67"/>
      <c r="B53" s="9"/>
      <c r="D53"/>
      <c r="E53"/>
    </row>
    <row r="54" spans="1:5" ht="14.45">
      <c r="A54" s="3" t="s">
        <v>277</v>
      </c>
      <c r="B54" s="3" t="s">
        <v>278</v>
      </c>
      <c r="D54" t="s">
        <v>183</v>
      </c>
      <c r="E54" s="49">
        <f>SUM(E20:U27)</f>
        <v>99436.178958407254</v>
      </c>
    </row>
    <row r="55" spans="1:5" ht="15" thickBot="1">
      <c r="A55" s="68" t="s">
        <v>279</v>
      </c>
      <c r="D55" t="s">
        <v>184</v>
      </c>
      <c r="E55" s="49" t="e">
        <f>SUM(E29:U35)</f>
        <v>#REF!</v>
      </c>
    </row>
    <row r="56" spans="1:5" ht="15" thickTop="1">
      <c r="A56" s="69" t="s">
        <v>280</v>
      </c>
      <c r="B56" s="70">
        <v>1.9</v>
      </c>
      <c r="D56" t="s">
        <v>281</v>
      </c>
      <c r="E56" s="49">
        <f>SUM(E37:U40)</f>
        <v>51416.406097932937</v>
      </c>
    </row>
    <row r="57" spans="1:5" ht="14.65" customHeight="1">
      <c r="A57" s="71" t="s">
        <v>282</v>
      </c>
      <c r="B57" s="72">
        <v>18950</v>
      </c>
    </row>
    <row r="58" spans="1:5">
      <c r="A58" s="73" t="s">
        <v>283</v>
      </c>
      <c r="B58" s="74">
        <f>B57/1050</f>
        <v>18.047619047619047</v>
      </c>
    </row>
    <row r="59" spans="1:5" ht="14.65" customHeight="1">
      <c r="A59" s="850" t="s">
        <v>284</v>
      </c>
      <c r="B59" s="895"/>
    </row>
    <row r="60" spans="1:5">
      <c r="A60" s="75" t="s">
        <v>285</v>
      </c>
      <c r="B60" s="74">
        <v>2000</v>
      </c>
    </row>
    <row r="61" spans="1:5">
      <c r="A61" s="75" t="s">
        <v>286</v>
      </c>
      <c r="B61" s="74">
        <v>1.5</v>
      </c>
    </row>
    <row r="62" spans="1:5">
      <c r="A62" s="75" t="s">
        <v>287</v>
      </c>
      <c r="B62" s="74">
        <f>0.96/30</f>
        <v>3.2000000000000001E-2</v>
      </c>
    </row>
    <row r="63" spans="1:5" ht="14.65" customHeight="1">
      <c r="A63" s="75" t="s">
        <v>288</v>
      </c>
      <c r="B63" s="74">
        <v>3.05</v>
      </c>
    </row>
    <row r="64" spans="1:5" ht="14.65" customHeight="1">
      <c r="A64" s="75" t="s">
        <v>202</v>
      </c>
      <c r="B64" s="74">
        <f>0.00095*1000*2.2046</f>
        <v>2.0943700000000001</v>
      </c>
    </row>
    <row r="65" spans="1:6">
      <c r="A65" s="75" t="s">
        <v>203</v>
      </c>
      <c r="B65" s="74">
        <f>0.00127*1000*2.2046</f>
        <v>2.7998420000000004</v>
      </c>
    </row>
    <row r="66" spans="1:6">
      <c r="A66" s="75" t="s">
        <v>289</v>
      </c>
      <c r="B66" s="74">
        <v>0.95699999999999996</v>
      </c>
    </row>
    <row r="67" spans="1:6">
      <c r="A67" s="75"/>
      <c r="B67" s="74"/>
      <c r="F67" s="1" t="s">
        <v>323</v>
      </c>
    </row>
    <row r="68" spans="1:6">
      <c r="A68" s="75" t="s">
        <v>290</v>
      </c>
      <c r="B68" s="74">
        <v>17.149999999999999</v>
      </c>
    </row>
    <row r="69" spans="1:6">
      <c r="A69" s="75" t="s">
        <v>291</v>
      </c>
      <c r="B69" s="76">
        <v>0.191</v>
      </c>
    </row>
    <row r="70" spans="1:6">
      <c r="A70" s="75" t="s">
        <v>292</v>
      </c>
      <c r="B70" s="76">
        <v>3.0000000000000001E-3</v>
      </c>
    </row>
    <row r="71" spans="1:6">
      <c r="A71" s="75"/>
      <c r="B71" s="74"/>
    </row>
    <row r="72" spans="1:6">
      <c r="A72" s="75" t="s">
        <v>293</v>
      </c>
      <c r="B72" s="74">
        <v>0.17799999999999999</v>
      </c>
    </row>
    <row r="73" spans="1:6" ht="13.9" thickBot="1">
      <c r="A73" s="77" t="s">
        <v>294</v>
      </c>
      <c r="B73" s="78">
        <v>3.2000000000000002E-3</v>
      </c>
    </row>
    <row r="74" spans="1:6" ht="13.9" thickTop="1">
      <c r="A74" s="1" t="s">
        <v>295</v>
      </c>
      <c r="B74" s="1">
        <v>5000</v>
      </c>
    </row>
    <row r="75" spans="1:6" ht="13.9" thickBot="1">
      <c r="A75" s="1" t="s">
        <v>315</v>
      </c>
      <c r="B75" s="1">
        <v>3000</v>
      </c>
    </row>
    <row r="76" spans="1:6" ht="13.9" thickTop="1">
      <c r="A76" s="79" t="s">
        <v>316</v>
      </c>
      <c r="B76" s="80" t="s">
        <v>44</v>
      </c>
    </row>
    <row r="77" spans="1:6">
      <c r="A77" s="81" t="s">
        <v>296</v>
      </c>
      <c r="B77" s="82">
        <v>0.15</v>
      </c>
    </row>
    <row r="78" spans="1:6">
      <c r="A78" s="83" t="s">
        <v>297</v>
      </c>
      <c r="B78" s="84">
        <v>10</v>
      </c>
    </row>
    <row r="79" spans="1:6">
      <c r="A79" s="83" t="s">
        <v>298</v>
      </c>
      <c r="B79" s="84">
        <v>10</v>
      </c>
    </row>
    <row r="80" spans="1:6">
      <c r="A80" s="83" t="s">
        <v>299</v>
      </c>
      <c r="B80" s="85">
        <f>0.35%</f>
        <v>3.4999999999999996E-3</v>
      </c>
    </row>
    <row r="81" spans="1:2">
      <c r="A81" s="81" t="s">
        <v>300</v>
      </c>
      <c r="B81" s="85">
        <v>3.5000000000000003E-2</v>
      </c>
    </row>
    <row r="82" spans="1:2">
      <c r="A82" s="81" t="s">
        <v>301</v>
      </c>
      <c r="B82" s="82">
        <v>0.06</v>
      </c>
    </row>
    <row r="83" spans="1:2" ht="13.9" thickBot="1">
      <c r="A83" s="86" t="s">
        <v>302</v>
      </c>
      <c r="B83" s="87">
        <v>0.23</v>
      </c>
    </row>
    <row r="84" spans="1:2" ht="13.9" thickTop="1">
      <c r="A84" s="1" t="s">
        <v>303</v>
      </c>
      <c r="B84" s="25">
        <f>10%</f>
        <v>0.1</v>
      </c>
    </row>
    <row r="85" spans="1:2">
      <c r="A85" s="1" t="s">
        <v>304</v>
      </c>
      <c r="B85" s="18">
        <v>15</v>
      </c>
    </row>
    <row r="86" spans="1:2">
      <c r="A86" s="1" t="s">
        <v>305</v>
      </c>
      <c r="B86" s="1">
        <f>1.2%</f>
        <v>1.2E-2</v>
      </c>
    </row>
    <row r="87" spans="1:2">
      <c r="A87" s="1" t="s">
        <v>306</v>
      </c>
      <c r="B87" s="1">
        <v>10</v>
      </c>
    </row>
    <row r="88" spans="1:2">
      <c r="A88" s="1" t="s">
        <v>307</v>
      </c>
      <c r="B88" s="53">
        <f>8.5%</f>
        <v>8.5000000000000006E-2</v>
      </c>
    </row>
    <row r="89" spans="1:2">
      <c r="A89" s="1" t="s">
        <v>308</v>
      </c>
      <c r="B89" s="1">
        <f>30000000*0.00007</f>
        <v>2100</v>
      </c>
    </row>
    <row r="90" spans="1:2">
      <c r="A90" s="1" t="s">
        <v>309</v>
      </c>
      <c r="B90" s="1">
        <f>200*0.00007</f>
        <v>1.3999999999999999E-2</v>
      </c>
    </row>
    <row r="113" spans="1:22" ht="13.9" thickBot="1"/>
    <row r="114" spans="1:22" ht="14.45" thickTop="1" thickBot="1">
      <c r="A114" s="848" t="s">
        <v>310</v>
      </c>
      <c r="B114" s="849"/>
      <c r="D114" s="1" t="str" cm="1">
        <f t="array" ref="D114:V125">TRANSPOSE([2]Profitability!AS2:BD20)</f>
        <v>Rotation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</v>
      </c>
      <c r="R114" s="1">
        <v>0</v>
      </c>
      <c r="S114" s="1">
        <v>4</v>
      </c>
      <c r="T114" s="1">
        <v>0</v>
      </c>
      <c r="U114" s="1">
        <v>0</v>
      </c>
      <c r="V114" s="1">
        <v>0</v>
      </c>
    </row>
    <row r="115" spans="1:22" ht="13.9" thickTop="1">
      <c r="A115" s="88"/>
      <c r="B115" s="89" t="s">
        <v>311</v>
      </c>
      <c r="D115" s="1" t="str">
        <v>O-D</v>
      </c>
      <c r="E115" s="1">
        <v>0</v>
      </c>
      <c r="F115" s="1" t="str">
        <v>PLM-SUB</v>
      </c>
      <c r="G115" s="1" t="str">
        <v>SUB-CGK</v>
      </c>
      <c r="H115" s="1" t="str">
        <v>CGK-PKY</v>
      </c>
      <c r="I115" s="1" t="str">
        <v>PKY-CGK</v>
      </c>
      <c r="J115" s="1" t="str">
        <v>CGK-PLM</v>
      </c>
      <c r="K115" s="1" t="str">
        <v>MDC-SRG</v>
      </c>
      <c r="L115" s="1" t="str">
        <v>SRG-KDI</v>
      </c>
      <c r="M115" s="1" t="str">
        <v>KDI-PNK</v>
      </c>
      <c r="N115" s="1" t="str">
        <v>PNK-MDC</v>
      </c>
      <c r="O115" s="1" t="str">
        <v>TTE-KNO</v>
      </c>
      <c r="P115" s="1" t="str">
        <v>KNO-PKU</v>
      </c>
      <c r="Q115" s="1" t="str">
        <v>PKU-BDO</v>
      </c>
      <c r="R115" s="1" t="str">
        <v>BDO-TTE</v>
      </c>
      <c r="S115" s="1" t="str">
        <v>LOP-TIM</v>
      </c>
      <c r="T115" s="1" t="str">
        <v>TIM-AMQ</v>
      </c>
      <c r="U115" s="1" t="str">
        <v>AMQ-CGK</v>
      </c>
      <c r="V115" s="1" t="str">
        <v>CGK-LOP</v>
      </c>
    </row>
    <row r="116" spans="1:22">
      <c r="A116" s="90" t="s">
        <v>312</v>
      </c>
      <c r="B116" s="91">
        <v>0.311</v>
      </c>
      <c r="D116" s="1" t="str">
        <v>AVERAGE DEMAND PER YEAR</v>
      </c>
      <c r="E116" s="1">
        <v>2023</v>
      </c>
      <c r="F116" s="1">
        <v>9.1743079999999964</v>
      </c>
      <c r="G116" s="1">
        <v>12.041999999999998</v>
      </c>
      <c r="H116" s="1">
        <v>7.055979999999999</v>
      </c>
      <c r="I116" s="1">
        <v>12.5298</v>
      </c>
      <c r="J116" s="1">
        <v>16.853149999999999</v>
      </c>
      <c r="K116" s="1">
        <v>3.3264000000000005</v>
      </c>
      <c r="L116" s="1">
        <v>5.1959454545454546</v>
      </c>
      <c r="M116" s="1">
        <v>8.4735999999999994</v>
      </c>
      <c r="N116" s="1">
        <v>9.1340800000000009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92"/>
      <c r="B117" s="93">
        <v>8</v>
      </c>
      <c r="D117" s="1">
        <v>0</v>
      </c>
      <c r="E117" s="1">
        <v>2024</v>
      </c>
      <c r="F117" s="1">
        <v>9.8950036799999985</v>
      </c>
      <c r="G117" s="1">
        <v>13.404640046350194</v>
      </c>
      <c r="H117" s="1">
        <v>8.4947366024822699</v>
      </c>
      <c r="I117" s="1">
        <v>14.713137159639874</v>
      </c>
      <c r="J117" s="1">
        <v>19.449545171500574</v>
      </c>
      <c r="K117" s="1">
        <v>3.7554854559714808</v>
      </c>
      <c r="L117" s="1">
        <v>5.8021693117928512</v>
      </c>
      <c r="M117" s="1">
        <v>9.6286423578947371</v>
      </c>
      <c r="N117" s="1">
        <v>10.003784267942585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3.9" thickBot="1">
      <c r="A118" s="94" t="s">
        <v>312</v>
      </c>
      <c r="B118" s="95">
        <v>1.008</v>
      </c>
      <c r="D118" s="1">
        <v>0</v>
      </c>
      <c r="E118" s="1">
        <v>2025</v>
      </c>
      <c r="F118" s="1">
        <v>10.387836345599998</v>
      </c>
      <c r="G118" s="1">
        <v>15.784100031226473</v>
      </c>
      <c r="H118" s="1">
        <v>9.1454801909652534</v>
      </c>
      <c r="I118" s="1">
        <v>16.065484846644527</v>
      </c>
      <c r="J118" s="1">
        <v>21.58574849736069</v>
      </c>
      <c r="K118" s="1">
        <v>4.2217063118958178</v>
      </c>
      <c r="L118" s="1">
        <v>6.4595585698077924</v>
      </c>
      <c r="M118" s="1">
        <v>10.896611061991436</v>
      </c>
      <c r="N118" s="1">
        <v>10.918386633539722</v>
      </c>
      <c r="O118" s="1">
        <v>17.464964534857145</v>
      </c>
      <c r="P118" s="1">
        <v>17.739650885727276</v>
      </c>
      <c r="Q118" s="1">
        <v>2.3861963509007449</v>
      </c>
      <c r="R118" s="1">
        <v>4.6058900256549844</v>
      </c>
      <c r="S118" s="1">
        <v>0</v>
      </c>
      <c r="T118" s="1">
        <v>0</v>
      </c>
      <c r="U118" s="1">
        <v>0</v>
      </c>
      <c r="V118" s="1">
        <v>0</v>
      </c>
    </row>
    <row r="119" spans="1:22" ht="13.9" thickTop="1">
      <c r="D119" s="1">
        <v>0</v>
      </c>
      <c r="E119" s="1">
        <v>2026</v>
      </c>
      <c r="F119" s="1">
        <v>11.119672765727998</v>
      </c>
      <c r="G119" s="1">
        <v>18.400133730045024</v>
      </c>
      <c r="H119" s="1">
        <v>9.4347936095768379</v>
      </c>
      <c r="I119" s="1">
        <v>16.270143925044525</v>
      </c>
      <c r="J119" s="1">
        <v>21.6</v>
      </c>
      <c r="K119" s="1">
        <v>4.7277805915487896</v>
      </c>
      <c r="L119" s="1">
        <v>7.1718186511420257</v>
      </c>
      <c r="M119" s="1">
        <v>12.286370863870948</v>
      </c>
      <c r="N119" s="1">
        <v>11.87982745296372</v>
      </c>
      <c r="O119" s="1">
        <v>18.145656621714291</v>
      </c>
      <c r="P119" s="1">
        <v>18.924793200440931</v>
      </c>
      <c r="Q119" s="1">
        <v>2.6913274052782761</v>
      </c>
      <c r="R119" s="1">
        <v>5.090075193679116</v>
      </c>
      <c r="S119" s="1">
        <v>6.6056964496003108</v>
      </c>
      <c r="T119" s="1">
        <v>3.0110120541728547</v>
      </c>
      <c r="U119" s="1">
        <v>4.4160684885148989</v>
      </c>
      <c r="V119" s="1">
        <v>15.248456546599357</v>
      </c>
    </row>
    <row r="120" spans="1:22">
      <c r="D120" s="1">
        <v>0</v>
      </c>
      <c r="E120" s="1">
        <v>2027</v>
      </c>
      <c r="F120" s="1">
        <v>12.325594389719038</v>
      </c>
      <c r="G120" s="1">
        <v>21.156371179121507</v>
      </c>
      <c r="H120" s="1">
        <v>9.6247703598243728</v>
      </c>
      <c r="I120" s="1">
        <v>16.322120833844526</v>
      </c>
      <c r="J120" s="1">
        <v>21.6</v>
      </c>
      <c r="K120" s="1">
        <v>5.2766080053867528</v>
      </c>
      <c r="L120" s="1">
        <v>7.9429011906161602</v>
      </c>
      <c r="M120" s="1">
        <v>13.807402692653874</v>
      </c>
      <c r="N120" s="1">
        <v>12.602460248394504</v>
      </c>
      <c r="O120" s="1">
        <v>18.763798624914291</v>
      </c>
      <c r="P120" s="1">
        <v>20.090252296771268</v>
      </c>
      <c r="Q120" s="1">
        <v>3.0225171505643296</v>
      </c>
      <c r="R120" s="1">
        <v>5.6607677538262635</v>
      </c>
      <c r="S120" s="1">
        <v>7.1522986840411784</v>
      </c>
      <c r="T120" s="1">
        <v>3.6057334178918503</v>
      </c>
      <c r="U120" s="1">
        <v>5.3348358791439665</v>
      </c>
      <c r="V120" s="1">
        <v>16.258303335212752</v>
      </c>
    </row>
    <row r="121" spans="1:22">
      <c r="D121" s="1">
        <v>0</v>
      </c>
      <c r="E121" s="1">
        <v>2028</v>
      </c>
      <c r="F121" s="1">
        <v>13.710076153449023</v>
      </c>
      <c r="G121" s="1">
        <v>21.6</v>
      </c>
      <c r="H121" s="1">
        <v>9.8300730232108791</v>
      </c>
      <c r="I121" s="1">
        <v>16.452063105844527</v>
      </c>
      <c r="J121" s="1">
        <v>21.6</v>
      </c>
      <c r="K121" s="1">
        <v>5.424871572747767</v>
      </c>
      <c r="L121" s="1">
        <v>8.3547306174101639</v>
      </c>
      <c r="M121" s="1">
        <v>14.223546963517094</v>
      </c>
      <c r="N121" s="1">
        <v>12.602460248394504</v>
      </c>
      <c r="O121" s="1">
        <v>19.38194062811429</v>
      </c>
      <c r="P121" s="1">
        <v>20.927027511835036</v>
      </c>
      <c r="Q121" s="1">
        <v>3.1142233256884722</v>
      </c>
      <c r="R121" s="1">
        <v>5.8586158497076912</v>
      </c>
      <c r="S121" s="1">
        <v>7.531769790592624</v>
      </c>
      <c r="T121" s="1">
        <v>4.0357245431995459</v>
      </c>
      <c r="U121" s="1">
        <v>5.9550170924239456</v>
      </c>
      <c r="V121" s="1">
        <v>17.111807243174798</v>
      </c>
    </row>
    <row r="122" spans="1:22">
      <c r="D122" s="1">
        <v>0</v>
      </c>
      <c r="E122" s="1">
        <v>2029</v>
      </c>
      <c r="F122" s="1">
        <v>14.523055052491307</v>
      </c>
      <c r="G122" s="1">
        <v>21.6</v>
      </c>
      <c r="H122" s="1">
        <v>10.030315769747265</v>
      </c>
      <c r="I122" s="1">
        <v>16.237612807298351</v>
      </c>
      <c r="J122" s="1">
        <v>21.6</v>
      </c>
      <c r="K122" s="1">
        <v>5.5183848397416435</v>
      </c>
      <c r="L122" s="1">
        <v>8.7221854686877656</v>
      </c>
      <c r="M122" s="1">
        <v>14.582718763204637</v>
      </c>
      <c r="N122" s="1">
        <v>12.602460248394504</v>
      </c>
      <c r="O122" s="1">
        <v>20.000082631314289</v>
      </c>
      <c r="P122" s="1">
        <v>21.594754361103796</v>
      </c>
      <c r="Q122" s="1">
        <v>3.1661875931217782</v>
      </c>
      <c r="R122" s="1">
        <v>5.9559369938199751</v>
      </c>
      <c r="S122" s="1">
        <v>7.6559574628636895</v>
      </c>
      <c r="T122" s="1">
        <v>4.3550289643975084</v>
      </c>
      <c r="U122" s="1">
        <v>6.4139663069198463</v>
      </c>
      <c r="V122" s="1">
        <v>17.755180471765428</v>
      </c>
    </row>
    <row r="123" spans="1:22">
      <c r="D123" s="1">
        <v>0</v>
      </c>
      <c r="E123" s="1">
        <v>2030</v>
      </c>
      <c r="F123" s="1">
        <v>14.523055052491307</v>
      </c>
      <c r="G123" s="1">
        <v>21.6</v>
      </c>
      <c r="H123" s="1">
        <v>10.221043416535306</v>
      </c>
      <c r="I123" s="1">
        <v>16.27497121049835</v>
      </c>
      <c r="J123" s="1">
        <v>21.6</v>
      </c>
      <c r="K123" s="1">
        <v>5.6571840598030034</v>
      </c>
      <c r="L123" s="1">
        <v>9.1855928434978082</v>
      </c>
      <c r="M123" s="1">
        <v>15.141713205377016</v>
      </c>
      <c r="N123" s="1">
        <v>12.591310248394505</v>
      </c>
      <c r="O123" s="1">
        <v>20.500771694597031</v>
      </c>
      <c r="P123" s="1">
        <v>21.6</v>
      </c>
      <c r="Q123" s="1">
        <v>3.2485660610226956</v>
      </c>
      <c r="R123" s="1">
        <v>6.1102192947611771</v>
      </c>
      <c r="S123" s="1">
        <v>7.8521586886855914</v>
      </c>
      <c r="T123" s="1">
        <v>4.4664635282948151</v>
      </c>
      <c r="U123" s="1">
        <v>6.5995575254041299</v>
      </c>
      <c r="V123" s="1">
        <v>18.29818634462162</v>
      </c>
    </row>
    <row r="124" spans="1:22">
      <c r="D124" s="1">
        <v>0</v>
      </c>
      <c r="E124" s="1">
        <v>2031</v>
      </c>
      <c r="F124" s="1">
        <v>14.464520571760263</v>
      </c>
      <c r="G124" s="1">
        <v>21.6</v>
      </c>
      <c r="H124" s="1">
        <v>10.392931151991696</v>
      </c>
      <c r="I124" s="1">
        <v>16.489421509044526</v>
      </c>
      <c r="J124" s="1">
        <v>21.6</v>
      </c>
      <c r="K124" s="1">
        <v>5.8100976029208971</v>
      </c>
      <c r="L124" s="1">
        <v>9.4683031144894834</v>
      </c>
      <c r="M124" s="1">
        <v>15.830093170398584</v>
      </c>
      <c r="N124" s="1">
        <v>12.548940248394505</v>
      </c>
      <c r="O124" s="1">
        <v>20.55598082663678</v>
      </c>
      <c r="P124" s="1">
        <v>21.6</v>
      </c>
      <c r="Q124" s="1">
        <v>3.3571359730238863</v>
      </c>
      <c r="R124" s="1">
        <v>6.3135772546308093</v>
      </c>
      <c r="S124" s="1">
        <v>8.0854637769747306</v>
      </c>
      <c r="T124" s="1">
        <v>4.5930610403458729</v>
      </c>
      <c r="U124" s="1">
        <v>6.9380103770415547</v>
      </c>
      <c r="V124" s="1">
        <v>18.898884768556957</v>
      </c>
    </row>
    <row r="125" spans="1:22">
      <c r="D125" s="1">
        <v>0</v>
      </c>
      <c r="E125" s="1">
        <v>2032</v>
      </c>
      <c r="F125" s="1">
        <v>14.386474597452203</v>
      </c>
      <c r="G125" s="1">
        <v>21.6</v>
      </c>
      <c r="H125" s="1">
        <v>10.549878831608222</v>
      </c>
      <c r="I125" s="1">
        <v>16.430947486644527</v>
      </c>
      <c r="J125" s="1">
        <v>21.6</v>
      </c>
      <c r="K125" s="1">
        <v>5.8976174946425672</v>
      </c>
      <c r="L125" s="1">
        <v>9.6421433863397503</v>
      </c>
      <c r="M125" s="1">
        <v>16.265363421407272</v>
      </c>
      <c r="N125" s="1">
        <v>12.508800248394504</v>
      </c>
      <c r="O125" s="1">
        <v>20.610360540107791</v>
      </c>
      <c r="P125" s="1">
        <v>21.6</v>
      </c>
      <c r="Q125" s="1">
        <v>3.4352185038248808</v>
      </c>
      <c r="R125" s="1">
        <v>6.4598831622467747</v>
      </c>
      <c r="S125" s="1">
        <v>8.1225212922585115</v>
      </c>
      <c r="T125" s="1">
        <v>4.6080864564220763</v>
      </c>
      <c r="U125" s="1">
        <v>6.9725632942460631</v>
      </c>
      <c r="V125" s="1">
        <v>18.989588357883839</v>
      </c>
    </row>
    <row r="126" spans="1:22">
      <c r="D126" s="1" t="s">
        <v>313</v>
      </c>
      <c r="F126" s="1">
        <f>AVERAGE(F116:F125)</f>
        <v>12.450959660869112</v>
      </c>
      <c r="G126" s="1">
        <f t="shared" ref="G126:V126" si="14">AVERAGE(G116:G125)</f>
        <v>18.878724498674316</v>
      </c>
      <c r="H126" s="1">
        <f t="shared" si="14"/>
        <v>9.4780002955942102</v>
      </c>
      <c r="I126" s="1">
        <f t="shared" si="14"/>
        <v>15.778570288450373</v>
      </c>
      <c r="J126" s="1">
        <f t="shared" si="14"/>
        <v>20.908844366886122</v>
      </c>
      <c r="K126" s="1">
        <f t="shared" si="14"/>
        <v>4.9616135934658718</v>
      </c>
      <c r="L126" s="1">
        <f t="shared" si="14"/>
        <v>7.7945348608329255</v>
      </c>
      <c r="M126" s="1">
        <f t="shared" si="14"/>
        <v>13.113606250031561</v>
      </c>
      <c r="N126" s="1">
        <f t="shared" si="14"/>
        <v>11.739250984481306</v>
      </c>
      <c r="O126" s="1">
        <f t="shared" si="14"/>
        <v>15.54235561022559</v>
      </c>
      <c r="P126" s="1">
        <f t="shared" si="14"/>
        <v>16.40764782558783</v>
      </c>
      <c r="Q126" s="1">
        <f t="shared" si="14"/>
        <v>2.4421372363425062</v>
      </c>
      <c r="R126" s="1">
        <f t="shared" si="14"/>
        <v>4.6054965528326788</v>
      </c>
      <c r="S126" s="1">
        <f t="shared" si="14"/>
        <v>5.3005866145016638</v>
      </c>
      <c r="T126" s="1">
        <f t="shared" si="14"/>
        <v>2.8675110004724522</v>
      </c>
      <c r="U126" s="1">
        <f t="shared" si="14"/>
        <v>4.2630018963694409</v>
      </c>
      <c r="V126" s="1">
        <f t="shared" si="14"/>
        <v>12.256040706781477</v>
      </c>
    </row>
    <row r="129" spans="4:22">
      <c r="D129" s="1" t="str" cm="1">
        <f t="array" ref="D129:V138">TRANSPOSE('[2]Station Cost'!X2:AG20)</f>
        <v>Avg Station Cost</v>
      </c>
      <c r="E129" s="1">
        <v>2023</v>
      </c>
      <c r="F129" s="1">
        <v>513.7612479999998</v>
      </c>
      <c r="G129" s="1">
        <v>168.58799999999997</v>
      </c>
      <c r="H129" s="1">
        <v>88.905347999999975</v>
      </c>
      <c r="I129" s="1">
        <v>701.66879999999992</v>
      </c>
      <c r="J129" s="1">
        <v>212.34968999999995</v>
      </c>
      <c r="K129" s="1">
        <v>128.06640000000002</v>
      </c>
      <c r="L129" s="1">
        <v>200.04390000000001</v>
      </c>
      <c r="M129" s="1">
        <v>474.52159999999992</v>
      </c>
      <c r="N129" s="1">
        <v>511.50848000000002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4:22">
      <c r="D130" s="1">
        <v>0</v>
      </c>
      <c r="E130" s="1">
        <v>2024</v>
      </c>
      <c r="F130" s="1">
        <v>554.12020607999989</v>
      </c>
      <c r="G130" s="1">
        <v>187.66496064890271</v>
      </c>
      <c r="H130" s="1">
        <v>107.03368119127659</v>
      </c>
      <c r="I130" s="1">
        <v>823.93568093983288</v>
      </c>
      <c r="J130" s="1">
        <v>245.0642691609072</v>
      </c>
      <c r="K130" s="1">
        <v>144.586190054902</v>
      </c>
      <c r="L130" s="1">
        <v>223.38351850402478</v>
      </c>
      <c r="M130" s="1">
        <v>539.20397204210519</v>
      </c>
      <c r="N130" s="1">
        <v>560.2119190047847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4:22">
      <c r="D131" s="1">
        <v>0</v>
      </c>
      <c r="E131" s="1">
        <v>2025</v>
      </c>
      <c r="F131" s="1">
        <v>581.71883535359984</v>
      </c>
      <c r="G131" s="1">
        <v>220.97740043717059</v>
      </c>
      <c r="H131" s="1">
        <v>115.23305040616218</v>
      </c>
      <c r="I131" s="1">
        <v>899.6671514120934</v>
      </c>
      <c r="J131" s="1">
        <v>271.98043106674464</v>
      </c>
      <c r="K131" s="1">
        <v>162.53569300798898</v>
      </c>
      <c r="L131" s="1">
        <v>248.69300493759999</v>
      </c>
      <c r="M131" s="1">
        <v>610.2102194715203</v>
      </c>
      <c r="N131" s="1">
        <v>611.4296514782244</v>
      </c>
      <c r="O131" s="1">
        <v>978.03801395200003</v>
      </c>
      <c r="P131" s="1">
        <v>993.42044960072724</v>
      </c>
      <c r="Q131" s="1">
        <v>146.98969521548588</v>
      </c>
      <c r="R131" s="1">
        <v>177.3267659877169</v>
      </c>
      <c r="S131" s="1">
        <v>0</v>
      </c>
      <c r="T131" s="1">
        <v>0</v>
      </c>
      <c r="U131" s="1">
        <v>0</v>
      </c>
      <c r="V131" s="1">
        <v>0</v>
      </c>
    </row>
    <row r="132" spans="4:22">
      <c r="D132" s="1">
        <v>0</v>
      </c>
      <c r="E132" s="1">
        <v>2026</v>
      </c>
      <c r="F132" s="1">
        <v>622.70167488076777</v>
      </c>
      <c r="G132" s="1">
        <v>257.6018722206303</v>
      </c>
      <c r="H132" s="1">
        <v>118.87839948066814</v>
      </c>
      <c r="I132" s="1">
        <v>911.12805980249334</v>
      </c>
      <c r="J132" s="1">
        <v>272.15999999999997</v>
      </c>
      <c r="K132" s="1">
        <v>182.01955277462838</v>
      </c>
      <c r="L132" s="1">
        <v>276.11501806896797</v>
      </c>
      <c r="M132" s="1">
        <v>688.03676837677301</v>
      </c>
      <c r="N132" s="1">
        <v>665.27033736596832</v>
      </c>
      <c r="O132" s="1">
        <v>1016.1567708160002</v>
      </c>
      <c r="P132" s="1">
        <v>1059.788419224692</v>
      </c>
      <c r="Q132" s="1">
        <v>165.7857681651418</v>
      </c>
      <c r="R132" s="1">
        <v>195.96789495664595</v>
      </c>
      <c r="S132" s="1">
        <v>406.91090129537912</v>
      </c>
      <c r="T132" s="1">
        <v>168.61667503367983</v>
      </c>
      <c r="U132" s="1">
        <v>272.02981889251777</v>
      </c>
      <c r="V132" s="1">
        <v>192.13055248715187</v>
      </c>
    </row>
    <row r="133" spans="4:22">
      <c r="D133" s="1">
        <v>0</v>
      </c>
      <c r="E133" s="1">
        <v>2027</v>
      </c>
      <c r="F133" s="1">
        <v>690.23328582426598</v>
      </c>
      <c r="G133" s="1">
        <v>296.18919650770107</v>
      </c>
      <c r="H133" s="1">
        <v>121.27210653378708</v>
      </c>
      <c r="I133" s="1">
        <v>914.03876669529336</v>
      </c>
      <c r="J133" s="1">
        <v>272.15999999999997</v>
      </c>
      <c r="K133" s="1">
        <v>203.14940820738997</v>
      </c>
      <c r="L133" s="1">
        <v>305.8016958387222</v>
      </c>
      <c r="M133" s="1">
        <v>773.21455078861675</v>
      </c>
      <c r="N133" s="1">
        <v>705.73777391009219</v>
      </c>
      <c r="O133" s="1">
        <v>1050.7727229952002</v>
      </c>
      <c r="P133" s="1">
        <v>1125.0541286191908</v>
      </c>
      <c r="Q133" s="1">
        <v>186.1870564747627</v>
      </c>
      <c r="R133" s="1">
        <v>217.93955852231113</v>
      </c>
      <c r="S133" s="1">
        <v>440.58159893693653</v>
      </c>
      <c r="T133" s="1">
        <v>201.92107140194361</v>
      </c>
      <c r="U133" s="1">
        <v>328.62589015526834</v>
      </c>
      <c r="V133" s="1">
        <v>204.85462202368066</v>
      </c>
    </row>
    <row r="134" spans="4:22">
      <c r="D134" s="1">
        <v>0</v>
      </c>
      <c r="E134" s="1">
        <v>2028</v>
      </c>
      <c r="F134" s="1">
        <v>767.76426459314519</v>
      </c>
      <c r="G134" s="1">
        <v>302.39999999999998</v>
      </c>
      <c r="H134" s="1">
        <v>123.85892009245705</v>
      </c>
      <c r="I134" s="1">
        <v>921.31553392729336</v>
      </c>
      <c r="J134" s="1">
        <v>272.15999999999997</v>
      </c>
      <c r="K134" s="1">
        <v>208.85755555078902</v>
      </c>
      <c r="L134" s="1">
        <v>321.65712877029131</v>
      </c>
      <c r="M134" s="1">
        <v>796.51862995695717</v>
      </c>
      <c r="N134" s="1">
        <v>705.73777391009219</v>
      </c>
      <c r="O134" s="1">
        <v>1085.3886751744001</v>
      </c>
      <c r="P134" s="1">
        <v>1171.913540662762</v>
      </c>
      <c r="Q134" s="1">
        <v>191.83615686240987</v>
      </c>
      <c r="R134" s="1">
        <v>225.5567102137461</v>
      </c>
      <c r="S134" s="1">
        <v>463.95701910050559</v>
      </c>
      <c r="T134" s="1">
        <v>226.00057441917454</v>
      </c>
      <c r="U134" s="1">
        <v>366.82905289331501</v>
      </c>
      <c r="V134" s="1">
        <v>215.60877126400243</v>
      </c>
    </row>
    <row r="135" spans="4:22">
      <c r="D135" s="1">
        <v>0</v>
      </c>
      <c r="E135" s="1">
        <v>2029</v>
      </c>
      <c r="F135" s="1">
        <v>813.2910829395131</v>
      </c>
      <c r="G135" s="1">
        <v>302.39999999999998</v>
      </c>
      <c r="H135" s="1">
        <v>126.38197869881552</v>
      </c>
      <c r="I135" s="1">
        <v>909.30631720870758</v>
      </c>
      <c r="J135" s="1">
        <v>272.15999999999997</v>
      </c>
      <c r="K135" s="1">
        <v>212.45781633005328</v>
      </c>
      <c r="L135" s="1">
        <v>335.80414054447897</v>
      </c>
      <c r="M135" s="1">
        <v>816.63225073945955</v>
      </c>
      <c r="N135" s="1">
        <v>705.73777391009219</v>
      </c>
      <c r="O135" s="1">
        <v>1120.0046273536</v>
      </c>
      <c r="P135" s="1">
        <v>1209.3062442218124</v>
      </c>
      <c r="Q135" s="1">
        <v>195.03715573630151</v>
      </c>
      <c r="R135" s="1">
        <v>229.30357426206905</v>
      </c>
      <c r="S135" s="1">
        <v>471.60697971240324</v>
      </c>
      <c r="T135" s="1">
        <v>243.88162200626044</v>
      </c>
      <c r="U135" s="1">
        <v>395.1003245062625</v>
      </c>
      <c r="V135" s="1">
        <v>223.71527394424436</v>
      </c>
    </row>
    <row r="136" spans="4:22">
      <c r="D136" s="1">
        <v>0</v>
      </c>
      <c r="E136" s="1">
        <v>2030</v>
      </c>
      <c r="F136" s="1">
        <v>813.2910829395131</v>
      </c>
      <c r="G136" s="1">
        <v>302.39999999999998</v>
      </c>
      <c r="H136" s="1">
        <v>128.78514704834484</v>
      </c>
      <c r="I136" s="1">
        <v>911.3983877879075</v>
      </c>
      <c r="J136" s="1">
        <v>272.15999999999997</v>
      </c>
      <c r="K136" s="1">
        <v>217.80158630241564</v>
      </c>
      <c r="L136" s="1">
        <v>353.64532447466564</v>
      </c>
      <c r="M136" s="1">
        <v>847.93593950111278</v>
      </c>
      <c r="N136" s="1">
        <v>705.11337391009226</v>
      </c>
      <c r="O136" s="1">
        <v>1148.0432148974335</v>
      </c>
      <c r="P136" s="1">
        <v>1209.5999999999999</v>
      </c>
      <c r="Q136" s="1">
        <v>200.11166935899806</v>
      </c>
      <c r="R136" s="1">
        <v>235.24344284830531</v>
      </c>
      <c r="S136" s="1">
        <v>483.69297522303242</v>
      </c>
      <c r="T136" s="1">
        <v>250.1219575845096</v>
      </c>
      <c r="U136" s="1">
        <v>406.53274356489436</v>
      </c>
      <c r="V136" s="1">
        <v>230.55714794223238</v>
      </c>
    </row>
    <row r="137" spans="4:22">
      <c r="D137" s="1">
        <v>0</v>
      </c>
      <c r="E137" s="1">
        <v>2031</v>
      </c>
      <c r="F137" s="1">
        <v>810.0131520185746</v>
      </c>
      <c r="G137" s="1">
        <v>302.39999999999998</v>
      </c>
      <c r="H137" s="1">
        <v>130.95093251509536</v>
      </c>
      <c r="I137" s="1">
        <v>923.40760450649339</v>
      </c>
      <c r="J137" s="1">
        <v>272.15999999999997</v>
      </c>
      <c r="K137" s="1">
        <v>223.68875771245453</v>
      </c>
      <c r="L137" s="1">
        <v>364.52966990784506</v>
      </c>
      <c r="M137" s="1">
        <v>886.48521754232058</v>
      </c>
      <c r="N137" s="1">
        <v>702.74065391009219</v>
      </c>
      <c r="O137" s="1">
        <v>1151.1349262916594</v>
      </c>
      <c r="P137" s="1">
        <v>1209.5999999999999</v>
      </c>
      <c r="Q137" s="1">
        <v>206.7995759382714</v>
      </c>
      <c r="R137" s="1">
        <v>243.07272430328615</v>
      </c>
      <c r="S137" s="1">
        <v>498.06456866164342</v>
      </c>
      <c r="T137" s="1">
        <v>257.21141825936888</v>
      </c>
      <c r="U137" s="1">
        <v>427.38143922575972</v>
      </c>
      <c r="V137" s="1">
        <v>238.12594808381763</v>
      </c>
    </row>
    <row r="138" spans="4:22">
      <c r="D138" s="1">
        <v>0</v>
      </c>
      <c r="E138" s="1">
        <v>2032</v>
      </c>
      <c r="F138" s="1">
        <v>805.64257745732323</v>
      </c>
      <c r="G138" s="1">
        <v>302.39999999999998</v>
      </c>
      <c r="H138" s="1">
        <v>132.92847327826357</v>
      </c>
      <c r="I138" s="1">
        <v>920.1330592520934</v>
      </c>
      <c r="J138" s="1">
        <v>272.15999999999997</v>
      </c>
      <c r="K138" s="1">
        <v>227.05827354373884</v>
      </c>
      <c r="L138" s="1">
        <v>371.22252037408037</v>
      </c>
      <c r="M138" s="1">
        <v>910.86035159880714</v>
      </c>
      <c r="N138" s="1">
        <v>700.49281391009208</v>
      </c>
      <c r="O138" s="1">
        <v>1154.1801902460363</v>
      </c>
      <c r="P138" s="1">
        <v>1209.5999999999999</v>
      </c>
      <c r="Q138" s="1">
        <v>211.60945983561263</v>
      </c>
      <c r="R138" s="1">
        <v>248.70550174650083</v>
      </c>
      <c r="S138" s="1">
        <v>500.3473116031243</v>
      </c>
      <c r="T138" s="1">
        <v>258.05284155963625</v>
      </c>
      <c r="U138" s="1">
        <v>429.50989892555748</v>
      </c>
      <c r="V138" s="1">
        <v>239.26881330933634</v>
      </c>
    </row>
    <row r="139" spans="4:22">
      <c r="D139" s="1" t="s">
        <v>314</v>
      </c>
      <c r="F139" s="1">
        <f>AVERAGE(F129:F138)</f>
        <v>697.25374100867032</v>
      </c>
      <c r="G139" s="1">
        <f t="shared" ref="G139:V139" si="15">AVERAGE(G129:G138)</f>
        <v>264.30214298144051</v>
      </c>
      <c r="H139" s="1">
        <f t="shared" si="15"/>
        <v>119.42280372448701</v>
      </c>
      <c r="I139" s="1">
        <f t="shared" si="15"/>
        <v>883.59993615322071</v>
      </c>
      <c r="J139" s="1">
        <f t="shared" si="15"/>
        <v>263.4514390227651</v>
      </c>
      <c r="K139" s="1">
        <f t="shared" si="15"/>
        <v>191.02212334843608</v>
      </c>
      <c r="L139" s="1">
        <f t="shared" si="15"/>
        <v>300.0895921420676</v>
      </c>
      <c r="M139" s="1">
        <f t="shared" si="15"/>
        <v>734.36195000176713</v>
      </c>
      <c r="N139" s="1">
        <f t="shared" si="15"/>
        <v>657.39805513095303</v>
      </c>
      <c r="O139" s="1">
        <f t="shared" si="15"/>
        <v>870.37191417263296</v>
      </c>
      <c r="P139" s="1">
        <f t="shared" si="15"/>
        <v>918.82827823291848</v>
      </c>
      <c r="Q139" s="1">
        <f t="shared" si="15"/>
        <v>150.43565375869838</v>
      </c>
      <c r="R139" s="1">
        <f t="shared" si="15"/>
        <v>177.31161728405814</v>
      </c>
      <c r="S139" s="1">
        <f t="shared" si="15"/>
        <v>326.51613545330247</v>
      </c>
      <c r="T139" s="1">
        <f t="shared" si="15"/>
        <v>160.58061602645731</v>
      </c>
      <c r="U139" s="1">
        <f t="shared" si="15"/>
        <v>262.60091681635754</v>
      </c>
      <c r="V139" s="1">
        <f t="shared" si="15"/>
        <v>154.42611290544656</v>
      </c>
    </row>
  </sheetData>
  <autoFilter ref="AC19:AE26" xr:uid="{65705AB0-5A52-4548-A228-89DF1A44660A}">
    <sortState xmlns:xlrd2="http://schemas.microsoft.com/office/spreadsheetml/2017/richdata2" ref="AC20:AE26">
      <sortCondition descending="1" ref="AE19:AE26"/>
    </sortState>
  </autoFilter>
  <mergeCells count="17">
    <mergeCell ref="A114:B114"/>
    <mergeCell ref="D19:U19"/>
    <mergeCell ref="D28:U28"/>
    <mergeCell ref="D36:U36"/>
    <mergeCell ref="D41:U41"/>
    <mergeCell ref="N12:Q12"/>
    <mergeCell ref="R12:U12"/>
    <mergeCell ref="Y6:AA6"/>
    <mergeCell ref="E14:U14"/>
    <mergeCell ref="A59:B59"/>
    <mergeCell ref="E13:I13"/>
    <mergeCell ref="J13:M13"/>
    <mergeCell ref="N13:Q13"/>
    <mergeCell ref="R13:U13"/>
    <mergeCell ref="D5:U7"/>
    <mergeCell ref="E12:I12"/>
    <mergeCell ref="J12:M1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80C4-32DC-4CD1-9072-8B4EE59768D3}">
  <dimension ref="C7:S7"/>
  <sheetViews>
    <sheetView workbookViewId="0">
      <selection activeCell="F149" sqref="F149"/>
    </sheetView>
  </sheetViews>
  <sheetFormatPr defaultRowHeight="15"/>
  <sheetData>
    <row r="7" spans="3:19">
      <c r="C7">
        <v>7.79</v>
      </c>
      <c r="D7">
        <v>7.79</v>
      </c>
      <c r="E7">
        <v>7.79</v>
      </c>
      <c r="F7">
        <v>7.79</v>
      </c>
      <c r="G7">
        <v>7.79</v>
      </c>
      <c r="H7">
        <v>30.2</v>
      </c>
      <c r="I7">
        <v>30.2</v>
      </c>
      <c r="J7">
        <v>30.2</v>
      </c>
      <c r="K7">
        <v>30.2</v>
      </c>
      <c r="L7">
        <v>18.87</v>
      </c>
      <c r="M7">
        <v>18.87</v>
      </c>
      <c r="N7">
        <v>18.87</v>
      </c>
      <c r="O7">
        <v>18.87</v>
      </c>
      <c r="P7">
        <v>3.62</v>
      </c>
      <c r="Q7">
        <v>3.62</v>
      </c>
      <c r="R7">
        <v>3.62</v>
      </c>
      <c r="S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Kelvianto</dc:creator>
  <cp:keywords/>
  <dc:description/>
  <cp:lastModifiedBy/>
  <cp:revision/>
  <dcterms:created xsi:type="dcterms:W3CDTF">2021-12-10T09:13:27Z</dcterms:created>
  <dcterms:modified xsi:type="dcterms:W3CDTF">2022-08-20T12:59:41Z</dcterms:modified>
  <cp:category/>
  <cp:contentStatus/>
</cp:coreProperties>
</file>