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16"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itbdsti-my.sharepoint.com/personal/13618035_office_itb_ac_id/Documents/JURUSAN/Perancangan Sistem Aviasi (Group 1)/Final Excel/"/>
    </mc:Choice>
  </mc:AlternateContent>
  <xr:revisionPtr revIDLastSave="0" documentId="8_{42AEFCEE-CB09-48C4-978C-D9644C561378}" xr6:coauthVersionLast="47" xr6:coauthVersionMax="47" xr10:uidLastSave="{00000000-0000-0000-0000-000000000000}"/>
  <bookViews>
    <workbookView xWindow="-108" yWindow="-108" windowWidth="23256" windowHeight="12720" firstSheet="15" activeTab="15" xr2:uid="{6FACC253-99AB-498E-A3F5-004CF1BC7743}"/>
  </bookViews>
  <sheets>
    <sheet name="Cost Formula" sheetId="11" r:id="rId1"/>
    <sheet name="Aircrafts candidate data" sheetId="10" r:id="rId2"/>
    <sheet name="Spec Aircraft Rapi" sheetId="17" r:id="rId3"/>
    <sheet name="Block time &amp; Fuel" sheetId="9" r:id="rId4"/>
    <sheet name="Parking &amp; Landing Fee" sheetId="6" r:id="rId5"/>
    <sheet name="Station Cost" sheetId="28" r:id="rId6"/>
    <sheet name="No. of aircraft" sheetId="14" r:id="rId7"/>
    <sheet name="Maintenance Cost" sheetId="13" r:id="rId8"/>
    <sheet name="Cost Structure" sheetId="15" r:id="rId9"/>
    <sheet name="Detail Cost every year" sheetId="33" r:id="rId10"/>
    <sheet name="Profitability" sheetId="7" r:id="rId11"/>
    <sheet name="Profit per year" sheetId="16" r:id="rId12"/>
    <sheet name="Cash Flow Updated" sheetId="30" r:id="rId13"/>
    <sheet name="Summary RP" sheetId="21" r:id="rId14"/>
    <sheet name="Maintenance Period" sheetId="24" r:id="rId15"/>
    <sheet name="Maintenance Schedule" sheetId="29" r:id="rId16"/>
    <sheet name="Sheet2" sheetId="31" r:id="rId17"/>
  </sheets>
  <externalReferences>
    <externalReference r:id="rId18"/>
    <externalReference r:id="rId19"/>
    <externalReference r:id="rId20"/>
    <externalReference r:id="rId21"/>
    <externalReference r:id="rId22"/>
  </externalReferences>
  <definedNames>
    <definedName name="__IntlFixup" hidden="1">TRUE</definedName>
    <definedName name="_xlnm._FilterDatabase" localSheetId="8" hidden="1">'Cost Structure'!$AT$48:$AV$55</definedName>
    <definedName name="_xlnm._FilterDatabase" localSheetId="9" hidden="1">'Detail Cost every year'!$B$78:$C$81</definedName>
    <definedName name="_xlnm._FilterDatabase" localSheetId="15" hidden="1">'Maintenance Schedule'!$B$1:$M$6</definedName>
    <definedName name="_xlnm._FilterDatabase" hidden="1">#REF!</definedName>
    <definedName name="_Order1" hidden="1">255</definedName>
    <definedName name="_Order2" hidden="1">255</definedName>
    <definedName name="cs">Profitability!$FY$46</definedName>
    <definedName name="HTML_Name" hidden="1">"Chepy"</definedName>
    <definedName name="HTML_OBDlg2" hidden="1">TRUE</definedName>
    <definedName name="HTML_OBDlg4" hidden="1">TRUE</definedName>
    <definedName name="HTML_OS" hidden="1">0</definedName>
    <definedName name="HTML_PathFile" hidden="1">"\\Adm-umum\sys\HOME\HOME-DTH\DTH-2\ASEP\MyHTML.htm"</definedName>
    <definedName name="HTML_Title" hidden="1">"SPECJAB"</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16" i="24" l="1"/>
  <c r="M15" i="24"/>
  <c r="I15" i="24"/>
  <c r="K12" i="24"/>
  <c r="K9" i="24"/>
  <c r="K3" i="24"/>
  <c r="K5" i="24"/>
  <c r="I3" i="24"/>
  <c r="D2" i="24"/>
  <c r="AC116" i="15" a="1"/>
  <c r="AC116" i="15" s="1"/>
  <c r="BA36" i="15"/>
  <c r="BJ36" i="15"/>
  <c r="BB36" i="15"/>
  <c r="BC36" i="15"/>
  <c r="BD36" i="15"/>
  <c r="BE36" i="15"/>
  <c r="BG36" i="15"/>
  <c r="BH36" i="15"/>
  <c r="BI36" i="15"/>
  <c r="BF36" i="15"/>
  <c r="BQ36" i="15"/>
  <c r="BP36" i="15"/>
  <c r="BO36" i="15"/>
  <c r="BN36" i="15"/>
  <c r="BM36" i="15"/>
  <c r="BL36" i="15"/>
  <c r="BK36" i="15"/>
  <c r="AR36" i="15"/>
  <c r="AS36" i="15"/>
  <c r="AT36" i="15"/>
  <c r="AQ36" i="15"/>
  <c r="AN36" i="15"/>
  <c r="AO36" i="15"/>
  <c r="AP36" i="15"/>
  <c r="AM36" i="15"/>
  <c r="AJ36" i="15"/>
  <c r="AK36" i="15"/>
  <c r="AL36" i="15"/>
  <c r="AI36" i="15"/>
  <c r="AG36" i="15"/>
  <c r="AH36" i="15"/>
  <c r="AE36" i="15"/>
  <c r="AF36" i="15"/>
  <c r="AD36" i="15"/>
  <c r="AE39" i="15"/>
  <c r="AF39" i="15"/>
  <c r="AG39" i="15"/>
  <c r="AH39" i="15"/>
  <c r="AI39" i="15"/>
  <c r="AJ39" i="15"/>
  <c r="AK39" i="15"/>
  <c r="AL39" i="15"/>
  <c r="AM39" i="15"/>
  <c r="AN39" i="15"/>
  <c r="AO39" i="15"/>
  <c r="AP39" i="15"/>
  <c r="AQ39" i="15"/>
  <c r="AR39" i="15"/>
  <c r="AS39" i="15"/>
  <c r="AT39" i="15"/>
  <c r="AE40" i="15"/>
  <c r="AF40" i="15"/>
  <c r="AG40" i="15"/>
  <c r="AH40" i="15"/>
  <c r="AI40" i="15"/>
  <c r="AJ40" i="15"/>
  <c r="AK40" i="15"/>
  <c r="AL40" i="15"/>
  <c r="AM40" i="15"/>
  <c r="AN40" i="15"/>
  <c r="AO40" i="15"/>
  <c r="AP40" i="15"/>
  <c r="AQ40" i="15"/>
  <c r="AR40" i="15"/>
  <c r="AS40" i="15"/>
  <c r="AT40" i="15"/>
  <c r="AE41" i="15"/>
  <c r="AF41" i="15"/>
  <c r="AG41" i="15"/>
  <c r="AH41" i="15"/>
  <c r="AI41" i="15"/>
  <c r="AJ41" i="15"/>
  <c r="AK41" i="15"/>
  <c r="AL41" i="15"/>
  <c r="AM41" i="15"/>
  <c r="AN41" i="15"/>
  <c r="AO41" i="15"/>
  <c r="AP41" i="15"/>
  <c r="AQ41" i="15"/>
  <c r="AR41" i="15"/>
  <c r="AS41" i="15"/>
  <c r="AT41" i="15"/>
  <c r="AD41" i="15"/>
  <c r="AD40" i="15"/>
  <c r="AD39" i="15"/>
  <c r="AE30" i="15"/>
  <c r="AF30" i="15"/>
  <c r="AG30" i="15"/>
  <c r="AH30" i="15"/>
  <c r="AI30" i="15"/>
  <c r="AJ30" i="15"/>
  <c r="AK30" i="15"/>
  <c r="AL30" i="15"/>
  <c r="AM30" i="15"/>
  <c r="AN30" i="15"/>
  <c r="AO30" i="15"/>
  <c r="AP30" i="15"/>
  <c r="AQ30" i="15"/>
  <c r="AR30" i="15"/>
  <c r="AS30" i="15"/>
  <c r="AT30" i="15"/>
  <c r="AE31" i="15"/>
  <c r="AF31" i="15"/>
  <c r="AG31" i="15"/>
  <c r="AH31" i="15"/>
  <c r="AI31" i="15"/>
  <c r="AJ31" i="15"/>
  <c r="AK31" i="15"/>
  <c r="AL31" i="15"/>
  <c r="AM31" i="15"/>
  <c r="AN31" i="15"/>
  <c r="AO31" i="15"/>
  <c r="AP31" i="15"/>
  <c r="AQ31" i="15"/>
  <c r="AR31" i="15"/>
  <c r="AS31" i="15"/>
  <c r="AT31" i="15"/>
  <c r="AE32" i="15"/>
  <c r="AF32" i="15"/>
  <c r="AG32" i="15"/>
  <c r="AH32" i="15"/>
  <c r="AI32" i="15"/>
  <c r="AJ32" i="15"/>
  <c r="AK32" i="15"/>
  <c r="AL32" i="15"/>
  <c r="AM32" i="15"/>
  <c r="AN32" i="15"/>
  <c r="AO32" i="15"/>
  <c r="AP32" i="15"/>
  <c r="AQ32" i="15"/>
  <c r="AR32" i="15"/>
  <c r="AS32" i="15"/>
  <c r="AT32" i="15"/>
  <c r="AE34" i="15"/>
  <c r="AF34" i="15"/>
  <c r="AG34" i="15"/>
  <c r="AH34" i="15"/>
  <c r="AI34" i="15"/>
  <c r="AJ34" i="15"/>
  <c r="AK34" i="15"/>
  <c r="AL34" i="15"/>
  <c r="AM34" i="15"/>
  <c r="AN34" i="15"/>
  <c r="AO34" i="15"/>
  <c r="AP34" i="15"/>
  <c r="AQ34" i="15"/>
  <c r="AR34" i="15"/>
  <c r="AS34" i="15"/>
  <c r="AT34" i="15"/>
  <c r="AD34" i="15"/>
  <c r="AD32" i="15"/>
  <c r="AD31" i="15"/>
  <c r="AD30" i="15"/>
  <c r="AE28" i="15"/>
  <c r="AF28" i="15"/>
  <c r="AG28" i="15"/>
  <c r="AH28" i="15"/>
  <c r="AI28" i="15"/>
  <c r="AJ28" i="15"/>
  <c r="AK28" i="15"/>
  <c r="AL28" i="15"/>
  <c r="AM28" i="15"/>
  <c r="AN28" i="15"/>
  <c r="AO28" i="15"/>
  <c r="AP28" i="15"/>
  <c r="AQ28" i="15"/>
  <c r="AR28" i="15"/>
  <c r="AS28" i="15"/>
  <c r="AT28" i="15"/>
  <c r="AD28" i="15"/>
  <c r="AE26" i="15"/>
  <c r="AF26" i="15"/>
  <c r="AG26" i="15"/>
  <c r="AH26" i="15"/>
  <c r="AI26" i="15"/>
  <c r="AJ26" i="15"/>
  <c r="AK26" i="15"/>
  <c r="AL26" i="15"/>
  <c r="AM26" i="15"/>
  <c r="AN26" i="15"/>
  <c r="AO26" i="15"/>
  <c r="AP26" i="15"/>
  <c r="AQ26" i="15"/>
  <c r="AR26" i="15"/>
  <c r="AS26" i="15"/>
  <c r="AT26" i="15"/>
  <c r="AD26" i="15"/>
  <c r="AE25" i="15"/>
  <c r="AF25" i="15"/>
  <c r="AG25" i="15"/>
  <c r="AH25" i="15"/>
  <c r="AI25" i="15"/>
  <c r="AJ25" i="15"/>
  <c r="AK25" i="15"/>
  <c r="AL25" i="15"/>
  <c r="AM25" i="15"/>
  <c r="AN25" i="15"/>
  <c r="AO25" i="15"/>
  <c r="AP25" i="15"/>
  <c r="AQ25" i="15"/>
  <c r="AR25" i="15"/>
  <c r="AS25" i="15"/>
  <c r="AT25" i="15"/>
  <c r="AD25" i="15"/>
  <c r="B20" i="15"/>
  <c r="AE23" i="15"/>
  <c r="AF23" i="15"/>
  <c r="AG23" i="15"/>
  <c r="AH23" i="15"/>
  <c r="AI23" i="15"/>
  <c r="AJ23" i="15"/>
  <c r="AK23" i="15"/>
  <c r="AL23" i="15"/>
  <c r="AM23" i="15"/>
  <c r="AN23" i="15"/>
  <c r="AO23" i="15"/>
  <c r="AP23" i="15"/>
  <c r="AQ23" i="15"/>
  <c r="AR23" i="15"/>
  <c r="AS23" i="15"/>
  <c r="AT23" i="15"/>
  <c r="AD23" i="15"/>
  <c r="AE21" i="15"/>
  <c r="AF21" i="15"/>
  <c r="AG21" i="15"/>
  <c r="AH21" i="15"/>
  <c r="AI21" i="15"/>
  <c r="AJ21" i="15"/>
  <c r="AK21" i="15"/>
  <c r="AL21" i="15"/>
  <c r="AM21" i="15"/>
  <c r="AN21" i="15"/>
  <c r="AO21" i="15"/>
  <c r="AP21" i="15"/>
  <c r="AQ21" i="15"/>
  <c r="AR21" i="15"/>
  <c r="AS21" i="15"/>
  <c r="AT21" i="15"/>
  <c r="AD21" i="15"/>
  <c r="AE20" i="15"/>
  <c r="AF20" i="15"/>
  <c r="AG20" i="15"/>
  <c r="AH20" i="15"/>
  <c r="AI20" i="15"/>
  <c r="AJ20" i="15"/>
  <c r="AK20" i="15"/>
  <c r="AL20" i="15"/>
  <c r="AM20" i="15"/>
  <c r="AN20" i="15"/>
  <c r="AO20" i="15"/>
  <c r="AP20" i="15"/>
  <c r="AQ20" i="15"/>
  <c r="AR20" i="15"/>
  <c r="AS20" i="15"/>
  <c r="AT20" i="15"/>
  <c r="AD20" i="15"/>
  <c r="AQ12" i="15"/>
  <c r="AM12" i="15"/>
  <c r="AI12" i="15"/>
  <c r="AD12" i="15"/>
  <c r="BA12" i="15"/>
  <c r="E5" i="9"/>
  <c r="AD10" i="15" a="1"/>
  <c r="AD10" i="15" s="1"/>
  <c r="AT35" i="15"/>
  <c r="AS35" i="15"/>
  <c r="AR35" i="15"/>
  <c r="AQ35" i="15"/>
  <c r="AP35" i="15"/>
  <c r="AO35" i="15"/>
  <c r="AN35" i="15"/>
  <c r="AM35" i="15"/>
  <c r="AL35" i="15"/>
  <c r="AK35" i="15"/>
  <c r="AJ35" i="15"/>
  <c r="AI35" i="15"/>
  <c r="AH35" i="15"/>
  <c r="AG35" i="15"/>
  <c r="AF35" i="15"/>
  <c r="AE35" i="15"/>
  <c r="AD35" i="15"/>
  <c r="M3" i="24"/>
  <c r="M4" i="24"/>
  <c r="M5" i="24"/>
  <c r="M6" i="24"/>
  <c r="BB28" i="15"/>
  <c r="BC28" i="15"/>
  <c r="BD28" i="15"/>
  <c r="BE28" i="15"/>
  <c r="BF28" i="15"/>
  <c r="BG28" i="15"/>
  <c r="BH28" i="15"/>
  <c r="BI28" i="15"/>
  <c r="BJ28" i="15"/>
  <c r="BK28" i="15"/>
  <c r="BL28" i="15"/>
  <c r="BM28" i="15"/>
  <c r="BN28" i="15"/>
  <c r="BO28" i="15"/>
  <c r="BP28" i="15"/>
  <c r="BQ28" i="15"/>
  <c r="BA28" i="15"/>
  <c r="J48" i="6"/>
  <c r="J49" i="6"/>
  <c r="J50" i="6"/>
  <c r="J51" i="6"/>
  <c r="J52" i="6"/>
  <c r="J53" i="6"/>
  <c r="J54" i="6"/>
  <c r="J55" i="6"/>
  <c r="J56" i="6"/>
  <c r="J57" i="6"/>
  <c r="J58" i="6"/>
  <c r="J59" i="6"/>
  <c r="J60" i="6"/>
  <c r="J61" i="6"/>
  <c r="J62" i="6"/>
  <c r="I48" i="6"/>
  <c r="I49" i="6"/>
  <c r="I50" i="6"/>
  <c r="I51" i="6"/>
  <c r="I52" i="6"/>
  <c r="I53" i="6"/>
  <c r="I54" i="6"/>
  <c r="I55" i="6"/>
  <c r="I56" i="6"/>
  <c r="I57" i="6"/>
  <c r="I58" i="6"/>
  <c r="I59" i="6"/>
  <c r="I60" i="6"/>
  <c r="I61" i="6"/>
  <c r="I62" i="6"/>
  <c r="H48" i="6"/>
  <c r="H49" i="6"/>
  <c r="H50" i="6"/>
  <c r="H51" i="6"/>
  <c r="H52" i="6"/>
  <c r="H53" i="6"/>
  <c r="H54" i="6"/>
  <c r="H55" i="6"/>
  <c r="H56" i="6"/>
  <c r="H57" i="6"/>
  <c r="H58" i="6"/>
  <c r="H59" i="6"/>
  <c r="H60" i="6"/>
  <c r="H61" i="6"/>
  <c r="H62" i="6"/>
  <c r="J47" i="6"/>
  <c r="I47" i="6"/>
  <c r="H47" i="6"/>
  <c r="G48" i="6"/>
  <c r="G49" i="6"/>
  <c r="G50" i="6"/>
  <c r="G51" i="6"/>
  <c r="G52" i="6"/>
  <c r="G53" i="6"/>
  <c r="G54" i="6"/>
  <c r="G55" i="6"/>
  <c r="G56" i="6"/>
  <c r="G57" i="6"/>
  <c r="G58" i="6"/>
  <c r="G59" i="6"/>
  <c r="G60" i="6"/>
  <c r="G61" i="6"/>
  <c r="G62" i="6"/>
  <c r="G47" i="6"/>
  <c r="F48" i="6"/>
  <c r="F49" i="6"/>
  <c r="F50" i="6"/>
  <c r="F51" i="6"/>
  <c r="F52" i="6"/>
  <c r="F53" i="6"/>
  <c r="F54" i="6"/>
  <c r="F55" i="6"/>
  <c r="F56" i="6"/>
  <c r="F57" i="6"/>
  <c r="F58" i="6"/>
  <c r="F59" i="6"/>
  <c r="F60" i="6"/>
  <c r="F61" i="6"/>
  <c r="F62" i="6"/>
  <c r="F47" i="6"/>
  <c r="BI14" i="7"/>
  <c r="BI15" i="7"/>
  <c r="BI16" i="7"/>
  <c r="BI13" i="7"/>
  <c r="BI5" i="7"/>
  <c r="BI6" i="7"/>
  <c r="BI7" i="7"/>
  <c r="BI8" i="7"/>
  <c r="BI4" i="7"/>
  <c r="BI10" i="7"/>
  <c r="BI11" i="7"/>
  <c r="BI12" i="7"/>
  <c r="BI9" i="7"/>
  <c r="BF5" i="7"/>
  <c r="BF6" i="7"/>
  <c r="BF7" i="7"/>
  <c r="BF8" i="7"/>
  <c r="BF9" i="7"/>
  <c r="BF10" i="7"/>
  <c r="BF11" i="7"/>
  <c r="BF12" i="7"/>
  <c r="BF13" i="7"/>
  <c r="BF14" i="7"/>
  <c r="BF15" i="7"/>
  <c r="BF16" i="7"/>
  <c r="BF17" i="7"/>
  <c r="BF18" i="7"/>
  <c r="BF19" i="7"/>
  <c r="BF20" i="7"/>
  <c r="BF4" i="7"/>
  <c r="BI20" i="7"/>
  <c r="BI18" i="7"/>
  <c r="BI19" i="7"/>
  <c r="BI17" i="7"/>
  <c r="AI38" i="15" l="1"/>
  <c r="AT38" i="15"/>
  <c r="AH38" i="15"/>
  <c r="AS38" i="15"/>
  <c r="AG38" i="15"/>
  <c r="AR38" i="15"/>
  <c r="AF38" i="15"/>
  <c r="AQ38" i="15"/>
  <c r="AE38" i="15"/>
  <c r="AP38" i="15"/>
  <c r="AO38" i="15"/>
  <c r="AN38" i="15"/>
  <c r="AJ38" i="15"/>
  <c r="AM38" i="15"/>
  <c r="AK38" i="15"/>
  <c r="AL38" i="15"/>
  <c r="C4" i="7" a="1"/>
  <c r="C4" i="7" s="1"/>
  <c r="AD38" i="15" l="1"/>
  <c r="C17" i="7" a="1"/>
  <c r="C17" i="7" s="1"/>
  <c r="C16" i="7" l="1" a="1"/>
  <c r="C16" i="7" s="1"/>
  <c r="C13" i="7" l="1" a="1"/>
  <c r="C13" i="7" s="1"/>
  <c r="C9" i="7" l="1" a="1"/>
  <c r="C9" i="7" s="1"/>
  <c r="C6" i="7" l="1" a="1"/>
  <c r="C6" i="7" s="1"/>
  <c r="C5" i="7" a="1"/>
  <c r="C5" i="7" s="1"/>
  <c r="C10" i="7" l="1" a="1"/>
  <c r="C10" i="7" s="1"/>
  <c r="C46" i="7" l="1"/>
  <c r="C50" i="33"/>
  <c r="AD46" i="6" a="1"/>
  <c r="AD46" i="6" s="1"/>
  <c r="C41" i="6"/>
  <c r="AM25" i="6" s="1"/>
  <c r="C40" i="6"/>
  <c r="C39" i="6"/>
  <c r="C38" i="6"/>
  <c r="C37" i="6"/>
  <c r="AP25" i="6" s="1"/>
  <c r="C36" i="6"/>
  <c r="C35" i="6"/>
  <c r="C34" i="6"/>
  <c r="AK25" i="6" s="1"/>
  <c r="C33" i="6"/>
  <c r="C32" i="6"/>
  <c r="C31" i="6"/>
  <c r="AH25" i="6" s="1"/>
  <c r="C30" i="6"/>
  <c r="AJ25" i="6" s="1"/>
  <c r="C29" i="6"/>
  <c r="C28" i="6"/>
  <c r="AD25" i="6" s="1"/>
  <c r="C27" i="6"/>
  <c r="C26" i="6"/>
  <c r="AF25" i="6" s="1"/>
  <c r="AR25" i="6"/>
  <c r="AQ25" i="6"/>
  <c r="AN25" i="6"/>
  <c r="AL25" i="6"/>
  <c r="AI25" i="6"/>
  <c r="AG25" i="6"/>
  <c r="AE25" i="6"/>
  <c r="AC25" i="6"/>
  <c r="BK35" i="15"/>
  <c r="BL35" i="15"/>
  <c r="BM35" i="15"/>
  <c r="BJ35" i="15"/>
  <c r="BG35" i="15"/>
  <c r="BH35" i="15"/>
  <c r="BI35" i="15"/>
  <c r="BF35" i="15"/>
  <c r="BO20" i="15"/>
  <c r="BP20" i="15"/>
  <c r="BQ20" i="15"/>
  <c r="BN20" i="15"/>
  <c r="BK20" i="15"/>
  <c r="BL20" i="15"/>
  <c r="BM20" i="15"/>
  <c r="BJ20" i="15"/>
  <c r="BG20" i="15"/>
  <c r="BH20" i="15"/>
  <c r="BI20" i="15"/>
  <c r="BF20" i="15"/>
  <c r="BB20" i="15"/>
  <c r="BC20" i="15"/>
  <c r="BD20" i="15"/>
  <c r="BE20" i="15"/>
  <c r="BA20" i="15"/>
  <c r="AD47" i="6" l="1" a="1"/>
  <c r="AP30" i="6" s="1"/>
  <c r="AB25" i="6"/>
  <c r="AO25" i="6"/>
  <c r="AR30" i="6" l="1"/>
  <c r="AH30" i="6"/>
  <c r="AD29" i="6"/>
  <c r="AR27" i="6"/>
  <c r="AH27" i="6"/>
  <c r="AI29" i="6"/>
  <c r="AQ26" i="6"/>
  <c r="AI26" i="6"/>
  <c r="AN26" i="6"/>
  <c r="AB28" i="6"/>
  <c r="AG28" i="6"/>
  <c r="AO27" i="6"/>
  <c r="AK26" i="6"/>
  <c r="AR29" i="6"/>
  <c r="AH29" i="6"/>
  <c r="AD26" i="6"/>
  <c r="AQ28" i="6"/>
  <c r="AF27" i="6"/>
  <c r="AK27" i="6"/>
  <c r="AC27" i="6"/>
  <c r="AF29" i="6"/>
  <c r="AN28" i="6"/>
  <c r="AE28" i="6"/>
  <c r="AM29" i="6"/>
  <c r="AI28" i="6"/>
  <c r="AL30" i="6"/>
  <c r="AB30" i="6"/>
  <c r="AP26" i="6"/>
  <c r="AK29" i="6"/>
  <c r="AF30" i="6"/>
  <c r="AJ28" i="6"/>
  <c r="AP29" i="6"/>
  <c r="AE27" i="6"/>
  <c r="AG30" i="6"/>
  <c r="AC29" i="6"/>
  <c r="AQ27" i="6"/>
  <c r="AM26" i="6"/>
  <c r="AN30" i="6"/>
  <c r="AJ27" i="6"/>
  <c r="AE30" i="6"/>
  <c r="AE26" i="6"/>
  <c r="AG26" i="6"/>
  <c r="AL28" i="6"/>
  <c r="AC30" i="6"/>
  <c r="AM27" i="6"/>
  <c r="AJ30" i="6"/>
  <c r="AO30" i="6"/>
  <c r="AR26" i="6"/>
  <c r="AH26" i="6"/>
  <c r="AO29" i="6"/>
  <c r="AK28" i="6"/>
  <c r="AG27" i="6"/>
  <c r="AD47" i="6"/>
  <c r="AF26" i="6" s="1"/>
  <c r="AD28" i="6"/>
  <c r="AQ30" i="6"/>
  <c r="AO28" i="6"/>
  <c r="AL27" i="6"/>
  <c r="AB27" i="6"/>
  <c r="AI30" i="6"/>
  <c r="AE29" i="6"/>
  <c r="AM28" i="6"/>
  <c r="AC26" i="6"/>
  <c r="AP28" i="6"/>
  <c r="AF28" i="6"/>
  <c r="AN27" i="6"/>
  <c r="AJ26" i="6"/>
  <c r="AQ29" i="6"/>
  <c r="AG29" i="6"/>
  <c r="AO26" i="6"/>
  <c r="AJ29" i="6"/>
  <c r="AN29" i="6"/>
  <c r="AR28" i="6"/>
  <c r="AH28" i="6"/>
  <c r="AD27" i="6"/>
  <c r="AK30" i="6"/>
  <c r="AM30" i="6"/>
  <c r="AI27" i="6"/>
  <c r="AD30" i="6"/>
  <c r="AL29" i="6"/>
  <c r="AB29" i="6"/>
  <c r="AP27" i="6"/>
  <c r="AL26" i="6"/>
  <c r="AB26" i="6"/>
  <c r="BA25" i="15" s="1"/>
  <c r="AC28" i="6"/>
  <c r="H56" i="30" l="1"/>
  <c r="G56" i="30"/>
  <c r="G103" i="30"/>
  <c r="H103" i="30"/>
  <c r="I103" i="30"/>
  <c r="J103" i="30"/>
  <c r="K103" i="30"/>
  <c r="F103" i="30"/>
  <c r="E103" i="30"/>
  <c r="X39" i="29"/>
  <c r="X40" i="29"/>
  <c r="X41" i="29"/>
  <c r="X38" i="29"/>
  <c r="W39" i="29"/>
  <c r="W40" i="29"/>
  <c r="W41" i="29"/>
  <c r="W38" i="29"/>
  <c r="F192" i="21"/>
  <c r="G192" i="21"/>
  <c r="H192" i="21"/>
  <c r="I192" i="21"/>
  <c r="E192" i="21"/>
  <c r="F183" i="21"/>
  <c r="G183" i="21"/>
  <c r="H183" i="21"/>
  <c r="I183" i="21"/>
  <c r="F184" i="21"/>
  <c r="G184" i="21"/>
  <c r="H184" i="21"/>
  <c r="I184" i="21"/>
  <c r="E184" i="21"/>
  <c r="E183" i="21"/>
  <c r="F175" i="21"/>
  <c r="G175" i="21"/>
  <c r="H175" i="21"/>
  <c r="I175" i="21"/>
  <c r="F179" i="21"/>
  <c r="G179" i="21"/>
  <c r="H179" i="21"/>
  <c r="I179" i="21"/>
  <c r="J179" i="21"/>
  <c r="E179" i="21"/>
  <c r="E175" i="21"/>
  <c r="E148" i="21"/>
  <c r="F148" i="21"/>
  <c r="G148" i="21"/>
  <c r="H148" i="21"/>
  <c r="I148" i="21"/>
  <c r="J148" i="21"/>
  <c r="K148" i="21"/>
  <c r="D148" i="21"/>
  <c r="E139" i="21"/>
  <c r="F139" i="21"/>
  <c r="G139" i="21"/>
  <c r="H139" i="21"/>
  <c r="I139" i="21"/>
  <c r="J139" i="21"/>
  <c r="K139" i="21"/>
  <c r="E140" i="21"/>
  <c r="F140" i="21"/>
  <c r="G140" i="21"/>
  <c r="H140" i="21"/>
  <c r="I140" i="21"/>
  <c r="J140" i="21"/>
  <c r="K140" i="21"/>
  <c r="D140" i="21"/>
  <c r="D139" i="21"/>
  <c r="E135" i="21"/>
  <c r="F135" i="21"/>
  <c r="G135" i="21"/>
  <c r="H135" i="21"/>
  <c r="I135" i="21"/>
  <c r="J135" i="21"/>
  <c r="K135" i="21"/>
  <c r="D135" i="21"/>
  <c r="E131" i="21"/>
  <c r="F131" i="21"/>
  <c r="G131" i="21"/>
  <c r="H131" i="21"/>
  <c r="I131" i="21"/>
  <c r="J131" i="21"/>
  <c r="K131" i="21"/>
  <c r="D131" i="21"/>
  <c r="C104" i="21"/>
  <c r="D104" i="21"/>
  <c r="E104" i="21"/>
  <c r="F104" i="21"/>
  <c r="G104" i="21"/>
  <c r="H104" i="21"/>
  <c r="I104" i="21"/>
  <c r="J104" i="21"/>
  <c r="K104" i="21"/>
  <c r="B104" i="21"/>
  <c r="C96" i="21"/>
  <c r="D96" i="21"/>
  <c r="E96" i="21"/>
  <c r="F96" i="21"/>
  <c r="G96" i="21"/>
  <c r="H96" i="21"/>
  <c r="I96" i="21"/>
  <c r="J96" i="21"/>
  <c r="K96" i="21"/>
  <c r="B96" i="21"/>
  <c r="C95" i="21"/>
  <c r="D95" i="21"/>
  <c r="E95" i="21"/>
  <c r="F95" i="21"/>
  <c r="G95" i="21"/>
  <c r="H95" i="21"/>
  <c r="I95" i="21"/>
  <c r="J95" i="21"/>
  <c r="K95" i="21"/>
  <c r="B95" i="21"/>
  <c r="C91" i="21"/>
  <c r="D91" i="21"/>
  <c r="E91" i="21"/>
  <c r="F91" i="21"/>
  <c r="G91" i="21"/>
  <c r="H91" i="21"/>
  <c r="I91" i="21"/>
  <c r="J91" i="21"/>
  <c r="K91" i="21"/>
  <c r="B91" i="21"/>
  <c r="C87" i="21"/>
  <c r="D87" i="21"/>
  <c r="E87" i="21"/>
  <c r="F87" i="21"/>
  <c r="G87" i="21"/>
  <c r="H87" i="21"/>
  <c r="I87" i="21"/>
  <c r="J87" i="21"/>
  <c r="K87" i="21"/>
  <c r="B87" i="21"/>
  <c r="C64" i="21"/>
  <c r="D64" i="21"/>
  <c r="E64" i="21"/>
  <c r="F64" i="21"/>
  <c r="G64" i="21"/>
  <c r="H64" i="21"/>
  <c r="I64" i="21"/>
  <c r="J64" i="21"/>
  <c r="K64" i="21"/>
  <c r="B64" i="21"/>
  <c r="C56" i="21"/>
  <c r="D56" i="21"/>
  <c r="E56" i="21"/>
  <c r="F56" i="21"/>
  <c r="G56" i="21"/>
  <c r="H56" i="21"/>
  <c r="I56" i="21"/>
  <c r="J56" i="21"/>
  <c r="K56" i="21"/>
  <c r="B56" i="21"/>
  <c r="C55" i="21"/>
  <c r="D55" i="21"/>
  <c r="E55" i="21"/>
  <c r="F55" i="21"/>
  <c r="G55" i="21"/>
  <c r="H55" i="21"/>
  <c r="I55" i="21"/>
  <c r="J55" i="21"/>
  <c r="K55" i="21"/>
  <c r="B55" i="21"/>
  <c r="G51" i="21"/>
  <c r="H51" i="21"/>
  <c r="I51" i="21"/>
  <c r="J51" i="21"/>
  <c r="K51" i="21"/>
  <c r="F51" i="21"/>
  <c r="E51" i="21"/>
  <c r="D51" i="21"/>
  <c r="C51" i="21"/>
  <c r="K47" i="21"/>
  <c r="J47" i="21"/>
  <c r="I47" i="21"/>
  <c r="H47" i="21"/>
  <c r="G47" i="21"/>
  <c r="F47" i="21"/>
  <c r="E47" i="21"/>
  <c r="D47" i="21"/>
  <c r="C47" i="21"/>
  <c r="B51" i="21"/>
  <c r="B47" i="21"/>
  <c r="C198" i="21"/>
  <c r="D198" i="21"/>
  <c r="E198" i="21"/>
  <c r="F198" i="21"/>
  <c r="G198" i="21"/>
  <c r="H198" i="21"/>
  <c r="I198" i="21"/>
  <c r="B198" i="21"/>
  <c r="C154" i="21"/>
  <c r="D154" i="21"/>
  <c r="E154" i="21"/>
  <c r="F154" i="21"/>
  <c r="G154" i="21"/>
  <c r="H154" i="21"/>
  <c r="I154" i="21"/>
  <c r="B154" i="21"/>
  <c r="C110" i="21"/>
  <c r="D110" i="21"/>
  <c r="E110" i="21"/>
  <c r="F110" i="21"/>
  <c r="G110" i="21"/>
  <c r="H110" i="21"/>
  <c r="I110" i="21"/>
  <c r="B110" i="21"/>
  <c r="C70" i="21"/>
  <c r="D70" i="21"/>
  <c r="E70" i="21"/>
  <c r="F70" i="21"/>
  <c r="G70" i="21"/>
  <c r="H70" i="21"/>
  <c r="I70" i="21"/>
  <c r="B70" i="21"/>
  <c r="P42" i="29"/>
  <c r="Q42" i="29"/>
  <c r="R42" i="29"/>
  <c r="S42" i="29"/>
  <c r="T42" i="29"/>
  <c r="U42" i="29"/>
  <c r="V42" i="29"/>
  <c r="O42" i="29"/>
  <c r="V39" i="29"/>
  <c r="V40" i="29"/>
  <c r="V41" i="29"/>
  <c r="V38" i="29"/>
  <c r="U39" i="29"/>
  <c r="U40" i="29"/>
  <c r="U41" i="29"/>
  <c r="U38" i="29"/>
  <c r="V34" i="29"/>
  <c r="V35" i="29"/>
  <c r="V36" i="29"/>
  <c r="V33" i="29"/>
  <c r="U34" i="29"/>
  <c r="U35" i="29"/>
  <c r="U36" i="29"/>
  <c r="U33" i="29"/>
  <c r="O33" i="29"/>
  <c r="L15" i="24"/>
  <c r="C43" i="33"/>
  <c r="C61" i="33" s="1" a="1"/>
  <c r="C61" i="33" s="1"/>
  <c r="EX52" i="33"/>
  <c r="EX51" i="33"/>
  <c r="EX50" i="33"/>
  <c r="EE52" i="33"/>
  <c r="EE51" i="33"/>
  <c r="EE50" i="33"/>
  <c r="K67" i="33" s="1" a="1"/>
  <c r="K67" i="33" s="1"/>
  <c r="DL52" i="33"/>
  <c r="DL51" i="33"/>
  <c r="DL50" i="33"/>
  <c r="J67" i="33" s="1" a="1"/>
  <c r="CS52" i="33"/>
  <c r="CS51" i="33"/>
  <c r="CS50" i="33"/>
  <c r="BZ52" i="33"/>
  <c r="BZ51" i="33"/>
  <c r="BZ50" i="33"/>
  <c r="H67" i="33" s="1" a="1"/>
  <c r="BG52" i="33"/>
  <c r="BG51" i="33"/>
  <c r="BG50" i="33"/>
  <c r="G67" i="33" s="1" a="1"/>
  <c r="AN52" i="33"/>
  <c r="AN51" i="33"/>
  <c r="AN50" i="33"/>
  <c r="F67" i="33" s="1" a="1"/>
  <c r="Y52" i="33"/>
  <c r="Y51" i="33"/>
  <c r="Y50" i="33"/>
  <c r="E67" i="33" s="1" a="1"/>
  <c r="N50" i="33"/>
  <c r="N52" i="33"/>
  <c r="N51" i="33"/>
  <c r="D67" i="33" s="1" a="1"/>
  <c r="C52" i="33"/>
  <c r="C51" i="33"/>
  <c r="C67" i="33" s="1" a="1"/>
  <c r="X42" i="29" l="1"/>
  <c r="K198" i="21"/>
  <c r="K183" i="21" s="1"/>
  <c r="J198" i="21"/>
  <c r="K179" i="21" s="1"/>
  <c r="W42" i="29"/>
  <c r="H67" i="33"/>
  <c r="H75" i="33"/>
  <c r="L67" i="33" a="1"/>
  <c r="L67" i="33" s="1"/>
  <c r="I67" i="33" a="1"/>
  <c r="I75" i="33" s="1"/>
  <c r="I67" i="33"/>
  <c r="J67" i="33"/>
  <c r="J75" i="33"/>
  <c r="J74" i="33"/>
  <c r="J76" i="33"/>
  <c r="E67" i="33"/>
  <c r="E75" i="33"/>
  <c r="E74" i="33"/>
  <c r="E76" i="33"/>
  <c r="G67" i="33"/>
  <c r="G74" i="33"/>
  <c r="G76" i="33"/>
  <c r="G75" i="33"/>
  <c r="F67" i="33"/>
  <c r="F74" i="33"/>
  <c r="F75" i="33"/>
  <c r="F76" i="33"/>
  <c r="C67" i="33"/>
  <c r="C76" i="33"/>
  <c r="C75" i="33"/>
  <c r="C74" i="33"/>
  <c r="D67" i="33"/>
  <c r="D76" i="33"/>
  <c r="D75" i="33"/>
  <c r="D74" i="33"/>
  <c r="H76" i="33"/>
  <c r="K74" i="33"/>
  <c r="K75" i="33"/>
  <c r="H74" i="33"/>
  <c r="K76" i="33"/>
  <c r="B16" i="24"/>
  <c r="EX48" i="33"/>
  <c r="EX47" i="33"/>
  <c r="EX46" i="33"/>
  <c r="EX44" i="33"/>
  <c r="EX43" i="33"/>
  <c r="EE48" i="33"/>
  <c r="EE47" i="33"/>
  <c r="EE46" i="33"/>
  <c r="EE44" i="33"/>
  <c r="EE43" i="33"/>
  <c r="K61" i="33" s="1" a="1"/>
  <c r="DL48" i="33"/>
  <c r="DL47" i="33"/>
  <c r="DL46" i="33"/>
  <c r="DL44" i="33"/>
  <c r="DL43" i="33"/>
  <c r="CS48" i="33"/>
  <c r="CS47" i="33"/>
  <c r="CS46" i="33"/>
  <c r="CS44" i="33"/>
  <c r="CS43" i="33"/>
  <c r="BZ48" i="33"/>
  <c r="BZ47" i="33"/>
  <c r="BZ46" i="33"/>
  <c r="BZ44" i="33"/>
  <c r="BZ43" i="33"/>
  <c r="BG48" i="33"/>
  <c r="BG47" i="33"/>
  <c r="BG46" i="33"/>
  <c r="BG44" i="33"/>
  <c r="BG43" i="33"/>
  <c r="AN48" i="33"/>
  <c r="AN47" i="33"/>
  <c r="AN46" i="33"/>
  <c r="AN44" i="33"/>
  <c r="AN43" i="33"/>
  <c r="Y48" i="33"/>
  <c r="Y47" i="33"/>
  <c r="Y46" i="33"/>
  <c r="Y44" i="33"/>
  <c r="Y43" i="33"/>
  <c r="N48" i="33"/>
  <c r="N47" i="33"/>
  <c r="N46" i="33"/>
  <c r="N44" i="33"/>
  <c r="N43" i="33"/>
  <c r="C48" i="33"/>
  <c r="C47" i="33"/>
  <c r="C46" i="33"/>
  <c r="C44" i="33"/>
  <c r="E22" i="30"/>
  <c r="BH50" i="15"/>
  <c r="BG50" i="15"/>
  <c r="BF50" i="15"/>
  <c r="BE50" i="15"/>
  <c r="AZ49" i="15" a="1"/>
  <c r="AZ49" i="15" s="1"/>
  <c r="K175" i="21" l="1"/>
  <c r="K184" i="21"/>
  <c r="K192" i="21"/>
  <c r="J192" i="21"/>
  <c r="J175" i="21"/>
  <c r="J183" i="21"/>
  <c r="J184" i="21"/>
  <c r="L74" i="33"/>
  <c r="L75" i="33"/>
  <c r="L76" i="33"/>
  <c r="I74" i="33"/>
  <c r="C80" i="33" s="1"/>
  <c r="I76" i="33"/>
  <c r="I61" i="33" a="1"/>
  <c r="C79" i="33"/>
  <c r="C81" i="33"/>
  <c r="G61" i="33" a="1"/>
  <c r="G61" i="33" s="1"/>
  <c r="D61" i="33" a="1"/>
  <c r="E61" i="33" a="1"/>
  <c r="E61" i="33" s="1"/>
  <c r="J61" i="33" a="1"/>
  <c r="L61" i="33" a="1"/>
  <c r="H61" i="33" a="1"/>
  <c r="H61" i="33" s="1"/>
  <c r="F61" i="33" a="1"/>
  <c r="F61" i="33" s="1"/>
  <c r="K61" i="33"/>
  <c r="J61" i="33"/>
  <c r="L61" i="33"/>
  <c r="I61" i="33" l="1"/>
  <c r="D61" i="33"/>
  <c r="F21" i="30" l="1"/>
  <c r="F58" i="30" s="1"/>
  <c r="F22" i="30"/>
  <c r="G21" i="30"/>
  <c r="G58" i="30" s="1"/>
  <c r="H21" i="30"/>
  <c r="H58" i="30" s="1"/>
  <c r="I21" i="30"/>
  <c r="I58" i="30" s="1"/>
  <c r="J21" i="30"/>
  <c r="J58" i="30" s="1"/>
  <c r="K21" i="30"/>
  <c r="K58" i="30" s="1"/>
  <c r="L21" i="30"/>
  <c r="L58" i="30" s="1"/>
  <c r="M21" i="30"/>
  <c r="M58" i="30" s="1"/>
  <c r="N21" i="30"/>
  <c r="N58" i="30" s="1"/>
  <c r="E21" i="30"/>
  <c r="G18" i="30" s="1"/>
  <c r="G55" i="30" s="1"/>
  <c r="D16" i="31" a="1"/>
  <c r="D16" i="31" s="1"/>
  <c r="E56" i="30"/>
  <c r="N53" i="30"/>
  <c r="M53" i="30"/>
  <c r="L53" i="30"/>
  <c r="K53" i="30"/>
  <c r="J53" i="30"/>
  <c r="I53" i="30"/>
  <c r="H53" i="30"/>
  <c r="G53" i="30"/>
  <c r="F53" i="30"/>
  <c r="E53" i="30"/>
  <c r="H19" i="30"/>
  <c r="G19" i="30"/>
  <c r="E19" i="30"/>
  <c r="B22" i="29"/>
  <c r="B23" i="29" s="1"/>
  <c r="E13" i="30" s="1"/>
  <c r="AX20" i="29"/>
  <c r="BJ20" i="29"/>
  <c r="BV20" i="29"/>
  <c r="CH20" i="29"/>
  <c r="CT20" i="29"/>
  <c r="DF20" i="29"/>
  <c r="AL20" i="29"/>
  <c r="AL19" i="29"/>
  <c r="AX19" i="29"/>
  <c r="BJ19" i="29"/>
  <c r="BV19" i="29"/>
  <c r="CH19" i="29"/>
  <c r="CT19" i="29"/>
  <c r="DF19" i="29"/>
  <c r="Z19" i="29"/>
  <c r="N18" i="29"/>
  <c r="Z18" i="29"/>
  <c r="AL18" i="29"/>
  <c r="AX18" i="29"/>
  <c r="BJ18" i="29"/>
  <c r="BV18" i="29"/>
  <c r="CH18" i="29"/>
  <c r="CT18" i="29"/>
  <c r="DF18" i="29"/>
  <c r="B18" i="29"/>
  <c r="Z17" i="29"/>
  <c r="AL17" i="29"/>
  <c r="AX17" i="29"/>
  <c r="BJ17" i="29"/>
  <c r="BV17" i="29"/>
  <c r="CH17" i="29"/>
  <c r="CT17" i="29"/>
  <c r="DF17" i="29"/>
  <c r="N17" i="29"/>
  <c r="B17" i="29"/>
  <c r="AC31" i="29" s="1" a="1"/>
  <c r="AC31" i="29" s="1"/>
  <c r="F56" i="29" s="1"/>
  <c r="Z22" i="29"/>
  <c r="Z23" i="29" s="1"/>
  <c r="G13" i="30" s="1"/>
  <c r="AL22" i="29"/>
  <c r="AL23" i="29" s="1"/>
  <c r="H13" i="30" s="1"/>
  <c r="AX22" i="29"/>
  <c r="AX23" i="29" s="1"/>
  <c r="I13" i="30" s="1"/>
  <c r="BJ22" i="29"/>
  <c r="BJ23" i="29" s="1"/>
  <c r="J13" i="30" s="1"/>
  <c r="BV22" i="29"/>
  <c r="BV23" i="29" s="1"/>
  <c r="K13" i="30" s="1"/>
  <c r="CH22" i="29"/>
  <c r="CH23" i="29" s="1"/>
  <c r="L13" i="30" s="1"/>
  <c r="CT22" i="29"/>
  <c r="CT23" i="29" s="1"/>
  <c r="M13" i="30" s="1"/>
  <c r="DF22" i="29"/>
  <c r="DF23" i="29" s="1"/>
  <c r="N13" i="30" s="1"/>
  <c r="N22" i="29"/>
  <c r="N23" i="29" s="1"/>
  <c r="F13" i="30" s="1"/>
  <c r="V3" i="24"/>
  <c r="O29" i="24" l="1"/>
  <c r="G22" i="30"/>
  <c r="G59" i="30" s="1"/>
  <c r="F59" i="30"/>
  <c r="E59" i="30"/>
  <c r="H18" i="30"/>
  <c r="H55" i="30" s="1"/>
  <c r="E18" i="30"/>
  <c r="E58" i="30"/>
  <c r="H22" i="30"/>
  <c r="H59" i="30" s="1"/>
  <c r="I9" i="24"/>
  <c r="K15" i="24"/>
  <c r="L3" i="24"/>
  <c r="N35" i="30" l="1"/>
  <c r="N71" i="30" s="1"/>
  <c r="E55" i="30"/>
  <c r="I22" i="30"/>
  <c r="I59" i="30" s="1"/>
  <c r="W3" i="24"/>
  <c r="M22" i="24"/>
  <c r="O22" i="24" s="1"/>
  <c r="J22" i="30" l="1"/>
  <c r="J59" i="30" s="1"/>
  <c r="J23" i="28" a="1"/>
  <c r="J23" i="28" s="1"/>
  <c r="U5" i="28"/>
  <c r="V5" i="28" s="1"/>
  <c r="U6" i="28"/>
  <c r="V6" i="28" s="1"/>
  <c r="U7" i="28"/>
  <c r="V7" i="28" s="1"/>
  <c r="U8" i="28"/>
  <c r="V8" i="28" s="1"/>
  <c r="U9" i="28"/>
  <c r="V9" i="28" s="1"/>
  <c r="U10" i="28"/>
  <c r="V10" i="28" s="1"/>
  <c r="U11" i="28"/>
  <c r="V11" i="28" s="1"/>
  <c r="U12" i="28"/>
  <c r="V12" i="28" s="1"/>
  <c r="U13" i="28"/>
  <c r="V13" i="28" s="1"/>
  <c r="U14" i="28"/>
  <c r="V14" i="28" s="1"/>
  <c r="U15" i="28"/>
  <c r="V15" i="28" s="1"/>
  <c r="U16" i="28"/>
  <c r="V16" i="28" s="1"/>
  <c r="U17" i="28"/>
  <c r="V17" i="28" s="1"/>
  <c r="U18" i="28"/>
  <c r="V18" i="28" s="1"/>
  <c r="U19" i="28"/>
  <c r="V19" i="28" s="1"/>
  <c r="U20" i="28"/>
  <c r="V20" i="28" s="1"/>
  <c r="U4" i="28"/>
  <c r="V4" i="28" s="1"/>
  <c r="D5" i="28"/>
  <c r="D6" i="28"/>
  <c r="D7" i="28"/>
  <c r="D8" i="28"/>
  <c r="D9" i="28"/>
  <c r="D10" i="28"/>
  <c r="D11" i="28"/>
  <c r="D12" i="28"/>
  <c r="D13" i="28"/>
  <c r="D14" i="28"/>
  <c r="D15" i="28"/>
  <c r="D16" i="28"/>
  <c r="D17" i="28"/>
  <c r="D18" i="28"/>
  <c r="D4" i="28"/>
  <c r="B29" i="15"/>
  <c r="W18" i="28" l="1" a="1"/>
  <c r="W18" i="28" s="1"/>
  <c r="W19" i="28" a="1"/>
  <c r="W19" i="28" s="1"/>
  <c r="W7" i="28" a="1"/>
  <c r="W7" i="28" s="1"/>
  <c r="W17" i="28" a="1"/>
  <c r="W17" i="28" s="1"/>
  <c r="W13" i="28" a="1"/>
  <c r="W13" i="28" s="1"/>
  <c r="W12" i="28" a="1"/>
  <c r="W12" i="28" s="1"/>
  <c r="W11" i="28" a="1"/>
  <c r="W11" i="28" s="1"/>
  <c r="W6" i="28" a="1"/>
  <c r="W6" i="28" s="1"/>
  <c r="W16" i="28" a="1"/>
  <c r="W16" i="28" s="1"/>
  <c r="W14" i="28" a="1"/>
  <c r="W14" i="28" s="1"/>
  <c r="W10" i="28" a="1"/>
  <c r="W10" i="28" s="1"/>
  <c r="W4" i="28" a="1"/>
  <c r="W4" i="28" s="1"/>
  <c r="W9" i="28" a="1"/>
  <c r="W9" i="28" s="1"/>
  <c r="W20" i="28" a="1"/>
  <c r="W20" i="28" s="1"/>
  <c r="W8" i="28" a="1"/>
  <c r="W8" i="28" s="1"/>
  <c r="W5" i="28" a="1"/>
  <c r="W5" i="28" s="1"/>
  <c r="W15" i="28" a="1"/>
  <c r="W15" i="28" s="1"/>
  <c r="K22" i="30"/>
  <c r="K59" i="30" s="1"/>
  <c r="B91" i="15"/>
  <c r="B90" i="15"/>
  <c r="B31" i="15"/>
  <c r="P6" i="24"/>
  <c r="P3" i="24"/>
  <c r="B30" i="15"/>
  <c r="G48" i="13"/>
  <c r="P4" i="24"/>
  <c r="P5" i="24"/>
  <c r="S6" i="24" l="1"/>
  <c r="R6" i="24"/>
  <c r="L22" i="30"/>
  <c r="L59" i="30" s="1"/>
  <c r="Q6" i="24"/>
  <c r="T6" i="24"/>
  <c r="M22" i="30" l="1"/>
  <c r="M59" i="30" s="1"/>
  <c r="B17" i="24"/>
  <c r="N22" i="30" l="1"/>
  <c r="N59" i="30" s="1"/>
  <c r="D7" i="24"/>
  <c r="D215" i="16" l="1"/>
  <c r="E215" i="16"/>
  <c r="F215" i="16"/>
  <c r="D220" i="16"/>
  <c r="E220" i="16"/>
  <c r="F220" i="16"/>
  <c r="D224" i="16"/>
  <c r="E224" i="16"/>
  <c r="F224" i="16"/>
  <c r="D228" i="16"/>
  <c r="E228" i="16"/>
  <c r="F228" i="16"/>
  <c r="C192" i="16"/>
  <c r="D192" i="16"/>
  <c r="E192" i="16"/>
  <c r="F192" i="16"/>
  <c r="C197" i="16"/>
  <c r="D197" i="16"/>
  <c r="E197" i="16"/>
  <c r="F197" i="16"/>
  <c r="C201" i="16"/>
  <c r="D201" i="16"/>
  <c r="E201" i="16"/>
  <c r="F201" i="16"/>
  <c r="C205" i="16"/>
  <c r="D205" i="16"/>
  <c r="E205" i="16"/>
  <c r="F205" i="16"/>
  <c r="D170" i="16"/>
  <c r="E170" i="16"/>
  <c r="F170" i="16"/>
  <c r="D175" i="16"/>
  <c r="E175" i="16"/>
  <c r="F175" i="16"/>
  <c r="D179" i="16"/>
  <c r="E179" i="16"/>
  <c r="F179" i="16"/>
  <c r="D183" i="16"/>
  <c r="E183" i="16"/>
  <c r="F183" i="16"/>
  <c r="D147" i="16"/>
  <c r="E147" i="16"/>
  <c r="F147" i="16"/>
  <c r="D152" i="16"/>
  <c r="E152" i="16"/>
  <c r="F152" i="16"/>
  <c r="D156" i="16"/>
  <c r="E156" i="16"/>
  <c r="F156" i="16"/>
  <c r="D160" i="16"/>
  <c r="E160" i="16"/>
  <c r="F160" i="16"/>
  <c r="D124" i="16"/>
  <c r="E124" i="16"/>
  <c r="F124" i="16"/>
  <c r="D129" i="16"/>
  <c r="E129" i="16"/>
  <c r="F129" i="16"/>
  <c r="D133" i="16"/>
  <c r="E133" i="16"/>
  <c r="F133" i="16"/>
  <c r="D137" i="16"/>
  <c r="E137" i="16"/>
  <c r="F137" i="16"/>
  <c r="F114" i="16"/>
  <c r="F110" i="16"/>
  <c r="F106" i="16"/>
  <c r="F101" i="16"/>
  <c r="S171" i="21"/>
  <c r="T171" i="21"/>
  <c r="U171" i="21"/>
  <c r="S182" i="21"/>
  <c r="T186" i="21"/>
  <c r="U186" i="21"/>
  <c r="T142" i="21"/>
  <c r="T141" i="21"/>
  <c r="S127" i="21"/>
  <c r="T127" i="21"/>
  <c r="S128" i="21"/>
  <c r="T128" i="21"/>
  <c r="S129" i="21"/>
  <c r="T129" i="21"/>
  <c r="S130" i="21"/>
  <c r="T130" i="21"/>
  <c r="S131" i="21"/>
  <c r="T131" i="21"/>
  <c r="S132" i="21"/>
  <c r="T132" i="21"/>
  <c r="S133" i="21"/>
  <c r="T133" i="21"/>
  <c r="S138" i="21"/>
  <c r="T138" i="21"/>
  <c r="T139" i="21"/>
  <c r="R48" i="21"/>
  <c r="R46" i="21"/>
  <c r="R47" i="21"/>
  <c r="R44" i="21"/>
  <c r="R43" i="21"/>
  <c r="R50" i="21"/>
  <c r="R51" i="21"/>
  <c r="R52" i="21"/>
  <c r="R53" i="21"/>
  <c r="D232" i="16" l="1"/>
  <c r="E141" i="16"/>
  <c r="E164" i="16"/>
  <c r="D209" i="16"/>
  <c r="F118" i="16"/>
  <c r="F187" i="16"/>
  <c r="E187" i="16"/>
  <c r="D141" i="16"/>
  <c r="D187" i="16"/>
  <c r="F232" i="16"/>
  <c r="F141" i="16"/>
  <c r="F164" i="16"/>
  <c r="C209" i="16"/>
  <c r="E232" i="16"/>
  <c r="F209" i="16"/>
  <c r="D164" i="16"/>
  <c r="E209" i="16"/>
  <c r="B34" i="15"/>
  <c r="B59" i="15"/>
  <c r="BA23" i="15" l="1"/>
  <c r="BM4" i="7"/>
  <c r="L9" i="24"/>
  <c r="J3" i="24"/>
  <c r="J9" i="24" s="1"/>
  <c r="I4" i="24"/>
  <c r="I10" i="24" s="1"/>
  <c r="J4" i="24"/>
  <c r="J10" i="24" s="1"/>
  <c r="J16" i="24" s="1"/>
  <c r="I5" i="24"/>
  <c r="I11" i="24" s="1"/>
  <c r="J5" i="24"/>
  <c r="J11" i="24" s="1"/>
  <c r="J17" i="24" s="1"/>
  <c r="M17" i="24" s="1"/>
  <c r="I6" i="24"/>
  <c r="I12" i="24" s="1"/>
  <c r="I18" i="24" s="1"/>
  <c r="J6" i="24"/>
  <c r="J12" i="24" s="1"/>
  <c r="J18" i="24" s="1"/>
  <c r="M18" i="24" s="1"/>
  <c r="K4" i="24"/>
  <c r="L4" i="24"/>
  <c r="L10" i="24" s="1"/>
  <c r="L16" i="24" s="1"/>
  <c r="O31" i="24"/>
  <c r="L5" i="24"/>
  <c r="K6" i="24"/>
  <c r="O32" i="24" s="1"/>
  <c r="L6" i="24"/>
  <c r="J15" i="24" l="1"/>
  <c r="V4" i="24"/>
  <c r="O30" i="24"/>
  <c r="K10" i="24"/>
  <c r="K16" i="24" s="1"/>
  <c r="D8" i="24"/>
  <c r="I16" i="24"/>
  <c r="M25" i="24"/>
  <c r="O25" i="24" s="1"/>
  <c r="W6" i="24"/>
  <c r="K18" i="24"/>
  <c r="V6" i="24"/>
  <c r="I17" i="24"/>
  <c r="M24" i="24"/>
  <c r="O24" i="24" s="1"/>
  <c r="W5" i="24"/>
  <c r="S5" i="24"/>
  <c r="S7" i="24" s="1"/>
  <c r="S8" i="24" s="1"/>
  <c r="T5" i="24"/>
  <c r="T7" i="24" s="1"/>
  <c r="T8" i="24" s="1"/>
  <c r="R5" i="24"/>
  <c r="R7" i="24" s="1"/>
  <c r="R8" i="24" s="1"/>
  <c r="Q5" i="24"/>
  <c r="Q7" i="24" s="1"/>
  <c r="Q8" i="24" s="1"/>
  <c r="D9" i="24"/>
  <c r="M23" i="24"/>
  <c r="O23" i="24" s="1"/>
  <c r="W4" i="24"/>
  <c r="K11" i="24"/>
  <c r="K17" i="24" s="1"/>
  <c r="V5" i="24"/>
  <c r="L12" i="24"/>
  <c r="L18" i="24" s="1"/>
  <c r="L11" i="24"/>
  <c r="L17" i="24" s="1"/>
  <c r="R16" i="24" l="1"/>
  <c r="R15" i="24"/>
  <c r="B2" i="15"/>
  <c r="AX50" i="15"/>
  <c r="AX51" i="15"/>
  <c r="V90" i="21" l="1"/>
  <c r="W90" i="21"/>
  <c r="X90" i="21" s="1"/>
  <c r="Y90" i="21" s="1"/>
  <c r="Z90" i="21" s="1"/>
  <c r="AA90" i="21" s="1"/>
  <c r="AB90" i="21" s="1"/>
  <c r="T90" i="21"/>
  <c r="S90" i="21"/>
  <c r="U90" i="21"/>
  <c r="BF39" i="15"/>
  <c r="BH39" i="15"/>
  <c r="BI39" i="15"/>
  <c r="BG39" i="15"/>
  <c r="R18" i="24"/>
  <c r="BD39" i="15"/>
  <c r="BN49" i="7"/>
  <c r="BM50" i="7" s="1"/>
  <c r="BE39" i="15"/>
  <c r="BN51" i="7"/>
  <c r="BM52" i="7" s="1"/>
  <c r="BN54" i="7"/>
  <c r="BN52" i="7"/>
  <c r="BM53" i="7" s="1"/>
  <c r="BA39" i="15"/>
  <c r="BC39" i="15"/>
  <c r="BN46" i="7"/>
  <c r="BN53" i="7"/>
  <c r="BM54" i="7" s="1"/>
  <c r="BN50" i="7"/>
  <c r="BM51" i="7" s="1"/>
  <c r="BN48" i="7"/>
  <c r="BM49" i="7" s="1"/>
  <c r="BN47" i="7"/>
  <c r="BM48" i="7" s="1"/>
  <c r="BB39" i="15"/>
  <c r="R17" i="24"/>
  <c r="R21" i="24" s="1" a="1"/>
  <c r="R21" i="24" s="1"/>
  <c r="S50" i="21"/>
  <c r="T50" i="21" s="1"/>
  <c r="U50" i="21" s="1"/>
  <c r="V50" i="21" s="1"/>
  <c r="W50" i="21" s="1"/>
  <c r="X50" i="21" s="1"/>
  <c r="Y50" i="21" s="1"/>
  <c r="Z50" i="21" s="1"/>
  <c r="AA50" i="21" s="1"/>
  <c r="AB50" i="21" s="1"/>
  <c r="W178" i="21" l="1"/>
  <c r="X178" i="21" s="1"/>
  <c r="Y178" i="21" s="1"/>
  <c r="Z178" i="21" s="1"/>
  <c r="AA178" i="21" s="1"/>
  <c r="AB178" i="21" s="1"/>
  <c r="V178" i="21"/>
  <c r="BM47" i="7"/>
  <c r="BM46" i="7"/>
  <c r="W134" i="21"/>
  <c r="X134" i="21" s="1"/>
  <c r="Y134" i="21" s="1"/>
  <c r="Z134" i="21" s="1"/>
  <c r="AA134" i="21" s="1"/>
  <c r="AB134" i="21" s="1"/>
  <c r="V134" i="21"/>
  <c r="U134" i="21"/>
  <c r="BP39" i="15"/>
  <c r="BN39" i="15"/>
  <c r="BQ39" i="15"/>
  <c r="BO39" i="15"/>
  <c r="BK39" i="15"/>
  <c r="BL39" i="15"/>
  <c r="BM39" i="15"/>
  <c r="BJ39" i="15"/>
  <c r="BM55" i="7" l="1"/>
  <c r="AY39" i="15"/>
  <c r="BM5" i="7"/>
  <c r="BM6" i="7"/>
  <c r="BM7" i="7"/>
  <c r="BM8" i="7"/>
  <c r="BM9" i="7"/>
  <c r="BM10" i="7"/>
  <c r="BM11" i="7"/>
  <c r="BM12" i="7"/>
  <c r="BM13" i="7"/>
  <c r="BM14" i="7"/>
  <c r="BM15" i="7"/>
  <c r="BM16" i="7"/>
  <c r="BM17" i="7"/>
  <c r="BM18" i="7"/>
  <c r="BM19" i="7"/>
  <c r="BM20" i="7"/>
  <c r="M9" i="21"/>
  <c r="N9" i="21"/>
  <c r="O9" i="21"/>
  <c r="P9" i="21"/>
  <c r="M14" i="21"/>
  <c r="N14" i="21"/>
  <c r="O14" i="21"/>
  <c r="P14" i="21"/>
  <c r="M16" i="21"/>
  <c r="N16" i="21"/>
  <c r="O16" i="21"/>
  <c r="P16" i="21"/>
  <c r="M17" i="21"/>
  <c r="N17" i="21"/>
  <c r="O17" i="21"/>
  <c r="P17" i="21"/>
  <c r="M22" i="21"/>
  <c r="N22" i="21"/>
  <c r="O22" i="21"/>
  <c r="P22" i="21"/>
  <c r="M24" i="21"/>
  <c r="N24" i="21"/>
  <c r="O24" i="21"/>
  <c r="P24" i="21"/>
  <c r="M27" i="21"/>
  <c r="N27" i="21"/>
  <c r="O27" i="21"/>
  <c r="P27" i="21"/>
  <c r="L6" i="21"/>
  <c r="L7" i="21"/>
  <c r="L8" i="21"/>
  <c r="L9" i="21"/>
  <c r="L10" i="21"/>
  <c r="L11" i="21"/>
  <c r="L12" i="21"/>
  <c r="L13" i="21"/>
  <c r="L14" i="21"/>
  <c r="L15" i="21"/>
  <c r="L16" i="21"/>
  <c r="L17" i="21"/>
  <c r="L18" i="21"/>
  <c r="L19" i="21"/>
  <c r="L20" i="21"/>
  <c r="L21" i="21"/>
  <c r="L22" i="21"/>
  <c r="L23" i="21"/>
  <c r="L24" i="21"/>
  <c r="L25" i="21"/>
  <c r="L26" i="21"/>
  <c r="L27" i="21"/>
  <c r="L28" i="21"/>
  <c r="L5" i="21"/>
  <c r="B16" i="21"/>
  <c r="D16" i="21"/>
  <c r="F16" i="21"/>
  <c r="H16" i="21"/>
  <c r="B17" i="21"/>
  <c r="D17" i="21"/>
  <c r="F17" i="21"/>
  <c r="H17" i="21"/>
  <c r="B22" i="21"/>
  <c r="D22" i="21"/>
  <c r="F22" i="21"/>
  <c r="H22" i="21"/>
  <c r="B63" i="15"/>
  <c r="D87" i="10" l="1"/>
  <c r="AA41" i="15"/>
  <c r="DI39" i="15"/>
  <c r="DJ39" i="15"/>
  <c r="DK39" i="15"/>
  <c r="DH39" i="15"/>
  <c r="DM39" i="15"/>
  <c r="DN39" i="15"/>
  <c r="DO39" i="15"/>
  <c r="DL39" i="15"/>
  <c r="DF39" i="15"/>
  <c r="CY8" i="15" a="1"/>
  <c r="CY8" i="15" s="1"/>
  <c r="CN39" i="15"/>
  <c r="CO39" i="15"/>
  <c r="CP39" i="15"/>
  <c r="CM39" i="15"/>
  <c r="CJ39" i="15"/>
  <c r="CK39" i="15"/>
  <c r="CL39" i="15"/>
  <c r="CI39" i="15"/>
  <c r="AQ138" i="14"/>
  <c r="AP138" i="14"/>
  <c r="AO138" i="14"/>
  <c r="AN138" i="14"/>
  <c r="AM138" i="14"/>
  <c r="AL138" i="14"/>
  <c r="AK138" i="14"/>
  <c r="AJ138" i="14"/>
  <c r="AI138" i="14"/>
  <c r="AH138" i="14"/>
  <c r="AG138" i="14"/>
  <c r="AF138" i="14"/>
  <c r="K48" i="14"/>
  <c r="AN48" i="14" s="1"/>
  <c r="L48" i="14"/>
  <c r="AO48" i="14" s="1"/>
  <c r="M48" i="14"/>
  <c r="AP48" i="14" s="1"/>
  <c r="N48" i="14"/>
  <c r="AQ48" i="14" s="1"/>
  <c r="K49" i="14"/>
  <c r="AN49" i="14" s="1"/>
  <c r="L49" i="14"/>
  <c r="AO49" i="14" s="1"/>
  <c r="M49" i="14"/>
  <c r="AP49" i="14" s="1"/>
  <c r="N49" i="14"/>
  <c r="AQ49" i="14" s="1"/>
  <c r="K50" i="14"/>
  <c r="AN50" i="14" s="1"/>
  <c r="L50" i="14"/>
  <c r="AO50" i="14" s="1"/>
  <c r="M50" i="14"/>
  <c r="AP50" i="14" s="1"/>
  <c r="N50" i="14"/>
  <c r="AQ50" i="14" s="1"/>
  <c r="BA8" i="15" l="1" a="1"/>
  <c r="B72" i="21" s="1"/>
  <c r="B1" i="15"/>
  <c r="BZ8" i="15" a="1"/>
  <c r="BZ8" i="15" s="1"/>
  <c r="BA8" i="15" l="1"/>
  <c r="AD8" i="15" s="1" a="1"/>
  <c r="B200" i="21"/>
  <c r="B112" i="21"/>
  <c r="B156" i="21"/>
  <c r="S52" i="21"/>
  <c r="T52" i="21" s="1"/>
  <c r="U52" i="21" s="1"/>
  <c r="V52" i="21" s="1"/>
  <c r="W52" i="21" s="1"/>
  <c r="X52" i="21" s="1"/>
  <c r="Y52" i="21" s="1"/>
  <c r="Z52" i="21" s="1"/>
  <c r="AA52" i="21" s="1"/>
  <c r="AB52" i="21" s="1"/>
  <c r="DE39" i="15"/>
  <c r="DG39" i="15"/>
  <c r="DD39" i="15"/>
  <c r="CZ39" i="15"/>
  <c r="DA39" i="15"/>
  <c r="DB39" i="15"/>
  <c r="DC39" i="15"/>
  <c r="CY39" i="15"/>
  <c r="CF39" i="15"/>
  <c r="CG39" i="15"/>
  <c r="CH39" i="15"/>
  <c r="CE39" i="15"/>
  <c r="CA39" i="15"/>
  <c r="CB39" i="15"/>
  <c r="CC39" i="15"/>
  <c r="CD39" i="15"/>
  <c r="BZ39" i="15"/>
  <c r="BA32" i="15"/>
  <c r="BA31" i="15"/>
  <c r="C35" i="15"/>
  <c r="D35" i="15"/>
  <c r="E35" i="15"/>
  <c r="F35" i="15"/>
  <c r="B35" i="15"/>
  <c r="C34" i="15"/>
  <c r="D34" i="15"/>
  <c r="E34" i="15"/>
  <c r="F34" i="15"/>
  <c r="E33" i="15"/>
  <c r="F33" i="15"/>
  <c r="C33" i="15"/>
  <c r="G200" i="14"/>
  <c r="H200" i="14" s="1"/>
  <c r="I200" i="14" s="1"/>
  <c r="J200" i="14" s="1"/>
  <c r="K200" i="14" s="1"/>
  <c r="L200" i="14" s="1"/>
  <c r="M200" i="14" s="1"/>
  <c r="N200" i="14" s="1"/>
  <c r="O200" i="14" s="1"/>
  <c r="P200" i="14" s="1"/>
  <c r="Q200" i="14" s="1"/>
  <c r="R200" i="14" s="1"/>
  <c r="S200" i="14" s="1"/>
  <c r="T200" i="14" s="1"/>
  <c r="U200" i="14" s="1"/>
  <c r="V200" i="14" s="1"/>
  <c r="W200" i="14" s="1"/>
  <c r="F8" i="15"/>
  <c r="E8" i="15"/>
  <c r="F2" i="15"/>
  <c r="E2" i="15"/>
  <c r="D2" i="15"/>
  <c r="C2" i="15"/>
  <c r="B33" i="15"/>
  <c r="E25" i="17"/>
  <c r="AD8" i="15" l="1"/>
  <c r="V92" i="21"/>
  <c r="T92" i="21"/>
  <c r="S92" i="21"/>
  <c r="W92" i="21"/>
  <c r="X92" i="21" s="1"/>
  <c r="Y92" i="21" s="1"/>
  <c r="Z92" i="21" s="1"/>
  <c r="AA92" i="21" s="1"/>
  <c r="AB92" i="21" s="1"/>
  <c r="U92" i="21"/>
  <c r="U136" i="21"/>
  <c r="V136" i="21"/>
  <c r="W136" i="21"/>
  <c r="X136" i="21" s="1"/>
  <c r="Y136" i="21" s="1"/>
  <c r="Z136" i="21" s="1"/>
  <c r="AA136" i="21" s="1"/>
  <c r="AB136" i="21" s="1"/>
  <c r="V180" i="21"/>
  <c r="W180" i="21"/>
  <c r="X180" i="21" s="1"/>
  <c r="Y180" i="21" s="1"/>
  <c r="Z180" i="21" s="1"/>
  <c r="AA180" i="21" s="1"/>
  <c r="AB180" i="21" s="1"/>
  <c r="C12" i="15"/>
  <c r="F12" i="15"/>
  <c r="AB24" i="6" l="1" a="1"/>
  <c r="AB24" i="6" s="1"/>
  <c r="DI4" i="7" a="1"/>
  <c r="DI4" i="7" s="1"/>
  <c r="E12" i="15"/>
  <c r="F31" i="15"/>
  <c r="F30" i="15"/>
  <c r="E31" i="15"/>
  <c r="E30" i="15"/>
  <c r="C31" i="15"/>
  <c r="C30" i="15"/>
  <c r="F6" i="15"/>
  <c r="AF15" i="10"/>
  <c r="AC15" i="10"/>
  <c r="AD15" i="10"/>
  <c r="AE15" i="10"/>
  <c r="AB15" i="10"/>
  <c r="B65" i="15" l="1"/>
  <c r="B66" i="15"/>
  <c r="C29" i="15"/>
  <c r="D29" i="15"/>
  <c r="E29" i="15"/>
  <c r="F29" i="15"/>
  <c r="B89" i="15"/>
  <c r="C48" i="15"/>
  <c r="C49" i="15" s="1"/>
  <c r="D8" i="15"/>
  <c r="C1" i="15"/>
  <c r="D1" i="15"/>
  <c r="E1" i="15"/>
  <c r="F1" i="15"/>
  <c r="D45" i="15"/>
  <c r="D3" i="9"/>
  <c r="B87" i="15"/>
  <c r="B85" i="15"/>
  <c r="B81" i="15"/>
  <c r="B45" i="15"/>
  <c r="F23" i="15"/>
  <c r="E23" i="15"/>
  <c r="C23" i="15"/>
  <c r="D23" i="15"/>
  <c r="B23" i="15"/>
  <c r="F6" i="13"/>
  <c r="G6" i="13"/>
  <c r="G18" i="13"/>
  <c r="I3" i="9" l="1"/>
  <c r="U39" i="15"/>
  <c r="T39" i="15"/>
  <c r="S39" i="15"/>
  <c r="C50" i="15"/>
  <c r="C51" i="15" s="1"/>
  <c r="R39" i="15"/>
  <c r="Q39" i="15"/>
  <c r="M39" i="15"/>
  <c r="E50" i="15"/>
  <c r="Y39" i="15"/>
  <c r="W39" i="15"/>
  <c r="V39" i="15"/>
  <c r="P39" i="15"/>
  <c r="O39" i="15"/>
  <c r="K39" i="15"/>
  <c r="N39" i="15"/>
  <c r="X39" i="15"/>
  <c r="L39" i="15"/>
  <c r="M15" i="15"/>
  <c r="GK93" i="7"/>
  <c r="GK86" i="7"/>
  <c r="GL86" i="7" s="1"/>
  <c r="GK79" i="7"/>
  <c r="GL79" i="7" s="1"/>
  <c r="GM79" i="7" s="1"/>
  <c r="GV5" i="7"/>
  <c r="GW5" i="7"/>
  <c r="GX5" i="7"/>
  <c r="GY5" i="7"/>
  <c r="GZ5" i="7"/>
  <c r="HA5" i="7"/>
  <c r="HB5" i="7"/>
  <c r="HC5" i="7"/>
  <c r="HD5" i="7"/>
  <c r="HE5" i="7"/>
  <c r="HF5" i="7"/>
  <c r="HG5" i="7"/>
  <c r="HH5" i="7"/>
  <c r="HI5" i="7"/>
  <c r="HJ5" i="7"/>
  <c r="HK5" i="7"/>
  <c r="HL5" i="7"/>
  <c r="HM5" i="7"/>
  <c r="HN5" i="7"/>
  <c r="HO5" i="7"/>
  <c r="GV6" i="7"/>
  <c r="GW6" i="7"/>
  <c r="GX6" i="7"/>
  <c r="GY6" i="7"/>
  <c r="GZ6" i="7"/>
  <c r="HA6" i="7"/>
  <c r="HB6" i="7"/>
  <c r="HC6" i="7"/>
  <c r="HD6" i="7"/>
  <c r="HE6" i="7"/>
  <c r="HF6" i="7"/>
  <c r="HG6" i="7"/>
  <c r="HH6" i="7"/>
  <c r="HI6" i="7"/>
  <c r="HJ6" i="7"/>
  <c r="HK6" i="7"/>
  <c r="HL6" i="7"/>
  <c r="HM6" i="7"/>
  <c r="HN6" i="7"/>
  <c r="HO6" i="7"/>
  <c r="GV7" i="7"/>
  <c r="GW7" i="7"/>
  <c r="GX7" i="7"/>
  <c r="GY7" i="7"/>
  <c r="GZ7" i="7"/>
  <c r="HA7" i="7"/>
  <c r="HB7" i="7"/>
  <c r="HC7" i="7"/>
  <c r="HD7" i="7"/>
  <c r="HE7" i="7"/>
  <c r="HF7" i="7"/>
  <c r="HG7" i="7"/>
  <c r="HH7" i="7"/>
  <c r="HI7" i="7"/>
  <c r="HJ7" i="7"/>
  <c r="HK7" i="7"/>
  <c r="HL7" i="7"/>
  <c r="HM7" i="7"/>
  <c r="HN7" i="7"/>
  <c r="HO7" i="7"/>
  <c r="GV8" i="7"/>
  <c r="GW8" i="7"/>
  <c r="GX8" i="7"/>
  <c r="GY8" i="7"/>
  <c r="GZ8" i="7"/>
  <c r="HA8" i="7"/>
  <c r="HB8" i="7"/>
  <c r="HC8" i="7"/>
  <c r="HD8" i="7"/>
  <c r="HE8" i="7"/>
  <c r="HF8" i="7"/>
  <c r="HG8" i="7"/>
  <c r="HH8" i="7"/>
  <c r="HI8" i="7"/>
  <c r="HJ8" i="7"/>
  <c r="HK8" i="7"/>
  <c r="HL8" i="7"/>
  <c r="HM8" i="7"/>
  <c r="HN8" i="7"/>
  <c r="HO8" i="7"/>
  <c r="HE9" i="7"/>
  <c r="HF9" i="7"/>
  <c r="HG9" i="7"/>
  <c r="HH9" i="7"/>
  <c r="HI9" i="7"/>
  <c r="HJ9" i="7"/>
  <c r="HK9" i="7"/>
  <c r="HL9" i="7"/>
  <c r="HM9" i="7"/>
  <c r="HN9" i="7"/>
  <c r="HO9" i="7"/>
  <c r="HD13" i="7"/>
  <c r="HE13" i="7"/>
  <c r="HF13" i="7"/>
  <c r="HG13" i="7"/>
  <c r="HH13" i="7"/>
  <c r="HI13" i="7"/>
  <c r="HJ13" i="7"/>
  <c r="HK13" i="7"/>
  <c r="HL13" i="7"/>
  <c r="HM13" i="7"/>
  <c r="HN13" i="7"/>
  <c r="HO13" i="7"/>
  <c r="HH17" i="7"/>
  <c r="HI17" i="7"/>
  <c r="HJ17" i="7"/>
  <c r="HK17" i="7"/>
  <c r="HL17" i="7"/>
  <c r="HM17" i="7"/>
  <c r="HN17" i="7"/>
  <c r="HO17" i="7"/>
  <c r="HH18" i="7"/>
  <c r="HI18" i="7"/>
  <c r="HJ18" i="7"/>
  <c r="HK18" i="7"/>
  <c r="HL18" i="7"/>
  <c r="HM18" i="7"/>
  <c r="HN18" i="7"/>
  <c r="HO18" i="7"/>
  <c r="HH19" i="7"/>
  <c r="HI19" i="7"/>
  <c r="HJ19" i="7"/>
  <c r="HK19" i="7"/>
  <c r="HL19" i="7"/>
  <c r="HM19" i="7"/>
  <c r="HN19" i="7"/>
  <c r="HO19" i="7"/>
  <c r="GV20" i="7"/>
  <c r="GW20" i="7"/>
  <c r="GX20" i="7"/>
  <c r="GY20" i="7"/>
  <c r="GZ20" i="7"/>
  <c r="HA20" i="7"/>
  <c r="HB20" i="7"/>
  <c r="HC20" i="7"/>
  <c r="HD20" i="7"/>
  <c r="HE20" i="7"/>
  <c r="HF20" i="7"/>
  <c r="HG20" i="7"/>
  <c r="HH20" i="7"/>
  <c r="HI20" i="7"/>
  <c r="HJ20" i="7"/>
  <c r="HK20" i="7"/>
  <c r="HL20" i="7"/>
  <c r="HM20" i="7"/>
  <c r="HN20" i="7"/>
  <c r="HO20" i="7"/>
  <c r="GV21" i="7"/>
  <c r="GW21" i="7"/>
  <c r="GX21" i="7"/>
  <c r="GY21" i="7"/>
  <c r="GZ21" i="7"/>
  <c r="HA21" i="7"/>
  <c r="HB21" i="7"/>
  <c r="HC21" i="7"/>
  <c r="HD21" i="7"/>
  <c r="HE21" i="7"/>
  <c r="HF21" i="7"/>
  <c r="HG21" i="7"/>
  <c r="HH21" i="7"/>
  <c r="HI21" i="7"/>
  <c r="HJ21" i="7"/>
  <c r="HK21" i="7"/>
  <c r="HL21" i="7"/>
  <c r="HM21" i="7"/>
  <c r="HN21" i="7"/>
  <c r="HO21" i="7"/>
  <c r="GV22" i="7"/>
  <c r="GW22" i="7"/>
  <c r="GX22" i="7"/>
  <c r="GY22" i="7"/>
  <c r="GZ22" i="7"/>
  <c r="HA22" i="7"/>
  <c r="HB22" i="7"/>
  <c r="HC22" i="7"/>
  <c r="HD22" i="7"/>
  <c r="HE22" i="7"/>
  <c r="HF22" i="7"/>
  <c r="HG22" i="7"/>
  <c r="HH22" i="7"/>
  <c r="HI22" i="7"/>
  <c r="HJ22" i="7"/>
  <c r="HK22" i="7"/>
  <c r="HL22" i="7"/>
  <c r="HM22" i="7"/>
  <c r="HN22" i="7"/>
  <c r="HO22" i="7"/>
  <c r="GV23" i="7"/>
  <c r="GW23" i="7"/>
  <c r="GX23" i="7"/>
  <c r="GY23" i="7"/>
  <c r="GZ23" i="7"/>
  <c r="HA23" i="7"/>
  <c r="HB23" i="7"/>
  <c r="HC23" i="7"/>
  <c r="HD23" i="7"/>
  <c r="HE23" i="7"/>
  <c r="HF23" i="7"/>
  <c r="HG23" i="7"/>
  <c r="HH23" i="7"/>
  <c r="HI23" i="7"/>
  <c r="HJ23" i="7"/>
  <c r="HK23" i="7"/>
  <c r="HL23" i="7"/>
  <c r="HM23" i="7"/>
  <c r="HN23" i="7"/>
  <c r="HO23" i="7"/>
  <c r="GW4" i="7"/>
  <c r="GX4" i="7"/>
  <c r="GY4" i="7"/>
  <c r="GZ4" i="7"/>
  <c r="HA4" i="7"/>
  <c r="HB4" i="7"/>
  <c r="HC4" i="7"/>
  <c r="HD4" i="7"/>
  <c r="HE4" i="7"/>
  <c r="HF4" i="7"/>
  <c r="HG4" i="7"/>
  <c r="HH4" i="7"/>
  <c r="HI4" i="7"/>
  <c r="HJ4" i="7"/>
  <c r="HK4" i="7"/>
  <c r="HL4" i="7"/>
  <c r="HM4" i="7"/>
  <c r="HN4" i="7"/>
  <c r="HO4" i="7"/>
  <c r="GV4" i="7"/>
  <c r="K195" i="14"/>
  <c r="A195" i="14"/>
  <c r="B195" i="14"/>
  <c r="A193" i="14"/>
  <c r="B193" i="14"/>
  <c r="K193" i="14" s="1"/>
  <c r="A191" i="14"/>
  <c r="B191" i="14"/>
  <c r="K191" i="14" s="1"/>
  <c r="A189" i="14"/>
  <c r="B189" i="14"/>
  <c r="K189" i="14" s="1"/>
  <c r="B187" i="14"/>
  <c r="K187" i="14" s="1"/>
  <c r="A187" i="14"/>
  <c r="R218" i="14"/>
  <c r="S218" i="14" s="1"/>
  <c r="R217" i="14"/>
  <c r="S217" i="14" s="1"/>
  <c r="R214" i="14"/>
  <c r="BQ5" i="7"/>
  <c r="BR5" i="7"/>
  <c r="BT5" i="7"/>
  <c r="BU5" i="7"/>
  <c r="BV5" i="7"/>
  <c r="BW5" i="7"/>
  <c r="BX5" i="7"/>
  <c r="BY5" i="7"/>
  <c r="BZ5" i="7"/>
  <c r="CA5" i="7"/>
  <c r="CB5" i="7"/>
  <c r="CC5" i="7"/>
  <c r="CD5" i="7"/>
  <c r="CE5" i="7"/>
  <c r="CF5" i="7"/>
  <c r="CG5" i="7"/>
  <c r="CH5" i="7"/>
  <c r="CI5" i="7"/>
  <c r="CJ5" i="7"/>
  <c r="BQ6" i="7"/>
  <c r="BR6" i="7"/>
  <c r="BS6" i="7"/>
  <c r="BT6" i="7"/>
  <c r="BU6" i="7"/>
  <c r="BV6" i="7"/>
  <c r="BW6" i="7"/>
  <c r="BX6" i="7"/>
  <c r="BY6" i="7"/>
  <c r="BZ6" i="7"/>
  <c r="CA6" i="7"/>
  <c r="CB6" i="7"/>
  <c r="CC6" i="7"/>
  <c r="CD6" i="7"/>
  <c r="CE6" i="7"/>
  <c r="CF6" i="7"/>
  <c r="CG6" i="7"/>
  <c r="CH6" i="7"/>
  <c r="CI6" i="7"/>
  <c r="CJ6" i="7"/>
  <c r="BQ7" i="7"/>
  <c r="BR7" i="7"/>
  <c r="BS7" i="7"/>
  <c r="BT7" i="7"/>
  <c r="BU7" i="7"/>
  <c r="BV7" i="7"/>
  <c r="BW7" i="7"/>
  <c r="BX7" i="7"/>
  <c r="BY7" i="7"/>
  <c r="BZ7" i="7"/>
  <c r="CA7" i="7"/>
  <c r="CB7" i="7"/>
  <c r="CC7" i="7"/>
  <c r="CD7" i="7"/>
  <c r="CE7" i="7"/>
  <c r="CF7" i="7"/>
  <c r="CG7" i="7"/>
  <c r="CH7" i="7"/>
  <c r="CI7" i="7"/>
  <c r="CJ7" i="7"/>
  <c r="BQ8" i="7"/>
  <c r="BR8" i="7"/>
  <c r="BS8" i="7"/>
  <c r="BT8" i="7"/>
  <c r="BU8" i="7"/>
  <c r="BV8" i="7"/>
  <c r="BW8" i="7"/>
  <c r="BX8" i="7"/>
  <c r="BY8" i="7"/>
  <c r="BZ8" i="7"/>
  <c r="CA8" i="7"/>
  <c r="CB8" i="7"/>
  <c r="CC8" i="7"/>
  <c r="CD8" i="7"/>
  <c r="CE8" i="7"/>
  <c r="CF8" i="7"/>
  <c r="CG8" i="7"/>
  <c r="CH8" i="7"/>
  <c r="CI8" i="7"/>
  <c r="CJ8" i="7"/>
  <c r="BR4" i="7"/>
  <c r="BT4" i="7"/>
  <c r="BU4" i="7"/>
  <c r="BV4" i="7"/>
  <c r="BW4" i="7"/>
  <c r="BX4" i="7"/>
  <c r="BY4" i="7"/>
  <c r="BZ4" i="7"/>
  <c r="CA4" i="7"/>
  <c r="CB4" i="7"/>
  <c r="CC4" i="7"/>
  <c r="CD4" i="7"/>
  <c r="CE4" i="7"/>
  <c r="CF4" i="7"/>
  <c r="CG4" i="7"/>
  <c r="CH4" i="7"/>
  <c r="CI4" i="7"/>
  <c r="CJ4" i="7"/>
  <c r="BQ4" i="7"/>
  <c r="BZ9" i="7"/>
  <c r="CA9" i="7"/>
  <c r="CB9" i="7"/>
  <c r="CC9" i="7"/>
  <c r="CD9" i="7"/>
  <c r="CE9" i="7"/>
  <c r="CF9" i="7"/>
  <c r="CG9" i="7"/>
  <c r="CH9" i="7"/>
  <c r="CI9" i="7"/>
  <c r="CJ9" i="7"/>
  <c r="BY13" i="7"/>
  <c r="BZ13" i="7"/>
  <c r="CA13" i="7"/>
  <c r="CB13" i="7"/>
  <c r="CC13" i="7"/>
  <c r="CD13" i="7"/>
  <c r="CE13" i="7"/>
  <c r="CF13" i="7"/>
  <c r="CG13" i="7"/>
  <c r="CH13" i="7"/>
  <c r="CI13" i="7"/>
  <c r="CJ13" i="7"/>
  <c r="CC17" i="7"/>
  <c r="CD17" i="7"/>
  <c r="CE17" i="7"/>
  <c r="CF17" i="7"/>
  <c r="CG17" i="7"/>
  <c r="CH17" i="7"/>
  <c r="CI17" i="7"/>
  <c r="CJ17" i="7"/>
  <c r="BY18" i="7"/>
  <c r="BZ18" i="7"/>
  <c r="CA18" i="7"/>
  <c r="CB18" i="7"/>
  <c r="CC18" i="7"/>
  <c r="CD18" i="7"/>
  <c r="CE18" i="7"/>
  <c r="CF18" i="7"/>
  <c r="CG18" i="7"/>
  <c r="CH18" i="7"/>
  <c r="CI18" i="7"/>
  <c r="CJ18" i="7"/>
  <c r="BY19" i="7"/>
  <c r="BZ19" i="7"/>
  <c r="CA19" i="7"/>
  <c r="CB19" i="7"/>
  <c r="CC19" i="7"/>
  <c r="CD19" i="7"/>
  <c r="CE19" i="7"/>
  <c r="CF19" i="7"/>
  <c r="CG19" i="7"/>
  <c r="CH19" i="7"/>
  <c r="CI19" i="7"/>
  <c r="CJ19" i="7"/>
  <c r="BY20" i="7"/>
  <c r="BZ20" i="7"/>
  <c r="CA20" i="7"/>
  <c r="CB20" i="7"/>
  <c r="CC20" i="7"/>
  <c r="CD20" i="7"/>
  <c r="CE20" i="7"/>
  <c r="CF20" i="7"/>
  <c r="CG20" i="7"/>
  <c r="CH20" i="7"/>
  <c r="CI20" i="7"/>
  <c r="CJ20" i="7"/>
  <c r="CO25" i="15"/>
  <c r="DN25" i="15"/>
  <c r="DN31" i="15"/>
  <c r="DO31" i="15"/>
  <c r="DN32" i="15"/>
  <c r="DO32" i="15"/>
  <c r="DO25" i="15"/>
  <c r="CO31" i="15"/>
  <c r="CP31" i="15"/>
  <c r="CO32" i="15"/>
  <c r="CP32" i="15"/>
  <c r="CP25" i="15"/>
  <c r="BP31" i="15"/>
  <c r="BQ31" i="15"/>
  <c r="BP32" i="15"/>
  <c r="BQ32" i="15"/>
  <c r="BP25" i="15"/>
  <c r="BQ25" i="15"/>
  <c r="D18" i="9"/>
  <c r="I18" i="9" s="1"/>
  <c r="E18" i="9"/>
  <c r="J18" i="9" s="1"/>
  <c r="F18" i="9"/>
  <c r="K18" i="9" s="1"/>
  <c r="G18" i="9"/>
  <c r="H18" i="9"/>
  <c r="M18" i="9" s="1"/>
  <c r="D19" i="9"/>
  <c r="I19" i="9" s="1"/>
  <c r="E19" i="9"/>
  <c r="J19" i="9" s="1"/>
  <c r="F19" i="9"/>
  <c r="K19" i="9" s="1"/>
  <c r="G19" i="9"/>
  <c r="H19" i="9"/>
  <c r="M19" i="9" s="1"/>
  <c r="BZ71" i="15"/>
  <c r="BZ74" i="15" s="1"/>
  <c r="CN65" i="15"/>
  <c r="CN68" i="15" s="1"/>
  <c r="CM65" i="15"/>
  <c r="CM68" i="15" s="1"/>
  <c r="CL65" i="15"/>
  <c r="CL68" i="15" s="1"/>
  <c r="CK65" i="15"/>
  <c r="CK68" i="15" s="1"/>
  <c r="CJ65" i="15"/>
  <c r="CJ68" i="15" s="1"/>
  <c r="CI65" i="15"/>
  <c r="CI68" i="15" s="1"/>
  <c r="CH65" i="15"/>
  <c r="CH68" i="15" s="1"/>
  <c r="CG65" i="15"/>
  <c r="CG68" i="15" s="1"/>
  <c r="CF65" i="15"/>
  <c r="CF68" i="15" s="1"/>
  <c r="CE65" i="15"/>
  <c r="CE68" i="15" s="1"/>
  <c r="CD65" i="15"/>
  <c r="CD68" i="15" s="1"/>
  <c r="CC65" i="15"/>
  <c r="CC68" i="15" s="1"/>
  <c r="CB65" i="15"/>
  <c r="CB68" i="15" s="1"/>
  <c r="CA65" i="15"/>
  <c r="CA68" i="15" s="1"/>
  <c r="BZ65" i="15"/>
  <c r="BZ68" i="15" s="1"/>
  <c r="CN64" i="15"/>
  <c r="CN67" i="15" s="1"/>
  <c r="CM64" i="15"/>
  <c r="CM67" i="15" s="1"/>
  <c r="CL64" i="15"/>
  <c r="CL67" i="15" s="1"/>
  <c r="CK64" i="15"/>
  <c r="CK67" i="15" s="1"/>
  <c r="CJ64" i="15"/>
  <c r="CJ67" i="15" s="1"/>
  <c r="CI64" i="15"/>
  <c r="CI67" i="15" s="1"/>
  <c r="CH64" i="15"/>
  <c r="CH67" i="15" s="1"/>
  <c r="CG64" i="15"/>
  <c r="CG67" i="15" s="1"/>
  <c r="CF64" i="15"/>
  <c r="CF67" i="15" s="1"/>
  <c r="CE64" i="15"/>
  <c r="CE67" i="15" s="1"/>
  <c r="CD64" i="15"/>
  <c r="CD67" i="15" s="1"/>
  <c r="CC64" i="15"/>
  <c r="CC67" i="15" s="1"/>
  <c r="CB64" i="15"/>
  <c r="CB67" i="15" s="1"/>
  <c r="CA64" i="15"/>
  <c r="CA67" i="15" s="1"/>
  <c r="BZ64" i="15"/>
  <c r="DM32" i="15"/>
  <c r="DL32" i="15"/>
  <c r="DK32" i="15"/>
  <c r="DJ32" i="15"/>
  <c r="DI32" i="15"/>
  <c r="DH32" i="15"/>
  <c r="DG32" i="15"/>
  <c r="DF32" i="15"/>
  <c r="DE32" i="15"/>
  <c r="DD32" i="15"/>
  <c r="DC32" i="15"/>
  <c r="DB32" i="15"/>
  <c r="DA32" i="15"/>
  <c r="CZ32" i="15"/>
  <c r="CY32" i="15"/>
  <c r="CN32" i="15"/>
  <c r="CM32" i="15"/>
  <c r="CL32" i="15"/>
  <c r="CK32" i="15"/>
  <c r="CJ32" i="15"/>
  <c r="CI32" i="15"/>
  <c r="CH32" i="15"/>
  <c r="CG32" i="15"/>
  <c r="CF32" i="15"/>
  <c r="CE32" i="15"/>
  <c r="CD32" i="15"/>
  <c r="CC32" i="15"/>
  <c r="CB32" i="15"/>
  <c r="CA32" i="15"/>
  <c r="BZ32" i="15"/>
  <c r="BO32" i="15"/>
  <c r="BN32" i="15"/>
  <c r="BM32" i="15"/>
  <c r="BL32" i="15"/>
  <c r="BK32" i="15"/>
  <c r="BJ32" i="15"/>
  <c r="BI32" i="15"/>
  <c r="BH32" i="15"/>
  <c r="BG32" i="15"/>
  <c r="BF32" i="15"/>
  <c r="BE32" i="15"/>
  <c r="BD32" i="15"/>
  <c r="BC32" i="15"/>
  <c r="BB32" i="15"/>
  <c r="Y32" i="15"/>
  <c r="X32" i="15"/>
  <c r="W32" i="15"/>
  <c r="V32" i="15"/>
  <c r="U32" i="15"/>
  <c r="T32" i="15"/>
  <c r="S32" i="15"/>
  <c r="R32" i="15"/>
  <c r="Q32" i="15"/>
  <c r="P32" i="15"/>
  <c r="O32" i="15"/>
  <c r="N32" i="15"/>
  <c r="M32" i="15"/>
  <c r="L32" i="15"/>
  <c r="K32" i="15"/>
  <c r="DM31" i="15"/>
  <c r="DL31" i="15"/>
  <c r="DK31" i="15"/>
  <c r="DJ31" i="15"/>
  <c r="DI31" i="15"/>
  <c r="DH31" i="15"/>
  <c r="DG31" i="15"/>
  <c r="DF31" i="15"/>
  <c r="DE31" i="15"/>
  <c r="DD31" i="15"/>
  <c r="DC31" i="15"/>
  <c r="DB31" i="15"/>
  <c r="DA31" i="15"/>
  <c r="CZ31" i="15"/>
  <c r="CY31" i="15"/>
  <c r="CN31" i="15"/>
  <c r="CM31" i="15"/>
  <c r="CL31" i="15"/>
  <c r="CK31" i="15"/>
  <c r="CJ31" i="15"/>
  <c r="CI31" i="15"/>
  <c r="CH31" i="15"/>
  <c r="CG31" i="15"/>
  <c r="CF31" i="15"/>
  <c r="CE31" i="15"/>
  <c r="CD31" i="15"/>
  <c r="CC31" i="15"/>
  <c r="CB31" i="15"/>
  <c r="CA31" i="15"/>
  <c r="BZ31" i="15"/>
  <c r="BO31" i="15"/>
  <c r="BN31" i="15"/>
  <c r="BM31" i="15"/>
  <c r="BL31" i="15"/>
  <c r="BK31" i="15"/>
  <c r="BJ31" i="15"/>
  <c r="BI31" i="15"/>
  <c r="BH31" i="15"/>
  <c r="BG31" i="15"/>
  <c r="BF31" i="15"/>
  <c r="BE31" i="15"/>
  <c r="BD31" i="15"/>
  <c r="BC31" i="15"/>
  <c r="BB31" i="15"/>
  <c r="Y31" i="15"/>
  <c r="X31" i="15"/>
  <c r="W31" i="15"/>
  <c r="V31" i="15"/>
  <c r="U31" i="15"/>
  <c r="T31" i="15"/>
  <c r="S31" i="15"/>
  <c r="R31" i="15"/>
  <c r="Q31" i="15"/>
  <c r="P31" i="15"/>
  <c r="O31" i="15"/>
  <c r="N31" i="15"/>
  <c r="M31" i="15"/>
  <c r="L31" i="15"/>
  <c r="K31" i="15"/>
  <c r="DH23" i="15"/>
  <c r="B19" i="15"/>
  <c r="K8" i="15" a="1"/>
  <c r="D217" i="14"/>
  <c r="E217" i="14"/>
  <c r="F217" i="14"/>
  <c r="G217" i="14"/>
  <c r="H217" i="14"/>
  <c r="I217" i="14"/>
  <c r="J217" i="14"/>
  <c r="K217" i="14"/>
  <c r="L217" i="14"/>
  <c r="M217" i="14"/>
  <c r="N217" i="14"/>
  <c r="O217" i="14"/>
  <c r="P217" i="14"/>
  <c r="Q217" i="14"/>
  <c r="D218" i="14"/>
  <c r="E218" i="14"/>
  <c r="F218" i="14"/>
  <c r="G218" i="14"/>
  <c r="H218" i="14"/>
  <c r="I218" i="14"/>
  <c r="J218" i="14"/>
  <c r="K218" i="14"/>
  <c r="L218" i="14"/>
  <c r="M218" i="14"/>
  <c r="N218" i="14"/>
  <c r="O218" i="14"/>
  <c r="P218" i="14"/>
  <c r="Q218" i="14"/>
  <c r="D209" i="14"/>
  <c r="E209" i="14"/>
  <c r="F209" i="14"/>
  <c r="G209" i="14"/>
  <c r="H209" i="14"/>
  <c r="I209" i="14"/>
  <c r="J209" i="14"/>
  <c r="K209" i="14"/>
  <c r="L209" i="14"/>
  <c r="M209" i="14"/>
  <c r="D210" i="14"/>
  <c r="E210" i="14"/>
  <c r="F210" i="14"/>
  <c r="G210" i="14"/>
  <c r="H210" i="14"/>
  <c r="I210" i="14"/>
  <c r="J210" i="14"/>
  <c r="K210" i="14"/>
  <c r="L210" i="14"/>
  <c r="M210" i="14"/>
  <c r="D211" i="14"/>
  <c r="E211" i="14"/>
  <c r="F211" i="14"/>
  <c r="G211" i="14"/>
  <c r="H211" i="14"/>
  <c r="I211" i="14"/>
  <c r="J211" i="14"/>
  <c r="K211" i="14"/>
  <c r="L211" i="14"/>
  <c r="M211" i="14"/>
  <c r="D212" i="14"/>
  <c r="E212" i="14"/>
  <c r="F212" i="14"/>
  <c r="G212" i="14"/>
  <c r="H212" i="14"/>
  <c r="I212" i="14"/>
  <c r="J212" i="14"/>
  <c r="K212" i="14"/>
  <c r="L212" i="14"/>
  <c r="M212" i="14"/>
  <c r="D213" i="14"/>
  <c r="D214" i="14"/>
  <c r="E214" i="14"/>
  <c r="F214" i="14"/>
  <c r="G214" i="14"/>
  <c r="H214" i="14"/>
  <c r="I214" i="14"/>
  <c r="J214" i="14"/>
  <c r="K214" i="14"/>
  <c r="L214" i="14"/>
  <c r="M214" i="14"/>
  <c r="N214" i="14"/>
  <c r="O214" i="14"/>
  <c r="P214" i="14"/>
  <c r="Q214" i="14"/>
  <c r="D215" i="14"/>
  <c r="E215" i="14"/>
  <c r="F215" i="14"/>
  <c r="G215" i="14"/>
  <c r="H215" i="14"/>
  <c r="I215" i="14"/>
  <c r="J215" i="14"/>
  <c r="K215" i="14"/>
  <c r="L215" i="14"/>
  <c r="M215" i="14"/>
  <c r="N215" i="14"/>
  <c r="O215" i="14"/>
  <c r="P215" i="14"/>
  <c r="Q215" i="14"/>
  <c r="D216" i="14"/>
  <c r="D200" i="14"/>
  <c r="E200" i="14"/>
  <c r="D201" i="14"/>
  <c r="E201" i="14"/>
  <c r="D202" i="14"/>
  <c r="D203" i="14"/>
  <c r="D204" i="14"/>
  <c r="D205" i="14"/>
  <c r="D206" i="14"/>
  <c r="D207" i="14"/>
  <c r="D208" i="14"/>
  <c r="E196" i="14"/>
  <c r="N177" i="14"/>
  <c r="N178" i="14"/>
  <c r="N179" i="14"/>
  <c r="N180" i="14"/>
  <c r="N181" i="14"/>
  <c r="N182" i="14"/>
  <c r="N183" i="14"/>
  <c r="N184" i="14"/>
  <c r="N185" i="14"/>
  <c r="N186" i="14"/>
  <c r="N187" i="14"/>
  <c r="N188" i="14"/>
  <c r="N189" i="14"/>
  <c r="N190" i="14"/>
  <c r="N191" i="14"/>
  <c r="N192" i="14"/>
  <c r="N193" i="14"/>
  <c r="N194" i="14"/>
  <c r="N195" i="14"/>
  <c r="N176" i="14"/>
  <c r="G195" i="14"/>
  <c r="H195" i="14"/>
  <c r="G188" i="14"/>
  <c r="H188" i="14"/>
  <c r="G189" i="14"/>
  <c r="H189" i="14"/>
  <c r="F180" i="14"/>
  <c r="G180" i="14"/>
  <c r="G187" i="14"/>
  <c r="G190" i="14"/>
  <c r="G191" i="14"/>
  <c r="G192" i="14"/>
  <c r="G193" i="14"/>
  <c r="G194" i="14"/>
  <c r="G186" i="14"/>
  <c r="H187" i="14"/>
  <c r="H190" i="14"/>
  <c r="H191" i="14"/>
  <c r="H192" i="14"/>
  <c r="H193" i="14"/>
  <c r="H194" i="14"/>
  <c r="H186" i="14"/>
  <c r="G178" i="14"/>
  <c r="G179" i="14"/>
  <c r="G177" i="14"/>
  <c r="F181" i="14"/>
  <c r="F182" i="14"/>
  <c r="F183" i="14"/>
  <c r="F178" i="14"/>
  <c r="F179" i="14"/>
  <c r="F177" i="14"/>
  <c r="E3" i="9"/>
  <c r="U20" i="10"/>
  <c r="U19" i="10"/>
  <c r="E4" i="9"/>
  <c r="J4" i="9" s="1"/>
  <c r="J5" i="9"/>
  <c r="E6" i="9"/>
  <c r="J6" i="9" s="1"/>
  <c r="E7" i="9"/>
  <c r="J7" i="9" s="1"/>
  <c r="E8" i="9"/>
  <c r="J8" i="9" s="1"/>
  <c r="E9" i="9"/>
  <c r="J9" i="9" s="1"/>
  <c r="E10" i="9"/>
  <c r="J10" i="9" s="1"/>
  <c r="E11" i="9"/>
  <c r="J11" i="9" s="1"/>
  <c r="E12" i="9"/>
  <c r="J12" i="9" s="1"/>
  <c r="E13" i="9"/>
  <c r="J13" i="9" s="1"/>
  <c r="E14" i="9"/>
  <c r="J14" i="9" s="1"/>
  <c r="E15" i="9"/>
  <c r="J15" i="9" s="1"/>
  <c r="E16" i="9"/>
  <c r="J16" i="9" s="1"/>
  <c r="E17" i="9"/>
  <c r="J17" i="9" s="1"/>
  <c r="D4" i="9"/>
  <c r="I4" i="9" s="1"/>
  <c r="D5" i="9"/>
  <c r="I5" i="9" s="1"/>
  <c r="D6" i="9"/>
  <c r="I6" i="9" s="1"/>
  <c r="D7" i="9"/>
  <c r="I7" i="9" s="1"/>
  <c r="D8" i="9"/>
  <c r="I8" i="9" s="1"/>
  <c r="D9" i="9"/>
  <c r="I9" i="9" s="1"/>
  <c r="D10" i="9"/>
  <c r="I10" i="9" s="1"/>
  <c r="D11" i="9"/>
  <c r="I11" i="9" s="1"/>
  <c r="D12" i="9"/>
  <c r="I12" i="9" s="1"/>
  <c r="D13" i="9"/>
  <c r="I13" i="9" s="1"/>
  <c r="D14" i="9"/>
  <c r="I14" i="9" s="1"/>
  <c r="D15" i="9"/>
  <c r="I15" i="9" s="1"/>
  <c r="D16" i="9"/>
  <c r="I16" i="9" s="1"/>
  <c r="D17" i="9"/>
  <c r="I17" i="9" s="1"/>
  <c r="H3" i="9"/>
  <c r="M3" i="9" s="1"/>
  <c r="H45" i="10"/>
  <c r="G38" i="13"/>
  <c r="F39" i="13"/>
  <c r="G39" i="13" s="1"/>
  <c r="F40" i="13"/>
  <c r="G40" i="13" s="1"/>
  <c r="F3" i="13"/>
  <c r="G3" i="13"/>
  <c r="F5" i="13"/>
  <c r="G5" i="13"/>
  <c r="F7" i="13"/>
  <c r="G7" i="13"/>
  <c r="F9" i="13"/>
  <c r="G9" i="13"/>
  <c r="F10" i="13"/>
  <c r="G10" i="13"/>
  <c r="F11" i="13"/>
  <c r="G11" i="13"/>
  <c r="F13" i="13"/>
  <c r="G13" i="13"/>
  <c r="F14" i="13"/>
  <c r="G14" i="13"/>
  <c r="F15" i="13"/>
  <c r="G15" i="13"/>
  <c r="F17" i="13"/>
  <c r="G17" i="13"/>
  <c r="F19" i="13"/>
  <c r="G19" i="13"/>
  <c r="F21" i="13"/>
  <c r="G21" i="13"/>
  <c r="F22" i="13"/>
  <c r="F23" i="13"/>
  <c r="G23" i="13"/>
  <c r="F24" i="13"/>
  <c r="G24" i="13"/>
  <c r="F25" i="13"/>
  <c r="G25" i="13"/>
  <c r="F26" i="13"/>
  <c r="G26" i="13"/>
  <c r="F27" i="13"/>
  <c r="G27" i="13"/>
  <c r="N22" i="10"/>
  <c r="P15" i="10"/>
  <c r="N52" i="10"/>
  <c r="BB25" i="15" l="1"/>
  <c r="J3" i="9"/>
  <c r="CY10" i="15" a="1"/>
  <c r="BZ10" i="15" a="1"/>
  <c r="CY11" i="15" a="1"/>
  <c r="CY11" i="15" s="1"/>
  <c r="D50" i="15"/>
  <c r="F50" i="15" s="1"/>
  <c r="L19" i="9"/>
  <c r="L18" i="9"/>
  <c r="BA26" i="15"/>
  <c r="T217" i="14"/>
  <c r="T218" i="14"/>
  <c r="BP23" i="15"/>
  <c r="BQ23" i="15"/>
  <c r="CP23" i="15"/>
  <c r="CO23" i="15"/>
  <c r="DO23" i="15"/>
  <c r="DN23" i="15"/>
  <c r="C52" i="15"/>
  <c r="C53" i="15" s="1"/>
  <c r="C54" i="15"/>
  <c r="E216" i="14"/>
  <c r="E213" i="14"/>
  <c r="D135" i="14" s="1"/>
  <c r="AG135" i="14" s="1"/>
  <c r="GW17" i="7" s="1"/>
  <c r="D28" i="9"/>
  <c r="D27" i="9"/>
  <c r="D26" i="9"/>
  <c r="E28" i="9"/>
  <c r="E27" i="9"/>
  <c r="E26" i="9"/>
  <c r="E25" i="9"/>
  <c r="D25" i="9"/>
  <c r="D230" i="14"/>
  <c r="D229" i="14"/>
  <c r="D228" i="14"/>
  <c r="D227" i="14"/>
  <c r="D226" i="14"/>
  <c r="D225" i="14"/>
  <c r="D224" i="14"/>
  <c r="E223" i="14"/>
  <c r="D223" i="14"/>
  <c r="E222" i="14"/>
  <c r="D222" i="14"/>
  <c r="L137" i="14"/>
  <c r="AO137" i="14" s="1"/>
  <c r="HE19" i="7" s="1"/>
  <c r="L110" i="14"/>
  <c r="AO110" i="14" s="1"/>
  <c r="L78" i="14"/>
  <c r="AO78" i="14" s="1"/>
  <c r="K137" i="14"/>
  <c r="AN137" i="14" s="1"/>
  <c r="HD19" i="7" s="1"/>
  <c r="K110" i="14"/>
  <c r="AN110" i="14" s="1"/>
  <c r="K78" i="14"/>
  <c r="AN78" i="14" s="1"/>
  <c r="J137" i="14"/>
  <c r="AM137" i="14" s="1"/>
  <c r="HC19" i="7" s="1"/>
  <c r="J110" i="14"/>
  <c r="AM110" i="14" s="1"/>
  <c r="J78" i="14"/>
  <c r="AM78" i="14" s="1"/>
  <c r="J50" i="14"/>
  <c r="AM50" i="14" s="1"/>
  <c r="BX20" i="7" s="1"/>
  <c r="I137" i="14"/>
  <c r="AL137" i="14" s="1"/>
  <c r="HB19" i="7" s="1"/>
  <c r="I110" i="14"/>
  <c r="AL110" i="14" s="1"/>
  <c r="I78" i="14"/>
  <c r="AL78" i="14" s="1"/>
  <c r="I50" i="14"/>
  <c r="AL50" i="14" s="1"/>
  <c r="BW20" i="7" s="1"/>
  <c r="H137" i="14"/>
  <c r="AK137" i="14" s="1"/>
  <c r="HA19" i="7" s="1"/>
  <c r="H110" i="14"/>
  <c r="AK110" i="14" s="1"/>
  <c r="H78" i="14"/>
  <c r="AK78" i="14" s="1"/>
  <c r="H50" i="14"/>
  <c r="AK50" i="14" s="1"/>
  <c r="BV20" i="7" s="1"/>
  <c r="G137" i="14"/>
  <c r="AJ137" i="14" s="1"/>
  <c r="GZ19" i="7" s="1"/>
  <c r="G110" i="14"/>
  <c r="AJ110" i="14" s="1"/>
  <c r="G78" i="14"/>
  <c r="AJ78" i="14" s="1"/>
  <c r="G50" i="14"/>
  <c r="AJ50" i="14" s="1"/>
  <c r="BU20" i="7" s="1"/>
  <c r="F137" i="14"/>
  <c r="AI137" i="14" s="1"/>
  <c r="GY19" i="7" s="1"/>
  <c r="F110" i="14"/>
  <c r="AI110" i="14" s="1"/>
  <c r="F78" i="14"/>
  <c r="AI78" i="14" s="1"/>
  <c r="F50" i="14"/>
  <c r="AI50" i="14" s="1"/>
  <c r="BT20" i="7" s="1"/>
  <c r="E137" i="14"/>
  <c r="AH137" i="14" s="1"/>
  <c r="GX19" i="7" s="1"/>
  <c r="E110" i="14"/>
  <c r="AH110" i="14" s="1"/>
  <c r="E78" i="14"/>
  <c r="AH78" i="14" s="1"/>
  <c r="E50" i="14"/>
  <c r="AH50" i="14" s="1"/>
  <c r="BS20" i="7" s="1"/>
  <c r="D137" i="14"/>
  <c r="AG137" i="14" s="1"/>
  <c r="GW19" i="7" s="1"/>
  <c r="D110" i="14"/>
  <c r="AG110" i="14" s="1"/>
  <c r="D78" i="14"/>
  <c r="AG78" i="14" s="1"/>
  <c r="D50" i="14"/>
  <c r="AG50" i="14" s="1"/>
  <c r="BR20" i="7" s="1"/>
  <c r="C137" i="14"/>
  <c r="AF137" i="14" s="1"/>
  <c r="GV19" i="7" s="1"/>
  <c r="C110" i="14"/>
  <c r="AF110" i="14" s="1"/>
  <c r="C78" i="14"/>
  <c r="AF78" i="14" s="1"/>
  <c r="C50" i="14"/>
  <c r="AF50" i="14" s="1"/>
  <c r="BQ20" i="7" s="1"/>
  <c r="L136" i="14"/>
  <c r="AO136" i="14" s="1"/>
  <c r="HE18" i="7" s="1"/>
  <c r="L109" i="14"/>
  <c r="AO109" i="14" s="1"/>
  <c r="L77" i="14"/>
  <c r="AO77" i="14" s="1"/>
  <c r="K136" i="14"/>
  <c r="AN136" i="14" s="1"/>
  <c r="HD18" i="7" s="1"/>
  <c r="K109" i="14"/>
  <c r="AN109" i="14" s="1"/>
  <c r="K77" i="14"/>
  <c r="AN77" i="14" s="1"/>
  <c r="J136" i="14"/>
  <c r="AM136" i="14" s="1"/>
  <c r="HC18" i="7" s="1"/>
  <c r="J109" i="14"/>
  <c r="AM109" i="14" s="1"/>
  <c r="J77" i="14"/>
  <c r="AM77" i="14" s="1"/>
  <c r="J49" i="14"/>
  <c r="AM49" i="14" s="1"/>
  <c r="BX19" i="7" s="1"/>
  <c r="I136" i="14"/>
  <c r="AL136" i="14" s="1"/>
  <c r="HB18" i="7" s="1"/>
  <c r="I109" i="14"/>
  <c r="AL109" i="14" s="1"/>
  <c r="I77" i="14"/>
  <c r="AL77" i="14" s="1"/>
  <c r="I49" i="14"/>
  <c r="AL49" i="14" s="1"/>
  <c r="BW19" i="7" s="1"/>
  <c r="H136" i="14"/>
  <c r="AK136" i="14" s="1"/>
  <c r="HA18" i="7" s="1"/>
  <c r="H109" i="14"/>
  <c r="AK109" i="14" s="1"/>
  <c r="H77" i="14"/>
  <c r="AK77" i="14" s="1"/>
  <c r="H49" i="14"/>
  <c r="AK49" i="14" s="1"/>
  <c r="BV19" i="7" s="1"/>
  <c r="G136" i="14"/>
  <c r="AJ136" i="14" s="1"/>
  <c r="GZ18" i="7" s="1"/>
  <c r="G109" i="14"/>
  <c r="AJ109" i="14" s="1"/>
  <c r="G77" i="14"/>
  <c r="AJ77" i="14" s="1"/>
  <c r="G49" i="14"/>
  <c r="AJ49" i="14" s="1"/>
  <c r="BU19" i="7" s="1"/>
  <c r="F136" i="14"/>
  <c r="AI136" i="14" s="1"/>
  <c r="GY18" i="7" s="1"/>
  <c r="F109" i="14"/>
  <c r="AI109" i="14" s="1"/>
  <c r="F77" i="14"/>
  <c r="AI77" i="14" s="1"/>
  <c r="F49" i="14"/>
  <c r="AI49" i="14" s="1"/>
  <c r="BT19" i="7" s="1"/>
  <c r="E136" i="14"/>
  <c r="AH136" i="14" s="1"/>
  <c r="GX18" i="7" s="1"/>
  <c r="E109" i="14"/>
  <c r="AH109" i="14" s="1"/>
  <c r="E77" i="14"/>
  <c r="AH77" i="14" s="1"/>
  <c r="E49" i="14"/>
  <c r="AH49" i="14" s="1"/>
  <c r="BS19" i="7" s="1"/>
  <c r="D136" i="14"/>
  <c r="AG136" i="14" s="1"/>
  <c r="GW18" i="7" s="1"/>
  <c r="D109" i="14"/>
  <c r="AG109" i="14" s="1"/>
  <c r="D77" i="14"/>
  <c r="AG77" i="14" s="1"/>
  <c r="D49" i="14"/>
  <c r="AG49" i="14" s="1"/>
  <c r="BR19" i="7" s="1"/>
  <c r="C136" i="14"/>
  <c r="AF136" i="14" s="1"/>
  <c r="GV18" i="7" s="1"/>
  <c r="C109" i="14"/>
  <c r="AF109" i="14" s="1"/>
  <c r="C77" i="14"/>
  <c r="AF77" i="14" s="1"/>
  <c r="C49" i="14"/>
  <c r="AF49" i="14" s="1"/>
  <c r="BQ19" i="7" s="1"/>
  <c r="D108" i="14"/>
  <c r="AG108" i="14" s="1"/>
  <c r="C135" i="14"/>
  <c r="AF135" i="14" s="1"/>
  <c r="GV17" i="7" s="1"/>
  <c r="C108" i="14"/>
  <c r="AF108" i="14" s="1"/>
  <c r="C76" i="14"/>
  <c r="AF76" i="14" s="1"/>
  <c r="C48" i="14"/>
  <c r="AF48" i="14" s="1"/>
  <c r="BQ18" i="7" s="1"/>
  <c r="M234" i="14"/>
  <c r="L234" i="14"/>
  <c r="K234" i="14"/>
  <c r="J234" i="14"/>
  <c r="I234" i="14"/>
  <c r="H234" i="14"/>
  <c r="G234" i="14"/>
  <c r="F234" i="14"/>
  <c r="E234" i="14"/>
  <c r="D234" i="14"/>
  <c r="M233" i="14"/>
  <c r="L233" i="14"/>
  <c r="K233" i="14"/>
  <c r="J233" i="14"/>
  <c r="I233" i="14"/>
  <c r="H233" i="14"/>
  <c r="G233" i="14"/>
  <c r="F233" i="14"/>
  <c r="E233" i="14"/>
  <c r="D233" i="14"/>
  <c r="M232" i="14"/>
  <c r="L232" i="14"/>
  <c r="K232" i="14"/>
  <c r="J232" i="14"/>
  <c r="I232" i="14"/>
  <c r="H232" i="14"/>
  <c r="G232" i="14"/>
  <c r="F232" i="14"/>
  <c r="E232" i="14"/>
  <c r="D232" i="14"/>
  <c r="M231" i="14"/>
  <c r="L231" i="14"/>
  <c r="K231" i="14"/>
  <c r="J231" i="14"/>
  <c r="I231" i="14"/>
  <c r="H231" i="14"/>
  <c r="G231" i="14"/>
  <c r="F231" i="14"/>
  <c r="E231" i="14"/>
  <c r="D231" i="14"/>
  <c r="BB26" i="15"/>
  <c r="BC26" i="15"/>
  <c r="BD26" i="15"/>
  <c r="BE26" i="15"/>
  <c r="BF26" i="15"/>
  <c r="BG26" i="15"/>
  <c r="BH26" i="15"/>
  <c r="BI26" i="15"/>
  <c r="BJ26" i="15"/>
  <c r="BK26" i="15"/>
  <c r="BL26" i="15"/>
  <c r="BM26" i="15"/>
  <c r="BN26" i="15"/>
  <c r="BO26" i="15"/>
  <c r="BP26" i="15"/>
  <c r="BQ26" i="15"/>
  <c r="CA26" i="15"/>
  <c r="CB26" i="15"/>
  <c r="CC26" i="15"/>
  <c r="CD26" i="15"/>
  <c r="CE26" i="15"/>
  <c r="CF26" i="15"/>
  <c r="CG26" i="15"/>
  <c r="CH26" i="15"/>
  <c r="CI26" i="15"/>
  <c r="CJ26" i="15"/>
  <c r="CK26" i="15"/>
  <c r="CL26" i="15"/>
  <c r="CM26" i="15"/>
  <c r="CN26" i="15"/>
  <c r="CO26" i="15"/>
  <c r="CP26" i="15"/>
  <c r="BZ26" i="15"/>
  <c r="CZ26" i="15"/>
  <c r="DA26" i="15"/>
  <c r="DB26" i="15"/>
  <c r="DC26" i="15"/>
  <c r="DD26" i="15"/>
  <c r="DE26" i="15"/>
  <c r="DF26" i="15"/>
  <c r="DG26" i="15"/>
  <c r="DH26" i="15"/>
  <c r="DI26" i="15"/>
  <c r="DJ26" i="15"/>
  <c r="DK26" i="15"/>
  <c r="DL26" i="15"/>
  <c r="DM26" i="15"/>
  <c r="DN26" i="15"/>
  <c r="DO26" i="15"/>
  <c r="CY26" i="15"/>
  <c r="I186" i="14"/>
  <c r="J186" i="14" s="1"/>
  <c r="E206" i="14"/>
  <c r="I192" i="14"/>
  <c r="J192" i="14" s="1"/>
  <c r="O176" i="14"/>
  <c r="O190" i="14"/>
  <c r="I190" i="14"/>
  <c r="J190" i="14" s="1"/>
  <c r="I187" i="14"/>
  <c r="J187" i="14" s="1"/>
  <c r="F201" i="14" s="1"/>
  <c r="I188" i="14"/>
  <c r="J188" i="14" s="1"/>
  <c r="O181" i="14"/>
  <c r="E199" i="14"/>
  <c r="E203" i="14"/>
  <c r="I194" i="14"/>
  <c r="J194" i="14" s="1"/>
  <c r="I193" i="14"/>
  <c r="J193" i="14" s="1"/>
  <c r="R215" i="14" s="1"/>
  <c r="I191" i="14"/>
  <c r="J191" i="14" s="1"/>
  <c r="N212" i="14" s="1"/>
  <c r="I189" i="14"/>
  <c r="J189" i="14" s="1"/>
  <c r="N210" i="14" s="1"/>
  <c r="I195" i="14"/>
  <c r="J195" i="14" s="1"/>
  <c r="O185" i="14"/>
  <c r="CB23" i="15"/>
  <c r="CI23" i="15"/>
  <c r="CN23" i="15"/>
  <c r="DE23" i="15"/>
  <c r="DJ23" i="15"/>
  <c r="Q23" i="15"/>
  <c r="V23" i="15"/>
  <c r="CA73" i="15"/>
  <c r="CA74" i="15" s="1"/>
  <c r="BF23" i="15"/>
  <c r="BM23" i="15"/>
  <c r="U23" i="15"/>
  <c r="BE23" i="15"/>
  <c r="CA23" i="15"/>
  <c r="CM23" i="15"/>
  <c r="DI23" i="15"/>
  <c r="L26" i="15"/>
  <c r="X26" i="15"/>
  <c r="M26" i="15"/>
  <c r="Y26" i="15"/>
  <c r="K23" i="15"/>
  <c r="W23" i="15"/>
  <c r="BG23" i="15"/>
  <c r="CC23" i="15"/>
  <c r="CY23" i="15"/>
  <c r="DK23" i="15"/>
  <c r="N26" i="15"/>
  <c r="L23" i="15"/>
  <c r="X23" i="15"/>
  <c r="BH23" i="15"/>
  <c r="CD23" i="15"/>
  <c r="CZ23" i="15"/>
  <c r="DL23" i="15"/>
  <c r="O26" i="15"/>
  <c r="M23" i="15"/>
  <c r="Y23" i="15"/>
  <c r="BI23" i="15"/>
  <c r="CE23" i="15"/>
  <c r="DA23" i="15"/>
  <c r="DM23" i="15"/>
  <c r="P26" i="15"/>
  <c r="N23" i="15"/>
  <c r="BJ23" i="15"/>
  <c r="CF23" i="15"/>
  <c r="DB23" i="15"/>
  <c r="Q26" i="15"/>
  <c r="O23" i="15"/>
  <c r="BK23" i="15"/>
  <c r="CG23" i="15"/>
  <c r="DC23" i="15"/>
  <c r="R26" i="15"/>
  <c r="P23" i="15"/>
  <c r="BL23" i="15"/>
  <c r="CH23" i="15"/>
  <c r="DD23" i="15"/>
  <c r="S26" i="15"/>
  <c r="T26" i="15"/>
  <c r="K8" i="15"/>
  <c r="R23" i="15"/>
  <c r="BB23" i="15"/>
  <c r="BN23" i="15"/>
  <c r="CJ23" i="15"/>
  <c r="DF23" i="15"/>
  <c r="U26" i="15"/>
  <c r="S23" i="15"/>
  <c r="BC23" i="15"/>
  <c r="BO23" i="15"/>
  <c r="CK23" i="15"/>
  <c r="DG23" i="15"/>
  <c r="V26" i="15"/>
  <c r="T23" i="15"/>
  <c r="BD23" i="15"/>
  <c r="BZ23" i="15"/>
  <c r="CL23" i="15"/>
  <c r="K26" i="15"/>
  <c r="W26" i="15"/>
  <c r="BZ67" i="15"/>
  <c r="E207" i="14"/>
  <c r="E204" i="14"/>
  <c r="E208" i="14"/>
  <c r="E205" i="14"/>
  <c r="E202" i="14"/>
  <c r="F196" i="14"/>
  <c r="F29" i="13"/>
  <c r="F34" i="13" s="1"/>
  <c r="F43" i="13" s="1"/>
  <c r="G29" i="13"/>
  <c r="F35" i="13" s="1"/>
  <c r="F44" i="13" s="1"/>
  <c r="AQ150" i="7" a="1"/>
  <c r="AQ150" i="7" s="1"/>
  <c r="H177" i="21" l="1"/>
  <c r="I177" i="21"/>
  <c r="J177" i="21"/>
  <c r="G177" i="21"/>
  <c r="E177" i="21"/>
  <c r="F177" i="21"/>
  <c r="K177" i="21"/>
  <c r="D49" i="21"/>
  <c r="G49" i="21"/>
  <c r="C49" i="21"/>
  <c r="E49" i="21"/>
  <c r="H49" i="21"/>
  <c r="I49" i="21"/>
  <c r="J49" i="21"/>
  <c r="F49" i="21"/>
  <c r="K49" i="21"/>
  <c r="B49" i="21"/>
  <c r="G133" i="21"/>
  <c r="H133" i="21"/>
  <c r="I133" i="21"/>
  <c r="J133" i="21"/>
  <c r="K133" i="21"/>
  <c r="D133" i="21"/>
  <c r="F133" i="21"/>
  <c r="E133" i="21"/>
  <c r="I89" i="21"/>
  <c r="H89" i="21"/>
  <c r="J89" i="21"/>
  <c r="K89" i="21"/>
  <c r="B89" i="21"/>
  <c r="C89" i="21"/>
  <c r="D89" i="21"/>
  <c r="E89" i="21"/>
  <c r="F89" i="21"/>
  <c r="G89" i="21"/>
  <c r="AY26" i="15"/>
  <c r="M11" i="21"/>
  <c r="B10" i="21"/>
  <c r="F10" i="21"/>
  <c r="O11" i="21"/>
  <c r="BZ10" i="15"/>
  <c r="CM12" i="15"/>
  <c r="CM38" i="15" s="1"/>
  <c r="CI12" i="15"/>
  <c r="CL41" i="15" s="1"/>
  <c r="CL96" i="15" s="1"/>
  <c r="CE12" i="15"/>
  <c r="CH41" i="15" s="1"/>
  <c r="CH96" i="15" s="1"/>
  <c r="D10" i="21"/>
  <c r="N11" i="21"/>
  <c r="H10" i="21"/>
  <c r="P11" i="21"/>
  <c r="CY10" i="15"/>
  <c r="P8" i="21"/>
  <c r="H8" i="21"/>
  <c r="F8" i="21"/>
  <c r="O8" i="21"/>
  <c r="AY23" i="15"/>
  <c r="M8" i="21"/>
  <c r="B8" i="21"/>
  <c r="N8" i="21"/>
  <c r="D8" i="21"/>
  <c r="DG21" i="15"/>
  <c r="DL12" i="15"/>
  <c r="DN38" i="15" s="1"/>
  <c r="DH12" i="15"/>
  <c r="DD34" i="15"/>
  <c r="DH21" i="15"/>
  <c r="DF34" i="15"/>
  <c r="DJ21" i="15"/>
  <c r="DK21" i="15"/>
  <c r="DH34" i="15"/>
  <c r="DL21" i="15"/>
  <c r="DI34" i="15"/>
  <c r="DJ34" i="15"/>
  <c r="DN21" i="15"/>
  <c r="DO34" i="15"/>
  <c r="DD12" i="15"/>
  <c r="DF41" i="15" s="1"/>
  <c r="DE34" i="15"/>
  <c r="DI21" i="15"/>
  <c r="DG34" i="15"/>
  <c r="CZ21" i="15"/>
  <c r="DM21" i="15"/>
  <c r="DF21" i="15"/>
  <c r="DA21" i="15"/>
  <c r="DB21" i="15"/>
  <c r="DB34" i="15"/>
  <c r="DK34" i="15"/>
  <c r="DC21" i="15"/>
  <c r="DO21" i="15"/>
  <c r="CZ34" i="15"/>
  <c r="DL34" i="15"/>
  <c r="DD21" i="15"/>
  <c r="DA34" i="15"/>
  <c r="DM34" i="15"/>
  <c r="DE21" i="15"/>
  <c r="DN34" i="15"/>
  <c r="DC34" i="15"/>
  <c r="CA21" i="15"/>
  <c r="CM21" i="15"/>
  <c r="CO21" i="15"/>
  <c r="CP21" i="15"/>
  <c r="CE21" i="15"/>
  <c r="CF21" i="15"/>
  <c r="CB21" i="15"/>
  <c r="CN21" i="15"/>
  <c r="CD21" i="15"/>
  <c r="CG21" i="15"/>
  <c r="CL21" i="15"/>
  <c r="CC21" i="15"/>
  <c r="CH21" i="15"/>
  <c r="CI21" i="15"/>
  <c r="CJ21" i="15"/>
  <c r="CK21" i="15"/>
  <c r="O212" i="14"/>
  <c r="S215" i="14"/>
  <c r="G201" i="14"/>
  <c r="U218" i="14"/>
  <c r="U217" i="14"/>
  <c r="CA34" i="15"/>
  <c r="CM34" i="15"/>
  <c r="CB34" i="15"/>
  <c r="CN34" i="15"/>
  <c r="CC34" i="15"/>
  <c r="CO34" i="15"/>
  <c r="CD34" i="15"/>
  <c r="CP34" i="15"/>
  <c r="CE34" i="15"/>
  <c r="CF34" i="15"/>
  <c r="CG34" i="15"/>
  <c r="CK34" i="15"/>
  <c r="CH34" i="15"/>
  <c r="CI34" i="15"/>
  <c r="CJ34" i="15"/>
  <c r="CL34" i="15"/>
  <c r="CG20" i="15"/>
  <c r="CH20" i="15"/>
  <c r="CI20" i="15"/>
  <c r="CJ20" i="15"/>
  <c r="CK20" i="15"/>
  <c r="CB20" i="15"/>
  <c r="CL20" i="15"/>
  <c r="CN20" i="15"/>
  <c r="CA20" i="15"/>
  <c r="CM20" i="15"/>
  <c r="CC20" i="15"/>
  <c r="CO20" i="15"/>
  <c r="CD20" i="15"/>
  <c r="CP20" i="15"/>
  <c r="CE20" i="15"/>
  <c r="CF20" i="15"/>
  <c r="DB20" i="15"/>
  <c r="DN20" i="15"/>
  <c r="DC20" i="15"/>
  <c r="DO20" i="15"/>
  <c r="DD20" i="15"/>
  <c r="DE20" i="15"/>
  <c r="DF20" i="15"/>
  <c r="DG20" i="15"/>
  <c r="DH20" i="15"/>
  <c r="DI20" i="15"/>
  <c r="DJ20" i="15"/>
  <c r="DK20" i="15"/>
  <c r="CZ20" i="15"/>
  <c r="DL20" i="15"/>
  <c r="DA20" i="15"/>
  <c r="DM20" i="15"/>
  <c r="D48" i="14"/>
  <c r="AG48" i="14" s="1"/>
  <c r="BR18" i="7" s="1"/>
  <c r="D76" i="14"/>
  <c r="AG76" i="14" s="1"/>
  <c r="F199" i="14"/>
  <c r="F213" i="14"/>
  <c r="S214" i="14"/>
  <c r="E224" i="14"/>
  <c r="E227" i="14"/>
  <c r="E230" i="14"/>
  <c r="E226" i="14"/>
  <c r="E229" i="14"/>
  <c r="O210" i="14"/>
  <c r="P210" i="14" s="1"/>
  <c r="E225" i="14"/>
  <c r="E221" i="14"/>
  <c r="F223" i="14"/>
  <c r="E228" i="14"/>
  <c r="C131" i="14"/>
  <c r="AF131" i="14" s="1"/>
  <c r="GV13" i="7" s="1"/>
  <c r="C104" i="14"/>
  <c r="AF104" i="14" s="1"/>
  <c r="C72" i="14"/>
  <c r="AF72" i="14" s="1"/>
  <c r="C44" i="14"/>
  <c r="AF44" i="14" s="1"/>
  <c r="BQ14" i="7" s="1"/>
  <c r="D131" i="14"/>
  <c r="AG131" i="14" s="1"/>
  <c r="GW13" i="7" s="1"/>
  <c r="D104" i="14"/>
  <c r="AG104" i="14" s="1"/>
  <c r="D72" i="14"/>
  <c r="AG72" i="14" s="1"/>
  <c r="D44" i="14"/>
  <c r="AG44" i="14" s="1"/>
  <c r="BR14" i="7" s="1"/>
  <c r="E131" i="14"/>
  <c r="AH131" i="14" s="1"/>
  <c r="GX13" i="7" s="1"/>
  <c r="E104" i="14"/>
  <c r="AH104" i="14" s="1"/>
  <c r="E72" i="14"/>
  <c r="AH72" i="14" s="1"/>
  <c r="E44" i="14"/>
  <c r="AH44" i="14" s="1"/>
  <c r="BS14" i="7" s="1"/>
  <c r="F131" i="14"/>
  <c r="AI131" i="14" s="1"/>
  <c r="GY13" i="7" s="1"/>
  <c r="F104" i="14"/>
  <c r="AI104" i="14" s="1"/>
  <c r="F72" i="14"/>
  <c r="AI72" i="14" s="1"/>
  <c r="F44" i="14"/>
  <c r="AI44" i="14" s="1"/>
  <c r="BT14" i="7" s="1"/>
  <c r="G131" i="14"/>
  <c r="AJ131" i="14" s="1"/>
  <c r="GZ13" i="7" s="1"/>
  <c r="G104" i="14"/>
  <c r="AJ104" i="14" s="1"/>
  <c r="G72" i="14"/>
  <c r="AJ72" i="14" s="1"/>
  <c r="G44" i="14"/>
  <c r="AJ44" i="14" s="1"/>
  <c r="BU14" i="7" s="1"/>
  <c r="H131" i="14"/>
  <c r="AK131" i="14" s="1"/>
  <c r="HA13" i="7" s="1"/>
  <c r="H104" i="14"/>
  <c r="AK104" i="14" s="1"/>
  <c r="H72" i="14"/>
  <c r="AK72" i="14" s="1"/>
  <c r="H44" i="14"/>
  <c r="AK44" i="14" s="1"/>
  <c r="BV14" i="7" s="1"/>
  <c r="I131" i="14"/>
  <c r="AL131" i="14" s="1"/>
  <c r="HB13" i="7" s="1"/>
  <c r="I104" i="14"/>
  <c r="AL104" i="14" s="1"/>
  <c r="I72" i="14"/>
  <c r="AL72" i="14" s="1"/>
  <c r="I44" i="14"/>
  <c r="AL44" i="14" s="1"/>
  <c r="BW14" i="7" s="1"/>
  <c r="J131" i="14"/>
  <c r="AM131" i="14" s="1"/>
  <c r="HC13" i="7" s="1"/>
  <c r="J104" i="14"/>
  <c r="AM104" i="14" s="1"/>
  <c r="J72" i="14"/>
  <c r="AM72" i="14" s="1"/>
  <c r="J44" i="14"/>
  <c r="AM44" i="14" s="1"/>
  <c r="BX14" i="7" s="1"/>
  <c r="K131" i="14"/>
  <c r="K104" i="14"/>
  <c r="AN104" i="14" s="1"/>
  <c r="K72" i="14"/>
  <c r="AN72" i="14" s="1"/>
  <c r="K44" i="14"/>
  <c r="AN44" i="14" s="1"/>
  <c r="BY14" i="7" s="1"/>
  <c r="L131" i="14"/>
  <c r="L104" i="14"/>
  <c r="AO104" i="14" s="1"/>
  <c r="L72" i="14"/>
  <c r="AO72" i="14" s="1"/>
  <c r="L44" i="14"/>
  <c r="AO44" i="14" s="1"/>
  <c r="BZ14" i="7" s="1"/>
  <c r="C132" i="14"/>
  <c r="AF132" i="14" s="1"/>
  <c r="GV14" i="7" s="1"/>
  <c r="C105" i="14"/>
  <c r="AF105" i="14" s="1"/>
  <c r="C73" i="14"/>
  <c r="AF73" i="14" s="1"/>
  <c r="C45" i="14"/>
  <c r="AF45" i="14" s="1"/>
  <c r="BQ15" i="7" s="1"/>
  <c r="D132" i="14"/>
  <c r="AG132" i="14" s="1"/>
  <c r="GW14" i="7" s="1"/>
  <c r="D105" i="14"/>
  <c r="AG105" i="14" s="1"/>
  <c r="D73" i="14"/>
  <c r="AG73" i="14" s="1"/>
  <c r="D45" i="14"/>
  <c r="AG45" i="14" s="1"/>
  <c r="BR15" i="7" s="1"/>
  <c r="E132" i="14"/>
  <c r="AH132" i="14" s="1"/>
  <c r="GX14" i="7" s="1"/>
  <c r="E105" i="14"/>
  <c r="AH105" i="14" s="1"/>
  <c r="E73" i="14"/>
  <c r="AH73" i="14" s="1"/>
  <c r="E45" i="14"/>
  <c r="AH45" i="14" s="1"/>
  <c r="BS15" i="7" s="1"/>
  <c r="F132" i="14"/>
  <c r="AI132" i="14" s="1"/>
  <c r="GY14" i="7" s="1"/>
  <c r="F105" i="14"/>
  <c r="AI105" i="14" s="1"/>
  <c r="F73" i="14"/>
  <c r="AI73" i="14" s="1"/>
  <c r="F45" i="14"/>
  <c r="AI45" i="14" s="1"/>
  <c r="BT15" i="7" s="1"/>
  <c r="G132" i="14"/>
  <c r="AJ132" i="14" s="1"/>
  <c r="GZ14" i="7" s="1"/>
  <c r="G105" i="14"/>
  <c r="AJ105" i="14" s="1"/>
  <c r="G73" i="14"/>
  <c r="AJ73" i="14" s="1"/>
  <c r="G45" i="14"/>
  <c r="AJ45" i="14" s="1"/>
  <c r="BU15" i="7" s="1"/>
  <c r="H132" i="14"/>
  <c r="AK132" i="14" s="1"/>
  <c r="HA14" i="7" s="1"/>
  <c r="H105" i="14"/>
  <c r="AK105" i="14" s="1"/>
  <c r="H73" i="14"/>
  <c r="AK73" i="14" s="1"/>
  <c r="H45" i="14"/>
  <c r="AK45" i="14" s="1"/>
  <c r="BV15" i="7" s="1"/>
  <c r="I132" i="14"/>
  <c r="AL132" i="14" s="1"/>
  <c r="HB14" i="7" s="1"/>
  <c r="I105" i="14"/>
  <c r="AL105" i="14" s="1"/>
  <c r="I73" i="14"/>
  <c r="AL73" i="14" s="1"/>
  <c r="I45" i="14"/>
  <c r="AL45" i="14" s="1"/>
  <c r="BW15" i="7" s="1"/>
  <c r="J132" i="14"/>
  <c r="AM132" i="14" s="1"/>
  <c r="HC14" i="7" s="1"/>
  <c r="J105" i="14"/>
  <c r="AM105" i="14" s="1"/>
  <c r="J73" i="14"/>
  <c r="AM73" i="14" s="1"/>
  <c r="J45" i="14"/>
  <c r="AM45" i="14" s="1"/>
  <c r="BX15" i="7" s="1"/>
  <c r="K132" i="14"/>
  <c r="AN132" i="14" s="1"/>
  <c r="HD14" i="7" s="1"/>
  <c r="K105" i="14"/>
  <c r="AN105" i="14" s="1"/>
  <c r="K73" i="14"/>
  <c r="AN73" i="14" s="1"/>
  <c r="K45" i="14"/>
  <c r="AN45" i="14" s="1"/>
  <c r="BY15" i="7" s="1"/>
  <c r="L132" i="14"/>
  <c r="AO132" i="14" s="1"/>
  <c r="HE14" i="7" s="1"/>
  <c r="L105" i="14"/>
  <c r="AO105" i="14" s="1"/>
  <c r="L73" i="14"/>
  <c r="AO73" i="14" s="1"/>
  <c r="L45" i="14"/>
  <c r="AO45" i="14" s="1"/>
  <c r="BZ15" i="7" s="1"/>
  <c r="C133" i="14"/>
  <c r="AF133" i="14" s="1"/>
  <c r="GV15" i="7" s="1"/>
  <c r="C106" i="14"/>
  <c r="AF106" i="14" s="1"/>
  <c r="C74" i="14"/>
  <c r="AF74" i="14" s="1"/>
  <c r="C46" i="14"/>
  <c r="AF46" i="14" s="1"/>
  <c r="BQ16" i="7" s="1"/>
  <c r="D133" i="14"/>
  <c r="AG133" i="14" s="1"/>
  <c r="GW15" i="7" s="1"/>
  <c r="D106" i="14"/>
  <c r="AG106" i="14" s="1"/>
  <c r="D74" i="14"/>
  <c r="AG74" i="14" s="1"/>
  <c r="D46" i="14"/>
  <c r="AG46" i="14" s="1"/>
  <c r="BR16" i="7" s="1"/>
  <c r="E133" i="14"/>
  <c r="AH133" i="14" s="1"/>
  <c r="GX15" i="7" s="1"/>
  <c r="E106" i="14"/>
  <c r="AH106" i="14" s="1"/>
  <c r="E74" i="14"/>
  <c r="AH74" i="14" s="1"/>
  <c r="E46" i="14"/>
  <c r="AH46" i="14" s="1"/>
  <c r="BS16" i="7" s="1"/>
  <c r="F133" i="14"/>
  <c r="AI133" i="14" s="1"/>
  <c r="GY15" i="7" s="1"/>
  <c r="F106" i="14"/>
  <c r="AI106" i="14" s="1"/>
  <c r="F74" i="14"/>
  <c r="AI74" i="14" s="1"/>
  <c r="F46" i="14"/>
  <c r="AI46" i="14" s="1"/>
  <c r="BT16" i="7" s="1"/>
  <c r="G133" i="14"/>
  <c r="AJ133" i="14" s="1"/>
  <c r="GZ15" i="7" s="1"/>
  <c r="G106" i="14"/>
  <c r="AJ106" i="14" s="1"/>
  <c r="G74" i="14"/>
  <c r="AJ74" i="14" s="1"/>
  <c r="G46" i="14"/>
  <c r="AJ46" i="14" s="1"/>
  <c r="BU16" i="7" s="1"/>
  <c r="H133" i="14"/>
  <c r="AK133" i="14" s="1"/>
  <c r="HA15" i="7" s="1"/>
  <c r="H106" i="14"/>
  <c r="AK106" i="14" s="1"/>
  <c r="H74" i="14"/>
  <c r="AK74" i="14" s="1"/>
  <c r="H46" i="14"/>
  <c r="AK46" i="14" s="1"/>
  <c r="BV16" i="7" s="1"/>
  <c r="I133" i="14"/>
  <c r="AL133" i="14" s="1"/>
  <c r="HB15" i="7" s="1"/>
  <c r="I106" i="14"/>
  <c r="AL106" i="14" s="1"/>
  <c r="I74" i="14"/>
  <c r="AL74" i="14" s="1"/>
  <c r="I46" i="14"/>
  <c r="AL46" i="14" s="1"/>
  <c r="BW16" i="7" s="1"/>
  <c r="J133" i="14"/>
  <c r="AM133" i="14" s="1"/>
  <c r="HC15" i="7" s="1"/>
  <c r="J106" i="14"/>
  <c r="AM106" i="14" s="1"/>
  <c r="J74" i="14"/>
  <c r="AM74" i="14" s="1"/>
  <c r="J46" i="14"/>
  <c r="AM46" i="14" s="1"/>
  <c r="BX16" i="7" s="1"/>
  <c r="K133" i="14"/>
  <c r="AN133" i="14" s="1"/>
  <c r="HD15" i="7" s="1"/>
  <c r="K106" i="14"/>
  <c r="AN106" i="14" s="1"/>
  <c r="K74" i="14"/>
  <c r="AN74" i="14" s="1"/>
  <c r="K46" i="14"/>
  <c r="AN46" i="14" s="1"/>
  <c r="BY16" i="7" s="1"/>
  <c r="L133" i="14"/>
  <c r="AO133" i="14" s="1"/>
  <c r="HE15" i="7" s="1"/>
  <c r="L106" i="14"/>
  <c r="AO106" i="14" s="1"/>
  <c r="L74" i="14"/>
  <c r="AO74" i="14" s="1"/>
  <c r="L46" i="14"/>
  <c r="AO46" i="14" s="1"/>
  <c r="BZ16" i="7" s="1"/>
  <c r="C134" i="14"/>
  <c r="AF134" i="14" s="1"/>
  <c r="GV16" i="7" s="1"/>
  <c r="C107" i="14"/>
  <c r="AF107" i="14" s="1"/>
  <c r="C75" i="14"/>
  <c r="AF75" i="14" s="1"/>
  <c r="C47" i="14"/>
  <c r="AF47" i="14" s="1"/>
  <c r="BQ17" i="7" s="1"/>
  <c r="D134" i="14"/>
  <c r="AG134" i="14" s="1"/>
  <c r="GW16" i="7" s="1"/>
  <c r="D107" i="14"/>
  <c r="AG107" i="14" s="1"/>
  <c r="D75" i="14"/>
  <c r="AG75" i="14" s="1"/>
  <c r="D47" i="14"/>
  <c r="AG47" i="14" s="1"/>
  <c r="BR17" i="7" s="1"/>
  <c r="E134" i="14"/>
  <c r="AH134" i="14" s="1"/>
  <c r="GX16" i="7" s="1"/>
  <c r="E107" i="14"/>
  <c r="AH107" i="14" s="1"/>
  <c r="E75" i="14"/>
  <c r="AH75" i="14" s="1"/>
  <c r="E47" i="14"/>
  <c r="AH47" i="14" s="1"/>
  <c r="BS17" i="7" s="1"/>
  <c r="F134" i="14"/>
  <c r="AI134" i="14" s="1"/>
  <c r="GY16" i="7" s="1"/>
  <c r="F107" i="14"/>
  <c r="AI107" i="14" s="1"/>
  <c r="F75" i="14"/>
  <c r="AI75" i="14" s="1"/>
  <c r="F47" i="14"/>
  <c r="AI47" i="14" s="1"/>
  <c r="BT17" i="7" s="1"/>
  <c r="G134" i="14"/>
  <c r="AJ134" i="14" s="1"/>
  <c r="GZ16" i="7" s="1"/>
  <c r="G107" i="14"/>
  <c r="AJ107" i="14" s="1"/>
  <c r="G75" i="14"/>
  <c r="AJ75" i="14" s="1"/>
  <c r="G47" i="14"/>
  <c r="AJ47" i="14" s="1"/>
  <c r="BU17" i="7" s="1"/>
  <c r="H134" i="14"/>
  <c r="AK134" i="14" s="1"/>
  <c r="HA16" i="7" s="1"/>
  <c r="H107" i="14"/>
  <c r="AK107" i="14" s="1"/>
  <c r="H75" i="14"/>
  <c r="AK75" i="14" s="1"/>
  <c r="H47" i="14"/>
  <c r="AK47" i="14" s="1"/>
  <c r="BV17" i="7" s="1"/>
  <c r="I134" i="14"/>
  <c r="AL134" i="14" s="1"/>
  <c r="HB16" i="7" s="1"/>
  <c r="I107" i="14"/>
  <c r="AL107" i="14" s="1"/>
  <c r="I75" i="14"/>
  <c r="AL75" i="14" s="1"/>
  <c r="I47" i="14"/>
  <c r="AL47" i="14" s="1"/>
  <c r="BW17" i="7" s="1"/>
  <c r="J134" i="14"/>
  <c r="AM134" i="14" s="1"/>
  <c r="HC16" i="7" s="1"/>
  <c r="J107" i="14"/>
  <c r="AM107" i="14" s="1"/>
  <c r="J75" i="14"/>
  <c r="AM75" i="14" s="1"/>
  <c r="J47" i="14"/>
  <c r="AM47" i="14" s="1"/>
  <c r="BX17" i="7" s="1"/>
  <c r="K134" i="14"/>
  <c r="AN134" i="14" s="1"/>
  <c r="HD16" i="7" s="1"/>
  <c r="K107" i="14"/>
  <c r="AN107" i="14" s="1"/>
  <c r="K75" i="14"/>
  <c r="AN75" i="14" s="1"/>
  <c r="K47" i="14"/>
  <c r="AN47" i="14" s="1"/>
  <c r="BY17" i="7" s="1"/>
  <c r="L134" i="14"/>
  <c r="AO134" i="14" s="1"/>
  <c r="HE16" i="7" s="1"/>
  <c r="L107" i="14"/>
  <c r="AO107" i="14" s="1"/>
  <c r="L75" i="14"/>
  <c r="AO75" i="14" s="1"/>
  <c r="L47" i="14"/>
  <c r="AO47" i="14" s="1"/>
  <c r="BZ17" i="7" s="1"/>
  <c r="M136" i="14"/>
  <c r="AP136" i="14" s="1"/>
  <c r="HF18" i="7" s="1"/>
  <c r="M109" i="14"/>
  <c r="AP109" i="14" s="1"/>
  <c r="M77" i="14"/>
  <c r="AP77" i="14" s="1"/>
  <c r="N136" i="14"/>
  <c r="AQ136" i="14" s="1"/>
  <c r="HG18" i="7" s="1"/>
  <c r="N109" i="14"/>
  <c r="AQ109" i="14" s="1"/>
  <c r="N77" i="14"/>
  <c r="AQ77" i="14" s="1"/>
  <c r="O136" i="14"/>
  <c r="O109" i="14"/>
  <c r="O77" i="14"/>
  <c r="O49" i="14"/>
  <c r="P136" i="14"/>
  <c r="P109" i="14"/>
  <c r="P77" i="14"/>
  <c r="P49" i="14"/>
  <c r="Q136" i="14"/>
  <c r="Q109" i="14"/>
  <c r="Q77" i="14"/>
  <c r="Q49" i="14"/>
  <c r="M137" i="14"/>
  <c r="AP137" i="14" s="1"/>
  <c r="HF19" i="7" s="1"/>
  <c r="M110" i="14"/>
  <c r="AP110" i="14" s="1"/>
  <c r="M78" i="14"/>
  <c r="AP78" i="14" s="1"/>
  <c r="N137" i="14"/>
  <c r="AQ137" i="14" s="1"/>
  <c r="HG19" i="7" s="1"/>
  <c r="N110" i="14"/>
  <c r="AQ110" i="14" s="1"/>
  <c r="N78" i="14"/>
  <c r="AQ78" i="14" s="1"/>
  <c r="O137" i="14"/>
  <c r="O110" i="14"/>
  <c r="O78" i="14"/>
  <c r="O50" i="14"/>
  <c r="P137" i="14"/>
  <c r="P110" i="14"/>
  <c r="P78" i="14"/>
  <c r="P50" i="14"/>
  <c r="Q137" i="14"/>
  <c r="Q110" i="14"/>
  <c r="Q78" i="14"/>
  <c r="Q50" i="14"/>
  <c r="C122" i="14"/>
  <c r="C95" i="14"/>
  <c r="C63" i="14"/>
  <c r="C35" i="14"/>
  <c r="D122" i="14"/>
  <c r="D95" i="14"/>
  <c r="D63" i="14"/>
  <c r="D35" i="14"/>
  <c r="C123" i="14"/>
  <c r="C96" i="14"/>
  <c r="C64" i="14"/>
  <c r="C36" i="14"/>
  <c r="D123" i="14"/>
  <c r="D96" i="14"/>
  <c r="D64" i="14"/>
  <c r="D36" i="14"/>
  <c r="C124" i="14"/>
  <c r="C97" i="14"/>
  <c r="C65" i="14"/>
  <c r="C37" i="14"/>
  <c r="C125" i="14"/>
  <c r="C98" i="14"/>
  <c r="C66" i="14"/>
  <c r="C38" i="14"/>
  <c r="C126" i="14"/>
  <c r="C99" i="14"/>
  <c r="AF99" i="14" s="1"/>
  <c r="C67" i="14"/>
  <c r="AF67" i="14" s="1"/>
  <c r="C39" i="14"/>
  <c r="AF39" i="14" s="1"/>
  <c r="C127" i="14"/>
  <c r="AF127" i="14" s="1"/>
  <c r="GV9" i="7" s="1"/>
  <c r="C100" i="14"/>
  <c r="AF100" i="14" s="1"/>
  <c r="C68" i="14"/>
  <c r="AF68" i="14" s="1"/>
  <c r="C40" i="14"/>
  <c r="AF40" i="14" s="1"/>
  <c r="C128" i="14"/>
  <c r="AF128" i="14" s="1"/>
  <c r="GV10" i="7" s="1"/>
  <c r="C101" i="14"/>
  <c r="AF101" i="14" s="1"/>
  <c r="C69" i="14"/>
  <c r="AF69" i="14" s="1"/>
  <c r="C41" i="14"/>
  <c r="AF41" i="14" s="1"/>
  <c r="C129" i="14"/>
  <c r="AF129" i="14" s="1"/>
  <c r="GV11" i="7" s="1"/>
  <c r="C102" i="14"/>
  <c r="AF102" i="14" s="1"/>
  <c r="C70" i="14"/>
  <c r="AF70" i="14" s="1"/>
  <c r="C42" i="14"/>
  <c r="AF42" i="14" s="1"/>
  <c r="C130" i="14"/>
  <c r="AF130" i="14" s="1"/>
  <c r="GV12" i="7" s="1"/>
  <c r="C103" i="14"/>
  <c r="AF103" i="14" s="1"/>
  <c r="C71" i="14"/>
  <c r="AF71" i="14" s="1"/>
  <c r="C43" i="14"/>
  <c r="AF43" i="14" s="1"/>
  <c r="BQ13" i="7" s="1"/>
  <c r="N234" i="14"/>
  <c r="N232" i="14"/>
  <c r="O234" i="14"/>
  <c r="F216" i="14"/>
  <c r="F202" i="14"/>
  <c r="F205" i="14"/>
  <c r="F208" i="14"/>
  <c r="F204" i="14"/>
  <c r="F207" i="14"/>
  <c r="F203" i="14"/>
  <c r="F206" i="14"/>
  <c r="G196" i="14"/>
  <c r="G213" i="14" s="1"/>
  <c r="G35" i="13"/>
  <c r="G44" i="13" s="1"/>
  <c r="G34" i="13"/>
  <c r="G43" i="13" s="1"/>
  <c r="F51" i="13"/>
  <c r="F48" i="13"/>
  <c r="F47" i="13"/>
  <c r="H11" i="9"/>
  <c r="M11" i="9" s="1"/>
  <c r="H12" i="9"/>
  <c r="M12" i="9" s="1"/>
  <c r="H13" i="9"/>
  <c r="M13" i="9" s="1"/>
  <c r="H14" i="9"/>
  <c r="M14" i="9" s="1"/>
  <c r="H15" i="9"/>
  <c r="M15" i="9" s="1"/>
  <c r="H16" i="9"/>
  <c r="M16" i="9" s="1"/>
  <c r="H17" i="9"/>
  <c r="M17" i="9" s="1"/>
  <c r="G11" i="9"/>
  <c r="G12" i="9"/>
  <c r="G13" i="9"/>
  <c r="G14" i="9"/>
  <c r="G15" i="9"/>
  <c r="G16" i="9"/>
  <c r="G17" i="9"/>
  <c r="F11" i="9"/>
  <c r="K11" i="9" s="1"/>
  <c r="F12" i="9"/>
  <c r="K12" i="9" s="1"/>
  <c r="F13" i="9"/>
  <c r="K13" i="9" s="1"/>
  <c r="F14" i="9"/>
  <c r="K14" i="9" s="1"/>
  <c r="F15" i="9"/>
  <c r="K15" i="9" s="1"/>
  <c r="F16" i="9"/>
  <c r="K16" i="9" s="1"/>
  <c r="F17" i="9"/>
  <c r="K17" i="9" s="1"/>
  <c r="H4" i="9"/>
  <c r="M4" i="9" s="1"/>
  <c r="H5" i="9"/>
  <c r="M5" i="9" s="1"/>
  <c r="H6" i="9"/>
  <c r="M6" i="9" s="1"/>
  <c r="H7" i="9"/>
  <c r="M7" i="9" s="1"/>
  <c r="H8" i="9"/>
  <c r="M8" i="9" s="1"/>
  <c r="H9" i="9"/>
  <c r="M9" i="9" s="1"/>
  <c r="H10" i="9"/>
  <c r="M10" i="9" s="1"/>
  <c r="G4" i="9"/>
  <c r="G5" i="9"/>
  <c r="G6" i="9"/>
  <c r="G7" i="9"/>
  <c r="G8" i="9"/>
  <c r="G9" i="9"/>
  <c r="G10" i="9"/>
  <c r="G3" i="9"/>
  <c r="F4" i="9"/>
  <c r="K4" i="9" s="1"/>
  <c r="F5" i="9"/>
  <c r="K5" i="9" s="1"/>
  <c r="F6" i="9"/>
  <c r="K6" i="9" s="1"/>
  <c r="F7" i="9"/>
  <c r="K7" i="9" s="1"/>
  <c r="F8" i="9"/>
  <c r="K8" i="9" s="1"/>
  <c r="F9" i="9"/>
  <c r="K9" i="9" s="1"/>
  <c r="F10" i="9"/>
  <c r="K10" i="9" s="1"/>
  <c r="F3" i="9"/>
  <c r="DL41" i="15" l="1"/>
  <c r="CJ30" i="15"/>
  <c r="CJ99" i="15" s="1"/>
  <c r="DO41" i="15"/>
  <c r="DN41" i="15"/>
  <c r="DM41" i="15"/>
  <c r="DO38" i="15"/>
  <c r="CK30" i="15"/>
  <c r="CK99" i="15" s="1"/>
  <c r="CO38" i="15"/>
  <c r="P16" i="9"/>
  <c r="CN38" i="15"/>
  <c r="P8" i="9"/>
  <c r="P12" i="9"/>
  <c r="CM41" i="15"/>
  <c r="CM96" i="15" s="1"/>
  <c r="CP38" i="15"/>
  <c r="CN41" i="15"/>
  <c r="CN96" i="15" s="1"/>
  <c r="DI30" i="15"/>
  <c r="DK40" i="15"/>
  <c r="DH40" i="15"/>
  <c r="DI40" i="15"/>
  <c r="DJ40" i="15"/>
  <c r="CO41" i="15"/>
  <c r="CO96" i="15" s="1"/>
  <c r="DO40" i="15"/>
  <c r="DL40" i="15"/>
  <c r="DM40" i="15"/>
  <c r="DN40" i="15"/>
  <c r="DM38" i="15"/>
  <c r="CP41" i="15"/>
  <c r="CP96" i="15" s="1"/>
  <c r="DL38" i="15"/>
  <c r="BA10" i="15" a="1"/>
  <c r="P3" i="9"/>
  <c r="K3" i="9"/>
  <c r="AD11" i="15" s="1" a="1"/>
  <c r="CN40" i="15"/>
  <c r="CI40" i="15"/>
  <c r="CK40" i="15"/>
  <c r="CL40" i="15"/>
  <c r="CJ40" i="15"/>
  <c r="CP40" i="15"/>
  <c r="CM40" i="15"/>
  <c r="CO40" i="15"/>
  <c r="O232" i="14"/>
  <c r="DJ30" i="15"/>
  <c r="DL30" i="15"/>
  <c r="DO30" i="15"/>
  <c r="DM30" i="15"/>
  <c r="DH30" i="15"/>
  <c r="DK30" i="15"/>
  <c r="DN30" i="15"/>
  <c r="CM30" i="15"/>
  <c r="CM99" i="15" s="1"/>
  <c r="CJ38" i="15"/>
  <c r="CI41" i="15"/>
  <c r="CI96" i="15" s="1"/>
  <c r="CS96" i="15"/>
  <c r="CO30" i="15"/>
  <c r="CO99" i="15" s="1"/>
  <c r="CQ96" i="15"/>
  <c r="L12" i="9"/>
  <c r="L7" i="9"/>
  <c r="L4" i="9"/>
  <c r="L6" i="9"/>
  <c r="L5" i="9"/>
  <c r="L3" i="9"/>
  <c r="L15" i="9"/>
  <c r="L14" i="9"/>
  <c r="L13" i="9"/>
  <c r="DE38" i="15"/>
  <c r="DF38" i="15"/>
  <c r="CG30" i="15"/>
  <c r="CG99" i="15" s="1"/>
  <c r="DG30" i="15"/>
  <c r="CG41" i="15"/>
  <c r="CG96" i="15" s="1"/>
  <c r="CH38" i="15"/>
  <c r="CE41" i="15"/>
  <c r="CE96" i="15" s="1"/>
  <c r="L17" i="9"/>
  <c r="DG41" i="15"/>
  <c r="L16" i="9"/>
  <c r="CE30" i="15"/>
  <c r="CE99" i="15" s="1"/>
  <c r="CG38" i="15"/>
  <c r="DE30" i="15"/>
  <c r="CH30" i="15"/>
  <c r="CH99" i="15" s="1"/>
  <c r="CF41" i="15"/>
  <c r="CF96" i="15" s="1"/>
  <c r="DE41" i="15"/>
  <c r="CF30" i="15"/>
  <c r="CF99" i="15" s="1"/>
  <c r="CI30" i="15"/>
  <c r="CI99" i="15" s="1"/>
  <c r="CK38" i="15"/>
  <c r="CJ41" i="15"/>
  <c r="CJ96" i="15" s="1"/>
  <c r="DG40" i="15"/>
  <c r="DF40" i="15"/>
  <c r="DD40" i="15"/>
  <c r="DE40" i="15"/>
  <c r="CY12" i="15"/>
  <c r="CY41" i="15" s="1"/>
  <c r="CY34" i="15"/>
  <c r="CY21" i="15"/>
  <c r="CY20" i="15"/>
  <c r="CP30" i="15"/>
  <c r="CP99" i="15" s="1"/>
  <c r="BZ34" i="15"/>
  <c r="BZ12" i="15"/>
  <c r="BZ30" i="15" s="1"/>
  <c r="BZ99" i="15" s="1"/>
  <c r="BZ21" i="15"/>
  <c r="CL38" i="15"/>
  <c r="DK41" i="15"/>
  <c r="DD38" i="15"/>
  <c r="DD41" i="15"/>
  <c r="CQ99" i="15"/>
  <c r="CR99" i="15"/>
  <c r="CF40" i="15"/>
  <c r="CG40" i="15"/>
  <c r="CH40" i="15"/>
  <c r="CE40" i="15"/>
  <c r="DH38" i="15"/>
  <c r="DK38" i="15"/>
  <c r="DJ41" i="15"/>
  <c r="DJ38" i="15"/>
  <c r="DD30" i="15"/>
  <c r="CE38" i="15"/>
  <c r="CR96" i="15"/>
  <c r="DI41" i="15"/>
  <c r="DG38" i="15"/>
  <c r="L10" i="9"/>
  <c r="CS99" i="15"/>
  <c r="DI38" i="15"/>
  <c r="L9" i="9"/>
  <c r="L8" i="9"/>
  <c r="L11" i="9"/>
  <c r="DF30" i="15"/>
  <c r="CL30" i="15"/>
  <c r="CL99" i="15" s="1"/>
  <c r="CK41" i="15"/>
  <c r="CK96" i="15" s="1"/>
  <c r="CF38" i="15"/>
  <c r="CI38" i="15"/>
  <c r="DH41" i="15"/>
  <c r="CN30" i="15"/>
  <c r="CN99" i="15" s="1"/>
  <c r="AT98" i="7"/>
  <c r="AT134" i="7"/>
  <c r="AT176" i="7"/>
  <c r="AT99" i="7"/>
  <c r="AT135" i="7"/>
  <c r="AT177" i="7"/>
  <c r="E34" i="14"/>
  <c r="BS4" i="7" s="1"/>
  <c r="V217" i="14"/>
  <c r="V218" i="14"/>
  <c r="H201" i="14"/>
  <c r="I201" i="14" s="1"/>
  <c r="J201" i="14" s="1"/>
  <c r="K201" i="14" s="1"/>
  <c r="L201" i="14" s="1"/>
  <c r="M201" i="14" s="1"/>
  <c r="N201" i="14" s="1"/>
  <c r="O201" i="14" s="1"/>
  <c r="P201" i="14" s="1"/>
  <c r="Q201" i="14" s="1"/>
  <c r="R201" i="14" s="1"/>
  <c r="S201" i="14" s="1"/>
  <c r="T201" i="14" s="1"/>
  <c r="U201" i="14" s="1"/>
  <c r="V201" i="14" s="1"/>
  <c r="W201" i="14" s="1"/>
  <c r="T215" i="14"/>
  <c r="P212" i="14"/>
  <c r="Q212" i="14" s="1"/>
  <c r="R212" i="14" s="1"/>
  <c r="S212" i="14" s="1"/>
  <c r="T212" i="14" s="1"/>
  <c r="U212" i="14" s="1"/>
  <c r="V212" i="14" s="1"/>
  <c r="W212" i="14" s="1"/>
  <c r="F221" i="14"/>
  <c r="BZ20" i="15"/>
  <c r="DA22" i="15"/>
  <c r="DM22" i="15"/>
  <c r="DO22" i="15"/>
  <c r="DD22" i="15"/>
  <c r="DB22" i="15"/>
  <c r="DN22" i="15"/>
  <c r="DC22" i="15"/>
  <c r="CZ22" i="15"/>
  <c r="DE22" i="15"/>
  <c r="DJ22" i="15"/>
  <c r="DF22" i="15"/>
  <c r="DK22" i="15"/>
  <c r="DG22" i="15"/>
  <c r="DH22" i="15"/>
  <c r="DI22" i="15"/>
  <c r="DL22" i="15"/>
  <c r="F135" i="14"/>
  <c r="AI135" i="14" s="1"/>
  <c r="GY17" i="7" s="1"/>
  <c r="F108" i="14"/>
  <c r="AI108" i="14" s="1"/>
  <c r="F76" i="14"/>
  <c r="AI76" i="14" s="1"/>
  <c r="F48" i="14"/>
  <c r="AI48" i="14" s="1"/>
  <c r="BT18" i="7" s="1"/>
  <c r="T214" i="14"/>
  <c r="E135" i="14"/>
  <c r="AH135" i="14" s="1"/>
  <c r="GX17" i="7" s="1"/>
  <c r="E108" i="14"/>
  <c r="AH108" i="14" s="1"/>
  <c r="E76" i="14"/>
  <c r="AH76" i="14" s="1"/>
  <c r="E48" i="14"/>
  <c r="AH48" i="14" s="1"/>
  <c r="BS18" i="7" s="1"/>
  <c r="F25" i="9"/>
  <c r="F26" i="9"/>
  <c r="G25" i="9"/>
  <c r="G26" i="9"/>
  <c r="F28" i="9"/>
  <c r="F27" i="9"/>
  <c r="G28" i="9"/>
  <c r="G27" i="9"/>
  <c r="F228" i="14"/>
  <c r="F225" i="14"/>
  <c r="F229" i="14"/>
  <c r="F226" i="14"/>
  <c r="F230" i="14"/>
  <c r="F227" i="14"/>
  <c r="F224" i="14"/>
  <c r="G223" i="14"/>
  <c r="CY22" i="15"/>
  <c r="D128" i="14"/>
  <c r="AG128" i="14" s="1"/>
  <c r="GW10" i="7" s="1"/>
  <c r="D101" i="14"/>
  <c r="AG101" i="14" s="1"/>
  <c r="D69" i="14"/>
  <c r="AG69" i="14" s="1"/>
  <c r="D41" i="14"/>
  <c r="AG41" i="14" s="1"/>
  <c r="E123" i="14"/>
  <c r="E96" i="14"/>
  <c r="E64" i="14"/>
  <c r="E36" i="14"/>
  <c r="D121" i="14"/>
  <c r="D94" i="14"/>
  <c r="D62" i="14"/>
  <c r="D34" i="14"/>
  <c r="D125" i="14"/>
  <c r="D98" i="14"/>
  <c r="D66" i="14"/>
  <c r="D38" i="14"/>
  <c r="M134" i="14"/>
  <c r="AP134" i="14" s="1"/>
  <c r="HF16" i="7" s="1"/>
  <c r="M107" i="14"/>
  <c r="AP107" i="14" s="1"/>
  <c r="M75" i="14"/>
  <c r="AP75" i="14" s="1"/>
  <c r="M47" i="14"/>
  <c r="AP47" i="14" s="1"/>
  <c r="CA17" i="7" s="1"/>
  <c r="M132" i="14"/>
  <c r="AP132" i="14" s="1"/>
  <c r="HF14" i="7" s="1"/>
  <c r="M105" i="14"/>
  <c r="AP105" i="14" s="1"/>
  <c r="M73" i="14"/>
  <c r="AP73" i="14" s="1"/>
  <c r="M45" i="14"/>
  <c r="AP45" i="14" s="1"/>
  <c r="CA15" i="7" s="1"/>
  <c r="D129" i="14"/>
  <c r="AG129" i="14" s="1"/>
  <c r="GW11" i="7" s="1"/>
  <c r="D102" i="14"/>
  <c r="AG102" i="14" s="1"/>
  <c r="D70" i="14"/>
  <c r="AG70" i="14" s="1"/>
  <c r="D42" i="14"/>
  <c r="AG42" i="14" s="1"/>
  <c r="D126" i="14"/>
  <c r="D99" i="14"/>
  <c r="AG99" i="14" s="1"/>
  <c r="D67" i="14"/>
  <c r="AG67" i="14" s="1"/>
  <c r="D39" i="14"/>
  <c r="AG39" i="14" s="1"/>
  <c r="D130" i="14"/>
  <c r="AG130" i="14" s="1"/>
  <c r="GW12" i="7" s="1"/>
  <c r="D103" i="14"/>
  <c r="AG103" i="14" s="1"/>
  <c r="D71" i="14"/>
  <c r="AG71" i="14" s="1"/>
  <c r="D43" i="14"/>
  <c r="AG43" i="14" s="1"/>
  <c r="BR13" i="7" s="1"/>
  <c r="D127" i="14"/>
  <c r="AG127" i="14" s="1"/>
  <c r="GW9" i="7" s="1"/>
  <c r="D100" i="14"/>
  <c r="AG100" i="14" s="1"/>
  <c r="D68" i="14"/>
  <c r="AG68" i="14" s="1"/>
  <c r="D40" i="14"/>
  <c r="AG40" i="14" s="1"/>
  <c r="D124" i="14"/>
  <c r="D97" i="14"/>
  <c r="D65" i="14"/>
  <c r="D37" i="14"/>
  <c r="Q210" i="14"/>
  <c r="P232" i="14"/>
  <c r="K10" i="15" a="1"/>
  <c r="G203" i="14"/>
  <c r="G206" i="14"/>
  <c r="G216" i="14"/>
  <c r="G202" i="14"/>
  <c r="G205" i="14"/>
  <c r="G208" i="14"/>
  <c r="G204" i="14"/>
  <c r="G207" i="14"/>
  <c r="G199" i="14"/>
  <c r="H196" i="14"/>
  <c r="H213" i="14" s="1"/>
  <c r="G47" i="13"/>
  <c r="G51" i="13"/>
  <c r="AD11" i="15" l="1"/>
  <c r="AD22" i="15" s="1"/>
  <c r="AJ22" i="15"/>
  <c r="AM22" i="15"/>
  <c r="AN22" i="15"/>
  <c r="AO22" i="15"/>
  <c r="AP22" i="15"/>
  <c r="AE22" i="15"/>
  <c r="AQ22" i="15"/>
  <c r="AH22" i="15"/>
  <c r="AT22" i="15"/>
  <c r="AI22" i="15"/>
  <c r="AK22" i="15"/>
  <c r="AL22" i="15"/>
  <c r="AF22" i="15"/>
  <c r="AR22" i="15"/>
  <c r="AG22" i="15"/>
  <c r="AS22" i="15"/>
  <c r="J87" i="30"/>
  <c r="N86" i="30"/>
  <c r="K87" i="30"/>
  <c r="G86" i="30"/>
  <c r="K86" i="30"/>
  <c r="L87" i="30"/>
  <c r="M87" i="30"/>
  <c r="L86" i="30"/>
  <c r="N87" i="30"/>
  <c r="I87" i="30"/>
  <c r="H87" i="30"/>
  <c r="H86" i="30"/>
  <c r="J86" i="30"/>
  <c r="M86" i="30"/>
  <c r="I86" i="30"/>
  <c r="BA10" i="15"/>
  <c r="B157" i="21"/>
  <c r="BF12" i="15"/>
  <c r="B111" i="21" s="1"/>
  <c r="BJ12" i="15"/>
  <c r="BJ38" i="15" s="1"/>
  <c r="BN12" i="15"/>
  <c r="BP41" i="15" s="1"/>
  <c r="BF41" i="15"/>
  <c r="AO96" i="15"/>
  <c r="P234" i="14"/>
  <c r="CY30" i="15"/>
  <c r="BA11" i="15" a="1"/>
  <c r="BA11" i="15" s="1"/>
  <c r="BA22" i="15" s="1"/>
  <c r="AU99" i="15"/>
  <c r="AV96" i="15"/>
  <c r="AW96" i="15"/>
  <c r="AU96" i="15"/>
  <c r="AW99" i="15"/>
  <c r="AV99" i="15"/>
  <c r="CB40" i="15"/>
  <c r="CC40" i="15"/>
  <c r="CD40" i="15"/>
  <c r="CA40" i="15"/>
  <c r="BZ40" i="15"/>
  <c r="CB38" i="15"/>
  <c r="CD30" i="15"/>
  <c r="CD99" i="15" s="1"/>
  <c r="CD41" i="15"/>
  <c r="CD96" i="15" s="1"/>
  <c r="CA30" i="15"/>
  <c r="CA99" i="15" s="1"/>
  <c r="CB30" i="15"/>
  <c r="CB99" i="15" s="1"/>
  <c r="CD38" i="15"/>
  <c r="CC38" i="15"/>
  <c r="CA38" i="15"/>
  <c r="CB41" i="15"/>
  <c r="CB96" i="15" s="1"/>
  <c r="CA41" i="15"/>
  <c r="CA96" i="15" s="1"/>
  <c r="CC30" i="15"/>
  <c r="CC99" i="15" s="1"/>
  <c r="CC41" i="15"/>
  <c r="CC96" i="15" s="1"/>
  <c r="BZ38" i="15"/>
  <c r="BZ41" i="15"/>
  <c r="BZ96" i="15" s="1"/>
  <c r="CY40" i="15"/>
  <c r="CZ40" i="15"/>
  <c r="DA40" i="15"/>
  <c r="DB40" i="15"/>
  <c r="DC40" i="15"/>
  <c r="CZ41" i="15"/>
  <c r="DC30" i="15"/>
  <c r="DA41" i="15"/>
  <c r="DC41" i="15"/>
  <c r="CZ30" i="15"/>
  <c r="DB30" i="15"/>
  <c r="DB38" i="15"/>
  <c r="CZ38" i="15"/>
  <c r="DC38" i="15"/>
  <c r="DA38" i="15"/>
  <c r="DA30" i="15"/>
  <c r="DB41" i="15"/>
  <c r="CY38" i="15"/>
  <c r="R137" i="14"/>
  <c r="R110" i="14"/>
  <c r="R78" i="14"/>
  <c r="R50" i="14"/>
  <c r="U215" i="14"/>
  <c r="W218" i="14"/>
  <c r="W217" i="14"/>
  <c r="E62" i="14"/>
  <c r="E94" i="14"/>
  <c r="E121" i="14"/>
  <c r="BF34" i="15"/>
  <c r="BJ21" i="15"/>
  <c r="BL21" i="15"/>
  <c r="BG34" i="15"/>
  <c r="BK21" i="15"/>
  <c r="BH34" i="15"/>
  <c r="BI34" i="15"/>
  <c r="BM21" i="15"/>
  <c r="BJ34" i="15"/>
  <c r="BB21" i="15"/>
  <c r="BN21" i="15"/>
  <c r="BD34" i="15"/>
  <c r="BK34" i="15"/>
  <c r="BC21" i="15"/>
  <c r="BO21" i="15"/>
  <c r="BH21" i="15"/>
  <c r="BI21" i="15"/>
  <c r="BL34" i="15"/>
  <c r="BD21" i="15"/>
  <c r="BP21" i="15"/>
  <c r="BM34" i="15"/>
  <c r="BE21" i="15"/>
  <c r="BQ21" i="15"/>
  <c r="BP34" i="15"/>
  <c r="BQ34" i="15"/>
  <c r="BB34" i="15"/>
  <c r="BN34" i="15"/>
  <c r="BF21" i="15"/>
  <c r="BE34" i="15"/>
  <c r="BC34" i="15"/>
  <c r="BO34" i="15"/>
  <c r="BG21" i="15"/>
  <c r="U34" i="15"/>
  <c r="R21" i="15"/>
  <c r="V34" i="15"/>
  <c r="S21" i="15"/>
  <c r="R34" i="15"/>
  <c r="W34" i="15"/>
  <c r="T21" i="15"/>
  <c r="O21" i="15"/>
  <c r="L34" i="15"/>
  <c r="X34" i="15"/>
  <c r="U21" i="15"/>
  <c r="M34" i="15"/>
  <c r="Y34" i="15"/>
  <c r="V21" i="15"/>
  <c r="P34" i="15"/>
  <c r="N34" i="15"/>
  <c r="W21" i="15"/>
  <c r="M21" i="15"/>
  <c r="O34" i="15"/>
  <c r="L21" i="15"/>
  <c r="X21" i="15"/>
  <c r="Y21" i="15"/>
  <c r="Q34" i="15"/>
  <c r="N21" i="15"/>
  <c r="S34" i="15"/>
  <c r="P21" i="15"/>
  <c r="T34" i="15"/>
  <c r="Q21" i="15"/>
  <c r="G135" i="14"/>
  <c r="AJ135" i="14" s="1"/>
  <c r="GZ17" i="7" s="1"/>
  <c r="G108" i="14"/>
  <c r="AJ108" i="14" s="1"/>
  <c r="G76" i="14"/>
  <c r="AJ76" i="14" s="1"/>
  <c r="G48" i="14"/>
  <c r="AJ48" i="14" s="1"/>
  <c r="BU18" i="7" s="1"/>
  <c r="S137" i="14"/>
  <c r="S110" i="14"/>
  <c r="S78" i="14"/>
  <c r="S50" i="14"/>
  <c r="R136" i="14"/>
  <c r="R109" i="14"/>
  <c r="R77" i="14"/>
  <c r="R49" i="14"/>
  <c r="U214" i="14"/>
  <c r="H27" i="9"/>
  <c r="H28" i="9"/>
  <c r="H26" i="9"/>
  <c r="H25" i="9"/>
  <c r="G229" i="14"/>
  <c r="G226" i="14"/>
  <c r="G230" i="14"/>
  <c r="G227" i="14"/>
  <c r="G224" i="14"/>
  <c r="G228" i="14"/>
  <c r="G225" i="14"/>
  <c r="N132" i="14"/>
  <c r="AQ132" i="14" s="1"/>
  <c r="HG14" i="7" s="1"/>
  <c r="N105" i="14"/>
  <c r="AQ105" i="14" s="1"/>
  <c r="N73" i="14"/>
  <c r="AQ73" i="14" s="1"/>
  <c r="N45" i="14"/>
  <c r="AQ45" i="14" s="1"/>
  <c r="CB15" i="7" s="1"/>
  <c r="N134" i="14"/>
  <c r="AQ134" i="14" s="1"/>
  <c r="HG16" i="7" s="1"/>
  <c r="N107" i="14"/>
  <c r="AQ107" i="14" s="1"/>
  <c r="N75" i="14"/>
  <c r="AQ75" i="14" s="1"/>
  <c r="N47" i="14"/>
  <c r="AQ47" i="14" s="1"/>
  <c r="CB17" i="7" s="1"/>
  <c r="F123" i="14"/>
  <c r="F96" i="14"/>
  <c r="F64" i="14"/>
  <c r="F36" i="14"/>
  <c r="O134" i="14"/>
  <c r="AR134" i="14" s="1"/>
  <c r="HH16" i="7" s="1"/>
  <c r="O107" i="14"/>
  <c r="O75" i="14"/>
  <c r="O47" i="14"/>
  <c r="O132" i="14"/>
  <c r="AR132" i="14" s="1"/>
  <c r="HH14" i="7" s="1"/>
  <c r="O105" i="14"/>
  <c r="AR105" i="14" s="1"/>
  <c r="O73" i="14"/>
  <c r="AR73" i="14" s="1"/>
  <c r="O45" i="14"/>
  <c r="AR45" i="14" s="1"/>
  <c r="CC15" i="7" s="1"/>
  <c r="E124" i="14"/>
  <c r="E97" i="14"/>
  <c r="E65" i="14"/>
  <c r="E37" i="14"/>
  <c r="E127" i="14"/>
  <c r="AH127" i="14" s="1"/>
  <c r="GX9" i="7" s="1"/>
  <c r="E100" i="14"/>
  <c r="AH100" i="14" s="1"/>
  <c r="E68" i="14"/>
  <c r="AH68" i="14" s="1"/>
  <c r="E40" i="14"/>
  <c r="AH40" i="14" s="1"/>
  <c r="E130" i="14"/>
  <c r="AH130" i="14" s="1"/>
  <c r="GX12" i="7" s="1"/>
  <c r="E103" i="14"/>
  <c r="AH103" i="14" s="1"/>
  <c r="E71" i="14"/>
  <c r="AH71" i="14" s="1"/>
  <c r="E43" i="14"/>
  <c r="AH43" i="14" s="1"/>
  <c r="BS13" i="7" s="1"/>
  <c r="E126" i="14"/>
  <c r="E99" i="14"/>
  <c r="AH99" i="14" s="1"/>
  <c r="E67" i="14"/>
  <c r="AH67" i="14" s="1"/>
  <c r="E39" i="14"/>
  <c r="AH39" i="14" s="1"/>
  <c r="E129" i="14"/>
  <c r="AH129" i="14" s="1"/>
  <c r="GX11" i="7" s="1"/>
  <c r="E102" i="14"/>
  <c r="AH102" i="14" s="1"/>
  <c r="E70" i="14"/>
  <c r="AH70" i="14" s="1"/>
  <c r="E42" i="14"/>
  <c r="AH42" i="14" s="1"/>
  <c r="E125" i="14"/>
  <c r="E98" i="14"/>
  <c r="E66" i="14"/>
  <c r="E38" i="14"/>
  <c r="E128" i="14"/>
  <c r="AH128" i="14" s="1"/>
  <c r="GX10" i="7" s="1"/>
  <c r="E101" i="14"/>
  <c r="AH101" i="14" s="1"/>
  <c r="E69" i="14"/>
  <c r="AH69" i="14" s="1"/>
  <c r="E41" i="14"/>
  <c r="AH41" i="14" s="1"/>
  <c r="H223" i="14"/>
  <c r="Q234" i="14"/>
  <c r="G221" i="14"/>
  <c r="R210" i="14"/>
  <c r="Q232" i="14"/>
  <c r="M20" i="15"/>
  <c r="Q41" i="15"/>
  <c r="M41" i="15"/>
  <c r="Y20" i="15"/>
  <c r="P40" i="15"/>
  <c r="S30" i="15"/>
  <c r="U30" i="15"/>
  <c r="T40" i="15"/>
  <c r="U41" i="15"/>
  <c r="X41" i="15"/>
  <c r="M30" i="15"/>
  <c r="P30" i="15"/>
  <c r="X40" i="15"/>
  <c r="P41" i="15"/>
  <c r="L41" i="15"/>
  <c r="N20" i="15"/>
  <c r="L40" i="15"/>
  <c r="S40" i="15"/>
  <c r="O40" i="15"/>
  <c r="N30" i="15"/>
  <c r="V30" i="15"/>
  <c r="O41" i="15"/>
  <c r="S20" i="15"/>
  <c r="V20" i="15"/>
  <c r="T41" i="15"/>
  <c r="W41" i="15"/>
  <c r="Q20" i="15"/>
  <c r="R30" i="15"/>
  <c r="T20" i="15"/>
  <c r="W40" i="15"/>
  <c r="R40" i="15"/>
  <c r="N40" i="15"/>
  <c r="X30" i="15"/>
  <c r="O30" i="15"/>
  <c r="R20" i="15"/>
  <c r="V41" i="15"/>
  <c r="O20" i="15"/>
  <c r="L30" i="15"/>
  <c r="W20" i="15"/>
  <c r="S41" i="15"/>
  <c r="N41" i="15"/>
  <c r="Y40" i="15"/>
  <c r="L20" i="15"/>
  <c r="V40" i="15"/>
  <c r="Q40" i="15"/>
  <c r="M40" i="15"/>
  <c r="W30" i="15"/>
  <c r="U20" i="15"/>
  <c r="Y41" i="15"/>
  <c r="T30" i="15"/>
  <c r="X20" i="15"/>
  <c r="Y30" i="15"/>
  <c r="R41" i="15"/>
  <c r="K10" i="15"/>
  <c r="Q30" i="15"/>
  <c r="P20" i="15"/>
  <c r="U40" i="15"/>
  <c r="H199" i="14"/>
  <c r="H204" i="14"/>
  <c r="H207" i="14"/>
  <c r="H203" i="14"/>
  <c r="H206" i="14"/>
  <c r="H216" i="14"/>
  <c r="H202" i="14"/>
  <c r="H205" i="14"/>
  <c r="H208" i="14"/>
  <c r="I196" i="14"/>
  <c r="I213" i="14" s="1"/>
  <c r="AK96" i="15" l="1"/>
  <c r="AK99" i="15"/>
  <c r="AT99" i="15"/>
  <c r="AS96" i="15"/>
  <c r="AI99" i="15"/>
  <c r="D142" i="21"/>
  <c r="E142" i="21"/>
  <c r="F142" i="21"/>
  <c r="K142" i="21"/>
  <c r="G142" i="21"/>
  <c r="H142" i="21"/>
  <c r="J142" i="21"/>
  <c r="I142" i="21"/>
  <c r="E173" i="21"/>
  <c r="F173" i="21"/>
  <c r="G173" i="21"/>
  <c r="H173" i="21"/>
  <c r="I173" i="21"/>
  <c r="K173" i="21"/>
  <c r="J173" i="21"/>
  <c r="F128" i="21"/>
  <c r="G128" i="21"/>
  <c r="H128" i="21"/>
  <c r="I128" i="21"/>
  <c r="J128" i="21"/>
  <c r="K128" i="21"/>
  <c r="D128" i="21"/>
  <c r="E128" i="21"/>
  <c r="F172" i="21"/>
  <c r="G172" i="21"/>
  <c r="E172" i="21"/>
  <c r="H172" i="21"/>
  <c r="I172" i="21"/>
  <c r="J172" i="21"/>
  <c r="K172" i="21"/>
  <c r="D84" i="21"/>
  <c r="E84" i="21"/>
  <c r="F84" i="21"/>
  <c r="G84" i="21"/>
  <c r="H84" i="21"/>
  <c r="B84" i="21"/>
  <c r="I84" i="21"/>
  <c r="J84" i="21"/>
  <c r="K84" i="21"/>
  <c r="C84" i="21"/>
  <c r="C85" i="21"/>
  <c r="D85" i="21"/>
  <c r="E85" i="21"/>
  <c r="F85" i="21"/>
  <c r="G85" i="21"/>
  <c r="B85" i="21"/>
  <c r="H85" i="21"/>
  <c r="I85" i="21"/>
  <c r="J85" i="21"/>
  <c r="K85" i="21"/>
  <c r="J85" i="30"/>
  <c r="J88" i="30" s="1"/>
  <c r="J26" i="30" s="1"/>
  <c r="J63" i="30" s="1"/>
  <c r="E85" i="30"/>
  <c r="E88" i="30" s="1"/>
  <c r="E26" i="30" s="1"/>
  <c r="E63" i="30" s="1"/>
  <c r="F85" i="30"/>
  <c r="F88" i="30" s="1"/>
  <c r="F26" i="30" s="1"/>
  <c r="F63" i="30" s="1"/>
  <c r="K85" i="30"/>
  <c r="K88" i="30" s="1"/>
  <c r="K26" i="30" s="1"/>
  <c r="K63" i="30" s="1"/>
  <c r="N85" i="30"/>
  <c r="N88" i="30" s="1"/>
  <c r="N26" i="30" s="1"/>
  <c r="N63" i="30" s="1"/>
  <c r="G85" i="30"/>
  <c r="G88" i="30" s="1"/>
  <c r="G26" i="30" s="1"/>
  <c r="G63" i="30" s="1"/>
  <c r="H85" i="30"/>
  <c r="H88" i="30" s="1"/>
  <c r="H26" i="30" s="1"/>
  <c r="H63" i="30" s="1"/>
  <c r="L85" i="30"/>
  <c r="L88" i="30" s="1"/>
  <c r="L26" i="30" s="1"/>
  <c r="L63" i="30" s="1"/>
  <c r="I85" i="30"/>
  <c r="I88" i="30" s="1"/>
  <c r="I26" i="30" s="1"/>
  <c r="I63" i="30" s="1"/>
  <c r="M85" i="30"/>
  <c r="M88" i="30" s="1"/>
  <c r="M26" i="30" s="1"/>
  <c r="M63" i="30" s="1"/>
  <c r="B71" i="21"/>
  <c r="B73" i="21" s="1"/>
  <c r="F186" i="21"/>
  <c r="G186" i="21"/>
  <c r="H186" i="21"/>
  <c r="I186" i="21"/>
  <c r="E186" i="21"/>
  <c r="J186" i="21"/>
  <c r="K186" i="21"/>
  <c r="K129" i="21"/>
  <c r="D129" i="21"/>
  <c r="E129" i="21"/>
  <c r="G129" i="21"/>
  <c r="F129" i="21"/>
  <c r="I129" i="21"/>
  <c r="J129" i="21"/>
  <c r="H129" i="21"/>
  <c r="J98" i="21"/>
  <c r="B98" i="21"/>
  <c r="C98" i="21"/>
  <c r="D98" i="21"/>
  <c r="E98" i="21"/>
  <c r="F98" i="21"/>
  <c r="G98" i="21"/>
  <c r="H98" i="21"/>
  <c r="I98" i="21"/>
  <c r="K98" i="21"/>
  <c r="BN30" i="15"/>
  <c r="BN38" i="15"/>
  <c r="BN41" i="15"/>
  <c r="BJ41" i="15"/>
  <c r="BP38" i="15"/>
  <c r="BH41" i="15"/>
  <c r="AQ99" i="15"/>
  <c r="AT96" i="15"/>
  <c r="B199" i="21"/>
  <c r="BN40" i="15"/>
  <c r="BP40" i="15"/>
  <c r="BO40" i="15"/>
  <c r="BQ40" i="15"/>
  <c r="AR96" i="15"/>
  <c r="BK40" i="15"/>
  <c r="BL40" i="15"/>
  <c r="BJ40" i="15"/>
  <c r="BM40" i="15"/>
  <c r="AM96" i="15"/>
  <c r="S91" i="21"/>
  <c r="B113" i="21"/>
  <c r="T91" i="21"/>
  <c r="W91" i="21"/>
  <c r="X91" i="21" s="1"/>
  <c r="Y91" i="21" s="1"/>
  <c r="Z91" i="21" s="1"/>
  <c r="AA91" i="21" s="1"/>
  <c r="AB91" i="21" s="1"/>
  <c r="U91" i="21"/>
  <c r="V91" i="21"/>
  <c r="W137" i="21"/>
  <c r="X137" i="21" s="1"/>
  <c r="Y137" i="21" s="1"/>
  <c r="Z137" i="21" s="1"/>
  <c r="AA137" i="21" s="1"/>
  <c r="AB137" i="21" s="1"/>
  <c r="V137" i="21"/>
  <c r="U137" i="21"/>
  <c r="B155" i="21"/>
  <c r="AR99" i="15"/>
  <c r="AQ96" i="15"/>
  <c r="BA21" i="15"/>
  <c r="BA34" i="15"/>
  <c r="O6" i="21"/>
  <c r="F6" i="21"/>
  <c r="D18" i="21"/>
  <c r="N19" i="21"/>
  <c r="H18" i="21"/>
  <c r="P19" i="21"/>
  <c r="P6" i="21"/>
  <c r="H6" i="21"/>
  <c r="N6" i="21"/>
  <c r="D6" i="21"/>
  <c r="O19" i="21"/>
  <c r="F18" i="21"/>
  <c r="BE22" i="15"/>
  <c r="N5" i="21"/>
  <c r="D5" i="21"/>
  <c r="H5" i="21"/>
  <c r="P5" i="21"/>
  <c r="F5" i="21"/>
  <c r="O5" i="21"/>
  <c r="BR99" i="15"/>
  <c r="BH30" i="15"/>
  <c r="BH99" i="15" s="1"/>
  <c r="BN22" i="15"/>
  <c r="BP22" i="15"/>
  <c r="BD22" i="15"/>
  <c r="BI30" i="15"/>
  <c r="BI99" i="15" s="1"/>
  <c r="BL41" i="15"/>
  <c r="BI41" i="15"/>
  <c r="BK41" i="15"/>
  <c r="BK22" i="15"/>
  <c r="BF38" i="15"/>
  <c r="BJ22" i="15"/>
  <c r="BL30" i="15"/>
  <c r="BL99" i="15" s="1"/>
  <c r="AL96" i="15"/>
  <c r="AL99" i="15"/>
  <c r="AJ96" i="15"/>
  <c r="AJ99" i="15"/>
  <c r="BC22" i="15"/>
  <c r="BI22" i="15"/>
  <c r="BH22" i="15"/>
  <c r="BO22" i="15"/>
  <c r="BG22" i="15"/>
  <c r="BF22" i="15"/>
  <c r="BB22" i="15"/>
  <c r="BM22" i="15"/>
  <c r="BQ22" i="15"/>
  <c r="BL22" i="15"/>
  <c r="BK38" i="15"/>
  <c r="BK30" i="15"/>
  <c r="BK99" i="15" s="1"/>
  <c r="AS99" i="15"/>
  <c r="AI96" i="15"/>
  <c r="BG30" i="15"/>
  <c r="BG99" i="15" s="1"/>
  <c r="BT99" i="15"/>
  <c r="BM38" i="15"/>
  <c r="BJ30" i="15"/>
  <c r="BL38" i="15"/>
  <c r="BH38" i="15"/>
  <c r="BI38" i="15"/>
  <c r="BG38" i="15"/>
  <c r="BM30" i="15"/>
  <c r="BM99" i="15" s="1"/>
  <c r="BM41" i="15"/>
  <c r="AM99" i="15"/>
  <c r="BO41" i="15"/>
  <c r="AP99" i="15"/>
  <c r="AN96" i="15"/>
  <c r="BS99" i="15"/>
  <c r="AO99" i="15"/>
  <c r="BR96" i="15"/>
  <c r="BG40" i="15"/>
  <c r="BF40" i="15"/>
  <c r="BH40" i="15"/>
  <c r="BI40" i="15"/>
  <c r="AN99" i="15"/>
  <c r="BO30" i="15"/>
  <c r="BQ30" i="15"/>
  <c r="BQ99" i="15" s="1"/>
  <c r="AP96" i="15"/>
  <c r="BQ41" i="15"/>
  <c r="BQ38" i="15"/>
  <c r="BO38" i="15"/>
  <c r="BF30" i="15"/>
  <c r="BP30" i="15"/>
  <c r="BP99" i="15" s="1"/>
  <c r="BT96" i="15"/>
  <c r="BG41" i="15"/>
  <c r="BS96" i="15"/>
  <c r="G62" i="14"/>
  <c r="V215" i="14"/>
  <c r="I223" i="14"/>
  <c r="D53" i="15"/>
  <c r="K20" i="15"/>
  <c r="K34" i="15"/>
  <c r="K21" i="15"/>
  <c r="K30" i="15"/>
  <c r="H135" i="14"/>
  <c r="AK135" i="14" s="1"/>
  <c r="HA17" i="7" s="1"/>
  <c r="H108" i="14"/>
  <c r="AK108" i="14" s="1"/>
  <c r="H76" i="14"/>
  <c r="AK76" i="14" s="1"/>
  <c r="H48" i="14"/>
  <c r="AK48" i="14" s="1"/>
  <c r="BV18" i="7" s="1"/>
  <c r="S136" i="14"/>
  <c r="S109" i="14"/>
  <c r="S77" i="14"/>
  <c r="S49" i="14"/>
  <c r="V214" i="14"/>
  <c r="T137" i="14"/>
  <c r="T110" i="14"/>
  <c r="T78" i="14"/>
  <c r="T50" i="14"/>
  <c r="H230" i="14"/>
  <c r="H227" i="14"/>
  <c r="H224" i="14"/>
  <c r="H228" i="14"/>
  <c r="H225" i="14"/>
  <c r="H229" i="14"/>
  <c r="H226" i="14"/>
  <c r="H221" i="14"/>
  <c r="G123" i="14"/>
  <c r="G96" i="14"/>
  <c r="G64" i="14"/>
  <c r="G36" i="14"/>
  <c r="P132" i="14"/>
  <c r="AS132" i="14" s="1"/>
  <c r="HI14" i="7" s="1"/>
  <c r="P105" i="14"/>
  <c r="AS105" i="14" s="1"/>
  <c r="P73" i="14"/>
  <c r="AS73" i="14" s="1"/>
  <c r="P45" i="14"/>
  <c r="AS45" i="14" s="1"/>
  <c r="CD15" i="7" s="1"/>
  <c r="P134" i="14"/>
  <c r="AS134" i="14" s="1"/>
  <c r="HI16" i="7" s="1"/>
  <c r="P107" i="14"/>
  <c r="P75" i="14"/>
  <c r="P47" i="14"/>
  <c r="F125" i="14"/>
  <c r="F98" i="14"/>
  <c r="F66" i="14"/>
  <c r="F38" i="14"/>
  <c r="F128" i="14"/>
  <c r="AI128" i="14" s="1"/>
  <c r="GY10" i="7" s="1"/>
  <c r="F101" i="14"/>
  <c r="AI101" i="14" s="1"/>
  <c r="F69" i="14"/>
  <c r="AI69" i="14" s="1"/>
  <c r="F41" i="14"/>
  <c r="AI41" i="14" s="1"/>
  <c r="F124" i="14"/>
  <c r="F97" i="14"/>
  <c r="F65" i="14"/>
  <c r="F37" i="14"/>
  <c r="F127" i="14"/>
  <c r="AI127" i="14" s="1"/>
  <c r="GY9" i="7" s="1"/>
  <c r="F100" i="14"/>
  <c r="AI100" i="14" s="1"/>
  <c r="F68" i="14"/>
  <c r="AI68" i="14" s="1"/>
  <c r="F40" i="14"/>
  <c r="AI40" i="14" s="1"/>
  <c r="F130" i="14"/>
  <c r="AI130" i="14" s="1"/>
  <c r="GY12" i="7" s="1"/>
  <c r="F103" i="14"/>
  <c r="AI103" i="14" s="1"/>
  <c r="F71" i="14"/>
  <c r="AI71" i="14" s="1"/>
  <c r="F43" i="14"/>
  <c r="AI43" i="14" s="1"/>
  <c r="BT13" i="7" s="1"/>
  <c r="F126" i="14"/>
  <c r="F99" i="14"/>
  <c r="AI99" i="14" s="1"/>
  <c r="F67" i="14"/>
  <c r="AI67" i="14" s="1"/>
  <c r="F39" i="14"/>
  <c r="AI39" i="14" s="1"/>
  <c r="F129" i="14"/>
  <c r="AI129" i="14" s="1"/>
  <c r="GY11" i="7" s="1"/>
  <c r="F102" i="14"/>
  <c r="AI102" i="14" s="1"/>
  <c r="F70" i="14"/>
  <c r="AI70" i="14" s="1"/>
  <c r="F42" i="14"/>
  <c r="AI42" i="14" s="1"/>
  <c r="F121" i="14"/>
  <c r="F94" i="14"/>
  <c r="F62" i="14"/>
  <c r="F34" i="14"/>
  <c r="R234" i="14"/>
  <c r="S210" i="14"/>
  <c r="R232" i="14"/>
  <c r="J223" i="14"/>
  <c r="K40" i="15"/>
  <c r="K41" i="15"/>
  <c r="I199" i="14"/>
  <c r="I203" i="14"/>
  <c r="I206" i="14"/>
  <c r="I216" i="14"/>
  <c r="I202" i="14"/>
  <c r="I205" i="14"/>
  <c r="I208" i="14"/>
  <c r="I207" i="14"/>
  <c r="I204" i="14"/>
  <c r="J196" i="14"/>
  <c r="J213" i="14" s="1"/>
  <c r="L25" i="15"/>
  <c r="X25" i="15"/>
  <c r="M25" i="15"/>
  <c r="Y25" i="15"/>
  <c r="W25" i="15"/>
  <c r="N25" i="15"/>
  <c r="O25" i="15"/>
  <c r="P25" i="15"/>
  <c r="Q25" i="15"/>
  <c r="R25" i="15"/>
  <c r="S25" i="15"/>
  <c r="V25" i="15"/>
  <c r="K25" i="15"/>
  <c r="T25" i="15"/>
  <c r="U25" i="15"/>
  <c r="H106" i="21" l="1"/>
  <c r="E106" i="21"/>
  <c r="D45" i="21"/>
  <c r="H45" i="21"/>
  <c r="K45" i="21"/>
  <c r="G45" i="21"/>
  <c r="C45" i="21"/>
  <c r="E45" i="21"/>
  <c r="J45" i="21"/>
  <c r="F45" i="21"/>
  <c r="I45" i="21"/>
  <c r="B45" i="21"/>
  <c r="C106" i="21"/>
  <c r="G193" i="21"/>
  <c r="H193" i="21"/>
  <c r="I193" i="21"/>
  <c r="E193" i="21"/>
  <c r="F193" i="21"/>
  <c r="J193" i="21"/>
  <c r="K193" i="21"/>
  <c r="F106" i="21"/>
  <c r="C58" i="21"/>
  <c r="D58" i="21"/>
  <c r="E58" i="21"/>
  <c r="F58" i="21"/>
  <c r="G58" i="21"/>
  <c r="H58" i="21"/>
  <c r="I58" i="21"/>
  <c r="K58" i="21"/>
  <c r="B58" i="21"/>
  <c r="J58" i="21"/>
  <c r="F46" i="21"/>
  <c r="J105" i="21"/>
  <c r="K105" i="21"/>
  <c r="F105" i="21"/>
  <c r="I105" i="21"/>
  <c r="B105" i="21"/>
  <c r="C105" i="21"/>
  <c r="D105" i="21"/>
  <c r="E105" i="21"/>
  <c r="G105" i="21"/>
  <c r="H105" i="21"/>
  <c r="B106" i="21"/>
  <c r="D106" i="21"/>
  <c r="E150" i="21"/>
  <c r="F150" i="21"/>
  <c r="G150" i="21"/>
  <c r="D150" i="21"/>
  <c r="H150" i="21"/>
  <c r="I150" i="21"/>
  <c r="J150" i="21"/>
  <c r="K150" i="21"/>
  <c r="K106" i="21"/>
  <c r="F194" i="21"/>
  <c r="G194" i="21"/>
  <c r="H194" i="21"/>
  <c r="I194" i="21"/>
  <c r="E194" i="21"/>
  <c r="J194" i="21"/>
  <c r="K194" i="21"/>
  <c r="G106" i="21"/>
  <c r="F149" i="21"/>
  <c r="G149" i="21"/>
  <c r="H149" i="21"/>
  <c r="I149" i="21"/>
  <c r="J149" i="21"/>
  <c r="E149" i="21"/>
  <c r="K149" i="21"/>
  <c r="D149" i="21"/>
  <c r="J106" i="21"/>
  <c r="I106" i="21"/>
  <c r="I44" i="21"/>
  <c r="H44" i="21"/>
  <c r="D44" i="21"/>
  <c r="K44" i="21"/>
  <c r="G44" i="21"/>
  <c r="C44" i="21"/>
  <c r="E44" i="21"/>
  <c r="J44" i="21"/>
  <c r="F44" i="21"/>
  <c r="B44" i="21"/>
  <c r="E138" i="21"/>
  <c r="F138" i="21"/>
  <c r="G138" i="21"/>
  <c r="H138" i="21"/>
  <c r="I138" i="21"/>
  <c r="J138" i="21"/>
  <c r="K138" i="21"/>
  <c r="D138" i="21"/>
  <c r="E94" i="21"/>
  <c r="F94" i="21"/>
  <c r="D94" i="21"/>
  <c r="G94" i="21"/>
  <c r="H94" i="21"/>
  <c r="I94" i="21"/>
  <c r="J94" i="21"/>
  <c r="K94" i="21"/>
  <c r="B94" i="21"/>
  <c r="C94" i="21"/>
  <c r="BN99" i="15"/>
  <c r="H182" i="21"/>
  <c r="I182" i="21"/>
  <c r="G182" i="21"/>
  <c r="E182" i="21"/>
  <c r="F182" i="21"/>
  <c r="J182" i="21"/>
  <c r="K182" i="21"/>
  <c r="F174" i="21"/>
  <c r="G174" i="21"/>
  <c r="H174" i="21"/>
  <c r="I174" i="21"/>
  <c r="E174" i="21"/>
  <c r="K174" i="21"/>
  <c r="J174" i="21"/>
  <c r="C46" i="21"/>
  <c r="C86" i="21"/>
  <c r="K86" i="21"/>
  <c r="D86" i="21"/>
  <c r="E86" i="21"/>
  <c r="F86" i="21"/>
  <c r="I86" i="21"/>
  <c r="G86" i="21"/>
  <c r="H86" i="21"/>
  <c r="J86" i="21"/>
  <c r="B86" i="21"/>
  <c r="D46" i="21"/>
  <c r="G46" i="21"/>
  <c r="J130" i="21"/>
  <c r="D130" i="21"/>
  <c r="H130" i="21"/>
  <c r="E130" i="21"/>
  <c r="F130" i="21"/>
  <c r="G130" i="21"/>
  <c r="I130" i="21"/>
  <c r="K130" i="21"/>
  <c r="J46" i="21"/>
  <c r="B46" i="21"/>
  <c r="E46" i="21"/>
  <c r="H46" i="21"/>
  <c r="K46" i="21"/>
  <c r="I46" i="21"/>
  <c r="BN96" i="15"/>
  <c r="BP96" i="15"/>
  <c r="BA41" i="15"/>
  <c r="BA30" i="15"/>
  <c r="B103" i="21"/>
  <c r="F103" i="21" s="1"/>
  <c r="B6" i="21"/>
  <c r="M6" i="21"/>
  <c r="AY21" i="15"/>
  <c r="BA38" i="15"/>
  <c r="E191" i="21"/>
  <c r="F191" i="21" s="1"/>
  <c r="S53" i="21"/>
  <c r="T53" i="21" s="1"/>
  <c r="U53" i="21" s="1"/>
  <c r="V53" i="21" s="1"/>
  <c r="W53" i="21" s="1"/>
  <c r="X53" i="21" s="1"/>
  <c r="Y53" i="21" s="1"/>
  <c r="Z53" i="21" s="1"/>
  <c r="AA53" i="21" s="1"/>
  <c r="AB53" i="21" s="1"/>
  <c r="S51" i="21"/>
  <c r="T51" i="21" s="1"/>
  <c r="U51" i="21" s="1"/>
  <c r="V51" i="21" s="1"/>
  <c r="W51" i="21" s="1"/>
  <c r="X51" i="21" s="1"/>
  <c r="Y51" i="21" s="1"/>
  <c r="Z51" i="21" s="1"/>
  <c r="AA51" i="21" s="1"/>
  <c r="AB51" i="21" s="1"/>
  <c r="S93" i="21"/>
  <c r="U93" i="21"/>
  <c r="V93" i="21"/>
  <c r="T93" i="21"/>
  <c r="W93" i="21"/>
  <c r="X93" i="21" s="1"/>
  <c r="Y93" i="21" s="1"/>
  <c r="Z93" i="21" s="1"/>
  <c r="AA93" i="21" s="1"/>
  <c r="AB93" i="21" s="1"/>
  <c r="V135" i="21"/>
  <c r="W135" i="21"/>
  <c r="X135" i="21" s="1"/>
  <c r="Y135" i="21" s="1"/>
  <c r="Z135" i="21" s="1"/>
  <c r="AA135" i="21" s="1"/>
  <c r="AB135" i="21" s="1"/>
  <c r="U135" i="21"/>
  <c r="B18" i="21"/>
  <c r="BA40" i="15"/>
  <c r="B201" i="21"/>
  <c r="W179" i="21"/>
  <c r="X179" i="21" s="1"/>
  <c r="Y179" i="21" s="1"/>
  <c r="Z179" i="21" s="1"/>
  <c r="AA179" i="21" s="1"/>
  <c r="AB179" i="21" s="1"/>
  <c r="V179" i="21"/>
  <c r="M19" i="21"/>
  <c r="O25" i="21"/>
  <c r="F23" i="21"/>
  <c r="AX53" i="15"/>
  <c r="AY20" i="15"/>
  <c r="BH96" i="15"/>
  <c r="AD99" i="15"/>
  <c r="P25" i="21"/>
  <c r="H23" i="21"/>
  <c r="BJ96" i="15"/>
  <c r="AD96" i="15"/>
  <c r="AY22" i="15"/>
  <c r="D147" i="21"/>
  <c r="BL96" i="15"/>
  <c r="BQ96" i="15"/>
  <c r="BO99" i="15"/>
  <c r="P15" i="21"/>
  <c r="H15" i="21"/>
  <c r="H19" i="21" s="1"/>
  <c r="BJ99" i="15"/>
  <c r="O15" i="21"/>
  <c r="F15" i="21"/>
  <c r="F19" i="21" s="1"/>
  <c r="N25" i="21"/>
  <c r="D23" i="21"/>
  <c r="BG96" i="15"/>
  <c r="BF99" i="15"/>
  <c r="D15" i="21"/>
  <c r="D19" i="21" s="1"/>
  <c r="N15" i="21"/>
  <c r="N26" i="21"/>
  <c r="D24" i="21"/>
  <c r="BF96" i="15"/>
  <c r="N23" i="21"/>
  <c r="D21" i="21"/>
  <c r="BK96" i="15"/>
  <c r="BI96" i="15"/>
  <c r="P26" i="21"/>
  <c r="H24" i="21"/>
  <c r="O26" i="21"/>
  <c r="F24" i="21"/>
  <c r="BO96" i="15"/>
  <c r="P23" i="21"/>
  <c r="H21" i="21"/>
  <c r="BM96" i="15"/>
  <c r="F21" i="21"/>
  <c r="O23" i="21"/>
  <c r="H7" i="21"/>
  <c r="P7" i="21"/>
  <c r="M7" i="21"/>
  <c r="B7" i="21"/>
  <c r="O7" i="21"/>
  <c r="F7" i="21"/>
  <c r="N7" i="21"/>
  <c r="D7" i="21"/>
  <c r="M5" i="21"/>
  <c r="B5" i="21"/>
  <c r="BB40" i="15"/>
  <c r="BC40" i="15"/>
  <c r="BD40" i="15"/>
  <c r="BE40" i="15"/>
  <c r="BB38" i="15"/>
  <c r="BD38" i="15"/>
  <c r="BC38" i="15"/>
  <c r="BB30" i="15"/>
  <c r="BC41" i="15"/>
  <c r="BE30" i="15"/>
  <c r="BE99" i="15" s="1"/>
  <c r="BE38" i="15"/>
  <c r="BD30" i="15"/>
  <c r="BD99" i="15" s="1"/>
  <c r="BB41" i="15"/>
  <c r="BC30" i="15"/>
  <c r="BC99" i="15" s="1"/>
  <c r="BE41" i="15"/>
  <c r="BD41" i="15"/>
  <c r="AF96" i="15"/>
  <c r="AF99" i="15"/>
  <c r="AG96" i="15"/>
  <c r="AE99" i="15"/>
  <c r="AH96" i="15"/>
  <c r="AG99" i="15"/>
  <c r="AH99" i="15"/>
  <c r="AU177" i="7"/>
  <c r="AU135" i="7"/>
  <c r="AU99" i="7"/>
  <c r="AU176" i="7"/>
  <c r="AU134" i="7"/>
  <c r="AU98" i="7"/>
  <c r="W215" i="14"/>
  <c r="I64" i="14"/>
  <c r="I135" i="14"/>
  <c r="AL135" i="14" s="1"/>
  <c r="HB17" i="7" s="1"/>
  <c r="I108" i="14"/>
  <c r="AL108" i="14" s="1"/>
  <c r="I76" i="14"/>
  <c r="AL76" i="14" s="1"/>
  <c r="I48" i="14"/>
  <c r="AL48" i="14" s="1"/>
  <c r="BW18" i="7" s="1"/>
  <c r="U137" i="14"/>
  <c r="U110" i="14"/>
  <c r="U78" i="14"/>
  <c r="U50" i="14"/>
  <c r="T136" i="14"/>
  <c r="T109" i="14"/>
  <c r="T77" i="14"/>
  <c r="T49" i="14"/>
  <c r="W214" i="14"/>
  <c r="I226" i="14"/>
  <c r="I229" i="14"/>
  <c r="I230" i="14"/>
  <c r="I227" i="14"/>
  <c r="I224" i="14"/>
  <c r="I228" i="14"/>
  <c r="I225" i="14"/>
  <c r="H123" i="14"/>
  <c r="H96" i="14"/>
  <c r="H64" i="14"/>
  <c r="H36" i="14"/>
  <c r="I123" i="14"/>
  <c r="I96" i="14"/>
  <c r="Q134" i="14"/>
  <c r="AT134" i="14" s="1"/>
  <c r="HJ16" i="7" s="1"/>
  <c r="Q107" i="14"/>
  <c r="Q75" i="14"/>
  <c r="Q47" i="14"/>
  <c r="Q132" i="14"/>
  <c r="AT132" i="14" s="1"/>
  <c r="HJ14" i="7" s="1"/>
  <c r="Q105" i="14"/>
  <c r="AT105" i="14" s="1"/>
  <c r="Q73" i="14"/>
  <c r="AT73" i="14" s="1"/>
  <c r="Q45" i="14"/>
  <c r="AT45" i="14" s="1"/>
  <c r="CE15" i="7" s="1"/>
  <c r="G121" i="14"/>
  <c r="G94" i="14"/>
  <c r="G34" i="14"/>
  <c r="G126" i="14"/>
  <c r="G99" i="14"/>
  <c r="AJ99" i="14" s="1"/>
  <c r="G67" i="14"/>
  <c r="AJ67" i="14" s="1"/>
  <c r="G39" i="14"/>
  <c r="AJ39" i="14" s="1"/>
  <c r="BU9" i="7" s="1"/>
  <c r="G129" i="14"/>
  <c r="AJ129" i="14" s="1"/>
  <c r="GZ11" i="7" s="1"/>
  <c r="G102" i="14"/>
  <c r="AJ102" i="14" s="1"/>
  <c r="G70" i="14"/>
  <c r="AJ70" i="14" s="1"/>
  <c r="G42" i="14"/>
  <c r="AJ42" i="14" s="1"/>
  <c r="BU12" i="7" s="1"/>
  <c r="G125" i="14"/>
  <c r="G98" i="14"/>
  <c r="G66" i="14"/>
  <c r="G38" i="14"/>
  <c r="G128" i="14"/>
  <c r="AJ128" i="14" s="1"/>
  <c r="GZ10" i="7" s="1"/>
  <c r="G101" i="14"/>
  <c r="AJ101" i="14" s="1"/>
  <c r="G69" i="14"/>
  <c r="AJ69" i="14" s="1"/>
  <c r="G41" i="14"/>
  <c r="AJ41" i="14" s="1"/>
  <c r="BU11" i="7" s="1"/>
  <c r="G124" i="14"/>
  <c r="G97" i="14"/>
  <c r="G65" i="14"/>
  <c r="G37" i="14"/>
  <c r="G127" i="14"/>
  <c r="AJ127" i="14" s="1"/>
  <c r="GZ9" i="7" s="1"/>
  <c r="G100" i="14"/>
  <c r="AJ100" i="14" s="1"/>
  <c r="G68" i="14"/>
  <c r="AJ68" i="14" s="1"/>
  <c r="G40" i="14"/>
  <c r="AJ40" i="14" s="1"/>
  <c r="BU10" i="7" s="1"/>
  <c r="G130" i="14"/>
  <c r="AJ130" i="14" s="1"/>
  <c r="GZ12" i="7" s="1"/>
  <c r="G103" i="14"/>
  <c r="AJ103" i="14" s="1"/>
  <c r="G71" i="14"/>
  <c r="AJ71" i="14" s="1"/>
  <c r="G43" i="14"/>
  <c r="AJ43" i="14" s="1"/>
  <c r="BU13" i="7" s="1"/>
  <c r="BF25" i="15"/>
  <c r="DH25" i="15"/>
  <c r="BL25" i="15"/>
  <c r="CY25" i="15"/>
  <c r="CM25" i="15"/>
  <c r="CZ25" i="15"/>
  <c r="DC25" i="15"/>
  <c r="DK25" i="15"/>
  <c r="BD25" i="15"/>
  <c r="CG25" i="15"/>
  <c r="BM25" i="15"/>
  <c r="BE25" i="15"/>
  <c r="DB25" i="15"/>
  <c r="CI25" i="15"/>
  <c r="DJ25" i="15"/>
  <c r="BG25" i="15"/>
  <c r="DD25" i="15"/>
  <c r="DM25" i="15"/>
  <c r="DI25" i="15"/>
  <c r="DA25" i="15"/>
  <c r="CC25" i="15"/>
  <c r="DG25" i="15"/>
  <c r="CE25" i="15"/>
  <c r="CA25" i="15"/>
  <c r="CK25" i="15"/>
  <c r="BI25" i="15"/>
  <c r="CH25" i="15"/>
  <c r="DE25" i="15"/>
  <c r="DL25" i="15"/>
  <c r="CF25" i="15"/>
  <c r="DF25" i="15"/>
  <c r="BC25" i="15"/>
  <c r="BJ25" i="15"/>
  <c r="CD25" i="15"/>
  <c r="CN25" i="15"/>
  <c r="CL25" i="15"/>
  <c r="CJ25" i="15"/>
  <c r="BH25" i="15"/>
  <c r="CB25" i="15"/>
  <c r="BZ25" i="15"/>
  <c r="BN25" i="15"/>
  <c r="BK25" i="15"/>
  <c r="BO25" i="15"/>
  <c r="K223" i="14"/>
  <c r="T210" i="14"/>
  <c r="S232" i="14"/>
  <c r="I221" i="14"/>
  <c r="S234" i="14"/>
  <c r="J199" i="14"/>
  <c r="J203" i="14"/>
  <c r="J206" i="14"/>
  <c r="J216" i="14"/>
  <c r="J202" i="14"/>
  <c r="J205" i="14"/>
  <c r="J208" i="14"/>
  <c r="J204" i="14"/>
  <c r="J207" i="14"/>
  <c r="K196" i="14"/>
  <c r="K213" i="14" s="1"/>
  <c r="AY25" i="15" l="1"/>
  <c r="G48" i="21"/>
  <c r="J48" i="21"/>
  <c r="B48" i="21"/>
  <c r="M10" i="21"/>
  <c r="D48" i="21"/>
  <c r="H48" i="21"/>
  <c r="B9" i="21"/>
  <c r="F48" i="21"/>
  <c r="E48" i="21"/>
  <c r="K48" i="21"/>
  <c r="C48" i="21"/>
  <c r="I48" i="21"/>
  <c r="G88" i="21"/>
  <c r="H88" i="21"/>
  <c r="I88" i="21"/>
  <c r="J88" i="21"/>
  <c r="D88" i="21"/>
  <c r="K88" i="21"/>
  <c r="B88" i="21"/>
  <c r="F88" i="21"/>
  <c r="C88" i="21"/>
  <c r="E88" i="21"/>
  <c r="N10" i="21"/>
  <c r="D9" i="21"/>
  <c r="J132" i="21"/>
  <c r="I132" i="21"/>
  <c r="K132" i="21"/>
  <c r="D132" i="21"/>
  <c r="G132" i="21"/>
  <c r="H132" i="21"/>
  <c r="E132" i="21"/>
  <c r="F132" i="21"/>
  <c r="O10" i="21"/>
  <c r="F9" i="21"/>
  <c r="E176" i="21"/>
  <c r="F176" i="21"/>
  <c r="G176" i="21"/>
  <c r="H176" i="21"/>
  <c r="I176" i="21"/>
  <c r="K176" i="21"/>
  <c r="J176" i="21"/>
  <c r="P10" i="21"/>
  <c r="H9" i="21"/>
  <c r="G65" i="21"/>
  <c r="H65" i="21"/>
  <c r="I65" i="21"/>
  <c r="E65" i="21"/>
  <c r="J65" i="21"/>
  <c r="K65" i="21"/>
  <c r="B65" i="21"/>
  <c r="C65" i="21"/>
  <c r="F65" i="21"/>
  <c r="D65" i="21"/>
  <c r="D67" i="21" s="1"/>
  <c r="E66" i="21"/>
  <c r="F66" i="21"/>
  <c r="G66" i="21"/>
  <c r="G67" i="21" s="1"/>
  <c r="H66" i="21"/>
  <c r="H67" i="21" s="1"/>
  <c r="I66" i="21"/>
  <c r="C66" i="21"/>
  <c r="J66" i="21"/>
  <c r="D66" i="21"/>
  <c r="K66" i="21"/>
  <c r="K67" i="21" s="1"/>
  <c r="B66" i="21"/>
  <c r="K63" i="21"/>
  <c r="B63" i="21"/>
  <c r="G63" i="21"/>
  <c r="C63" i="21"/>
  <c r="BA96" i="15"/>
  <c r="D63" i="21"/>
  <c r="E63" i="21"/>
  <c r="F63" i="21"/>
  <c r="H63" i="21"/>
  <c r="I63" i="21"/>
  <c r="J63" i="21"/>
  <c r="D151" i="21"/>
  <c r="U132" i="21" s="1"/>
  <c r="BA99" i="15"/>
  <c r="H54" i="21"/>
  <c r="I54" i="21"/>
  <c r="J54" i="21"/>
  <c r="G54" i="21"/>
  <c r="K54" i="21"/>
  <c r="B54" i="21"/>
  <c r="C54" i="21"/>
  <c r="D54" i="21"/>
  <c r="E54" i="21"/>
  <c r="F54" i="21"/>
  <c r="G191" i="21"/>
  <c r="G195" i="21" s="1"/>
  <c r="F195" i="21"/>
  <c r="J103" i="21"/>
  <c r="J107" i="21" s="1"/>
  <c r="F107" i="21"/>
  <c r="D103" i="21"/>
  <c r="C103" i="21"/>
  <c r="E103" i="21"/>
  <c r="AX49" i="15"/>
  <c r="AY41" i="15"/>
  <c r="AY40" i="15"/>
  <c r="B107" i="21"/>
  <c r="B118" i="21" s="1"/>
  <c r="V181" i="21"/>
  <c r="W181" i="21"/>
  <c r="X181" i="21" s="1"/>
  <c r="Y181" i="21" s="1"/>
  <c r="Z181" i="21" s="1"/>
  <c r="AA181" i="21" s="1"/>
  <c r="AB181" i="21" s="1"/>
  <c r="E147" i="21"/>
  <c r="F147" i="21"/>
  <c r="B206" i="21"/>
  <c r="E195" i="21"/>
  <c r="V176" i="21" s="1"/>
  <c r="D25" i="21"/>
  <c r="BB99" i="15"/>
  <c r="B15" i="21"/>
  <c r="M15" i="21"/>
  <c r="B23" i="21"/>
  <c r="M25" i="21"/>
  <c r="BB96" i="15"/>
  <c r="M23" i="21"/>
  <c r="B21" i="21"/>
  <c r="B24" i="21"/>
  <c r="M26" i="21"/>
  <c r="BE96" i="15"/>
  <c r="F25" i="21"/>
  <c r="BC96" i="15"/>
  <c r="H25" i="21"/>
  <c r="BD96" i="15"/>
  <c r="AE96" i="15"/>
  <c r="AB41" i="15"/>
  <c r="I36" i="14"/>
  <c r="J135" i="14"/>
  <c r="AM135" i="14" s="1"/>
  <c r="HC17" i="7" s="1"/>
  <c r="J108" i="14"/>
  <c r="AM108" i="14" s="1"/>
  <c r="J76" i="14"/>
  <c r="AM76" i="14" s="1"/>
  <c r="J48" i="14"/>
  <c r="AM48" i="14" s="1"/>
  <c r="BX18" i="7" s="1"/>
  <c r="U136" i="14"/>
  <c r="U109" i="14"/>
  <c r="U77" i="14"/>
  <c r="U49" i="14"/>
  <c r="V137" i="14"/>
  <c r="V110" i="14"/>
  <c r="V78" i="14"/>
  <c r="V50" i="14"/>
  <c r="J229" i="14"/>
  <c r="J226" i="14"/>
  <c r="J230" i="14"/>
  <c r="J227" i="14"/>
  <c r="J224" i="14"/>
  <c r="J228" i="14"/>
  <c r="J225" i="14"/>
  <c r="J221" i="14"/>
  <c r="R134" i="14"/>
  <c r="AU134" i="14" s="1"/>
  <c r="HK16" i="7" s="1"/>
  <c r="R107" i="14"/>
  <c r="R75" i="14"/>
  <c r="R47" i="14"/>
  <c r="R132" i="14"/>
  <c r="AU132" i="14" s="1"/>
  <c r="HK14" i="7" s="1"/>
  <c r="R105" i="14"/>
  <c r="AU105" i="14" s="1"/>
  <c r="R73" i="14"/>
  <c r="AU73" i="14" s="1"/>
  <c r="R45" i="14"/>
  <c r="AU45" i="14" s="1"/>
  <c r="CF15" i="7" s="1"/>
  <c r="J123" i="14"/>
  <c r="J96" i="14"/>
  <c r="J64" i="14"/>
  <c r="J36" i="14"/>
  <c r="H121" i="14"/>
  <c r="H94" i="14"/>
  <c r="H62" i="14"/>
  <c r="H34" i="14"/>
  <c r="H125" i="14"/>
  <c r="H98" i="14"/>
  <c r="H66" i="14"/>
  <c r="H38" i="14"/>
  <c r="H128" i="14"/>
  <c r="AK128" i="14" s="1"/>
  <c r="HA10" i="7" s="1"/>
  <c r="H101" i="14"/>
  <c r="AK101" i="14" s="1"/>
  <c r="H69" i="14"/>
  <c r="AK69" i="14" s="1"/>
  <c r="H41" i="14"/>
  <c r="AK41" i="14" s="1"/>
  <c r="BV11" i="7" s="1"/>
  <c r="H124" i="14"/>
  <c r="H97" i="14"/>
  <c r="H65" i="14"/>
  <c r="H37" i="14"/>
  <c r="H127" i="14"/>
  <c r="AK127" i="14" s="1"/>
  <c r="HA9" i="7" s="1"/>
  <c r="H100" i="14"/>
  <c r="AK100" i="14" s="1"/>
  <c r="H68" i="14"/>
  <c r="AK68" i="14" s="1"/>
  <c r="H40" i="14"/>
  <c r="AK40" i="14" s="1"/>
  <c r="BV10" i="7" s="1"/>
  <c r="H130" i="14"/>
  <c r="AK130" i="14" s="1"/>
  <c r="HA12" i="7" s="1"/>
  <c r="H103" i="14"/>
  <c r="AK103" i="14" s="1"/>
  <c r="H71" i="14"/>
  <c r="AK71" i="14" s="1"/>
  <c r="H43" i="14"/>
  <c r="AK43" i="14" s="1"/>
  <c r="BV13" i="7" s="1"/>
  <c r="H129" i="14"/>
  <c r="AK129" i="14" s="1"/>
  <c r="HA11" i="7" s="1"/>
  <c r="H102" i="14"/>
  <c r="AK102" i="14" s="1"/>
  <c r="H70" i="14"/>
  <c r="AK70" i="14" s="1"/>
  <c r="H42" i="14"/>
  <c r="AK42" i="14" s="1"/>
  <c r="BV12" i="7" s="1"/>
  <c r="H126" i="14"/>
  <c r="H99" i="14"/>
  <c r="AK99" i="14" s="1"/>
  <c r="H67" i="14"/>
  <c r="AK67" i="14" s="1"/>
  <c r="H39" i="14"/>
  <c r="AK39" i="14" s="1"/>
  <c r="BV9" i="7" s="1"/>
  <c r="L223" i="14"/>
  <c r="T234" i="14"/>
  <c r="U210" i="14"/>
  <c r="T232" i="14"/>
  <c r="K204" i="14"/>
  <c r="K207" i="14"/>
  <c r="K199" i="14"/>
  <c r="K203" i="14"/>
  <c r="K206" i="14"/>
  <c r="K216" i="14"/>
  <c r="K202" i="14"/>
  <c r="K205" i="14"/>
  <c r="K208" i="14"/>
  <c r="L196" i="14"/>
  <c r="L213" i="14" s="1"/>
  <c r="C67" i="21" l="1"/>
  <c r="F67" i="21"/>
  <c r="H191" i="21"/>
  <c r="H195" i="21" s="1"/>
  <c r="J67" i="21"/>
  <c r="E67" i="21"/>
  <c r="I67" i="21"/>
  <c r="I103" i="21"/>
  <c r="I107" i="21" s="1"/>
  <c r="E107" i="21"/>
  <c r="G103" i="21"/>
  <c r="C107" i="21"/>
  <c r="T88" i="21" s="1"/>
  <c r="H103" i="21"/>
  <c r="H107" i="21" s="1"/>
  <c r="D107" i="21"/>
  <c r="H147" i="21"/>
  <c r="F151" i="21"/>
  <c r="G147" i="21"/>
  <c r="E151" i="21"/>
  <c r="V132" i="21" s="1"/>
  <c r="S88" i="21"/>
  <c r="W88" i="21"/>
  <c r="B162" i="21"/>
  <c r="V141" i="21" s="1"/>
  <c r="W176" i="21"/>
  <c r="I191" i="21"/>
  <c r="I195" i="21" s="1"/>
  <c r="BA105" i="15"/>
  <c r="AX40" i="15"/>
  <c r="AX39" i="15"/>
  <c r="AX41" i="15"/>
  <c r="W185" i="21"/>
  <c r="X185" i="21" s="1"/>
  <c r="Y185" i="21" s="1"/>
  <c r="Z185" i="21" s="1"/>
  <c r="AA185" i="21" s="1"/>
  <c r="AB185" i="21" s="1"/>
  <c r="V185" i="21"/>
  <c r="U97" i="21"/>
  <c r="S97" i="21"/>
  <c r="T97" i="21"/>
  <c r="W97" i="21"/>
  <c r="X97" i="21" s="1"/>
  <c r="Y97" i="21" s="1"/>
  <c r="Z97" i="21" s="1"/>
  <c r="AA97" i="21" s="1"/>
  <c r="AB97" i="21" s="1"/>
  <c r="V97" i="21"/>
  <c r="B67" i="21"/>
  <c r="B19" i="21"/>
  <c r="B25" i="21"/>
  <c r="K135" i="14"/>
  <c r="AN135" i="14" s="1"/>
  <c r="HD17" i="7" s="1"/>
  <c r="K108" i="14"/>
  <c r="AN108" i="14" s="1"/>
  <c r="K76" i="14"/>
  <c r="AN76" i="14" s="1"/>
  <c r="V136" i="14"/>
  <c r="V109" i="14"/>
  <c r="V77" i="14"/>
  <c r="V49" i="14"/>
  <c r="K230" i="14"/>
  <c r="K227" i="14"/>
  <c r="K224" i="14"/>
  <c r="K228" i="14"/>
  <c r="K225" i="14"/>
  <c r="K221" i="14"/>
  <c r="K229" i="14"/>
  <c r="K226" i="14"/>
  <c r="K123" i="14"/>
  <c r="K96" i="14"/>
  <c r="K64" i="14"/>
  <c r="K36" i="14"/>
  <c r="S132" i="14"/>
  <c r="AV132" i="14" s="1"/>
  <c r="HL14" i="7" s="1"/>
  <c r="S105" i="14"/>
  <c r="AV105" i="14" s="1"/>
  <c r="S73" i="14"/>
  <c r="AV73" i="14" s="1"/>
  <c r="S45" i="14"/>
  <c r="AV45" i="14" s="1"/>
  <c r="CG15" i="7" s="1"/>
  <c r="S134" i="14"/>
  <c r="AV134" i="14" s="1"/>
  <c r="HL16" i="7" s="1"/>
  <c r="S107" i="14"/>
  <c r="S75" i="14"/>
  <c r="S47" i="14"/>
  <c r="I121" i="14"/>
  <c r="I94" i="14"/>
  <c r="I62" i="14"/>
  <c r="I34" i="14"/>
  <c r="I125" i="14"/>
  <c r="I98" i="14"/>
  <c r="I66" i="14"/>
  <c r="I38" i="14"/>
  <c r="I128" i="14"/>
  <c r="AL128" i="14" s="1"/>
  <c r="HB10" i="7" s="1"/>
  <c r="I101" i="14"/>
  <c r="AL101" i="14" s="1"/>
  <c r="I69" i="14"/>
  <c r="AL69" i="14" s="1"/>
  <c r="I41" i="14"/>
  <c r="AL41" i="14" s="1"/>
  <c r="BW11" i="7" s="1"/>
  <c r="I124" i="14"/>
  <c r="I97" i="14"/>
  <c r="I65" i="14"/>
  <c r="I37" i="14"/>
  <c r="I127" i="14"/>
  <c r="AL127" i="14" s="1"/>
  <c r="HB9" i="7" s="1"/>
  <c r="I100" i="14"/>
  <c r="AL100" i="14" s="1"/>
  <c r="I68" i="14"/>
  <c r="AL68" i="14" s="1"/>
  <c r="I40" i="14"/>
  <c r="AL40" i="14" s="1"/>
  <c r="BW10" i="7" s="1"/>
  <c r="I130" i="14"/>
  <c r="AL130" i="14" s="1"/>
  <c r="HB12" i="7" s="1"/>
  <c r="I103" i="14"/>
  <c r="AL103" i="14" s="1"/>
  <c r="I71" i="14"/>
  <c r="AL71" i="14" s="1"/>
  <c r="I43" i="14"/>
  <c r="AL43" i="14" s="1"/>
  <c r="BW13" i="7" s="1"/>
  <c r="I126" i="14"/>
  <c r="I99" i="14"/>
  <c r="AL99" i="14" s="1"/>
  <c r="I67" i="14"/>
  <c r="AL67" i="14" s="1"/>
  <c r="I39" i="14"/>
  <c r="AL39" i="14" s="1"/>
  <c r="BW9" i="7" s="1"/>
  <c r="I129" i="14"/>
  <c r="AL129" i="14" s="1"/>
  <c r="HB11" i="7" s="1"/>
  <c r="I102" i="14"/>
  <c r="AL102" i="14" s="1"/>
  <c r="I70" i="14"/>
  <c r="AL70" i="14" s="1"/>
  <c r="I42" i="14"/>
  <c r="AL42" i="14" s="1"/>
  <c r="BW12" i="7" s="1"/>
  <c r="U234" i="14"/>
  <c r="V210" i="14"/>
  <c r="U232" i="14"/>
  <c r="M223" i="14"/>
  <c r="L202" i="14"/>
  <c r="L204" i="14"/>
  <c r="L207" i="14"/>
  <c r="L199" i="14"/>
  <c r="L203" i="14"/>
  <c r="L206" i="14"/>
  <c r="L208" i="14"/>
  <c r="L216" i="14"/>
  <c r="L205" i="14"/>
  <c r="M196" i="14"/>
  <c r="M213" i="14" s="1"/>
  <c r="W141" i="21" l="1"/>
  <c r="X141" i="21" s="1"/>
  <c r="Y141" i="21" s="1"/>
  <c r="Z141" i="21" s="1"/>
  <c r="AA141" i="21" s="1"/>
  <c r="AB141" i="21" s="1"/>
  <c r="J147" i="21"/>
  <c r="J151" i="21" s="1"/>
  <c r="AA132" i="21" s="1"/>
  <c r="H151" i="21"/>
  <c r="Y132" i="21" s="1"/>
  <c r="I147" i="21"/>
  <c r="G151" i="21"/>
  <c r="X132" i="21" s="1"/>
  <c r="K103" i="21"/>
  <c r="K107" i="21" s="1"/>
  <c r="AB88" i="21" s="1"/>
  <c r="G107" i="21"/>
  <c r="X88" i="21" s="1"/>
  <c r="U141" i="21"/>
  <c r="AA88" i="21"/>
  <c r="W132" i="21"/>
  <c r="J191" i="21"/>
  <c r="J195" i="21" s="1"/>
  <c r="X176" i="21"/>
  <c r="U88" i="21"/>
  <c r="Y88" i="21"/>
  <c r="V88" i="21"/>
  <c r="Z88" i="21"/>
  <c r="X48" i="21"/>
  <c r="B78" i="21"/>
  <c r="S57" i="21" s="1"/>
  <c r="V57" i="21" s="1"/>
  <c r="S48" i="21"/>
  <c r="L135" i="14"/>
  <c r="AO135" i="14" s="1"/>
  <c r="HE17" i="7" s="1"/>
  <c r="L108" i="14"/>
  <c r="AO108" i="14" s="1"/>
  <c r="L76" i="14"/>
  <c r="AO76" i="14" s="1"/>
  <c r="L227" i="14"/>
  <c r="L230" i="14"/>
  <c r="L228" i="14"/>
  <c r="L225" i="14"/>
  <c r="L221" i="14"/>
  <c r="L229" i="14"/>
  <c r="L226" i="14"/>
  <c r="L224" i="14"/>
  <c r="L123" i="14"/>
  <c r="L96" i="14"/>
  <c r="L64" i="14"/>
  <c r="L36" i="14"/>
  <c r="T134" i="14"/>
  <c r="AW134" i="14" s="1"/>
  <c r="HM16" i="7" s="1"/>
  <c r="T107" i="14"/>
  <c r="T75" i="14"/>
  <c r="T47" i="14"/>
  <c r="T132" i="14"/>
  <c r="AW132" i="14" s="1"/>
  <c r="HM14" i="7" s="1"/>
  <c r="T105" i="14"/>
  <c r="AW105" i="14" s="1"/>
  <c r="T73" i="14"/>
  <c r="AW73" i="14" s="1"/>
  <c r="T45" i="14"/>
  <c r="AW45" i="14" s="1"/>
  <c r="CH15" i="7" s="1"/>
  <c r="J126" i="14"/>
  <c r="J99" i="14"/>
  <c r="AM99" i="14" s="1"/>
  <c r="J67" i="14"/>
  <c r="AM67" i="14" s="1"/>
  <c r="J39" i="14"/>
  <c r="AM39" i="14" s="1"/>
  <c r="BX9" i="7" s="1"/>
  <c r="J129" i="14"/>
  <c r="AM129" i="14" s="1"/>
  <c r="HC11" i="7" s="1"/>
  <c r="J102" i="14"/>
  <c r="AM102" i="14" s="1"/>
  <c r="J70" i="14"/>
  <c r="AM70" i="14" s="1"/>
  <c r="J42" i="14"/>
  <c r="AM42" i="14" s="1"/>
  <c r="BX12" i="7" s="1"/>
  <c r="J121" i="14"/>
  <c r="J94" i="14"/>
  <c r="J62" i="14"/>
  <c r="J34" i="14"/>
  <c r="J125" i="14"/>
  <c r="J98" i="14"/>
  <c r="J66" i="14"/>
  <c r="J38" i="14"/>
  <c r="J128" i="14"/>
  <c r="AM128" i="14" s="1"/>
  <c r="HC10" i="7" s="1"/>
  <c r="J101" i="14"/>
  <c r="AM101" i="14" s="1"/>
  <c r="J69" i="14"/>
  <c r="AM69" i="14" s="1"/>
  <c r="J41" i="14"/>
  <c r="AM41" i="14" s="1"/>
  <c r="BX11" i="7" s="1"/>
  <c r="J124" i="14"/>
  <c r="J97" i="14"/>
  <c r="J65" i="14"/>
  <c r="J37" i="14"/>
  <c r="J127" i="14"/>
  <c r="AM127" i="14" s="1"/>
  <c r="HC9" i="7" s="1"/>
  <c r="J100" i="14"/>
  <c r="AM100" i="14" s="1"/>
  <c r="J68" i="14"/>
  <c r="AM68" i="14" s="1"/>
  <c r="J40" i="14"/>
  <c r="AM40" i="14" s="1"/>
  <c r="BX10" i="7" s="1"/>
  <c r="J130" i="14"/>
  <c r="AM130" i="14" s="1"/>
  <c r="HC12" i="7" s="1"/>
  <c r="J103" i="14"/>
  <c r="AM103" i="14" s="1"/>
  <c r="J71" i="14"/>
  <c r="AM71" i="14" s="1"/>
  <c r="J43" i="14"/>
  <c r="AM43" i="14" s="1"/>
  <c r="BX13" i="7" s="1"/>
  <c r="N223" i="14"/>
  <c r="W210" i="14"/>
  <c r="V232" i="14"/>
  <c r="V234" i="14"/>
  <c r="M204" i="14"/>
  <c r="M207" i="14"/>
  <c r="M208" i="14"/>
  <c r="M205" i="14"/>
  <c r="M199" i="14"/>
  <c r="M203" i="14"/>
  <c r="M206" i="14"/>
  <c r="M216" i="14"/>
  <c r="M202" i="14"/>
  <c r="N196" i="14"/>
  <c r="N213" i="14" s="1"/>
  <c r="K147" i="21" l="1"/>
  <c r="K151" i="21" s="1"/>
  <c r="I151" i="21"/>
  <c r="W57" i="21"/>
  <c r="Y176" i="21"/>
  <c r="U57" i="21"/>
  <c r="T57" i="21"/>
  <c r="K191" i="21"/>
  <c r="K195" i="21" s="1"/>
  <c r="Z132" i="21"/>
  <c r="AB132" i="21"/>
  <c r="X57" i="21"/>
  <c r="Y57" i="21"/>
  <c r="Z57" i="21"/>
  <c r="AA57" i="21"/>
  <c r="AB57" i="21"/>
  <c r="Y48" i="21"/>
  <c r="T48" i="21"/>
  <c r="M135" i="14"/>
  <c r="AP135" i="14" s="1"/>
  <c r="HF17" i="7" s="1"/>
  <c r="M108" i="14"/>
  <c r="AP108" i="14" s="1"/>
  <c r="M76" i="14"/>
  <c r="AP76" i="14" s="1"/>
  <c r="M224" i="14"/>
  <c r="M228" i="14"/>
  <c r="M225" i="14"/>
  <c r="M221" i="14"/>
  <c r="M227" i="14"/>
  <c r="M230" i="14"/>
  <c r="M229" i="14"/>
  <c r="M226" i="14"/>
  <c r="W234" i="14"/>
  <c r="W232" i="14"/>
  <c r="U134" i="14"/>
  <c r="AX134" i="14" s="1"/>
  <c r="HN16" i="7" s="1"/>
  <c r="U107" i="14"/>
  <c r="U75" i="14"/>
  <c r="U47" i="14"/>
  <c r="U132" i="14"/>
  <c r="AX132" i="14" s="1"/>
  <c r="HN14" i="7" s="1"/>
  <c r="U105" i="14"/>
  <c r="AX105" i="14" s="1"/>
  <c r="U73" i="14"/>
  <c r="AX73" i="14" s="1"/>
  <c r="U45" i="14"/>
  <c r="AX45" i="14" s="1"/>
  <c r="CI15" i="7" s="1"/>
  <c r="M123" i="14"/>
  <c r="M96" i="14"/>
  <c r="M64" i="14"/>
  <c r="M36" i="14"/>
  <c r="K124" i="14"/>
  <c r="K97" i="14"/>
  <c r="K65" i="14"/>
  <c r="K37" i="14"/>
  <c r="K126" i="14"/>
  <c r="K99" i="14"/>
  <c r="AN99" i="14" s="1"/>
  <c r="K67" i="14"/>
  <c r="AN67" i="14" s="1"/>
  <c r="K39" i="14"/>
  <c r="AN39" i="14" s="1"/>
  <c r="BY9" i="7" s="1"/>
  <c r="K129" i="14"/>
  <c r="AN129" i="14" s="1"/>
  <c r="HD11" i="7" s="1"/>
  <c r="K102" i="14"/>
  <c r="AN102" i="14" s="1"/>
  <c r="K70" i="14"/>
  <c r="AN70" i="14" s="1"/>
  <c r="K42" i="14"/>
  <c r="AN42" i="14" s="1"/>
  <c r="BY12" i="7" s="1"/>
  <c r="K121" i="14"/>
  <c r="K94" i="14"/>
  <c r="K62" i="14"/>
  <c r="K34" i="14"/>
  <c r="K125" i="14"/>
  <c r="K98" i="14"/>
  <c r="K66" i="14"/>
  <c r="K38" i="14"/>
  <c r="K128" i="14"/>
  <c r="AN128" i="14" s="1"/>
  <c r="HD10" i="7" s="1"/>
  <c r="K101" i="14"/>
  <c r="AN101" i="14" s="1"/>
  <c r="K69" i="14"/>
  <c r="AN69" i="14" s="1"/>
  <c r="K41" i="14"/>
  <c r="AN41" i="14" s="1"/>
  <c r="BY11" i="7" s="1"/>
  <c r="K130" i="14"/>
  <c r="AN130" i="14" s="1"/>
  <c r="HD12" i="7" s="1"/>
  <c r="K103" i="14"/>
  <c r="K71" i="14"/>
  <c r="K43" i="14"/>
  <c r="K127" i="14"/>
  <c r="AN127" i="14" s="1"/>
  <c r="HD9" i="7" s="1"/>
  <c r="K100" i="14"/>
  <c r="AN100" i="14" s="1"/>
  <c r="K68" i="14"/>
  <c r="AN68" i="14" s="1"/>
  <c r="K40" i="14"/>
  <c r="AN40" i="14" s="1"/>
  <c r="BY10" i="7" s="1"/>
  <c r="O223" i="14"/>
  <c r="N204" i="14"/>
  <c r="N207" i="14"/>
  <c r="N199" i="14"/>
  <c r="N216" i="14"/>
  <c r="N203" i="14"/>
  <c r="N206" i="14"/>
  <c r="N202" i="14"/>
  <c r="N205" i="14"/>
  <c r="N208" i="14"/>
  <c r="O196" i="14"/>
  <c r="O213" i="14" s="1"/>
  <c r="Z176" i="21" l="1"/>
  <c r="Z48" i="21"/>
  <c r="U48" i="21"/>
  <c r="N135" i="14"/>
  <c r="AQ135" i="14" s="1"/>
  <c r="HG17" i="7" s="1"/>
  <c r="N108" i="14"/>
  <c r="AQ108" i="14" s="1"/>
  <c r="N76" i="14"/>
  <c r="AQ76" i="14" s="1"/>
  <c r="N230" i="14"/>
  <c r="N227" i="14"/>
  <c r="N224" i="14"/>
  <c r="N228" i="14"/>
  <c r="N225" i="14"/>
  <c r="N221" i="14"/>
  <c r="N229" i="14"/>
  <c r="N226" i="14"/>
  <c r="N123" i="14"/>
  <c r="N96" i="14"/>
  <c r="N64" i="14"/>
  <c r="N36" i="14"/>
  <c r="V132" i="14"/>
  <c r="AY132" i="14" s="1"/>
  <c r="HO14" i="7" s="1"/>
  <c r="V105" i="14"/>
  <c r="AY105" i="14" s="1"/>
  <c r="V73" i="14"/>
  <c r="AY73" i="14" s="1"/>
  <c r="V45" i="14"/>
  <c r="AY45" i="14" s="1"/>
  <c r="CJ15" i="7" s="1"/>
  <c r="V134" i="14"/>
  <c r="AY134" i="14" s="1"/>
  <c r="HO16" i="7" s="1"/>
  <c r="V107" i="14"/>
  <c r="V75" i="14"/>
  <c r="V47" i="14"/>
  <c r="L126" i="14"/>
  <c r="L99" i="14"/>
  <c r="L67" i="14"/>
  <c r="L39" i="14"/>
  <c r="L129" i="14"/>
  <c r="AO129" i="14" s="1"/>
  <c r="HE11" i="7" s="1"/>
  <c r="L102" i="14"/>
  <c r="AO102" i="14" s="1"/>
  <c r="L70" i="14"/>
  <c r="AO70" i="14" s="1"/>
  <c r="L42" i="14"/>
  <c r="AO42" i="14" s="1"/>
  <c r="BZ12" i="7" s="1"/>
  <c r="L130" i="14"/>
  <c r="AO130" i="14" s="1"/>
  <c r="HE12" i="7" s="1"/>
  <c r="L103" i="14"/>
  <c r="L71" i="14"/>
  <c r="L43" i="14"/>
  <c r="L127" i="14"/>
  <c r="L100" i="14"/>
  <c r="AO100" i="14" s="1"/>
  <c r="L68" i="14"/>
  <c r="AO68" i="14" s="1"/>
  <c r="L40" i="14"/>
  <c r="AO40" i="14" s="1"/>
  <c r="BZ10" i="7" s="1"/>
  <c r="L121" i="14"/>
  <c r="L94" i="14"/>
  <c r="L62" i="14"/>
  <c r="L34" i="14"/>
  <c r="L125" i="14"/>
  <c r="L98" i="14"/>
  <c r="L66" i="14"/>
  <c r="L38" i="14"/>
  <c r="L128" i="14"/>
  <c r="AO128" i="14" s="1"/>
  <c r="HE10" i="7" s="1"/>
  <c r="L101" i="14"/>
  <c r="AO101" i="14" s="1"/>
  <c r="L69" i="14"/>
  <c r="AO69" i="14" s="1"/>
  <c r="L41" i="14"/>
  <c r="AO41" i="14" s="1"/>
  <c r="BZ11" i="7" s="1"/>
  <c r="L124" i="14"/>
  <c r="L97" i="14"/>
  <c r="L65" i="14"/>
  <c r="L37" i="14"/>
  <c r="P223" i="14"/>
  <c r="O202" i="14"/>
  <c r="O205" i="14"/>
  <c r="O208" i="14"/>
  <c r="O204" i="14"/>
  <c r="O207" i="14"/>
  <c r="O199" i="14"/>
  <c r="O203" i="14"/>
  <c r="O206" i="14"/>
  <c r="O216" i="14"/>
  <c r="P196" i="14"/>
  <c r="P213" i="14" s="1"/>
  <c r="AB176" i="21" l="1"/>
  <c r="AA176" i="21"/>
  <c r="AB48" i="21"/>
  <c r="AA48" i="21"/>
  <c r="W48" i="21"/>
  <c r="V48" i="21"/>
  <c r="O228" i="14"/>
  <c r="O225" i="14"/>
  <c r="O221" i="14"/>
  <c r="O229" i="14"/>
  <c r="O226" i="14"/>
  <c r="O230" i="14"/>
  <c r="O227" i="14"/>
  <c r="O224" i="14"/>
  <c r="O123" i="14"/>
  <c r="O96" i="14"/>
  <c r="O64" i="14"/>
  <c r="O36" i="14"/>
  <c r="M126" i="14"/>
  <c r="M99" i="14"/>
  <c r="M67" i="14"/>
  <c r="M39" i="14"/>
  <c r="M129" i="14"/>
  <c r="AP129" i="14" s="1"/>
  <c r="HF11" i="7" s="1"/>
  <c r="M102" i="14"/>
  <c r="AP102" i="14" s="1"/>
  <c r="M70" i="14"/>
  <c r="AP70" i="14" s="1"/>
  <c r="M42" i="14"/>
  <c r="AP42" i="14" s="1"/>
  <c r="CA12" i="7" s="1"/>
  <c r="M121" i="14"/>
  <c r="M94" i="14"/>
  <c r="M62" i="14"/>
  <c r="M34" i="14"/>
  <c r="M125" i="14"/>
  <c r="M98" i="14"/>
  <c r="M66" i="14"/>
  <c r="M38" i="14"/>
  <c r="M128" i="14"/>
  <c r="AP128" i="14" s="1"/>
  <c r="HF10" i="7" s="1"/>
  <c r="M101" i="14"/>
  <c r="AP101" i="14" s="1"/>
  <c r="M69" i="14"/>
  <c r="AP69" i="14" s="1"/>
  <c r="M41" i="14"/>
  <c r="AP41" i="14" s="1"/>
  <c r="CA11" i="7" s="1"/>
  <c r="M124" i="14"/>
  <c r="M97" i="14"/>
  <c r="M65" i="14"/>
  <c r="M37" i="14"/>
  <c r="M127" i="14"/>
  <c r="M100" i="14"/>
  <c r="AP100" i="14" s="1"/>
  <c r="M68" i="14"/>
  <c r="AP68" i="14" s="1"/>
  <c r="M40" i="14"/>
  <c r="AP40" i="14" s="1"/>
  <c r="CA10" i="7" s="1"/>
  <c r="M130" i="14"/>
  <c r="AP130" i="14" s="1"/>
  <c r="HF12" i="7" s="1"/>
  <c r="M103" i="14"/>
  <c r="M71" i="14"/>
  <c r="M43" i="14"/>
  <c r="Q223" i="14"/>
  <c r="P216" i="14"/>
  <c r="P202" i="14"/>
  <c r="P205" i="14"/>
  <c r="P208" i="14"/>
  <c r="P206" i="14"/>
  <c r="P204" i="14"/>
  <c r="P207" i="14"/>
  <c r="P199" i="14"/>
  <c r="P203" i="14"/>
  <c r="Q196" i="14"/>
  <c r="Q213" i="14" s="1"/>
  <c r="O135" i="14" l="1"/>
  <c r="O108" i="14"/>
  <c r="O76" i="14"/>
  <c r="O48" i="14"/>
  <c r="P225" i="14"/>
  <c r="P221" i="14"/>
  <c r="P229" i="14"/>
  <c r="P226" i="14"/>
  <c r="P228" i="14"/>
  <c r="P230" i="14"/>
  <c r="P227" i="14"/>
  <c r="P224" i="14"/>
  <c r="P123" i="14"/>
  <c r="P96" i="14"/>
  <c r="P64" i="14"/>
  <c r="P36" i="14"/>
  <c r="N124" i="14"/>
  <c r="N97" i="14"/>
  <c r="N65" i="14"/>
  <c r="N37" i="14"/>
  <c r="N127" i="14"/>
  <c r="N100" i="14"/>
  <c r="AQ100" i="14" s="1"/>
  <c r="N68" i="14"/>
  <c r="AQ68" i="14" s="1"/>
  <c r="N40" i="14"/>
  <c r="AQ40" i="14" s="1"/>
  <c r="CB10" i="7" s="1"/>
  <c r="N130" i="14"/>
  <c r="AQ130" i="14" s="1"/>
  <c r="HG12" i="7" s="1"/>
  <c r="N103" i="14"/>
  <c r="N71" i="14"/>
  <c r="N43" i="14"/>
  <c r="N126" i="14"/>
  <c r="N99" i="14"/>
  <c r="N67" i="14"/>
  <c r="N39" i="14"/>
  <c r="N129" i="14"/>
  <c r="AQ129" i="14" s="1"/>
  <c r="HG11" i="7" s="1"/>
  <c r="N102" i="14"/>
  <c r="AQ102" i="14" s="1"/>
  <c r="N70" i="14"/>
  <c r="AQ70" i="14" s="1"/>
  <c r="N42" i="14"/>
  <c r="AQ42" i="14" s="1"/>
  <c r="CB12" i="7" s="1"/>
  <c r="N121" i="14"/>
  <c r="N94" i="14"/>
  <c r="N62" i="14"/>
  <c r="N34" i="14"/>
  <c r="N125" i="14"/>
  <c r="N98" i="14"/>
  <c r="N66" i="14"/>
  <c r="N38" i="14"/>
  <c r="N128" i="14"/>
  <c r="AQ128" i="14" s="1"/>
  <c r="HG10" i="7" s="1"/>
  <c r="N101" i="14"/>
  <c r="AQ101" i="14" s="1"/>
  <c r="N69" i="14"/>
  <c r="AQ69" i="14" s="1"/>
  <c r="N41" i="14"/>
  <c r="AQ41" i="14" s="1"/>
  <c r="CB11" i="7" s="1"/>
  <c r="R223" i="14"/>
  <c r="Q206" i="14"/>
  <c r="Q216" i="14"/>
  <c r="Q199" i="14"/>
  <c r="Q202" i="14"/>
  <c r="Q205" i="14"/>
  <c r="Q208" i="14"/>
  <c r="Q203" i="14"/>
  <c r="Q204" i="14"/>
  <c r="Q207" i="14"/>
  <c r="R196" i="14"/>
  <c r="R213" i="14" s="1"/>
  <c r="P135" i="14" l="1"/>
  <c r="P108" i="14"/>
  <c r="P76" i="14"/>
  <c r="P48" i="14"/>
  <c r="Q229" i="14"/>
  <c r="Q226" i="14"/>
  <c r="Q225" i="14"/>
  <c r="Q230" i="14"/>
  <c r="Q227" i="14"/>
  <c r="Q224" i="14"/>
  <c r="Q221" i="14"/>
  <c r="Q228" i="14"/>
  <c r="Q123" i="14"/>
  <c r="Q96" i="14"/>
  <c r="Q64" i="14"/>
  <c r="Q36" i="14"/>
  <c r="O124" i="14"/>
  <c r="O97" i="14"/>
  <c r="O65" i="14"/>
  <c r="O37" i="14"/>
  <c r="O127" i="14"/>
  <c r="O100" i="14"/>
  <c r="AR100" i="14" s="1"/>
  <c r="O68" i="14"/>
  <c r="AR68" i="14" s="1"/>
  <c r="O40" i="14"/>
  <c r="AR40" i="14" s="1"/>
  <c r="CC10" i="7" s="1"/>
  <c r="O130" i="14"/>
  <c r="AR130" i="14" s="1"/>
  <c r="HH12" i="7" s="1"/>
  <c r="O103" i="14"/>
  <c r="O71" i="14"/>
  <c r="O43" i="14"/>
  <c r="O128" i="14"/>
  <c r="AR128" i="14" s="1"/>
  <c r="HH10" i="7" s="1"/>
  <c r="O101" i="14"/>
  <c r="AR101" i="14" s="1"/>
  <c r="O69" i="14"/>
  <c r="AR69" i="14" s="1"/>
  <c r="O41" i="14"/>
  <c r="AR41" i="14" s="1"/>
  <c r="CC11" i="7" s="1"/>
  <c r="O126" i="14"/>
  <c r="O99" i="14"/>
  <c r="O67" i="14"/>
  <c r="O39" i="14"/>
  <c r="O129" i="14"/>
  <c r="AR129" i="14" s="1"/>
  <c r="HH11" i="7" s="1"/>
  <c r="O102" i="14"/>
  <c r="AR102" i="14" s="1"/>
  <c r="O70" i="14"/>
  <c r="AR70" i="14" s="1"/>
  <c r="O42" i="14"/>
  <c r="AR42" i="14" s="1"/>
  <c r="CC12" i="7" s="1"/>
  <c r="O121" i="14"/>
  <c r="O94" i="14"/>
  <c r="O62" i="14"/>
  <c r="O34" i="14"/>
  <c r="O125" i="14"/>
  <c r="O98" i="14"/>
  <c r="O66" i="14"/>
  <c r="O38" i="14"/>
  <c r="S223" i="14"/>
  <c r="R199" i="14"/>
  <c r="R216" i="14"/>
  <c r="R202" i="14"/>
  <c r="R205" i="14"/>
  <c r="R208" i="14"/>
  <c r="R204" i="14"/>
  <c r="R207" i="14"/>
  <c r="R203" i="14"/>
  <c r="R206" i="14"/>
  <c r="S196" i="14"/>
  <c r="S213" i="14" s="1"/>
  <c r="Q135" i="14" l="1"/>
  <c r="Q108" i="14"/>
  <c r="Q76" i="14"/>
  <c r="Q48" i="14"/>
  <c r="R228" i="14"/>
  <c r="R225" i="14"/>
  <c r="R229" i="14"/>
  <c r="R226" i="14"/>
  <c r="R230" i="14"/>
  <c r="R227" i="14"/>
  <c r="R224" i="14"/>
  <c r="R221" i="14"/>
  <c r="R123" i="14"/>
  <c r="R96" i="14"/>
  <c r="R64" i="14"/>
  <c r="R36" i="14"/>
  <c r="P128" i="14"/>
  <c r="AS128" i="14" s="1"/>
  <c r="HI10" i="7" s="1"/>
  <c r="P101" i="14"/>
  <c r="AS101" i="14" s="1"/>
  <c r="P69" i="14"/>
  <c r="AS69" i="14" s="1"/>
  <c r="P41" i="14"/>
  <c r="AS41" i="14" s="1"/>
  <c r="CD11" i="7" s="1"/>
  <c r="P121" i="14"/>
  <c r="P94" i="14"/>
  <c r="P62" i="14"/>
  <c r="P34" i="14"/>
  <c r="P124" i="14"/>
  <c r="P97" i="14"/>
  <c r="P65" i="14"/>
  <c r="P37" i="14"/>
  <c r="P127" i="14"/>
  <c r="P100" i="14"/>
  <c r="AS100" i="14" s="1"/>
  <c r="P68" i="14"/>
  <c r="AS68" i="14" s="1"/>
  <c r="P40" i="14"/>
  <c r="AS40" i="14" s="1"/>
  <c r="CD10" i="7" s="1"/>
  <c r="P130" i="14"/>
  <c r="AS130" i="14" s="1"/>
  <c r="HI12" i="7" s="1"/>
  <c r="P103" i="14"/>
  <c r="P71" i="14"/>
  <c r="P43" i="14"/>
  <c r="P125" i="14"/>
  <c r="P98" i="14"/>
  <c r="P66" i="14"/>
  <c r="P38" i="14"/>
  <c r="P126" i="14"/>
  <c r="P99" i="14"/>
  <c r="P67" i="14"/>
  <c r="P39" i="14"/>
  <c r="P129" i="14"/>
  <c r="AS129" i="14" s="1"/>
  <c r="HI11" i="7" s="1"/>
  <c r="P102" i="14"/>
  <c r="AS102" i="14" s="1"/>
  <c r="P70" i="14"/>
  <c r="AS70" i="14" s="1"/>
  <c r="P42" i="14"/>
  <c r="AS42" i="14" s="1"/>
  <c r="CD12" i="7" s="1"/>
  <c r="T223" i="14"/>
  <c r="S203" i="14"/>
  <c r="S206" i="14"/>
  <c r="S216" i="14"/>
  <c r="S202" i="14"/>
  <c r="S205" i="14"/>
  <c r="S208" i="14"/>
  <c r="S204" i="14"/>
  <c r="S207" i="14"/>
  <c r="S199" i="14"/>
  <c r="T196" i="14"/>
  <c r="T213" i="14" s="1"/>
  <c r="R135" i="14" l="1"/>
  <c r="R108" i="14"/>
  <c r="R76" i="14"/>
  <c r="R48" i="14"/>
  <c r="S221" i="14"/>
  <c r="S229" i="14"/>
  <c r="S226" i="14"/>
  <c r="S230" i="14"/>
  <c r="S227" i="14"/>
  <c r="S224" i="14"/>
  <c r="S228" i="14"/>
  <c r="S225" i="14"/>
  <c r="S123" i="14"/>
  <c r="S96" i="14"/>
  <c r="S64" i="14"/>
  <c r="S36" i="14"/>
  <c r="Q121" i="14"/>
  <c r="Q94" i="14"/>
  <c r="Q62" i="14"/>
  <c r="Q34" i="14"/>
  <c r="Q124" i="14"/>
  <c r="Q97" i="14"/>
  <c r="Q65" i="14"/>
  <c r="Q37" i="14"/>
  <c r="Q127" i="14"/>
  <c r="Q100" i="14"/>
  <c r="AT100" i="14" s="1"/>
  <c r="Q68" i="14"/>
  <c r="AT68" i="14" s="1"/>
  <c r="Q40" i="14"/>
  <c r="AT40" i="14" s="1"/>
  <c r="CE10" i="7" s="1"/>
  <c r="Q130" i="14"/>
  <c r="AT130" i="14" s="1"/>
  <c r="HJ12" i="7" s="1"/>
  <c r="Q103" i="14"/>
  <c r="Q71" i="14"/>
  <c r="Q43" i="14"/>
  <c r="Q126" i="14"/>
  <c r="Q99" i="14"/>
  <c r="Q67" i="14"/>
  <c r="Q39" i="14"/>
  <c r="Q129" i="14"/>
  <c r="AT129" i="14" s="1"/>
  <c r="HJ11" i="7" s="1"/>
  <c r="Q102" i="14"/>
  <c r="AT102" i="14" s="1"/>
  <c r="Q70" i="14"/>
  <c r="AT70" i="14" s="1"/>
  <c r="Q42" i="14"/>
  <c r="AT42" i="14" s="1"/>
  <c r="CE12" i="7" s="1"/>
  <c r="Q125" i="14"/>
  <c r="Q98" i="14"/>
  <c r="Q66" i="14"/>
  <c r="Q38" i="14"/>
  <c r="Q128" i="14"/>
  <c r="AT128" i="14" s="1"/>
  <c r="HJ10" i="7" s="1"/>
  <c r="Q101" i="14"/>
  <c r="AT101" i="14" s="1"/>
  <c r="Q69" i="14"/>
  <c r="AT69" i="14" s="1"/>
  <c r="Q41" i="14"/>
  <c r="AT41" i="14" s="1"/>
  <c r="CE11" i="7" s="1"/>
  <c r="U223" i="14"/>
  <c r="T199" i="14"/>
  <c r="T203" i="14"/>
  <c r="T206" i="14"/>
  <c r="T216" i="14"/>
  <c r="T202" i="14"/>
  <c r="T205" i="14"/>
  <c r="T208" i="14"/>
  <c r="T204" i="14"/>
  <c r="T207" i="14"/>
  <c r="U196" i="14"/>
  <c r="U213" i="14" s="1"/>
  <c r="AT133" i="7" l="1"/>
  <c r="AT97" i="7"/>
  <c r="AT175" i="7"/>
  <c r="S135" i="14"/>
  <c r="S108" i="14"/>
  <c r="S76" i="14"/>
  <c r="S48" i="14"/>
  <c r="T229" i="14"/>
  <c r="T226" i="14"/>
  <c r="T230" i="14"/>
  <c r="T227" i="14"/>
  <c r="T224" i="14"/>
  <c r="T228" i="14"/>
  <c r="T225" i="14"/>
  <c r="T221" i="14"/>
  <c r="T123" i="14"/>
  <c r="T96" i="14"/>
  <c r="T64" i="14"/>
  <c r="T36" i="14"/>
  <c r="R125" i="14"/>
  <c r="R98" i="14"/>
  <c r="R66" i="14"/>
  <c r="R38" i="14"/>
  <c r="R128" i="14"/>
  <c r="AU128" i="14" s="1"/>
  <c r="HK10" i="7" s="1"/>
  <c r="R101" i="14"/>
  <c r="AU101" i="14" s="1"/>
  <c r="R69" i="14"/>
  <c r="AU69" i="14" s="1"/>
  <c r="R41" i="14"/>
  <c r="AU41" i="14" s="1"/>
  <c r="CF11" i="7" s="1"/>
  <c r="R124" i="14"/>
  <c r="R97" i="14"/>
  <c r="R65" i="14"/>
  <c r="R37" i="14"/>
  <c r="R127" i="14"/>
  <c r="R100" i="14"/>
  <c r="AU100" i="14" s="1"/>
  <c r="R68" i="14"/>
  <c r="AU68" i="14" s="1"/>
  <c r="R40" i="14"/>
  <c r="AU40" i="14" s="1"/>
  <c r="CF10" i="7" s="1"/>
  <c r="R130" i="14"/>
  <c r="AU130" i="14" s="1"/>
  <c r="HK12" i="7" s="1"/>
  <c r="R103" i="14"/>
  <c r="R71" i="14"/>
  <c r="R43" i="14"/>
  <c r="R126" i="14"/>
  <c r="R99" i="14"/>
  <c r="R67" i="14"/>
  <c r="R39" i="14"/>
  <c r="R129" i="14"/>
  <c r="AU129" i="14" s="1"/>
  <c r="HK11" i="7" s="1"/>
  <c r="R102" i="14"/>
  <c r="AU102" i="14" s="1"/>
  <c r="R70" i="14"/>
  <c r="AU70" i="14" s="1"/>
  <c r="R42" i="14"/>
  <c r="AU42" i="14" s="1"/>
  <c r="CF12" i="7" s="1"/>
  <c r="R121" i="14"/>
  <c r="R94" i="14"/>
  <c r="R62" i="14"/>
  <c r="R34" i="14"/>
  <c r="V223" i="14"/>
  <c r="U199" i="14"/>
  <c r="U204" i="14"/>
  <c r="U203" i="14"/>
  <c r="U206" i="14"/>
  <c r="U207" i="14"/>
  <c r="U216" i="14"/>
  <c r="U202" i="14"/>
  <c r="U205" i="14"/>
  <c r="U208" i="14"/>
  <c r="V196" i="14"/>
  <c r="V213" i="14" s="1"/>
  <c r="T135" i="14" l="1"/>
  <c r="T108" i="14"/>
  <c r="T76" i="14"/>
  <c r="T48" i="14"/>
  <c r="U230" i="14"/>
  <c r="U227" i="14"/>
  <c r="U224" i="14"/>
  <c r="U229" i="14"/>
  <c r="U228" i="14"/>
  <c r="U225" i="14"/>
  <c r="U226" i="14"/>
  <c r="U221" i="14"/>
  <c r="W223" i="14"/>
  <c r="U123" i="14"/>
  <c r="U96" i="14"/>
  <c r="U64" i="14"/>
  <c r="U36" i="14"/>
  <c r="S121" i="14"/>
  <c r="S94" i="14"/>
  <c r="S62" i="14"/>
  <c r="S34" i="14"/>
  <c r="S125" i="14"/>
  <c r="S98" i="14"/>
  <c r="S66" i="14"/>
  <c r="S38" i="14"/>
  <c r="S128" i="14"/>
  <c r="AV128" i="14" s="1"/>
  <c r="HL10" i="7" s="1"/>
  <c r="S101" i="14"/>
  <c r="AV101" i="14" s="1"/>
  <c r="S69" i="14"/>
  <c r="AV69" i="14" s="1"/>
  <c r="S41" i="14"/>
  <c r="AV41" i="14" s="1"/>
  <c r="CG11" i="7" s="1"/>
  <c r="S124" i="14"/>
  <c r="S97" i="14"/>
  <c r="S65" i="14"/>
  <c r="S37" i="14"/>
  <c r="S127" i="14"/>
  <c r="S100" i="14"/>
  <c r="AV100" i="14" s="1"/>
  <c r="S68" i="14"/>
  <c r="AV68" i="14" s="1"/>
  <c r="S40" i="14"/>
  <c r="AV40" i="14" s="1"/>
  <c r="CG10" i="7" s="1"/>
  <c r="S130" i="14"/>
  <c r="AV130" i="14" s="1"/>
  <c r="HL12" i="7" s="1"/>
  <c r="S103" i="14"/>
  <c r="S71" i="14"/>
  <c r="S43" i="14"/>
  <c r="S126" i="14"/>
  <c r="S99" i="14"/>
  <c r="S67" i="14"/>
  <c r="S39" i="14"/>
  <c r="S129" i="14"/>
  <c r="AV129" i="14" s="1"/>
  <c r="HL11" i="7" s="1"/>
  <c r="S102" i="14"/>
  <c r="AV102" i="14" s="1"/>
  <c r="S70" i="14"/>
  <c r="AV70" i="14" s="1"/>
  <c r="S42" i="14"/>
  <c r="AV42" i="14" s="1"/>
  <c r="CG12" i="7" s="1"/>
  <c r="V199" i="14"/>
  <c r="V203" i="14"/>
  <c r="V206" i="14"/>
  <c r="V216" i="14"/>
  <c r="V202" i="14"/>
  <c r="V205" i="14"/>
  <c r="V208" i="14"/>
  <c r="V204" i="14"/>
  <c r="V207" i="14"/>
  <c r="W196" i="14"/>
  <c r="W213" i="14" s="1"/>
  <c r="U135" i="14" l="1"/>
  <c r="U108" i="14"/>
  <c r="U76" i="14"/>
  <c r="U48" i="14"/>
  <c r="V229" i="14"/>
  <c r="V226" i="14"/>
  <c r="V230" i="14"/>
  <c r="V227" i="14"/>
  <c r="V224" i="14"/>
  <c r="V228" i="14"/>
  <c r="V225" i="14"/>
  <c r="V221" i="14"/>
  <c r="V123" i="14"/>
  <c r="V96" i="14"/>
  <c r="V64" i="14"/>
  <c r="V36" i="14"/>
  <c r="T121" i="14"/>
  <c r="T94" i="14"/>
  <c r="T62" i="14"/>
  <c r="T34" i="14"/>
  <c r="T126" i="14"/>
  <c r="T99" i="14"/>
  <c r="T67" i="14"/>
  <c r="T39" i="14"/>
  <c r="T125" i="14"/>
  <c r="T98" i="14"/>
  <c r="T66" i="14"/>
  <c r="T38" i="14"/>
  <c r="T128" i="14"/>
  <c r="AW128" i="14" s="1"/>
  <c r="HM10" i="7" s="1"/>
  <c r="T101" i="14"/>
  <c r="AW101" i="14" s="1"/>
  <c r="T69" i="14"/>
  <c r="AW69" i="14" s="1"/>
  <c r="T41" i="14"/>
  <c r="AW41" i="14" s="1"/>
  <c r="CH11" i="7" s="1"/>
  <c r="T129" i="14"/>
  <c r="AW129" i="14" s="1"/>
  <c r="HM11" i="7" s="1"/>
  <c r="T102" i="14"/>
  <c r="AW102" i="14" s="1"/>
  <c r="T70" i="14"/>
  <c r="AW70" i="14" s="1"/>
  <c r="T42" i="14"/>
  <c r="AW42" i="14" s="1"/>
  <c r="CH12" i="7" s="1"/>
  <c r="T124" i="14"/>
  <c r="T97" i="14"/>
  <c r="T65" i="14"/>
  <c r="T37" i="14"/>
  <c r="T127" i="14"/>
  <c r="T100" i="14"/>
  <c r="AW100" i="14" s="1"/>
  <c r="T68" i="14"/>
  <c r="AW68" i="14" s="1"/>
  <c r="T40" i="14"/>
  <c r="AW40" i="14" s="1"/>
  <c r="CH10" i="7" s="1"/>
  <c r="T130" i="14"/>
  <c r="AW130" i="14" s="1"/>
  <c r="HM12" i="7" s="1"/>
  <c r="T103" i="14"/>
  <c r="T71" i="14"/>
  <c r="T43" i="14"/>
  <c r="W204" i="14"/>
  <c r="W207" i="14"/>
  <c r="W199" i="14"/>
  <c r="W203" i="14"/>
  <c r="W206" i="14"/>
  <c r="W216" i="14"/>
  <c r="W202" i="14"/>
  <c r="W205" i="14"/>
  <c r="W208" i="14"/>
  <c r="V135" i="14" l="1"/>
  <c r="V108" i="14"/>
  <c r="V76" i="14"/>
  <c r="V48" i="14"/>
  <c r="W230" i="14"/>
  <c r="W227" i="14"/>
  <c r="W224" i="14"/>
  <c r="W228" i="14"/>
  <c r="W225" i="14"/>
  <c r="W221" i="14"/>
  <c r="W229" i="14"/>
  <c r="W226" i="14"/>
  <c r="U121" i="14"/>
  <c r="U94" i="14"/>
  <c r="U62" i="14"/>
  <c r="U34" i="14"/>
  <c r="U125" i="14"/>
  <c r="U98" i="14"/>
  <c r="U66" i="14"/>
  <c r="U38" i="14"/>
  <c r="U128" i="14"/>
  <c r="AX128" i="14" s="1"/>
  <c r="HN10" i="7" s="1"/>
  <c r="U101" i="14"/>
  <c r="AX101" i="14" s="1"/>
  <c r="U69" i="14"/>
  <c r="AX69" i="14" s="1"/>
  <c r="U41" i="14"/>
  <c r="AX41" i="14" s="1"/>
  <c r="CI11" i="7" s="1"/>
  <c r="U124" i="14"/>
  <c r="U97" i="14"/>
  <c r="U65" i="14"/>
  <c r="U37" i="14"/>
  <c r="U127" i="14"/>
  <c r="U100" i="14"/>
  <c r="AX100" i="14" s="1"/>
  <c r="U68" i="14"/>
  <c r="AX68" i="14" s="1"/>
  <c r="U40" i="14"/>
  <c r="AX40" i="14" s="1"/>
  <c r="CI10" i="7" s="1"/>
  <c r="U130" i="14"/>
  <c r="AX130" i="14" s="1"/>
  <c r="HN12" i="7" s="1"/>
  <c r="U103" i="14"/>
  <c r="U71" i="14"/>
  <c r="U43" i="14"/>
  <c r="U126" i="14"/>
  <c r="U99" i="14"/>
  <c r="U67" i="14"/>
  <c r="U39" i="14"/>
  <c r="U129" i="14"/>
  <c r="AX129" i="14" s="1"/>
  <c r="HN11" i="7" s="1"/>
  <c r="U102" i="14"/>
  <c r="AX102" i="14" s="1"/>
  <c r="U70" i="14"/>
  <c r="AX70" i="14" s="1"/>
  <c r="U42" i="14"/>
  <c r="AX42" i="14" s="1"/>
  <c r="CI12" i="7" s="1"/>
  <c r="G156" i="14"/>
  <c r="H147" i="14"/>
  <c r="H156" i="14"/>
  <c r="H158" i="14"/>
  <c r="H161" i="14"/>
  <c r="G155" i="14"/>
  <c r="G147" i="14"/>
  <c r="G152" i="14"/>
  <c r="H149" i="14"/>
  <c r="G151" i="14"/>
  <c r="G154" i="14"/>
  <c r="H151" i="14"/>
  <c r="H150" i="14"/>
  <c r="P150" i="14" s="1"/>
  <c r="G149" i="14"/>
  <c r="G150" i="14"/>
  <c r="H160" i="14"/>
  <c r="G153" i="14"/>
  <c r="Q152" i="14"/>
  <c r="Q156" i="14"/>
  <c r="Q151" i="14"/>
  <c r="Q154" i="14"/>
  <c r="Q153" i="14"/>
  <c r="O161" i="14"/>
  <c r="P153" i="14"/>
  <c r="R160" i="14"/>
  <c r="R149" i="14"/>
  <c r="R161" i="14"/>
  <c r="Q147" i="14"/>
  <c r="R151" i="14"/>
  <c r="O158" i="14"/>
  <c r="R147" i="14"/>
  <c r="R156" i="14"/>
  <c r="P154" i="14"/>
  <c r="O160" i="14"/>
  <c r="Q150" i="14"/>
  <c r="P155" i="14"/>
  <c r="R153" i="14"/>
  <c r="Q160" i="14"/>
  <c r="R158" i="14"/>
  <c r="Q161" i="14"/>
  <c r="R154" i="14"/>
  <c r="Q149" i="14"/>
  <c r="Q158" i="14"/>
  <c r="R155" i="14"/>
  <c r="Q155" i="14"/>
  <c r="R150" i="14"/>
  <c r="R152" i="14"/>
  <c r="P152" i="14"/>
  <c r="AU175" i="7" l="1"/>
  <c r="AU133" i="7"/>
  <c r="AU97" i="7"/>
  <c r="O209" i="14"/>
  <c r="N231" i="14"/>
  <c r="V126" i="14"/>
  <c r="V99" i="14"/>
  <c r="V67" i="14"/>
  <c r="V39" i="14"/>
  <c r="V129" i="14"/>
  <c r="AY129" i="14" s="1"/>
  <c r="HO11" i="7" s="1"/>
  <c r="V102" i="14"/>
  <c r="AY102" i="14" s="1"/>
  <c r="V70" i="14"/>
  <c r="AY70" i="14" s="1"/>
  <c r="V42" i="14"/>
  <c r="AY42" i="14" s="1"/>
  <c r="CJ12" i="7" s="1"/>
  <c r="V121" i="14"/>
  <c r="V94" i="14"/>
  <c r="V62" i="14"/>
  <c r="V34" i="14"/>
  <c r="V125" i="14"/>
  <c r="V98" i="14"/>
  <c r="V66" i="14"/>
  <c r="V38" i="14"/>
  <c r="V128" i="14"/>
  <c r="AY128" i="14" s="1"/>
  <c r="HO10" i="7" s="1"/>
  <c r="V101" i="14"/>
  <c r="AY101" i="14" s="1"/>
  <c r="V69" i="14"/>
  <c r="AY69" i="14" s="1"/>
  <c r="V41" i="14"/>
  <c r="AY41" i="14" s="1"/>
  <c r="CJ11" i="7" s="1"/>
  <c r="V124" i="14"/>
  <c r="V97" i="14"/>
  <c r="V65" i="14"/>
  <c r="V37" i="14"/>
  <c r="V127" i="14"/>
  <c r="V100" i="14"/>
  <c r="AY100" i="14" s="1"/>
  <c r="V68" i="14"/>
  <c r="AY68" i="14" s="1"/>
  <c r="V40" i="14"/>
  <c r="AY40" i="14" s="1"/>
  <c r="CJ10" i="7" s="1"/>
  <c r="V130" i="14"/>
  <c r="AY130" i="14" s="1"/>
  <c r="HO12" i="7" s="1"/>
  <c r="V103" i="14"/>
  <c r="V71" i="14"/>
  <c r="V43" i="14"/>
  <c r="P161" i="14"/>
  <c r="O151" i="14"/>
  <c r="O150" i="14"/>
  <c r="P147" i="14"/>
  <c r="P149" i="14"/>
  <c r="O152" i="14"/>
  <c r="O147" i="14"/>
  <c r="O155" i="14"/>
  <c r="P156" i="14"/>
  <c r="O154" i="14"/>
  <c r="P160" i="14"/>
  <c r="O156" i="14"/>
  <c r="P158" i="14"/>
  <c r="O149" i="14"/>
  <c r="O153" i="14"/>
  <c r="P151" i="14"/>
  <c r="N131" i="14" l="1"/>
  <c r="H157" i="14" s="1"/>
  <c r="O231" i="14"/>
  <c r="P209" i="14"/>
  <c r="Q209" i="14" s="1"/>
  <c r="M131" i="14"/>
  <c r="M104" i="14"/>
  <c r="M72" i="14"/>
  <c r="AP72" i="14" s="1"/>
  <c r="M44" i="14"/>
  <c r="AP44" i="14" s="1"/>
  <c r="CA14" i="7" s="1"/>
  <c r="R157" i="14"/>
  <c r="N211" i="14"/>
  <c r="Q157" i="14"/>
  <c r="G157" i="14" l="1"/>
  <c r="AP104" i="14"/>
  <c r="N44" i="14"/>
  <c r="AQ44" i="14" s="1"/>
  <c r="CB14" i="7" s="1"/>
  <c r="N104" i="14"/>
  <c r="AQ104" i="14" s="1"/>
  <c r="N72" i="14"/>
  <c r="AQ72" i="14" s="1"/>
  <c r="P104" i="14"/>
  <c r="AS104" i="14" s="1"/>
  <c r="O72" i="14"/>
  <c r="AR72" i="14" s="1"/>
  <c r="P231" i="14"/>
  <c r="R209" i="14"/>
  <c r="Q231" i="14"/>
  <c r="P157" i="14"/>
  <c r="O157" i="14"/>
  <c r="N233" i="14"/>
  <c r="O211" i="14"/>
  <c r="O131" i="14" l="1"/>
  <c r="O44" i="14"/>
  <c r="AR44" i="14" s="1"/>
  <c r="CC14" i="7" s="1"/>
  <c r="O104" i="14"/>
  <c r="AR104" i="14" s="1"/>
  <c r="P44" i="14"/>
  <c r="AS44" i="14" s="1"/>
  <c r="CD14" i="7" s="1"/>
  <c r="P131" i="14"/>
  <c r="P72" i="14"/>
  <c r="AS72" i="14" s="1"/>
  <c r="Q131" i="14"/>
  <c r="S209" i="14"/>
  <c r="R231" i="14"/>
  <c r="M133" i="14"/>
  <c r="AP133" i="14" s="1"/>
  <c r="HF15" i="7" s="1"/>
  <c r="M106" i="14"/>
  <c r="AP106" i="14" s="1"/>
  <c r="M74" i="14"/>
  <c r="AP74" i="14" s="1"/>
  <c r="M46" i="14"/>
  <c r="AP46" i="14" s="1"/>
  <c r="CA16" i="7" s="1"/>
  <c r="P211" i="14"/>
  <c r="O233" i="14"/>
  <c r="Q104" i="14" l="1"/>
  <c r="AT104" i="14" s="1"/>
  <c r="Q44" i="14"/>
  <c r="AT44" i="14" s="1"/>
  <c r="CE14" i="7" s="1"/>
  <c r="Q72" i="14"/>
  <c r="AT72" i="14" s="1"/>
  <c r="R104" i="14"/>
  <c r="AU104" i="14" s="1"/>
  <c r="T209" i="14"/>
  <c r="S231" i="14"/>
  <c r="N133" i="14"/>
  <c r="AQ133" i="14" s="1"/>
  <c r="HG15" i="7" s="1"/>
  <c r="N106" i="14"/>
  <c r="AQ106" i="14" s="1"/>
  <c r="N74" i="14"/>
  <c r="AQ74" i="14" s="1"/>
  <c r="N46" i="14"/>
  <c r="AQ46" i="14" s="1"/>
  <c r="CB16" i="7" s="1"/>
  <c r="P233" i="14"/>
  <c r="Q211" i="14"/>
  <c r="R44" i="14" l="1"/>
  <c r="AU44" i="14" s="1"/>
  <c r="CF14" i="7" s="1"/>
  <c r="R72" i="14"/>
  <c r="AU72" i="14" s="1"/>
  <c r="R131" i="14"/>
  <c r="S44" i="14"/>
  <c r="AV44" i="14" s="1"/>
  <c r="CG14" i="7" s="1"/>
  <c r="U209" i="14"/>
  <c r="T231" i="14"/>
  <c r="O133" i="14"/>
  <c r="AR133" i="14" s="1"/>
  <c r="HH15" i="7" s="1"/>
  <c r="O106" i="14"/>
  <c r="AR106" i="14" s="1"/>
  <c r="O74" i="14"/>
  <c r="AR74" i="14" s="1"/>
  <c r="O46" i="14"/>
  <c r="AR46" i="14" s="1"/>
  <c r="CC16" i="7" s="1"/>
  <c r="R211" i="14"/>
  <c r="Q233" i="14"/>
  <c r="S72" i="14" l="1"/>
  <c r="AV72" i="14" s="1"/>
  <c r="S104" i="14"/>
  <c r="AV104" i="14" s="1"/>
  <c r="S131" i="14"/>
  <c r="T131" i="14"/>
  <c r="U231" i="14"/>
  <c r="V209" i="14"/>
  <c r="P133" i="14"/>
  <c r="AS133" i="14" s="1"/>
  <c r="HI15" i="7" s="1"/>
  <c r="P106" i="14"/>
  <c r="AS106" i="14" s="1"/>
  <c r="P74" i="14"/>
  <c r="AS74" i="14" s="1"/>
  <c r="P46" i="14"/>
  <c r="AS46" i="14" s="1"/>
  <c r="CD16" i="7" s="1"/>
  <c r="S211" i="14"/>
  <c r="R233" i="14"/>
  <c r="T44" i="14" l="1"/>
  <c r="AW44" i="14" s="1"/>
  <c r="CH14" i="7" s="1"/>
  <c r="T72" i="14"/>
  <c r="AW72" i="14" s="1"/>
  <c r="U104" i="14"/>
  <c r="AX104" i="14" s="1"/>
  <c r="V231" i="14"/>
  <c r="T104" i="14"/>
  <c r="AW104" i="14" s="1"/>
  <c r="W209" i="14"/>
  <c r="Q133" i="14"/>
  <c r="AT133" i="14" s="1"/>
  <c r="HJ15" i="7" s="1"/>
  <c r="Q106" i="14"/>
  <c r="AT106" i="14" s="1"/>
  <c r="Q74" i="14"/>
  <c r="AT74" i="14" s="1"/>
  <c r="Q46" i="14"/>
  <c r="AT46" i="14" s="1"/>
  <c r="CE16" i="7" s="1"/>
  <c r="U131" i="14"/>
  <c r="T211" i="14"/>
  <c r="S233" i="14"/>
  <c r="W231" i="14"/>
  <c r="V44" i="14" l="1"/>
  <c r="AY44" i="14" s="1"/>
  <c r="CJ14" i="7" s="1"/>
  <c r="V131" i="14"/>
  <c r="U44" i="14"/>
  <c r="AX44" i="14" s="1"/>
  <c r="CI14" i="7" s="1"/>
  <c r="U72" i="14"/>
  <c r="AX72" i="14" s="1"/>
  <c r="R133" i="14"/>
  <c r="R106" i="14"/>
  <c r="AU106" i="14" s="1"/>
  <c r="R74" i="14"/>
  <c r="AU74" i="14" s="1"/>
  <c r="R46" i="14"/>
  <c r="AU46" i="14" s="1"/>
  <c r="CF16" i="7" s="1"/>
  <c r="T233" i="14"/>
  <c r="U211" i="14"/>
  <c r="R159" i="14"/>
  <c r="Q159" i="14"/>
  <c r="O159" i="14"/>
  <c r="H159" i="14" l="1"/>
  <c r="P159" i="14" s="1"/>
  <c r="AU133" i="14"/>
  <c r="HK15" i="7" s="1"/>
  <c r="V72" i="14"/>
  <c r="AY72" i="14" s="1"/>
  <c r="V104" i="14"/>
  <c r="AY104" i="14" s="1"/>
  <c r="S133" i="14"/>
  <c r="AV133" i="14" s="1"/>
  <c r="HL15" i="7" s="1"/>
  <c r="S106" i="14"/>
  <c r="AV106" i="14" s="1"/>
  <c r="S74" i="14"/>
  <c r="AV74" i="14" s="1"/>
  <c r="S46" i="14"/>
  <c r="AV46" i="14" s="1"/>
  <c r="CG16" i="7" s="1"/>
  <c r="V211" i="14"/>
  <c r="U233" i="14"/>
  <c r="T133" i="14" l="1"/>
  <c r="AW133" i="14" s="1"/>
  <c r="HM15" i="7" s="1"/>
  <c r="T106" i="14"/>
  <c r="AW106" i="14" s="1"/>
  <c r="T74" i="14"/>
  <c r="AW74" i="14" s="1"/>
  <c r="T46" i="14"/>
  <c r="AW46" i="14" s="1"/>
  <c r="CH16" i="7" s="1"/>
  <c r="V233" i="14"/>
  <c r="W211" i="14"/>
  <c r="U133" i="14" l="1"/>
  <c r="AX133" i="14" s="1"/>
  <c r="HN15" i="7" s="1"/>
  <c r="U106" i="14"/>
  <c r="AX106" i="14" s="1"/>
  <c r="U74" i="14"/>
  <c r="AX74" i="14" s="1"/>
  <c r="U46" i="14"/>
  <c r="AX46" i="14" s="1"/>
  <c r="CI16" i="7" s="1"/>
  <c r="W233" i="14"/>
  <c r="F222" i="14"/>
  <c r="E122" i="14"/>
  <c r="E63" i="14" l="1"/>
  <c r="E35" i="14"/>
  <c r="BS5" i="7" s="1"/>
  <c r="V133" i="14"/>
  <c r="AY133" i="14" s="1"/>
  <c r="HO15" i="7" s="1"/>
  <c r="V106" i="14"/>
  <c r="AY106" i="14" s="1"/>
  <c r="V74" i="14"/>
  <c r="AY74" i="14" s="1"/>
  <c r="V46" i="14"/>
  <c r="AY46" i="14" s="1"/>
  <c r="CJ16" i="7" s="1"/>
  <c r="E95" i="14"/>
  <c r="G148" i="14" s="1"/>
  <c r="G222" i="14"/>
  <c r="H222" i="14" l="1"/>
  <c r="R148" i="14"/>
  <c r="F95" i="14"/>
  <c r="F35" i="14"/>
  <c r="O148" i="14"/>
  <c r="C177" i="14" s="1" a="1"/>
  <c r="C177" i="14" s="1"/>
  <c r="F63" i="14"/>
  <c r="Q148" i="14"/>
  <c r="F122" i="14"/>
  <c r="H148" i="14" s="1"/>
  <c r="P148" i="14" l="1"/>
  <c r="G122" i="14"/>
  <c r="G95" i="14"/>
  <c r="G35" i="14"/>
  <c r="G63" i="14"/>
  <c r="I222" i="14"/>
  <c r="J222" i="14" l="1"/>
  <c r="H95" i="14"/>
  <c r="H35" i="14"/>
  <c r="H122" i="14"/>
  <c r="H63" i="14"/>
  <c r="K222" i="14" l="1"/>
  <c r="I122" i="14"/>
  <c r="I95" i="14"/>
  <c r="I35" i="14"/>
  <c r="I63" i="14"/>
  <c r="L222" i="14" l="1"/>
  <c r="J95" i="14"/>
  <c r="J122" i="14"/>
  <c r="J35" i="14"/>
  <c r="J63" i="14"/>
  <c r="M222" i="14" l="1"/>
  <c r="K35" i="14"/>
  <c r="K122" i="14"/>
  <c r="K95" i="14"/>
  <c r="K63" i="14"/>
  <c r="N222" i="14" l="1"/>
  <c r="L35" i="14"/>
  <c r="L95" i="14"/>
  <c r="L122" i="14"/>
  <c r="L63" i="14"/>
  <c r="M122" i="14" l="1"/>
  <c r="M95" i="14"/>
  <c r="M35" i="14"/>
  <c r="M63" i="14"/>
  <c r="O222" i="14"/>
  <c r="P222" i="14" l="1"/>
  <c r="N35" i="14"/>
  <c r="N122" i="14"/>
  <c r="N95" i="14"/>
  <c r="N63" i="14"/>
  <c r="O35" i="14" l="1"/>
  <c r="O122" i="14"/>
  <c r="O63" i="14"/>
  <c r="O95" i="14"/>
  <c r="Q222" i="14"/>
  <c r="R222" i="14" l="1"/>
  <c r="P122" i="14"/>
  <c r="P95" i="14"/>
  <c r="P35" i="14"/>
  <c r="P63" i="14"/>
  <c r="S222" i="14" l="1"/>
  <c r="Q122" i="14"/>
  <c r="Q95" i="14"/>
  <c r="Q35" i="14"/>
  <c r="Q63" i="14"/>
  <c r="T222" i="14" l="1"/>
  <c r="R95" i="14"/>
  <c r="R122" i="14"/>
  <c r="R35" i="14"/>
  <c r="R63" i="14"/>
  <c r="S95" i="14" l="1"/>
  <c r="S122" i="14"/>
  <c r="S35" i="14"/>
  <c r="S63" i="14"/>
  <c r="U222" i="14"/>
  <c r="V222" i="14" l="1"/>
  <c r="T35" i="14"/>
  <c r="T122" i="14"/>
  <c r="T95" i="14"/>
  <c r="T63" i="14"/>
  <c r="U95" i="14" l="1"/>
  <c r="U35" i="14"/>
  <c r="U122" i="14"/>
  <c r="U63" i="14"/>
  <c r="W222" i="14"/>
  <c r="V63" i="14" l="1"/>
  <c r="V122" i="14"/>
  <c r="V35" i="14"/>
  <c r="V95" i="14"/>
  <c r="DN27" i="15" l="1"/>
  <c r="DO27" i="15"/>
  <c r="CO27" i="15"/>
  <c r="CP27" i="15"/>
  <c r="CQ92" i="15"/>
  <c r="AU92" i="15"/>
  <c r="AU88" i="15"/>
  <c r="BT92" i="15"/>
  <c r="BS88" i="15"/>
  <c r="DN28" i="15"/>
  <c r="AV88" i="15"/>
  <c r="AW88" i="15"/>
  <c r="BR92" i="15"/>
  <c r="CO28" i="15"/>
  <c r="DO28" i="15"/>
  <c r="CR92" i="15"/>
  <c r="CS92" i="15"/>
  <c r="BR88" i="15"/>
  <c r="CP28" i="15"/>
  <c r="BT88" i="15"/>
  <c r="AV92" i="15" l="1"/>
  <c r="BS92" i="15"/>
  <c r="AW92" i="15"/>
  <c r="ED93" i="7" l="1"/>
  <c r="ED92" i="7"/>
  <c r="ED89" i="7"/>
  <c r="ED90" i="7"/>
  <c r="GJ95" i="7" l="1"/>
  <c r="ED94" i="7"/>
  <c r="ED91" i="7"/>
  <c r="GJ97" i="7" l="1"/>
  <c r="GK97" i="7"/>
  <c r="GH94" i="7"/>
  <c r="GL97" i="7" l="1"/>
  <c r="GH172" i="7"/>
  <c r="GK95" i="7"/>
  <c r="GL95" i="7" s="1"/>
  <c r="BZ11" i="15" l="1" a="1"/>
  <c r="BZ11" i="15" s="1"/>
  <c r="BZ22" i="15" s="1"/>
  <c r="CH22" i="15" l="1"/>
  <c r="CL22" i="15"/>
  <c r="CM22" i="15"/>
  <c r="CB22" i="15"/>
  <c r="CI22" i="15"/>
  <c r="CJ22" i="15"/>
  <c r="CP22" i="15"/>
  <c r="CA22" i="15"/>
  <c r="CN22" i="15"/>
  <c r="CD22" i="15"/>
  <c r="CK22" i="15"/>
  <c r="CC22" i="15"/>
  <c r="CE22" i="15"/>
  <c r="CF22" i="15"/>
  <c r="CG22" i="15"/>
  <c r="CO22" i="15"/>
  <c r="CR88" i="15" l="1"/>
  <c r="CQ88" i="15"/>
  <c r="CP88" i="15"/>
  <c r="CS88" i="15"/>
  <c r="CO88" i="15"/>
  <c r="ED126" i="7" l="1"/>
  <c r="ED127" i="7"/>
  <c r="ED128" i="7"/>
  <c r="ED129" i="7"/>
  <c r="ED130" i="7" l="1"/>
  <c r="GJ96" i="7"/>
  <c r="ED125" i="7"/>
  <c r="GH130" i="7" l="1"/>
  <c r="GK96" i="7" l="1"/>
  <c r="GL96" i="7" s="1"/>
  <c r="K11" i="15" l="1" a="1"/>
  <c r="Q22" i="15" l="1"/>
  <c r="R22" i="15"/>
  <c r="S22" i="15"/>
  <c r="T22" i="15"/>
  <c r="U22" i="15"/>
  <c r="U43" i="15" s="1"/>
  <c r="V22" i="15"/>
  <c r="V43" i="15" s="1"/>
  <c r="W22" i="15"/>
  <c r="P22" i="15"/>
  <c r="L22" i="15"/>
  <c r="L43" i="15" s="1"/>
  <c r="X22" i="15"/>
  <c r="X43" i="15" s="1"/>
  <c r="N22" i="15"/>
  <c r="M22" i="15"/>
  <c r="Y22" i="15"/>
  <c r="Y43" i="15" s="1"/>
  <c r="O22" i="15"/>
  <c r="O43" i="15" s="1"/>
  <c r="T43" i="15"/>
  <c r="K11" i="15"/>
  <c r="K22" i="15" s="1"/>
  <c r="N43" i="15" l="1"/>
  <c r="O44" i="15"/>
  <c r="O46" i="15"/>
  <c r="O50" i="15" s="1"/>
  <c r="O48" i="15"/>
  <c r="X44" i="15"/>
  <c r="X48" i="15"/>
  <c r="X46" i="15"/>
  <c r="X50" i="15" s="1"/>
  <c r="T46" i="15"/>
  <c r="T50" i="15" s="1"/>
  <c r="T48" i="15"/>
  <c r="T44" i="15"/>
  <c r="S43" i="15"/>
  <c r="V44" i="15"/>
  <c r="V46" i="15"/>
  <c r="V50" i="15" s="1"/>
  <c r="V48" i="15"/>
  <c r="P43" i="15"/>
  <c r="H11" i="15"/>
  <c r="H12" i="15" s="1"/>
  <c r="U48" i="15"/>
  <c r="U44" i="15"/>
  <c r="U46" i="15"/>
  <c r="U50" i="15" s="1"/>
  <c r="R43" i="15"/>
  <c r="M43" i="15"/>
  <c r="Q43" i="15"/>
  <c r="Y44" i="15"/>
  <c r="Y48" i="15"/>
  <c r="Y46" i="15"/>
  <c r="Y50" i="15" s="1"/>
  <c r="L44" i="15"/>
  <c r="L46" i="15"/>
  <c r="L50" i="15" s="1"/>
  <c r="L48" i="15"/>
  <c r="W43" i="15"/>
  <c r="P44" i="15" l="1"/>
  <c r="P46" i="15"/>
  <c r="P50" i="15" s="1"/>
  <c r="P48" i="15"/>
  <c r="Y47" i="15"/>
  <c r="Y51" i="15" s="1"/>
  <c r="Y49" i="15"/>
  <c r="R46" i="15"/>
  <c r="R50" i="15" s="1"/>
  <c r="R48" i="15"/>
  <c r="R44" i="15"/>
  <c r="Q46" i="15"/>
  <c r="Q50" i="15" s="1"/>
  <c r="Q44" i="15"/>
  <c r="Q48" i="15"/>
  <c r="V49" i="15"/>
  <c r="V47" i="15"/>
  <c r="V51" i="15" s="1"/>
  <c r="M44" i="15"/>
  <c r="M46" i="15"/>
  <c r="M50" i="15" s="1"/>
  <c r="M48" i="15"/>
  <c r="U47" i="15"/>
  <c r="U51" i="15" s="1"/>
  <c r="U49" i="15"/>
  <c r="S46" i="15"/>
  <c r="S50" i="15" s="1"/>
  <c r="S48" i="15"/>
  <c r="S44" i="15"/>
  <c r="O47" i="15"/>
  <c r="O51" i="15" s="1"/>
  <c r="O49" i="15"/>
  <c r="L47" i="15"/>
  <c r="L51" i="15" s="1"/>
  <c r="L49" i="15"/>
  <c r="X47" i="15"/>
  <c r="X51" i="15" s="1"/>
  <c r="X49" i="15"/>
  <c r="W48" i="15"/>
  <c r="W46" i="15"/>
  <c r="W50" i="15" s="1"/>
  <c r="W44" i="15"/>
  <c r="K43" i="15"/>
  <c r="T49" i="15"/>
  <c r="T47" i="15"/>
  <c r="T51" i="15" s="1"/>
  <c r="N46" i="15"/>
  <c r="N50" i="15" s="1"/>
  <c r="N48" i="15"/>
  <c r="N44" i="15"/>
  <c r="Q47" i="15" l="1"/>
  <c r="Q51" i="15" s="1"/>
  <c r="Q49" i="15"/>
  <c r="M47" i="15"/>
  <c r="M51" i="15" s="1"/>
  <c r="M49" i="15"/>
  <c r="R49" i="15"/>
  <c r="R47" i="15"/>
  <c r="R51" i="15" s="1"/>
  <c r="N47" i="15"/>
  <c r="N51" i="15" s="1"/>
  <c r="N49" i="15"/>
  <c r="W47" i="15"/>
  <c r="W51" i="15" s="1"/>
  <c r="W49" i="15"/>
  <c r="K44" i="15"/>
  <c r="Z43" i="15"/>
  <c r="K48" i="15"/>
  <c r="Z48" i="15" s="1"/>
  <c r="K46" i="15"/>
  <c r="S49" i="15"/>
  <c r="S47" i="15"/>
  <c r="S51" i="15" s="1"/>
  <c r="P47" i="15"/>
  <c r="P51" i="15" s="1"/>
  <c r="P49" i="15"/>
  <c r="Z46" i="15" l="1"/>
  <c r="K50" i="15"/>
  <c r="Z50" i="15" s="1"/>
  <c r="K47" i="15"/>
  <c r="K49" i="15"/>
  <c r="Z49" i="15" s="1"/>
  <c r="Z44" i="15"/>
  <c r="K51" i="15" l="1"/>
  <c r="Z51" i="15" s="1"/>
  <c r="Z47" i="15"/>
  <c r="C62" i="14" l="1"/>
  <c r="C121" i="14"/>
  <c r="C94" i="14"/>
  <c r="C34" i="14"/>
  <c r="AI46" i="7" l="1"/>
  <c r="BC18" i="7" l="1"/>
  <c r="AZ19" i="7"/>
  <c r="AY11" i="7"/>
  <c r="BD7" i="7"/>
  <c r="BC7" i="7"/>
  <c r="BB7" i="7"/>
  <c r="BA7" i="7"/>
  <c r="AZ7" i="7"/>
  <c r="BB4" i="7"/>
  <c r="AW13" i="7"/>
  <c r="AX13" i="7"/>
  <c r="AV11" i="7"/>
  <c r="AY14" i="7"/>
  <c r="BC10" i="7"/>
  <c r="AY4" i="7"/>
  <c r="AY15" i="7"/>
  <c r="AZ11" i="7"/>
  <c r="AU5" i="7"/>
  <c r="AW6" i="7"/>
  <c r="BD18" i="7"/>
  <c r="AY12" i="7"/>
  <c r="BD8" i="7"/>
  <c r="BC8" i="7"/>
  <c r="BB8" i="7"/>
  <c r="BA8" i="7"/>
  <c r="AZ8" i="7"/>
  <c r="BA4" i="7"/>
  <c r="AW14" i="7"/>
  <c r="AX14" i="7"/>
  <c r="AV12" i="7"/>
  <c r="BB19" i="7"/>
  <c r="BA10" i="7"/>
  <c r="AX16" i="7"/>
  <c r="BC19" i="7"/>
  <c r="BC11" i="7"/>
  <c r="AX5" i="7"/>
  <c r="BA12" i="7"/>
  <c r="AY9" i="7"/>
  <c r="AX11" i="7"/>
  <c r="BA19" i="7"/>
  <c r="AY17" i="7"/>
  <c r="AY13" i="7"/>
  <c r="BD9" i="7"/>
  <c r="BC9" i="7"/>
  <c r="BB9" i="7"/>
  <c r="BA9" i="7"/>
  <c r="AZ9" i="7"/>
  <c r="AZ4" i="7"/>
  <c r="AW15" i="7"/>
  <c r="AX15" i="7"/>
  <c r="AV4" i="7"/>
  <c r="AZ10" i="7"/>
  <c r="BD11" i="7"/>
  <c r="AW5" i="7"/>
  <c r="BB12" i="7"/>
  <c r="AW4" i="7"/>
  <c r="BC5" i="7"/>
  <c r="AW11" i="7"/>
  <c r="BD10" i="7"/>
  <c r="BA11" i="7"/>
  <c r="BC12" i="7"/>
  <c r="AU11" i="7"/>
  <c r="BD19" i="7"/>
  <c r="AY16" i="7"/>
  <c r="BD12" i="7"/>
  <c r="AX6" i="7"/>
  <c r="AV9" i="7"/>
  <c r="BA17" i="7"/>
  <c r="AY5" i="7"/>
  <c r="AX17" i="7"/>
  <c r="BD13" i="7"/>
  <c r="BC13" i="7"/>
  <c r="BB13" i="7"/>
  <c r="BA13" i="7"/>
  <c r="AZ13" i="7"/>
  <c r="AW7" i="7"/>
  <c r="AX7" i="7"/>
  <c r="AV5" i="7"/>
  <c r="AU7" i="7"/>
  <c r="AZ17" i="7"/>
  <c r="AZ5" i="7"/>
  <c r="BB17" i="7"/>
  <c r="AY6" i="7"/>
  <c r="AX18" i="7"/>
  <c r="BD14" i="7"/>
  <c r="BC14" i="7"/>
  <c r="BB14" i="7"/>
  <c r="BA14" i="7"/>
  <c r="AZ14" i="7"/>
  <c r="AW8" i="7"/>
  <c r="AX8" i="7"/>
  <c r="AV6" i="7"/>
  <c r="AU8" i="7"/>
  <c r="BB5" i="7"/>
  <c r="BC17" i="7"/>
  <c r="AY7" i="7"/>
  <c r="AX19" i="7"/>
  <c r="BD15" i="7"/>
  <c r="BC15" i="7"/>
  <c r="BB15" i="7"/>
  <c r="BA15" i="7"/>
  <c r="AZ15" i="7"/>
  <c r="AW9" i="7"/>
  <c r="AX9" i="7"/>
  <c r="AV7" i="7"/>
  <c r="AU9" i="7"/>
  <c r="BD4" i="7"/>
  <c r="BD17" i="7"/>
  <c r="AY8" i="7"/>
  <c r="BD16" i="7"/>
  <c r="BC16" i="7"/>
  <c r="BB16" i="7"/>
  <c r="BA16" i="7"/>
  <c r="AZ16" i="7"/>
  <c r="AW10" i="7"/>
  <c r="AX10" i="7"/>
  <c r="AV8" i="7"/>
  <c r="AU10" i="7"/>
  <c r="BA18" i="7"/>
  <c r="BA5" i="7"/>
  <c r="BB18" i="7"/>
  <c r="AZ18" i="7"/>
  <c r="AY10" i="7"/>
  <c r="BD6" i="7"/>
  <c r="BC6" i="7"/>
  <c r="BB6" i="7"/>
  <c r="BA6" i="7"/>
  <c r="AZ6" i="7"/>
  <c r="BC4" i="7"/>
  <c r="AW12" i="7"/>
  <c r="AX12" i="7"/>
  <c r="AV10" i="7"/>
  <c r="AU12" i="7"/>
  <c r="AY18" i="7"/>
  <c r="BB10" i="7"/>
  <c r="AW16" i="7"/>
  <c r="AY19" i="7"/>
  <c r="BB11" i="7"/>
  <c r="AX4" i="7"/>
  <c r="AZ12" i="7"/>
  <c r="AU6" i="7"/>
  <c r="BD5" i="7"/>
  <c r="W59" i="7"/>
  <c r="AI59" i="7"/>
  <c r="AF60" i="7"/>
  <c r="AC61" i="7"/>
  <c r="AO61" i="7"/>
  <c r="AA55" i="7"/>
  <c r="AM55" i="7"/>
  <c r="AF56" i="7"/>
  <c r="Y57" i="7"/>
  <c r="AK57" i="7"/>
  <c r="AD58" i="7"/>
  <c r="AP58" i="7"/>
  <c r="W46" i="7"/>
  <c r="AF47" i="7"/>
  <c r="AC48" i="7"/>
  <c r="AO48" i="7"/>
  <c r="Z49" i="7"/>
  <c r="AL49" i="7"/>
  <c r="W50" i="7"/>
  <c r="AI50" i="7"/>
  <c r="E51" i="7"/>
  <c r="AC51" i="7"/>
  <c r="AO51" i="7"/>
  <c r="Z52" i="7"/>
  <c r="AL52" i="7"/>
  <c r="W53" i="7"/>
  <c r="AI53" i="7"/>
  <c r="AF54" i="7"/>
  <c r="C53" i="7"/>
  <c r="AG53" i="7"/>
  <c r="X59" i="7"/>
  <c r="AJ59" i="7"/>
  <c r="AG60" i="7"/>
  <c r="AD61" i="7"/>
  <c r="AP61" i="7"/>
  <c r="AB55" i="7"/>
  <c r="AN55" i="7"/>
  <c r="AG56" i="7"/>
  <c r="Z57" i="7"/>
  <c r="AL57" i="7"/>
  <c r="AE58" i="7"/>
  <c r="X46" i="7"/>
  <c r="AJ46" i="7"/>
  <c r="AG47" i="7"/>
  <c r="AD48" i="7"/>
  <c r="AP48" i="7"/>
  <c r="AA49" i="7"/>
  <c r="AM49" i="7"/>
  <c r="X50" i="7"/>
  <c r="AJ50" i="7"/>
  <c r="F51" i="7"/>
  <c r="AD51" i="7"/>
  <c r="AP51" i="7"/>
  <c r="AA52" i="7"/>
  <c r="AM52" i="7"/>
  <c r="X53" i="7"/>
  <c r="AJ53" i="7"/>
  <c r="AG54" i="7"/>
  <c r="C52" i="7"/>
  <c r="Y59" i="7"/>
  <c r="AK59" i="7"/>
  <c r="AH60" i="7"/>
  <c r="AE61" i="7"/>
  <c r="AC55" i="7"/>
  <c r="AO55" i="7"/>
  <c r="AH56" i="7"/>
  <c r="AA57" i="7"/>
  <c r="AM57" i="7"/>
  <c r="AF58" i="7"/>
  <c r="Y46" i="7"/>
  <c r="AK46" i="7"/>
  <c r="AH47" i="7"/>
  <c r="AE48" i="7"/>
  <c r="AB49" i="7"/>
  <c r="AN49" i="7"/>
  <c r="Y50" i="7"/>
  <c r="AK50" i="7"/>
  <c r="AE51" i="7"/>
  <c r="D52" i="7"/>
  <c r="AB52" i="7"/>
  <c r="AN52" i="7"/>
  <c r="Y53" i="7"/>
  <c r="AK53" i="7"/>
  <c r="AH54" i="7"/>
  <c r="AD54" i="7"/>
  <c r="C51" i="7"/>
  <c r="Z59" i="7"/>
  <c r="AL59" i="7"/>
  <c r="W60" i="7"/>
  <c r="AI60" i="7"/>
  <c r="AF61" i="7"/>
  <c r="AD55" i="7"/>
  <c r="AP55" i="7"/>
  <c r="W56" i="7"/>
  <c r="AI56" i="7"/>
  <c r="AB57" i="7"/>
  <c r="AN57" i="7"/>
  <c r="AG58" i="7"/>
  <c r="Z46" i="7"/>
  <c r="AL46" i="7"/>
  <c r="W47" i="7"/>
  <c r="AI47" i="7"/>
  <c r="AF48" i="7"/>
  <c r="AC49" i="7"/>
  <c r="AO49" i="7"/>
  <c r="Z50" i="7"/>
  <c r="AL50" i="7"/>
  <c r="AF51" i="7"/>
  <c r="E52" i="7"/>
  <c r="AC52" i="7"/>
  <c r="AO52" i="7"/>
  <c r="Z53" i="7"/>
  <c r="AL53" i="7"/>
  <c r="W54" i="7"/>
  <c r="AI54" i="7"/>
  <c r="AA59" i="7"/>
  <c r="AM59" i="7"/>
  <c r="X60" i="7"/>
  <c r="AJ60" i="7"/>
  <c r="AG61" i="7"/>
  <c r="AE55" i="7"/>
  <c r="X56" i="7"/>
  <c r="AJ56" i="7"/>
  <c r="AC57" i="7"/>
  <c r="AO57" i="7"/>
  <c r="AH58" i="7"/>
  <c r="AA46" i="7"/>
  <c r="AM46" i="7"/>
  <c r="X47" i="7"/>
  <c r="AJ47" i="7"/>
  <c r="AG48" i="7"/>
  <c r="AD49" i="7"/>
  <c r="AP49" i="7"/>
  <c r="AA50" i="7"/>
  <c r="AM50" i="7"/>
  <c r="AG51" i="7"/>
  <c r="F52" i="7"/>
  <c r="AD52" i="7"/>
  <c r="AP52" i="7"/>
  <c r="AA53" i="7"/>
  <c r="AM53" i="7"/>
  <c r="X54" i="7"/>
  <c r="AJ54" i="7"/>
  <c r="AB59" i="7"/>
  <c r="AN59" i="7"/>
  <c r="Y60" i="7"/>
  <c r="AK60" i="7"/>
  <c r="AH61" i="7"/>
  <c r="AF55" i="7"/>
  <c r="Y56" i="7"/>
  <c r="AK56" i="7"/>
  <c r="AD57" i="7"/>
  <c r="AP57" i="7"/>
  <c r="W58" i="7"/>
  <c r="AI58" i="7"/>
  <c r="AB46" i="7"/>
  <c r="AN46" i="7"/>
  <c r="Y47" i="7"/>
  <c r="AK47" i="7"/>
  <c r="AH48" i="7"/>
  <c r="AE49" i="7"/>
  <c r="AB50" i="7"/>
  <c r="AN50" i="7"/>
  <c r="AH51" i="7"/>
  <c r="AE52" i="7"/>
  <c r="D53" i="7"/>
  <c r="AB53" i="7"/>
  <c r="AN53" i="7"/>
  <c r="Y54" i="7"/>
  <c r="AK54" i="7"/>
  <c r="AC59" i="7"/>
  <c r="AO59" i="7"/>
  <c r="Z60" i="7"/>
  <c r="AL60" i="7"/>
  <c r="W61" i="7"/>
  <c r="AI61" i="7"/>
  <c r="AG55" i="7"/>
  <c r="Z56" i="7"/>
  <c r="AL56" i="7"/>
  <c r="AE57" i="7"/>
  <c r="X58" i="7"/>
  <c r="AJ58" i="7"/>
  <c r="AC46" i="7"/>
  <c r="AO46" i="7"/>
  <c r="Z47" i="7"/>
  <c r="AL47" i="7"/>
  <c r="W48" i="7"/>
  <c r="AI48" i="7"/>
  <c r="AF49" i="7"/>
  <c r="AC50" i="7"/>
  <c r="AO50" i="7"/>
  <c r="W51" i="7"/>
  <c r="AI51" i="7"/>
  <c r="AF52" i="7"/>
  <c r="E53" i="7"/>
  <c r="AC53" i="7"/>
  <c r="AO53" i="7"/>
  <c r="Z54" i="7"/>
  <c r="AL54" i="7"/>
  <c r="AD59" i="7"/>
  <c r="AP59" i="7"/>
  <c r="AA60" i="7"/>
  <c r="AM60" i="7"/>
  <c r="X61" i="7"/>
  <c r="AJ61" i="7"/>
  <c r="AH55" i="7"/>
  <c r="AA56" i="7"/>
  <c r="AM56" i="7"/>
  <c r="AF57" i="7"/>
  <c r="Y58" i="7"/>
  <c r="AK58" i="7"/>
  <c r="AD46" i="7"/>
  <c r="AP46" i="7"/>
  <c r="AA47" i="7"/>
  <c r="AM47" i="7"/>
  <c r="X48" i="7"/>
  <c r="AJ48" i="7"/>
  <c r="AG49" i="7"/>
  <c r="AD50" i="7"/>
  <c r="AP50" i="7"/>
  <c r="X51" i="7"/>
  <c r="AJ51" i="7"/>
  <c r="AG52" i="7"/>
  <c r="F53" i="7"/>
  <c r="AD53" i="7"/>
  <c r="AP53" i="7"/>
  <c r="AA54" i="7"/>
  <c r="AM54" i="7"/>
  <c r="F54" i="7"/>
  <c r="AE59" i="7"/>
  <c r="AB60" i="7"/>
  <c r="AN60" i="7"/>
  <c r="Y61" i="7"/>
  <c r="AK61" i="7"/>
  <c r="W55" i="7"/>
  <c r="AI55" i="7"/>
  <c r="AB56" i="7"/>
  <c r="AN56" i="7"/>
  <c r="AG57" i="7"/>
  <c r="Z58" i="7"/>
  <c r="AL58" i="7"/>
  <c r="AE46" i="7"/>
  <c r="AB47" i="7"/>
  <c r="AN47" i="7"/>
  <c r="Y48" i="7"/>
  <c r="AK48" i="7"/>
  <c r="AH49" i="7"/>
  <c r="AE50" i="7"/>
  <c r="Y51" i="7"/>
  <c r="AK51" i="7"/>
  <c r="AH52" i="7"/>
  <c r="AE53" i="7"/>
  <c r="D54" i="7"/>
  <c r="AB54" i="7"/>
  <c r="AN54" i="7"/>
  <c r="AO54" i="7"/>
  <c r="AF59" i="7"/>
  <c r="AC60" i="7"/>
  <c r="AO60" i="7"/>
  <c r="Z61" i="7"/>
  <c r="AL61" i="7"/>
  <c r="X55" i="7"/>
  <c r="AJ55" i="7"/>
  <c r="AC56" i="7"/>
  <c r="AO56" i="7"/>
  <c r="AH57" i="7"/>
  <c r="AA58" i="7"/>
  <c r="AM58" i="7"/>
  <c r="AF46" i="7"/>
  <c r="AC47" i="7"/>
  <c r="AO47" i="7"/>
  <c r="Z48" i="7"/>
  <c r="AL48" i="7"/>
  <c r="W49" i="7"/>
  <c r="AI49" i="7"/>
  <c r="AF50" i="7"/>
  <c r="Z51" i="7"/>
  <c r="AL51" i="7"/>
  <c r="W52" i="7"/>
  <c r="AI52" i="7"/>
  <c r="AF53" i="7"/>
  <c r="E54" i="7"/>
  <c r="AC54" i="7"/>
  <c r="AG59" i="7"/>
  <c r="AD60" i="7"/>
  <c r="AP60" i="7"/>
  <c r="AA61" i="7"/>
  <c r="AM61" i="7"/>
  <c r="Y55" i="7"/>
  <c r="AK55" i="7"/>
  <c r="AD56" i="7"/>
  <c r="AP56" i="7"/>
  <c r="W57" i="7"/>
  <c r="AI57" i="7"/>
  <c r="AB58" i="7"/>
  <c r="AN58" i="7"/>
  <c r="AG46" i="7"/>
  <c r="AD47" i="7"/>
  <c r="AP47" i="7"/>
  <c r="AA48" i="7"/>
  <c r="AM48" i="7"/>
  <c r="X49" i="7"/>
  <c r="AJ49" i="7"/>
  <c r="AG50" i="7"/>
  <c r="AA51" i="7"/>
  <c r="AM51" i="7"/>
  <c r="X52" i="7"/>
  <c r="AJ52" i="7"/>
  <c r="AH59" i="7"/>
  <c r="AE60" i="7"/>
  <c r="AB61" i="7"/>
  <c r="AN61" i="7"/>
  <c r="Z55" i="7"/>
  <c r="AL55" i="7"/>
  <c r="AE56" i="7"/>
  <c r="X57" i="7"/>
  <c r="AJ57" i="7"/>
  <c r="AC58" i="7"/>
  <c r="AO58" i="7"/>
  <c r="AH46" i="7"/>
  <c r="AE47" i="7"/>
  <c r="AB48" i="7"/>
  <c r="AN48" i="7"/>
  <c r="Y49" i="7"/>
  <c r="AK49" i="7"/>
  <c r="AH50" i="7"/>
  <c r="D51" i="7"/>
  <c r="AB51" i="7"/>
  <c r="AN51" i="7"/>
  <c r="Y52" i="7"/>
  <c r="AK52" i="7"/>
  <c r="AH53" i="7"/>
  <c r="AE54" i="7"/>
  <c r="C54" i="7"/>
  <c r="AP54" i="7"/>
  <c r="I48" i="7"/>
  <c r="H48" i="7"/>
  <c r="O50" i="7"/>
  <c r="L51" i="7"/>
  <c r="O59" i="7"/>
  <c r="R46" i="7"/>
  <c r="D46" i="7"/>
  <c r="R49" i="7"/>
  <c r="M48" i="7"/>
  <c r="P49" i="7"/>
  <c r="S50" i="7"/>
  <c r="P51" i="7"/>
  <c r="S61" i="7"/>
  <c r="Q47" i="7"/>
  <c r="P47" i="7"/>
  <c r="C50" i="7"/>
  <c r="T46" i="7"/>
  <c r="K55" i="7"/>
  <c r="F46" i="7"/>
  <c r="K50" i="7"/>
  <c r="F49" i="7"/>
  <c r="U47" i="7"/>
  <c r="D49" i="7"/>
  <c r="G50" i="7"/>
  <c r="L46" i="7"/>
  <c r="R51" i="7"/>
  <c r="S60" i="7"/>
  <c r="D47" i="7"/>
  <c r="C47" i="7"/>
  <c r="K49" i="7"/>
  <c r="H46" i="7"/>
  <c r="S46" i="7"/>
  <c r="L50" i="7"/>
  <c r="S49" i="7"/>
  <c r="N48" i="7"/>
  <c r="I47" i="7"/>
  <c r="L48" i="7"/>
  <c r="O49" i="7"/>
  <c r="R50" i="7"/>
  <c r="P61" i="7"/>
  <c r="T61" i="7"/>
  <c r="S59" i="7"/>
  <c r="R59" i="7"/>
  <c r="R60" i="7"/>
  <c r="S48" i="7"/>
  <c r="N50" i="7"/>
  <c r="G46" i="7"/>
  <c r="T49" i="7"/>
  <c r="G49" i="7"/>
  <c r="V47" i="7"/>
  <c r="T47" i="7"/>
  <c r="C49" i="7"/>
  <c r="F50" i="7"/>
  <c r="N49" i="7"/>
  <c r="M55" i="7"/>
  <c r="U50" i="7"/>
  <c r="O55" i="7"/>
  <c r="N55" i="7"/>
  <c r="G48" i="7"/>
  <c r="V49" i="7"/>
  <c r="M50" i="7"/>
  <c r="H49" i="7"/>
  <c r="O48" i="7"/>
  <c r="J47" i="7"/>
  <c r="V61" i="7"/>
  <c r="H47" i="7"/>
  <c r="K48" i="7"/>
  <c r="P50" i="7"/>
  <c r="O51" i="7"/>
  <c r="N51" i="7"/>
  <c r="Q61" i="7"/>
  <c r="O47" i="7"/>
  <c r="J49" i="7"/>
  <c r="U49" i="7"/>
  <c r="P48" i="7"/>
  <c r="C48" i="7"/>
  <c r="S55" i="7"/>
  <c r="V60" i="7"/>
  <c r="S47" i="7"/>
  <c r="V48" i="7"/>
  <c r="Q50" i="7"/>
  <c r="T51" i="7"/>
  <c r="V46" i="7"/>
  <c r="Q60" i="7"/>
  <c r="R61" i="7"/>
  <c r="R48" i="7"/>
  <c r="I49" i="7"/>
  <c r="D48" i="7"/>
  <c r="K47" i="7"/>
  <c r="S51" i="7"/>
  <c r="V59" i="7"/>
  <c r="U61" i="7"/>
  <c r="G47" i="7"/>
  <c r="J48" i="7"/>
  <c r="N47" i="7"/>
  <c r="U59" i="7"/>
  <c r="K46" i="7"/>
  <c r="J46" i="7"/>
  <c r="Q59" i="7"/>
  <c r="F48" i="7"/>
  <c r="Q48" i="7"/>
  <c r="L47" i="7"/>
  <c r="T55" i="7"/>
  <c r="O46" i="7"/>
  <c r="R55" i="7"/>
  <c r="U60" i="7"/>
  <c r="R47" i="7"/>
  <c r="E48" i="7"/>
  <c r="F47" i="7"/>
  <c r="E50" i="7"/>
  <c r="D50" i="7"/>
  <c r="M51" i="7"/>
  <c r="P60" i="7"/>
  <c r="M47" i="7"/>
  <c r="U55" i="7"/>
  <c r="P46" i="7"/>
  <c r="I50" i="7"/>
  <c r="N46" i="7"/>
  <c r="Q55" i="7"/>
  <c r="T60" i="7"/>
  <c r="M49" i="7"/>
  <c r="L49" i="7"/>
  <c r="U46" i="7"/>
  <c r="P59" i="7"/>
  <c r="O61" i="7"/>
  <c r="V55" i="7"/>
  <c r="U51" i="7"/>
  <c r="V50" i="7"/>
  <c r="Q49" i="7"/>
  <c r="T50" i="7"/>
  <c r="Q51" i="7"/>
  <c r="T59" i="7"/>
  <c r="U48" i="7"/>
  <c r="T48" i="7"/>
  <c r="I46" i="7"/>
  <c r="L55" i="7"/>
  <c r="O60" i="7"/>
  <c r="V51" i="7"/>
  <c r="Q46" i="7"/>
  <c r="J50" i="7"/>
  <c r="E49" i="7"/>
  <c r="H50" i="7"/>
  <c r="M46" i="7"/>
  <c r="P55" i="7"/>
  <c r="L57" i="7"/>
  <c r="K58" i="7"/>
  <c r="K57" i="7"/>
  <c r="L56" i="7"/>
  <c r="L58" i="7"/>
  <c r="K56" i="7"/>
  <c r="M57" i="7"/>
  <c r="E46" i="7"/>
  <c r="N57" i="7"/>
  <c r="O57" i="7"/>
  <c r="P57" i="7"/>
  <c r="G51" i="7"/>
  <c r="G54" i="7"/>
  <c r="G53" i="7"/>
  <c r="G52" i="7"/>
  <c r="Q57" i="7"/>
  <c r="H51" i="7"/>
  <c r="R57" i="7"/>
  <c r="H53" i="7"/>
  <c r="H52" i="7"/>
  <c r="H54" i="7"/>
  <c r="I54" i="7"/>
  <c r="S57" i="7"/>
  <c r="I51" i="7"/>
  <c r="I52" i="7"/>
  <c r="I53" i="7"/>
  <c r="J51" i="7"/>
  <c r="J53" i="7"/>
  <c r="J52" i="7"/>
  <c r="J54" i="7"/>
  <c r="T57" i="7"/>
  <c r="K52" i="7"/>
  <c r="U57" i="7"/>
  <c r="K53" i="7"/>
  <c r="K51" i="7"/>
  <c r="K54" i="7"/>
  <c r="L54" i="7"/>
  <c r="V57" i="7"/>
  <c r="L53" i="7"/>
  <c r="L52" i="7"/>
  <c r="M53" i="7"/>
  <c r="M52" i="7"/>
  <c r="M54" i="7"/>
  <c r="N53" i="7"/>
  <c r="N54" i="7"/>
  <c r="N52" i="7"/>
  <c r="O54" i="7"/>
  <c r="O52" i="7"/>
  <c r="O53" i="7"/>
  <c r="P54" i="7"/>
  <c r="P53" i="7"/>
  <c r="P52" i="7"/>
  <c r="Q52" i="7"/>
  <c r="Q54" i="7"/>
  <c r="Q53" i="7"/>
  <c r="R53" i="7"/>
  <c r="R52" i="7"/>
  <c r="R54" i="7"/>
  <c r="S53" i="7"/>
  <c r="S54" i="7"/>
  <c r="S52" i="7"/>
  <c r="T53" i="7"/>
  <c r="T52" i="7"/>
  <c r="T54" i="7"/>
  <c r="U54" i="7"/>
  <c r="U52" i="7"/>
  <c r="U53" i="7"/>
  <c r="V52" i="7"/>
  <c r="V53" i="7"/>
  <c r="V54" i="7"/>
  <c r="M56" i="7"/>
  <c r="N56" i="7"/>
  <c r="O56" i="7"/>
  <c r="P56" i="7"/>
  <c r="M58" i="7"/>
  <c r="Q56" i="7"/>
  <c r="N58" i="7"/>
  <c r="S56" i="7"/>
  <c r="O58" i="7"/>
  <c r="R56" i="7"/>
  <c r="P58" i="7"/>
  <c r="Q58" i="7"/>
  <c r="T56" i="7"/>
  <c r="R58" i="7"/>
  <c r="U56" i="7"/>
  <c r="V56" i="7"/>
  <c r="S58" i="7"/>
  <c r="T58" i="7"/>
  <c r="U58" i="7"/>
  <c r="V58" i="7"/>
  <c r="E47" i="7"/>
  <c r="H116" i="7"/>
  <c r="G162" i="7"/>
  <c r="T158" i="7"/>
  <c r="K82" i="7"/>
  <c r="U85" i="7"/>
  <c r="N91" i="7"/>
  <c r="Q83" i="7"/>
  <c r="H161" i="7"/>
  <c r="J125" i="7"/>
  <c r="U82" i="7"/>
  <c r="N127" i="7"/>
  <c r="U86" i="7"/>
  <c r="N159" i="7"/>
  <c r="T121" i="7"/>
  <c r="V159" i="7"/>
  <c r="H118" i="7"/>
  <c r="N118" i="7"/>
  <c r="N125" i="7"/>
  <c r="R118" i="7"/>
  <c r="V162" i="7"/>
  <c r="R128" i="7"/>
  <c r="T92" i="7"/>
  <c r="K162" i="7"/>
  <c r="S159" i="7"/>
  <c r="V122" i="7"/>
  <c r="F116" i="7"/>
  <c r="G161" i="7"/>
  <c r="U94" i="7"/>
  <c r="P163" i="7"/>
  <c r="L167" i="7"/>
  <c r="O116" i="7"/>
  <c r="E80" i="7"/>
  <c r="Q170" i="7"/>
  <c r="T164" i="7"/>
  <c r="U170" i="7"/>
  <c r="U171" i="7"/>
  <c r="V119" i="7"/>
  <c r="P117" i="7"/>
  <c r="M82" i="7"/>
  <c r="J169" i="7"/>
  <c r="N94" i="7"/>
  <c r="O124" i="7"/>
  <c r="V120" i="7"/>
  <c r="M87" i="7"/>
  <c r="O86" i="7"/>
  <c r="V80" i="7"/>
  <c r="J81" i="7"/>
  <c r="U91" i="7"/>
  <c r="I127" i="7"/>
  <c r="G169" i="7"/>
  <c r="N86" i="7"/>
  <c r="N165" i="7"/>
  <c r="L119" i="7"/>
  <c r="R167" i="7"/>
  <c r="K159" i="7"/>
  <c r="L82" i="7"/>
  <c r="N116" i="7"/>
  <c r="G84" i="7"/>
  <c r="V84" i="7"/>
  <c r="G127" i="7"/>
  <c r="S166" i="7"/>
  <c r="E162" i="7"/>
  <c r="J122" i="7"/>
  <c r="M118" i="7"/>
  <c r="P160" i="7"/>
  <c r="K172" i="7"/>
  <c r="U125" i="7"/>
  <c r="L169" i="7"/>
  <c r="O84" i="7"/>
  <c r="H87" i="7"/>
  <c r="H169" i="7"/>
  <c r="R81" i="7"/>
  <c r="D116" i="7"/>
  <c r="D80" i="7"/>
  <c r="D118" i="7"/>
  <c r="I165" i="7"/>
  <c r="G129" i="7"/>
  <c r="F165" i="7"/>
  <c r="K170" i="7"/>
  <c r="O128" i="7"/>
  <c r="H128" i="7"/>
  <c r="E169" i="7"/>
  <c r="F120" i="7"/>
  <c r="C161" i="7"/>
  <c r="J80" i="7"/>
  <c r="R117" i="7"/>
  <c r="N95" i="7"/>
  <c r="S118" i="7"/>
  <c r="L129" i="7"/>
  <c r="Q127" i="7"/>
  <c r="V168" i="7"/>
  <c r="I117" i="7"/>
  <c r="N88" i="7"/>
  <c r="P82" i="7"/>
  <c r="F159" i="7"/>
  <c r="L158" i="7"/>
  <c r="F122" i="7"/>
  <c r="M122" i="7"/>
  <c r="N172" i="7"/>
  <c r="I172" i="7"/>
  <c r="P159" i="7"/>
  <c r="R120" i="7"/>
  <c r="O158" i="7"/>
  <c r="G86" i="7"/>
  <c r="M81" i="7"/>
  <c r="F170" i="7"/>
  <c r="S88" i="7"/>
  <c r="L173" i="7"/>
  <c r="R89" i="7"/>
  <c r="O122" i="7"/>
  <c r="U129" i="7"/>
  <c r="K168" i="7"/>
  <c r="M120" i="7"/>
  <c r="L170" i="7"/>
  <c r="H83" i="7"/>
  <c r="U162" i="7"/>
  <c r="P84" i="7"/>
  <c r="H89" i="7"/>
  <c r="I173" i="7"/>
  <c r="C129" i="7"/>
  <c r="V86" i="7"/>
  <c r="F173" i="7"/>
  <c r="E164" i="7"/>
  <c r="O168" i="7"/>
  <c r="M168" i="7"/>
  <c r="V160" i="7"/>
  <c r="M89" i="7"/>
  <c r="C81" i="7"/>
  <c r="G170" i="7"/>
  <c r="V127" i="7"/>
  <c r="D160" i="7"/>
  <c r="F93" i="7"/>
  <c r="I160" i="7"/>
  <c r="H91" i="7"/>
  <c r="T131" i="7"/>
  <c r="K125" i="7"/>
  <c r="V128" i="7"/>
  <c r="R124" i="7"/>
  <c r="E82" i="7"/>
  <c r="H80" i="7"/>
  <c r="J127" i="7"/>
  <c r="K83" i="7"/>
  <c r="P165" i="7"/>
  <c r="E163" i="7"/>
  <c r="M94" i="7"/>
  <c r="K123" i="7"/>
  <c r="L122" i="7"/>
  <c r="J92" i="7"/>
  <c r="O171" i="7"/>
  <c r="M126" i="7"/>
  <c r="Q161" i="7"/>
  <c r="V167" i="7"/>
  <c r="G158" i="7"/>
  <c r="U84" i="7"/>
  <c r="F158" i="7"/>
  <c r="H158" i="7"/>
  <c r="H95" i="7"/>
  <c r="T129" i="7"/>
  <c r="F92" i="7"/>
  <c r="E91" i="7"/>
  <c r="J130" i="7"/>
  <c r="G125" i="7"/>
  <c r="O131" i="7"/>
  <c r="R123" i="7"/>
  <c r="C89" i="7"/>
  <c r="N119" i="7"/>
  <c r="Q166" i="7"/>
  <c r="Q90" i="7"/>
  <c r="C166" i="7"/>
  <c r="R116" i="7"/>
  <c r="D131" i="7"/>
  <c r="D128" i="7"/>
  <c r="L126" i="7"/>
  <c r="J95" i="7"/>
  <c r="C86" i="7"/>
  <c r="I120" i="7"/>
  <c r="D117" i="7"/>
  <c r="P95" i="7"/>
  <c r="R83" i="7"/>
  <c r="P85" i="7"/>
  <c r="T93" i="7"/>
  <c r="G118" i="7"/>
  <c r="F81" i="7"/>
  <c r="U90" i="7"/>
  <c r="C128" i="7"/>
  <c r="L92" i="7"/>
  <c r="U164" i="7"/>
  <c r="L91" i="7"/>
  <c r="E159" i="7"/>
  <c r="I91" i="7"/>
  <c r="T166" i="7"/>
  <c r="T126" i="7"/>
  <c r="M125" i="7"/>
  <c r="Q95" i="7"/>
  <c r="C171" i="7"/>
  <c r="S162" i="7"/>
  <c r="L86" i="7"/>
  <c r="S126" i="7"/>
  <c r="H119" i="7"/>
  <c r="V124" i="7"/>
  <c r="K81" i="7"/>
  <c r="O159" i="7"/>
  <c r="S121" i="7"/>
  <c r="Q117" i="7"/>
  <c r="N168" i="7"/>
  <c r="T167" i="7"/>
  <c r="V89" i="7"/>
  <c r="E86" i="7"/>
  <c r="R92" i="7"/>
  <c r="K128" i="7"/>
  <c r="M83" i="7"/>
  <c r="I119" i="7"/>
  <c r="Q122" i="7"/>
  <c r="S81" i="7"/>
  <c r="K117" i="7"/>
  <c r="K119" i="7"/>
  <c r="E94" i="7"/>
  <c r="J93" i="7"/>
  <c r="L171" i="7"/>
  <c r="S91" i="7"/>
  <c r="E84" i="7"/>
  <c r="E121" i="7"/>
  <c r="U118" i="7"/>
  <c r="O163" i="7"/>
  <c r="S116" i="7"/>
  <c r="S95" i="7"/>
  <c r="S117" i="7"/>
  <c r="P127" i="7"/>
  <c r="M129" i="7"/>
  <c r="V173" i="7"/>
  <c r="H121" i="7"/>
  <c r="J168" i="7"/>
  <c r="G165" i="7"/>
  <c r="D89" i="7"/>
  <c r="P86" i="7"/>
  <c r="P120" i="7"/>
  <c r="P161" i="7"/>
  <c r="I84" i="7"/>
  <c r="D95" i="7"/>
  <c r="R91" i="7"/>
  <c r="Q87" i="7"/>
  <c r="R161" i="7"/>
  <c r="I162" i="7"/>
  <c r="T169" i="7"/>
  <c r="R166" i="7"/>
  <c r="K160" i="7"/>
  <c r="U93" i="7"/>
  <c r="F171" i="7"/>
  <c r="Q82" i="7"/>
  <c r="I83" i="7"/>
  <c r="D92" i="7"/>
  <c r="U167" i="7"/>
  <c r="T130" i="7"/>
  <c r="L88" i="7"/>
  <c r="E85" i="7"/>
  <c r="F166" i="7"/>
  <c r="M90" i="7"/>
  <c r="P162" i="7"/>
  <c r="T119" i="7"/>
  <c r="E95" i="7"/>
  <c r="S172" i="7"/>
  <c r="C162" i="7"/>
  <c r="O121" i="7"/>
  <c r="I122" i="7"/>
  <c r="H92" i="7"/>
  <c r="O126" i="7"/>
  <c r="J83" i="7"/>
  <c r="V131" i="7"/>
  <c r="L168" i="7"/>
  <c r="S94" i="7"/>
  <c r="C84" i="7"/>
  <c r="D167" i="7"/>
  <c r="G128" i="7"/>
  <c r="U130" i="7"/>
  <c r="T173" i="7"/>
  <c r="N164" i="7"/>
  <c r="C88" i="7"/>
  <c r="V91" i="7"/>
  <c r="M124" i="7"/>
  <c r="T162" i="7"/>
  <c r="N81" i="7"/>
  <c r="P164" i="7"/>
  <c r="I95" i="7"/>
  <c r="E173" i="7"/>
  <c r="H167" i="7"/>
  <c r="S131" i="7"/>
  <c r="R164" i="7"/>
  <c r="O119" i="7"/>
  <c r="L118" i="7"/>
  <c r="Q91" i="7"/>
  <c r="H173" i="7"/>
  <c r="H85" i="7"/>
  <c r="R160" i="7"/>
  <c r="Q172" i="7"/>
  <c r="T120" i="7"/>
  <c r="C130" i="7"/>
  <c r="P169" i="7"/>
  <c r="F127" i="7"/>
  <c r="N167" i="7"/>
  <c r="D129" i="7"/>
  <c r="C163" i="7"/>
  <c r="J91" i="7"/>
  <c r="E122" i="7"/>
  <c r="P91" i="7"/>
  <c r="L93" i="7"/>
  <c r="V83" i="7"/>
  <c r="E81" i="7"/>
  <c r="E125" i="7"/>
  <c r="P168" i="7"/>
  <c r="K92" i="7"/>
  <c r="N128" i="7"/>
  <c r="U121" i="7"/>
  <c r="I94" i="7"/>
  <c r="V93" i="7"/>
  <c r="G164" i="7"/>
  <c r="D84" i="7"/>
  <c r="R121" i="7"/>
  <c r="S80" i="7"/>
  <c r="C131" i="7"/>
  <c r="S83" i="7"/>
  <c r="I158" i="7"/>
  <c r="O118" i="7"/>
  <c r="P116" i="7"/>
  <c r="S167" i="7"/>
  <c r="K165" i="7"/>
  <c r="O91" i="7"/>
  <c r="J164" i="7"/>
  <c r="U163" i="7"/>
  <c r="Q89" i="7"/>
  <c r="L164" i="7"/>
  <c r="H126" i="7"/>
  <c r="V125" i="7"/>
  <c r="H88" i="7"/>
  <c r="G117" i="7"/>
  <c r="M172" i="7"/>
  <c r="I85" i="7"/>
  <c r="J161" i="7"/>
  <c r="Q118" i="7"/>
  <c r="P88" i="7"/>
  <c r="G131" i="7"/>
  <c r="S129" i="7"/>
  <c r="F131" i="7"/>
  <c r="T83" i="7"/>
  <c r="M160" i="7"/>
  <c r="E168" i="7"/>
  <c r="P80" i="7"/>
  <c r="N160" i="7"/>
  <c r="Q131" i="7"/>
  <c r="K80" i="7"/>
  <c r="U126" i="7"/>
  <c r="E118" i="7"/>
  <c r="N162" i="7"/>
  <c r="G82" i="7"/>
  <c r="C83" i="7"/>
  <c r="T165" i="7"/>
  <c r="R171" i="7"/>
  <c r="N89" i="7"/>
  <c r="E119" i="7"/>
  <c r="P92" i="7"/>
  <c r="P118" i="7"/>
  <c r="F126" i="7"/>
  <c r="S122" i="7"/>
  <c r="M80" i="7"/>
  <c r="D88" i="7"/>
  <c r="F83" i="7"/>
  <c r="J158" i="7"/>
  <c r="K88" i="7"/>
  <c r="K90" i="7"/>
  <c r="D86" i="7"/>
  <c r="G93" i="7"/>
  <c r="Q171" i="7"/>
  <c r="O120" i="7"/>
  <c r="S173" i="7"/>
  <c r="R93" i="7"/>
  <c r="D82" i="7"/>
  <c r="Q158" i="7"/>
  <c r="S93" i="7"/>
  <c r="E90" i="7"/>
  <c r="J116" i="7"/>
  <c r="E88" i="7"/>
  <c r="V130" i="7"/>
  <c r="U172" i="7"/>
  <c r="S124" i="7"/>
  <c r="H168" i="7"/>
  <c r="E171" i="7"/>
  <c r="V87" i="7"/>
  <c r="C172" i="7"/>
  <c r="D164" i="7"/>
  <c r="I87" i="7"/>
  <c r="R84" i="7"/>
  <c r="P166" i="7"/>
  <c r="H170" i="7"/>
  <c r="V85" i="7"/>
  <c r="J118" i="7"/>
  <c r="I130" i="7"/>
  <c r="U89" i="7"/>
  <c r="J120" i="7"/>
  <c r="V170" i="7"/>
  <c r="T81" i="7"/>
  <c r="P129" i="7"/>
  <c r="J124" i="7"/>
  <c r="T123" i="7"/>
  <c r="J170" i="7"/>
  <c r="I121" i="7"/>
  <c r="M88" i="7"/>
  <c r="T85" i="7"/>
  <c r="C120" i="7"/>
  <c r="I170" i="7"/>
  <c r="U159" i="7"/>
  <c r="M91" i="7"/>
  <c r="T87" i="7"/>
  <c r="E127" i="7"/>
  <c r="G123" i="7"/>
  <c r="L125" i="7"/>
  <c r="T86" i="7"/>
  <c r="J173" i="7"/>
  <c r="D93" i="7"/>
  <c r="H81" i="7"/>
  <c r="U81" i="7"/>
  <c r="E129" i="7"/>
  <c r="I131" i="7"/>
  <c r="K130" i="7"/>
  <c r="T118" i="7"/>
  <c r="Q125" i="7"/>
  <c r="I169" i="7"/>
  <c r="H129" i="7"/>
  <c r="Q128" i="7"/>
  <c r="M173" i="7"/>
  <c r="G94" i="7"/>
  <c r="F164" i="7"/>
  <c r="L166" i="7"/>
  <c r="D165" i="7"/>
  <c r="H117" i="7"/>
  <c r="N126" i="7"/>
  <c r="F119" i="7"/>
  <c r="I82" i="7"/>
  <c r="R86" i="7"/>
  <c r="H160" i="7"/>
  <c r="N120" i="7"/>
  <c r="J165" i="7"/>
  <c r="I123" i="7"/>
  <c r="F88" i="7"/>
  <c r="K164" i="7"/>
  <c r="S85" i="7"/>
  <c r="F121" i="7"/>
  <c r="H125" i="7"/>
  <c r="U122" i="7"/>
  <c r="N129" i="7"/>
  <c r="C160" i="7"/>
  <c r="I93" i="7"/>
  <c r="J82" i="7"/>
  <c r="G80" i="7"/>
  <c r="S168" i="7"/>
  <c r="S161" i="7"/>
  <c r="F169" i="7"/>
  <c r="J117" i="7"/>
  <c r="J89" i="7"/>
  <c r="P167" i="7"/>
  <c r="N92" i="7"/>
  <c r="R122" i="7"/>
  <c r="D170" i="7"/>
  <c r="I89" i="7"/>
  <c r="T125" i="7"/>
  <c r="G173" i="7"/>
  <c r="T124" i="7"/>
  <c r="R127" i="7"/>
  <c r="F124" i="7"/>
  <c r="H159" i="7"/>
  <c r="K89" i="7"/>
  <c r="I161" i="7"/>
  <c r="N170" i="7"/>
  <c r="F163" i="7"/>
  <c r="D158" i="7"/>
  <c r="J84" i="7"/>
  <c r="N85" i="7"/>
  <c r="S127" i="7"/>
  <c r="U88" i="7"/>
  <c r="E172" i="7"/>
  <c r="L161" i="7"/>
  <c r="J131" i="7"/>
  <c r="C85" i="7"/>
  <c r="F118" i="7"/>
  <c r="U131" i="7"/>
  <c r="G159" i="7"/>
  <c r="N121" i="7"/>
  <c r="Q88" i="7"/>
  <c r="I168" i="7"/>
  <c r="E87" i="7"/>
  <c r="I124" i="7"/>
  <c r="I88" i="7"/>
  <c r="G116" i="7"/>
  <c r="I81" i="7"/>
  <c r="E131" i="7"/>
  <c r="D171" i="7"/>
  <c r="O169" i="7"/>
  <c r="O167" i="7"/>
  <c r="V166" i="7"/>
  <c r="L87" i="7"/>
  <c r="M170" i="7"/>
  <c r="E93" i="7"/>
  <c r="K158" i="7"/>
  <c r="C93" i="7"/>
  <c r="R119" i="7"/>
  <c r="M116" i="7"/>
  <c r="J171" i="7"/>
  <c r="J119" i="7"/>
  <c r="E117" i="7"/>
  <c r="F80" i="7"/>
  <c r="M163" i="7"/>
  <c r="S163" i="7"/>
  <c r="O81" i="7"/>
  <c r="J159" i="7"/>
  <c r="V81" i="7"/>
  <c r="N87" i="7"/>
  <c r="Q163" i="7"/>
  <c r="N131" i="7"/>
  <c r="C165" i="7"/>
  <c r="I129" i="7"/>
  <c r="V171" i="7"/>
  <c r="O92" i="7"/>
  <c r="T159" i="7"/>
  <c r="C169" i="7"/>
  <c r="Q116" i="7"/>
  <c r="G85" i="7"/>
  <c r="L163" i="7"/>
  <c r="J129" i="7"/>
  <c r="O88" i="7"/>
  <c r="K166" i="7"/>
  <c r="G91" i="7"/>
  <c r="N173" i="7"/>
  <c r="D81" i="7"/>
  <c r="K116" i="7"/>
  <c r="S87" i="7"/>
  <c r="N84" i="7"/>
  <c r="I86" i="7"/>
  <c r="E170" i="7"/>
  <c r="Q160" i="7"/>
  <c r="U168" i="7"/>
  <c r="O89" i="7"/>
  <c r="L117" i="7"/>
  <c r="P89" i="7"/>
  <c r="C164" i="7"/>
  <c r="R95" i="7"/>
  <c r="G160" i="7"/>
  <c r="K131" i="7"/>
  <c r="P126" i="7"/>
  <c r="J86" i="7"/>
  <c r="M161" i="7"/>
  <c r="F89" i="7"/>
  <c r="K124" i="7"/>
  <c r="U160" i="7"/>
  <c r="F84" i="7"/>
  <c r="N83" i="7"/>
  <c r="M85" i="7"/>
  <c r="U158" i="7"/>
  <c r="L90" i="7"/>
  <c r="I126" i="7"/>
  <c r="R172" i="7"/>
  <c r="F94" i="7"/>
  <c r="S119" i="7"/>
  <c r="U124" i="7"/>
  <c r="K94" i="7"/>
  <c r="R94" i="7"/>
  <c r="M121" i="7"/>
  <c r="L172" i="7"/>
  <c r="F172" i="7"/>
  <c r="N124" i="7"/>
  <c r="Q92" i="7"/>
  <c r="M164" i="7"/>
  <c r="J172" i="7"/>
  <c r="U120" i="7"/>
  <c r="O123" i="7"/>
  <c r="Q120" i="7"/>
  <c r="G89" i="7"/>
  <c r="Q124" i="7"/>
  <c r="I159" i="7"/>
  <c r="G83" i="7"/>
  <c r="U87" i="7"/>
  <c r="L124" i="7"/>
  <c r="V88" i="7"/>
  <c r="I90" i="7"/>
  <c r="E158" i="7"/>
  <c r="V94" i="7"/>
  <c r="E83" i="7"/>
  <c r="K93" i="7"/>
  <c r="L89" i="7"/>
  <c r="K84" i="7"/>
  <c r="G88" i="7"/>
  <c r="S160" i="7"/>
  <c r="S171" i="7"/>
  <c r="M130" i="7"/>
  <c r="N123" i="7"/>
  <c r="I164" i="7"/>
  <c r="I125" i="7"/>
  <c r="N122" i="7"/>
  <c r="H171" i="7"/>
  <c r="D162" i="7"/>
  <c r="O80" i="7"/>
  <c r="F160" i="7"/>
  <c r="H93" i="7"/>
  <c r="C159" i="7"/>
  <c r="Q129" i="7"/>
  <c r="F95" i="7"/>
  <c r="S128" i="7"/>
  <c r="P172" i="7"/>
  <c r="M84" i="7"/>
  <c r="T160" i="7"/>
  <c r="G119" i="7"/>
  <c r="F125" i="7"/>
  <c r="S169" i="7"/>
  <c r="O85" i="7"/>
  <c r="G95" i="7"/>
  <c r="N171" i="7"/>
  <c r="T161" i="7"/>
  <c r="U165" i="7"/>
  <c r="C95" i="7"/>
  <c r="U92" i="7"/>
  <c r="H131" i="7"/>
  <c r="F85" i="7"/>
  <c r="T89" i="7"/>
  <c r="D119" i="7"/>
  <c r="P125" i="7"/>
  <c r="U95" i="7"/>
  <c r="V95" i="7"/>
  <c r="V117" i="7"/>
  <c r="K87" i="7"/>
  <c r="I166" i="7"/>
  <c r="G81" i="7"/>
  <c r="M162" i="7"/>
  <c r="P123" i="7"/>
  <c r="C167" i="7"/>
  <c r="F90" i="7"/>
  <c r="P119" i="7"/>
  <c r="J88" i="7"/>
  <c r="M167" i="7"/>
  <c r="Q130" i="7"/>
  <c r="L83" i="7"/>
  <c r="R159" i="7"/>
  <c r="T95" i="7"/>
  <c r="R88" i="7"/>
  <c r="D161" i="7"/>
  <c r="O160" i="7"/>
  <c r="Q84" i="7"/>
  <c r="U128" i="7"/>
  <c r="H82" i="7"/>
  <c r="P171" i="7"/>
  <c r="Q81" i="7"/>
  <c r="N82" i="7"/>
  <c r="N158" i="7"/>
  <c r="D87" i="7"/>
  <c r="G130" i="7"/>
  <c r="E126" i="7"/>
  <c r="O95" i="7"/>
  <c r="Q119" i="7"/>
  <c r="U80" i="7"/>
  <c r="Q121" i="7"/>
  <c r="P81" i="7"/>
  <c r="G163" i="7"/>
  <c r="H120" i="7"/>
  <c r="P131" i="7"/>
  <c r="S158" i="7"/>
  <c r="F86" i="7"/>
  <c r="C90" i="7"/>
  <c r="G120" i="7"/>
  <c r="N117" i="7"/>
  <c r="L162" i="7"/>
  <c r="T171" i="7"/>
  <c r="U116" i="7"/>
  <c r="G124" i="7"/>
  <c r="C170" i="7"/>
  <c r="P124" i="7"/>
  <c r="J166" i="7"/>
  <c r="D159" i="7"/>
  <c r="H162" i="7"/>
  <c r="N80" i="7"/>
  <c r="P158" i="7"/>
  <c r="U166" i="7"/>
  <c r="C87" i="7"/>
  <c r="L84" i="7"/>
  <c r="L81" i="7"/>
  <c r="U123" i="7"/>
  <c r="U83" i="7"/>
  <c r="O164" i="7"/>
  <c r="O87" i="7"/>
  <c r="V165" i="7"/>
  <c r="M169" i="7"/>
  <c r="P130" i="7"/>
  <c r="S164" i="7"/>
  <c r="H166" i="7"/>
  <c r="O83" i="7"/>
  <c r="O162" i="7"/>
  <c r="D169" i="7"/>
  <c r="J87" i="7"/>
  <c r="K171" i="7"/>
  <c r="E130" i="7"/>
  <c r="P87" i="7"/>
  <c r="C124" i="7"/>
  <c r="Q126" i="7"/>
  <c r="E123" i="7"/>
  <c r="E120" i="7"/>
  <c r="E160" i="7"/>
  <c r="U173" i="7"/>
  <c r="C173" i="7"/>
  <c r="M92" i="7"/>
  <c r="R169" i="7"/>
  <c r="E124" i="7"/>
  <c r="D91" i="7"/>
  <c r="C123" i="7"/>
  <c r="V116" i="7"/>
  <c r="P83" i="7"/>
  <c r="D94" i="7"/>
  <c r="G121" i="7"/>
  <c r="C121" i="7"/>
  <c r="J94" i="7"/>
  <c r="D173" i="7"/>
  <c r="Q164" i="7"/>
  <c r="O170" i="7"/>
  <c r="Q169" i="7"/>
  <c r="E116" i="7"/>
  <c r="L85" i="7"/>
  <c r="H84" i="7"/>
  <c r="V163" i="7"/>
  <c r="T84" i="7"/>
  <c r="M93" i="7"/>
  <c r="J128" i="7"/>
  <c r="D127" i="7"/>
  <c r="N90" i="7"/>
  <c r="P173" i="7"/>
  <c r="O93" i="7"/>
  <c r="H163" i="7"/>
  <c r="M131" i="7"/>
  <c r="C82" i="7"/>
  <c r="H165" i="7"/>
  <c r="T80" i="7"/>
  <c r="T117" i="7"/>
  <c r="G122" i="7"/>
  <c r="K173" i="7"/>
  <c r="D123" i="7"/>
  <c r="L123" i="7"/>
  <c r="S82" i="7"/>
  <c r="Q123" i="7"/>
  <c r="O90" i="7"/>
  <c r="N163" i="7"/>
  <c r="S84" i="7"/>
  <c r="D168" i="7"/>
  <c r="E161" i="7"/>
  <c r="I118" i="7"/>
  <c r="T116" i="7"/>
  <c r="G172" i="7"/>
  <c r="O127" i="7"/>
  <c r="T122" i="7"/>
  <c r="D90" i="7"/>
  <c r="V82" i="7"/>
  <c r="E128" i="7"/>
  <c r="I116" i="7"/>
  <c r="L128" i="7"/>
  <c r="D130" i="7"/>
  <c r="K127" i="7"/>
  <c r="K86" i="7"/>
  <c r="P121" i="7"/>
  <c r="M86" i="7"/>
  <c r="C117" i="7"/>
  <c r="Q168" i="7"/>
  <c r="K126" i="7"/>
  <c r="T163" i="7"/>
  <c r="G87" i="7"/>
  <c r="L159" i="7"/>
  <c r="U161" i="7"/>
  <c r="C118" i="7"/>
  <c r="F128" i="7"/>
  <c r="N93" i="7"/>
  <c r="O172" i="7"/>
  <c r="N130" i="7"/>
  <c r="D121" i="7"/>
  <c r="Q86" i="7"/>
  <c r="D122" i="7"/>
  <c r="H164" i="7"/>
  <c r="K122" i="7"/>
  <c r="F129" i="7"/>
  <c r="L160" i="7"/>
  <c r="S89" i="7"/>
  <c r="T90" i="7"/>
  <c r="N169" i="7"/>
  <c r="L127" i="7"/>
  <c r="N161" i="7"/>
  <c r="Q173" i="7"/>
  <c r="Q94" i="7"/>
  <c r="O161" i="7"/>
  <c r="Q80" i="7"/>
  <c r="L80" i="7"/>
  <c r="G166" i="7"/>
  <c r="R90" i="7"/>
  <c r="M128" i="7"/>
  <c r="S120" i="7"/>
  <c r="L130" i="7"/>
  <c r="R85" i="7"/>
  <c r="K120" i="7"/>
  <c r="Q159" i="7"/>
  <c r="S125" i="7"/>
  <c r="L116" i="7"/>
  <c r="S170" i="7"/>
  <c r="C91" i="7"/>
  <c r="H127" i="7"/>
  <c r="P93" i="7"/>
  <c r="C92" i="7"/>
  <c r="R162" i="7"/>
  <c r="F161" i="7"/>
  <c r="H122" i="7"/>
  <c r="F82" i="7"/>
  <c r="P122" i="7"/>
  <c r="J163" i="7"/>
  <c r="H123" i="7"/>
  <c r="K163" i="7"/>
  <c r="M158" i="7"/>
  <c r="Q165" i="7"/>
  <c r="R130" i="7"/>
  <c r="R131" i="7"/>
  <c r="M165" i="7"/>
  <c r="S165" i="7"/>
  <c r="D85" i="7"/>
  <c r="I163" i="7"/>
  <c r="M166" i="7"/>
  <c r="D166" i="7"/>
  <c r="V90" i="7"/>
  <c r="M119" i="7"/>
  <c r="O117" i="7"/>
  <c r="F117" i="7"/>
  <c r="T168" i="7"/>
  <c r="T127" i="7"/>
  <c r="J160" i="7"/>
  <c r="I128" i="7"/>
  <c r="T88" i="7"/>
  <c r="N166" i="7"/>
  <c r="V161" i="7"/>
  <c r="D172" i="7"/>
  <c r="D120" i="7"/>
  <c r="O130" i="7"/>
  <c r="L131" i="7"/>
  <c r="H130" i="7"/>
  <c r="I92" i="7"/>
  <c r="E92" i="7"/>
  <c r="F123" i="7"/>
  <c r="J85" i="7"/>
  <c r="P170" i="7"/>
  <c r="H86" i="7"/>
  <c r="R80" i="7"/>
  <c r="K161" i="7"/>
  <c r="L94" i="7"/>
  <c r="M127" i="7"/>
  <c r="J121" i="7"/>
  <c r="R170" i="7"/>
  <c r="K167" i="7"/>
  <c r="R129" i="7"/>
  <c r="C122" i="7"/>
  <c r="D126" i="7"/>
  <c r="G168" i="7"/>
  <c r="C168" i="7"/>
  <c r="E167" i="7"/>
  <c r="C119" i="7"/>
  <c r="Q93" i="7"/>
  <c r="K91" i="7"/>
  <c r="U119" i="7"/>
  <c r="R125" i="7"/>
  <c r="V123" i="7"/>
  <c r="H94" i="7"/>
  <c r="T82" i="7"/>
  <c r="R168" i="7"/>
  <c r="O125" i="7"/>
  <c r="K121" i="7"/>
  <c r="H90" i="7"/>
  <c r="O165" i="7"/>
  <c r="E165" i="7"/>
  <c r="F168" i="7"/>
  <c r="D163" i="7"/>
  <c r="V118" i="7"/>
  <c r="V172" i="7"/>
  <c r="O94" i="7"/>
  <c r="Q167" i="7"/>
  <c r="O166" i="7"/>
  <c r="G126" i="7"/>
  <c r="P128" i="7"/>
  <c r="J162" i="7"/>
  <c r="H124" i="7"/>
  <c r="R158" i="7"/>
  <c r="T128" i="7"/>
  <c r="R82" i="7"/>
  <c r="O82" i="7"/>
  <c r="C125" i="7"/>
  <c r="M171" i="7"/>
  <c r="V126" i="7"/>
  <c r="G92" i="7"/>
  <c r="R163" i="7"/>
  <c r="J126" i="7"/>
  <c r="F87" i="7"/>
  <c r="J123" i="7"/>
  <c r="K95" i="7"/>
  <c r="R87" i="7"/>
  <c r="V121" i="7"/>
  <c r="S123" i="7"/>
  <c r="C126" i="7"/>
  <c r="U169" i="7"/>
  <c r="I167" i="7"/>
  <c r="L95" i="7"/>
  <c r="D125" i="7"/>
  <c r="D124" i="7"/>
  <c r="M117" i="7"/>
  <c r="I80" i="7"/>
  <c r="I171" i="7"/>
  <c r="V92" i="7"/>
  <c r="G167" i="7"/>
  <c r="K129" i="7"/>
  <c r="V129" i="7"/>
  <c r="U117" i="7"/>
  <c r="F162" i="7"/>
  <c r="T170" i="7"/>
  <c r="E89" i="7"/>
  <c r="Q162" i="7"/>
  <c r="R173" i="7"/>
  <c r="V169" i="7"/>
  <c r="S130" i="7"/>
  <c r="L120" i="7"/>
  <c r="R165" i="7"/>
  <c r="E166" i="7"/>
  <c r="T172" i="7"/>
  <c r="F130" i="7"/>
  <c r="F91" i="7"/>
  <c r="K169" i="7"/>
  <c r="G171" i="7"/>
  <c r="K85" i="7"/>
  <c r="R126" i="7"/>
  <c r="U127" i="7"/>
  <c r="S86" i="7"/>
  <c r="J167" i="7"/>
  <c r="K118" i="7"/>
  <c r="O129" i="7"/>
  <c r="P90" i="7"/>
  <c r="F167" i="7"/>
  <c r="O173" i="7"/>
  <c r="M123" i="7"/>
  <c r="L121" i="7"/>
  <c r="T91" i="7"/>
  <c r="L165" i="7"/>
  <c r="V164" i="7"/>
  <c r="D83" i="7"/>
  <c r="S90" i="7"/>
  <c r="Q85" i="7"/>
  <c r="H172" i="7"/>
  <c r="T94" i="7"/>
  <c r="P94" i="7"/>
  <c r="J90" i="7"/>
  <c r="G90" i="7"/>
  <c r="V158" i="7"/>
  <c r="S92" i="7"/>
  <c r="C127" i="7"/>
  <c r="C94" i="7"/>
  <c r="M159" i="7"/>
  <c r="M95" i="7"/>
  <c r="AW48" i="7" l="1"/>
  <c r="AV61" i="7"/>
  <c r="AW53" i="7"/>
  <c r="AV56" i="7"/>
  <c r="AX54" i="7"/>
  <c r="AZ59" i="7"/>
  <c r="AY53" i="7"/>
  <c r="AX60" i="7"/>
  <c r="AZ61" i="7"/>
  <c r="AW56" i="7"/>
  <c r="AX49" i="7"/>
  <c r="AW59" i="7"/>
  <c r="AZ49" i="7"/>
  <c r="AV53" i="7"/>
  <c r="AW61" i="7"/>
  <c r="AY49" i="7"/>
  <c r="AX59" i="7"/>
  <c r="AY54" i="7"/>
  <c r="AW49" i="7"/>
  <c r="AV49" i="7"/>
  <c r="AX53" i="7"/>
  <c r="AV54" i="7"/>
  <c r="AY47" i="7"/>
  <c r="AZ57" i="7"/>
  <c r="AV46" i="7"/>
  <c r="AZ54" i="7"/>
  <c r="AY51" i="7"/>
  <c r="AZ50" i="7"/>
  <c r="AV47" i="7"/>
  <c r="AW57" i="7"/>
  <c r="AY59" i="7"/>
  <c r="AZ51" i="7"/>
  <c r="AY57" i="7"/>
  <c r="AW54" i="7"/>
  <c r="AZ47" i="7"/>
  <c r="AV51" i="7"/>
  <c r="AX57" i="7"/>
  <c r="AW50" i="7"/>
  <c r="AY60" i="7"/>
  <c r="AX51" i="7"/>
  <c r="AV59" i="7"/>
  <c r="AX56" i="7"/>
  <c r="AW51" i="7"/>
  <c r="AV57" i="7"/>
  <c r="AW47" i="7"/>
  <c r="AZ60" i="7"/>
  <c r="AX55" i="7"/>
  <c r="AV60" i="7"/>
  <c r="AZ52" i="7"/>
  <c r="AX47" i="7"/>
  <c r="AZ56" i="7"/>
  <c r="AX50" i="7"/>
  <c r="AY55" i="7"/>
  <c r="AW60" i="7"/>
  <c r="AY58" i="7"/>
  <c r="AW52" i="7"/>
  <c r="AY50" i="7"/>
  <c r="AV55" i="7"/>
  <c r="AV58" i="7"/>
  <c r="AX58" i="7"/>
  <c r="AV50" i="7"/>
  <c r="AY52" i="7"/>
  <c r="AZ58" i="7"/>
  <c r="AY48" i="7"/>
  <c r="AX52" i="7"/>
  <c r="AZ55" i="7"/>
  <c r="AZ48" i="7"/>
  <c r="AV52" i="7"/>
  <c r="AW58" i="7"/>
  <c r="AV48" i="7"/>
  <c r="AY61" i="7"/>
  <c r="AZ53" i="7"/>
  <c r="AY56" i="7"/>
  <c r="AX48" i="7"/>
  <c r="AX61" i="7"/>
  <c r="AW55" i="7"/>
  <c r="AU4" i="7"/>
  <c r="AR84" i="7"/>
  <c r="AT117" i="7"/>
  <c r="AQ47" i="7"/>
  <c r="AU86" i="7"/>
  <c r="AS58" i="7"/>
  <c r="AR165" i="7"/>
  <c r="AS46" i="7"/>
  <c r="AT116" i="7"/>
  <c r="AU131" i="7"/>
  <c r="AU121" i="7"/>
  <c r="AS167" i="7"/>
  <c r="AQ118" i="7"/>
  <c r="AR46" i="7"/>
  <c r="AU162" i="7"/>
  <c r="AR83" i="7"/>
  <c r="AS49" i="7"/>
  <c r="AQ119" i="7"/>
  <c r="AR49" i="7"/>
  <c r="AQ48" i="7"/>
  <c r="AU54" i="7"/>
  <c r="AU130" i="7"/>
  <c r="AS129" i="7"/>
  <c r="AS93" i="7"/>
  <c r="AT118" i="7"/>
  <c r="AS119" i="7"/>
  <c r="AT84" i="7"/>
  <c r="AU50" i="7"/>
  <c r="AS82" i="7"/>
  <c r="AT48" i="7"/>
  <c r="AU85" i="7"/>
  <c r="AT128" i="7"/>
  <c r="AR116" i="7"/>
  <c r="AR47" i="7"/>
  <c r="AT164" i="7"/>
  <c r="AZ46" i="7"/>
  <c r="AS124" i="7"/>
  <c r="AS84" i="7"/>
  <c r="AT57" i="7"/>
  <c r="AU81" i="7"/>
  <c r="AX46" i="7"/>
  <c r="AS51" i="7"/>
  <c r="AS165" i="7"/>
  <c r="AT167" i="7"/>
  <c r="AT159" i="7"/>
  <c r="AS122" i="7"/>
  <c r="AS53" i="7"/>
  <c r="AU87" i="7"/>
  <c r="AU158" i="7"/>
  <c r="C158" i="7"/>
  <c r="AS170" i="7"/>
  <c r="AS52" i="7"/>
  <c r="AS86" i="7"/>
  <c r="AU56" i="7"/>
  <c r="AS171" i="7"/>
  <c r="AU173" i="7"/>
  <c r="AT85" i="7"/>
  <c r="AS80" i="7"/>
  <c r="AR118" i="7"/>
  <c r="AU90" i="7"/>
  <c r="AU92" i="7"/>
  <c r="AS90" i="7"/>
  <c r="AR120" i="7"/>
  <c r="AU166" i="7"/>
  <c r="AR159" i="7"/>
  <c r="AT127" i="7"/>
  <c r="AR82" i="7"/>
  <c r="AS89" i="7"/>
  <c r="AU93" i="7"/>
  <c r="AT119" i="7"/>
  <c r="AQ51" i="7"/>
  <c r="AS92" i="7"/>
  <c r="AT95" i="7"/>
  <c r="AT124" i="7"/>
  <c r="AT56" i="7"/>
  <c r="AS47" i="7"/>
  <c r="AU167" i="7"/>
  <c r="AR85" i="7"/>
  <c r="AU49" i="7"/>
  <c r="AU52" i="7"/>
  <c r="AS56" i="7"/>
  <c r="AU116" i="7"/>
  <c r="AU82" i="7"/>
  <c r="AT87" i="7"/>
  <c r="AS55" i="7"/>
  <c r="AT120" i="7"/>
  <c r="AT163" i="7"/>
  <c r="AU161" i="7"/>
  <c r="AU59" i="7"/>
  <c r="AT171" i="7"/>
  <c r="AS160" i="7"/>
  <c r="AR158" i="7"/>
  <c r="AS81" i="7"/>
  <c r="AT161" i="7"/>
  <c r="AR117" i="7"/>
  <c r="AR53" i="7"/>
  <c r="AU60" i="7"/>
  <c r="AT46" i="7"/>
  <c r="AT80" i="7"/>
  <c r="AT53" i="7"/>
  <c r="AT83" i="7"/>
  <c r="AR166" i="7"/>
  <c r="AT88" i="7"/>
  <c r="AR119" i="7"/>
  <c r="AU91" i="7"/>
  <c r="AU118" i="7"/>
  <c r="AU61" i="7"/>
  <c r="AS48" i="7"/>
  <c r="AT168" i="7"/>
  <c r="AQ117" i="7"/>
  <c r="AR54" i="7"/>
  <c r="AU89" i="7"/>
  <c r="AU119" i="7"/>
  <c r="AS83" i="7"/>
  <c r="AT89" i="7"/>
  <c r="AU51" i="7"/>
  <c r="AR122" i="7"/>
  <c r="AS125" i="7"/>
  <c r="AU164" i="7"/>
  <c r="AS126" i="7"/>
  <c r="AU129" i="7"/>
  <c r="AT47" i="7"/>
  <c r="AS169" i="7"/>
  <c r="AU117" i="7"/>
  <c r="AT94" i="7"/>
  <c r="AR86" i="7"/>
  <c r="AR164" i="7"/>
  <c r="AU165" i="7"/>
  <c r="AQ54" i="7"/>
  <c r="AU88" i="7"/>
  <c r="AS91" i="7"/>
  <c r="AR123" i="7"/>
  <c r="AS85" i="7"/>
  <c r="AU127" i="7"/>
  <c r="AT170" i="7"/>
  <c r="AW46" i="7"/>
  <c r="AT129" i="7"/>
  <c r="AR162" i="7"/>
  <c r="AQ52" i="7"/>
  <c r="AQ120" i="7"/>
  <c r="AR160" i="7"/>
  <c r="AQ161" i="7"/>
  <c r="AU120" i="7"/>
  <c r="AS127" i="7"/>
  <c r="AS50" i="7"/>
  <c r="AT169" i="7"/>
  <c r="AU171" i="7"/>
  <c r="AU160" i="7"/>
  <c r="AS164" i="7"/>
  <c r="AS166" i="7"/>
  <c r="AS161" i="7"/>
  <c r="AU125" i="7"/>
  <c r="AR48" i="7"/>
  <c r="AS57" i="7"/>
  <c r="AT61" i="7"/>
  <c r="AU53" i="7"/>
  <c r="AS88" i="7"/>
  <c r="AR88" i="7"/>
  <c r="AT121" i="7"/>
  <c r="AT91" i="7"/>
  <c r="AQ84" i="7"/>
  <c r="AS168" i="7"/>
  <c r="AQ49" i="7"/>
  <c r="AQ81" i="7"/>
  <c r="C80" i="7"/>
  <c r="AQ80" i="7" s="1"/>
  <c r="C116" i="7"/>
  <c r="AQ116" i="7" s="1"/>
  <c r="AQ151" i="7" a="1"/>
  <c r="AS121" i="7"/>
  <c r="AT50" i="7"/>
  <c r="AT55" i="7"/>
  <c r="AT49" i="7"/>
  <c r="AR163" i="7"/>
  <c r="AQ159" i="7"/>
  <c r="AS87" i="7"/>
  <c r="AT86" i="7"/>
  <c r="AQ53" i="7"/>
  <c r="AR121" i="7"/>
  <c r="AT166" i="7"/>
  <c r="AT158" i="7"/>
  <c r="AU163" i="7"/>
  <c r="AT173" i="7"/>
  <c r="AU47" i="7"/>
  <c r="AR161" i="7"/>
  <c r="AT130" i="7"/>
  <c r="AU94" i="7"/>
  <c r="AT126" i="7"/>
  <c r="AY46" i="7"/>
  <c r="AS162" i="7"/>
  <c r="AU95" i="7"/>
  <c r="AT92" i="7"/>
  <c r="AQ160" i="7"/>
  <c r="AU172" i="7"/>
  <c r="AU126" i="7"/>
  <c r="AT122" i="7"/>
  <c r="AU55" i="7"/>
  <c r="AT54" i="7"/>
  <c r="AS163" i="7"/>
  <c r="L67" i="7"/>
  <c r="AQ82" i="7"/>
  <c r="AU84" i="7"/>
  <c r="AT52" i="7"/>
  <c r="G67" i="7"/>
  <c r="AU83" i="7"/>
  <c r="AS158" i="7"/>
  <c r="AT160" i="7"/>
  <c r="AT81" i="7"/>
  <c r="AU124" i="7"/>
  <c r="AR81" i="7"/>
  <c r="AR87" i="7"/>
  <c r="AU122" i="7"/>
  <c r="AU46" i="7"/>
  <c r="AU57" i="7"/>
  <c r="AU80" i="7"/>
  <c r="AR50" i="7"/>
  <c r="AU170" i="7"/>
  <c r="AS123" i="7"/>
  <c r="AU58" i="7"/>
  <c r="AT125" i="7"/>
  <c r="AR80" i="7"/>
  <c r="F67" i="7"/>
  <c r="AU123" i="7"/>
  <c r="AT58" i="7"/>
  <c r="AT162" i="7"/>
  <c r="AS116" i="7"/>
  <c r="K67" i="7"/>
  <c r="AS128" i="7"/>
  <c r="J67" i="7"/>
  <c r="AT123" i="7"/>
  <c r="AR51" i="7"/>
  <c r="AR124" i="7"/>
  <c r="AU128" i="7"/>
  <c r="AT172" i="7"/>
  <c r="AT131" i="7"/>
  <c r="AT59" i="7"/>
  <c r="N67" i="7"/>
  <c r="AU159" i="7"/>
  <c r="AQ83" i="7"/>
  <c r="AQ162" i="7"/>
  <c r="AR52" i="7"/>
  <c r="D67" i="7"/>
  <c r="AS54" i="7"/>
  <c r="I67" i="7"/>
  <c r="AU169" i="7"/>
  <c r="AT90" i="7"/>
  <c r="AS117" i="7"/>
  <c r="AT82" i="7"/>
  <c r="AT51" i="7"/>
  <c r="AU168" i="7"/>
  <c r="AQ50" i="7"/>
  <c r="AS118" i="7"/>
  <c r="AS120" i="7"/>
  <c r="AT93" i="7"/>
  <c r="H67" i="7"/>
  <c r="M67" i="7"/>
  <c r="AT60" i="7"/>
  <c r="AS159" i="7"/>
  <c r="AT165" i="7"/>
  <c r="AU48" i="7"/>
  <c r="E67" i="7"/>
  <c r="C67" i="7"/>
  <c r="BH82" i="7" l="1"/>
  <c r="BH83" i="7"/>
  <c r="BL94" i="7"/>
  <c r="BL93" i="7"/>
  <c r="BK90" i="7"/>
  <c r="BH80" i="7"/>
  <c r="BL80" i="7"/>
  <c r="BK88" i="7"/>
  <c r="BL84" i="7"/>
  <c r="BH84" i="7"/>
  <c r="BK87" i="7"/>
  <c r="BK83" i="7"/>
  <c r="AQ46" i="7"/>
  <c r="B4" i="21" s="1"/>
  <c r="BL83" i="7"/>
  <c r="BL81" i="7"/>
  <c r="BL85" i="7"/>
  <c r="BK89" i="7"/>
  <c r="BL82" i="7"/>
  <c r="BL87" i="7"/>
  <c r="BL88" i="7"/>
  <c r="BL86" i="7"/>
  <c r="BL92" i="7"/>
  <c r="BL89" i="7"/>
  <c r="BH81" i="7"/>
  <c r="BK85" i="7"/>
  <c r="BK92" i="7"/>
  <c r="BK94" i="7"/>
  <c r="BK80" i="7"/>
  <c r="BK86" i="7"/>
  <c r="BK81" i="7"/>
  <c r="BK91" i="7"/>
  <c r="BL90" i="7"/>
  <c r="DM27" i="15"/>
  <c r="CN28" i="15"/>
  <c r="Y35" i="15"/>
  <c r="CN27" i="15"/>
  <c r="Y28" i="15"/>
  <c r="DM28" i="15"/>
  <c r="BK79" i="7"/>
  <c r="AS67" i="7"/>
  <c r="AR67" i="7"/>
  <c r="G43" i="21"/>
  <c r="G75" i="21" s="1"/>
  <c r="X54" i="21" s="1"/>
  <c r="H127" i="21"/>
  <c r="H159" i="21" s="1"/>
  <c r="Y138" i="21" s="1"/>
  <c r="H43" i="21"/>
  <c r="Y43" i="21" s="1"/>
  <c r="I83" i="21"/>
  <c r="Z83" i="21" s="1"/>
  <c r="J127" i="21"/>
  <c r="J43" i="21"/>
  <c r="I127" i="21"/>
  <c r="K83" i="21"/>
  <c r="J83" i="21"/>
  <c r="H83" i="21"/>
  <c r="K43" i="21"/>
  <c r="K127" i="21"/>
  <c r="I43" i="21"/>
  <c r="G83" i="21"/>
  <c r="G127" i="21"/>
  <c r="BL79" i="7"/>
  <c r="F43" i="21"/>
  <c r="F75" i="21" s="1"/>
  <c r="W54" i="21" s="1"/>
  <c r="AQ158" i="7"/>
  <c r="AQ179" i="7" s="1"/>
  <c r="F83" i="21"/>
  <c r="C43" i="21"/>
  <c r="T43" i="21" s="1"/>
  <c r="E43" i="21"/>
  <c r="E75" i="21" s="1"/>
  <c r="V54" i="21" s="1"/>
  <c r="D127" i="21"/>
  <c r="U127" i="21" s="1"/>
  <c r="BK82" i="7"/>
  <c r="F4" i="21"/>
  <c r="G5" i="21" s="1"/>
  <c r="AS101" i="7"/>
  <c r="B83" i="21"/>
  <c r="B115" i="21" s="1"/>
  <c r="S94" i="21" s="1"/>
  <c r="D43" i="21"/>
  <c r="D75" i="21" s="1"/>
  <c r="U54" i="21" s="1"/>
  <c r="C83" i="21"/>
  <c r="C115" i="21" s="1"/>
  <c r="T94" i="21" s="1"/>
  <c r="AR137" i="7"/>
  <c r="E127" i="21"/>
  <c r="V127" i="21" s="1"/>
  <c r="AR179" i="7"/>
  <c r="AR101" i="7"/>
  <c r="AS179" i="7"/>
  <c r="F127" i="21"/>
  <c r="W127" i="21" s="1"/>
  <c r="D4" i="21"/>
  <c r="E17" i="21" s="1"/>
  <c r="AS137" i="7"/>
  <c r="BL91" i="7"/>
  <c r="D83" i="21"/>
  <c r="D115" i="21" s="1"/>
  <c r="U94" i="21" s="1"/>
  <c r="E83" i="21"/>
  <c r="V83" i="21" s="1"/>
  <c r="CE27" i="15"/>
  <c r="DL28" i="15"/>
  <c r="W28" i="15"/>
  <c r="CB28" i="15"/>
  <c r="P35" i="15"/>
  <c r="CH28" i="15"/>
  <c r="CH27" i="15"/>
  <c r="DL27" i="15"/>
  <c r="W35" i="15"/>
  <c r="DF28" i="15"/>
  <c r="DC28" i="15"/>
  <c r="L28" i="15"/>
  <c r="DF27" i="15"/>
  <c r="Q28" i="15"/>
  <c r="DH27" i="15"/>
  <c r="T35" i="15"/>
  <c r="X35" i="15"/>
  <c r="O35" i="15"/>
  <c r="CD28" i="15"/>
  <c r="DH28" i="15"/>
  <c r="Q35" i="15"/>
  <c r="S28" i="15"/>
  <c r="CI28" i="15"/>
  <c r="X28" i="15"/>
  <c r="M35" i="15"/>
  <c r="DA27" i="15"/>
  <c r="N28" i="15"/>
  <c r="CF28" i="15"/>
  <c r="CL27" i="15"/>
  <c r="R35" i="15"/>
  <c r="DE27" i="15"/>
  <c r="DC27" i="15"/>
  <c r="CA28" i="15"/>
  <c r="DA28" i="15"/>
  <c r="DJ28" i="15"/>
  <c r="DG27" i="15"/>
  <c r="M28" i="15"/>
  <c r="DK28" i="15"/>
  <c r="DI28" i="15"/>
  <c r="DG28" i="15"/>
  <c r="V28" i="15"/>
  <c r="CL28" i="15"/>
  <c r="P28" i="15"/>
  <c r="CB27" i="15"/>
  <c r="DB28" i="15"/>
  <c r="DE28" i="15"/>
  <c r="U28" i="15"/>
  <c r="L35" i="15"/>
  <c r="CM28" i="15"/>
  <c r="BK84" i="7"/>
  <c r="DD27" i="15"/>
  <c r="CC27" i="15"/>
  <c r="CZ27" i="15"/>
  <c r="DK27" i="15"/>
  <c r="CJ27" i="15"/>
  <c r="DD28" i="15"/>
  <c r="V35" i="15"/>
  <c r="DJ27" i="15"/>
  <c r="R28" i="15"/>
  <c r="CC28" i="15"/>
  <c r="CJ28" i="15"/>
  <c r="DI27" i="15"/>
  <c r="S35" i="15"/>
  <c r="CF27" i="15"/>
  <c r="AQ151" i="7"/>
  <c r="O28" i="15"/>
  <c r="CG27" i="15"/>
  <c r="CA27" i="15"/>
  <c r="CG28" i="15"/>
  <c r="CM27" i="15"/>
  <c r="CE28" i="15"/>
  <c r="CZ28" i="15"/>
  <c r="DB27" i="15"/>
  <c r="CK28" i="15"/>
  <c r="N35" i="15"/>
  <c r="T28" i="15"/>
  <c r="CI27" i="15"/>
  <c r="CK27" i="15"/>
  <c r="CD27" i="15"/>
  <c r="U35" i="15"/>
  <c r="BK93" i="7"/>
  <c r="AQ137" i="7"/>
  <c r="AQ101" i="7"/>
  <c r="AQ67" i="7" l="1"/>
  <c r="E33" i="30" s="1"/>
  <c r="BH79" i="7"/>
  <c r="B43" i="21"/>
  <c r="S43" i="21" s="1"/>
  <c r="Y127" i="21"/>
  <c r="CN88" i="15"/>
  <c r="I115" i="21"/>
  <c r="Z94" i="21" s="1"/>
  <c r="X43" i="21"/>
  <c r="H75" i="21"/>
  <c r="Y54" i="21" s="1"/>
  <c r="G33" i="30"/>
  <c r="F33" i="30"/>
  <c r="F30" i="30" s="1"/>
  <c r="AA83" i="21"/>
  <c r="J115" i="21"/>
  <c r="AA94" i="21" s="1"/>
  <c r="AB83" i="21"/>
  <c r="K115" i="21"/>
  <c r="AB94" i="21" s="1"/>
  <c r="Z127" i="21"/>
  <c r="I159" i="21"/>
  <c r="Z138" i="21" s="1"/>
  <c r="AB127" i="21"/>
  <c r="K159" i="21"/>
  <c r="AB138" i="21" s="1"/>
  <c r="J75" i="21"/>
  <c r="AA54" i="21" s="1"/>
  <c r="AA43" i="21"/>
  <c r="K75" i="21"/>
  <c r="AB54" i="21" s="1"/>
  <c r="AB43" i="21"/>
  <c r="X83" i="21"/>
  <c r="G115" i="21"/>
  <c r="X94" i="21" s="1"/>
  <c r="I75" i="21"/>
  <c r="Z54" i="21" s="1"/>
  <c r="Z43" i="21"/>
  <c r="Y83" i="21"/>
  <c r="H115" i="21"/>
  <c r="Y94" i="21" s="1"/>
  <c r="X127" i="21"/>
  <c r="G159" i="21"/>
  <c r="X138" i="21" s="1"/>
  <c r="AA127" i="21"/>
  <c r="J159" i="21"/>
  <c r="AA138" i="21" s="1"/>
  <c r="B75" i="21"/>
  <c r="S54" i="21" s="1"/>
  <c r="CM88" i="15"/>
  <c r="C75" i="21"/>
  <c r="T54" i="21" s="1"/>
  <c r="AS68" i="7"/>
  <c r="AS69" i="7" s="1"/>
  <c r="E19" i="21"/>
  <c r="E24" i="21"/>
  <c r="E4" i="21"/>
  <c r="V43" i="21"/>
  <c r="E10" i="21"/>
  <c r="T83" i="21"/>
  <c r="AJ43" i="21" s="1"/>
  <c r="AJ49" i="21" s="1"/>
  <c r="CD88" i="15"/>
  <c r="G25" i="21"/>
  <c r="G21" i="21"/>
  <c r="G18" i="21"/>
  <c r="CE88" i="15"/>
  <c r="G8" i="21"/>
  <c r="G22" i="21"/>
  <c r="G4" i="21"/>
  <c r="G17" i="21"/>
  <c r="G9" i="21"/>
  <c r="G16" i="21"/>
  <c r="G7" i="21"/>
  <c r="G6" i="21"/>
  <c r="G23" i="21"/>
  <c r="G24" i="21"/>
  <c r="G15" i="21"/>
  <c r="G10" i="21"/>
  <c r="G19" i="21"/>
  <c r="W83" i="21"/>
  <c r="F115" i="21"/>
  <c r="W94" i="21" s="1"/>
  <c r="S83" i="21"/>
  <c r="AR68" i="7"/>
  <c r="AR69" i="7" s="1"/>
  <c r="D159" i="21"/>
  <c r="U138" i="21" s="1"/>
  <c r="U83" i="21"/>
  <c r="U43" i="21"/>
  <c r="CG88" i="15"/>
  <c r="P13" i="21"/>
  <c r="H12" i="21"/>
  <c r="CC88" i="15"/>
  <c r="CL88" i="15"/>
  <c r="E159" i="21"/>
  <c r="V138" i="21" s="1"/>
  <c r="CY27" i="15"/>
  <c r="W43" i="21"/>
  <c r="CF88" i="15"/>
  <c r="E115" i="21"/>
  <c r="V94" i="21" s="1"/>
  <c r="CH88" i="15"/>
  <c r="E9" i="21"/>
  <c r="E5" i="21"/>
  <c r="E16" i="21"/>
  <c r="E15" i="21"/>
  <c r="E21" i="21"/>
  <c r="E18" i="21"/>
  <c r="E25" i="21"/>
  <c r="E6" i="21"/>
  <c r="E7" i="21"/>
  <c r="E23" i="21"/>
  <c r="E22" i="21"/>
  <c r="E8" i="21"/>
  <c r="F159" i="21"/>
  <c r="W138" i="21" s="1"/>
  <c r="CK88" i="15"/>
  <c r="CJ88" i="15"/>
  <c r="F12" i="21"/>
  <c r="G12" i="21" s="1"/>
  <c r="CB88" i="15"/>
  <c r="K35" i="15"/>
  <c r="CY28" i="15"/>
  <c r="BZ28" i="15"/>
  <c r="BZ27" i="15"/>
  <c r="K28" i="15"/>
  <c r="AY28" i="15"/>
  <c r="CA88" i="15"/>
  <c r="CI88" i="15"/>
  <c r="O13" i="21"/>
  <c r="D12" i="21"/>
  <c r="E12" i="21" s="1"/>
  <c r="N13" i="21"/>
  <c r="C5" i="21"/>
  <c r="C19" i="21"/>
  <c r="C24" i="21"/>
  <c r="C18" i="21"/>
  <c r="C10" i="21"/>
  <c r="C17" i="21"/>
  <c r="C4" i="21"/>
  <c r="C7" i="21"/>
  <c r="C6" i="21"/>
  <c r="C16" i="21"/>
  <c r="C22" i="21"/>
  <c r="C23" i="21"/>
  <c r="C15" i="21"/>
  <c r="C9" i="21"/>
  <c r="C25" i="21"/>
  <c r="C8" i="21"/>
  <c r="C21" i="21"/>
  <c r="F70" i="30" l="1"/>
  <c r="F72" i="30" s="1"/>
  <c r="G70" i="30"/>
  <c r="G72" i="30" s="1"/>
  <c r="E30" i="30"/>
  <c r="E34" i="30" s="1"/>
  <c r="AQ68" i="7"/>
  <c r="AI43" i="21"/>
  <c r="AI49" i="21" s="1"/>
  <c r="AK43" i="21"/>
  <c r="AK49" i="21" s="1"/>
  <c r="E44" i="30"/>
  <c r="G30" i="30"/>
  <c r="G34" i="30" s="1"/>
  <c r="G44" i="30"/>
  <c r="F34" i="30"/>
  <c r="F44" i="30"/>
  <c r="F36" i="30"/>
  <c r="E36" i="30"/>
  <c r="E70" i="30"/>
  <c r="G36" i="30"/>
  <c r="F147" i="14" a="1"/>
  <c r="BZ88" i="15"/>
  <c r="M13" i="21"/>
  <c r="B12" i="21"/>
  <c r="C12" i="21" s="1"/>
  <c r="AE33" i="15" l="1"/>
  <c r="AF33" i="15"/>
  <c r="AG33" i="15"/>
  <c r="AH33" i="15"/>
  <c r="AI33" i="15"/>
  <c r="AJ33" i="15"/>
  <c r="AK33" i="15"/>
  <c r="AL33" i="15"/>
  <c r="AM33" i="15"/>
  <c r="AN33" i="15"/>
  <c r="AO33" i="15"/>
  <c r="AP33" i="15"/>
  <c r="AQ33" i="15"/>
  <c r="AR33" i="15"/>
  <c r="AS33" i="15"/>
  <c r="AT33" i="15"/>
  <c r="AD33" i="15"/>
  <c r="F80" i="30"/>
  <c r="G80" i="30"/>
  <c r="AF92" i="15"/>
  <c r="DK33" i="15"/>
  <c r="DK43" i="15" s="1"/>
  <c r="DK46" i="15" s="1"/>
  <c r="DK50" i="15" s="1"/>
  <c r="CI33" i="15"/>
  <c r="CI43" i="15" s="1"/>
  <c r="BG33" i="15"/>
  <c r="CO33" i="15"/>
  <c r="CO92" i="15" s="1"/>
  <c r="CJ33" i="15"/>
  <c r="CJ43" i="15" s="1"/>
  <c r="CP33" i="15"/>
  <c r="CP43" i="15" s="1"/>
  <c r="CP44" i="15" s="1"/>
  <c r="AM92" i="15"/>
  <c r="AE92" i="15"/>
  <c r="BC33" i="15"/>
  <c r="DB33" i="15"/>
  <c r="DB43" i="15" s="1"/>
  <c r="DB48" i="15" s="1"/>
  <c r="BK33" i="15"/>
  <c r="BH33" i="15"/>
  <c r="CZ33" i="15"/>
  <c r="CZ43" i="15" s="1"/>
  <c r="CZ46" i="15" s="1"/>
  <c r="CZ50" i="15" s="1"/>
  <c r="AG92" i="15"/>
  <c r="DA33" i="15"/>
  <c r="DA43" i="15" s="1"/>
  <c r="DA44" i="15" s="1"/>
  <c r="DC33" i="15"/>
  <c r="DC43" i="15" s="1"/>
  <c r="DC46" i="15" s="1"/>
  <c r="DC50" i="15" s="1"/>
  <c r="AH92" i="15"/>
  <c r="DO33" i="15"/>
  <c r="DO43" i="15" s="1"/>
  <c r="DO44" i="15" s="1"/>
  <c r="DG33" i="15"/>
  <c r="DG43" i="15" s="1"/>
  <c r="DG44" i="15" s="1"/>
  <c r="DJ33" i="15"/>
  <c r="DJ43" i="15" s="1"/>
  <c r="DJ46" i="15" s="1"/>
  <c r="DJ50" i="15" s="1"/>
  <c r="BE33" i="15"/>
  <c r="CD33" i="15"/>
  <c r="CD43" i="15" s="1"/>
  <c r="AI92" i="15"/>
  <c r="DN33" i="15"/>
  <c r="DN43" i="15" s="1"/>
  <c r="DN44" i="15" s="1"/>
  <c r="CY33" i="15"/>
  <c r="CY43" i="15" s="1"/>
  <c r="CY46" i="15" s="1"/>
  <c r="BB33" i="15"/>
  <c r="BZ33" i="15"/>
  <c r="BZ92" i="15" s="1"/>
  <c r="CN33" i="15"/>
  <c r="CN43" i="15" s="1"/>
  <c r="CG33" i="15"/>
  <c r="CG43" i="15" s="1"/>
  <c r="DF33" i="15"/>
  <c r="DF43" i="15" s="1"/>
  <c r="DF44" i="15" s="1"/>
  <c r="BJ33" i="15"/>
  <c r="CE33" i="15"/>
  <c r="CE92" i="15" s="1"/>
  <c r="DD33" i="15"/>
  <c r="DD43" i="15" s="1"/>
  <c r="DD46" i="15" s="1"/>
  <c r="DD50" i="15" s="1"/>
  <c r="BF33" i="15"/>
  <c r="DL33" i="15"/>
  <c r="DL43" i="15" s="1"/>
  <c r="DL48" i="15" s="1"/>
  <c r="BL33" i="15"/>
  <c r="BD33" i="15"/>
  <c r="DI33" i="15"/>
  <c r="DI43" i="15" s="1"/>
  <c r="DI48" i="15" s="1"/>
  <c r="CC33" i="15"/>
  <c r="CC92" i="15" s="1"/>
  <c r="BO33" i="15"/>
  <c r="CB33" i="15"/>
  <c r="CB92" i="15" s="1"/>
  <c r="DE33" i="15"/>
  <c r="DE43" i="15" s="1"/>
  <c r="DE46" i="15" s="1"/>
  <c r="DE50" i="15" s="1"/>
  <c r="AJ92" i="15"/>
  <c r="CA33" i="15"/>
  <c r="CA92" i="15" s="1"/>
  <c r="AP92" i="15"/>
  <c r="BQ33" i="15"/>
  <c r="AQ69" i="7"/>
  <c r="BI33" i="15"/>
  <c r="BM33" i="15"/>
  <c r="CL33" i="15"/>
  <c r="CL92" i="15" s="1"/>
  <c r="BN33" i="15"/>
  <c r="DH33" i="15"/>
  <c r="DH43" i="15" s="1"/>
  <c r="DH48" i="15" s="1"/>
  <c r="AS92" i="15"/>
  <c r="CK33" i="15"/>
  <c r="CK92" i="15" s="1"/>
  <c r="BA33" i="15"/>
  <c r="CM33" i="15"/>
  <c r="CM43" i="15" s="1"/>
  <c r="BP33" i="15"/>
  <c r="DM33" i="15"/>
  <c r="DM43" i="15" s="1"/>
  <c r="DM48" i="15" s="1"/>
  <c r="AN92" i="15"/>
  <c r="CH33" i="15"/>
  <c r="CH43" i="15" s="1"/>
  <c r="CF33" i="15"/>
  <c r="CF43" i="15" s="1"/>
  <c r="E80" i="30"/>
  <c r="E72" i="30"/>
  <c r="E67" i="30"/>
  <c r="F67" i="30"/>
  <c r="G67" i="30"/>
  <c r="D147" i="14" a="1"/>
  <c r="L149" i="14" s="1"/>
  <c r="E147" i="14" a="1"/>
  <c r="M153" i="14" s="1"/>
  <c r="C147" i="14" a="1"/>
  <c r="K150" i="14" s="1"/>
  <c r="N158" i="14"/>
  <c r="N150" i="14"/>
  <c r="N152" i="14"/>
  <c r="N161" i="14"/>
  <c r="N157" i="14"/>
  <c r="N148" i="14"/>
  <c r="N154" i="14"/>
  <c r="N159" i="14"/>
  <c r="N155" i="14"/>
  <c r="N156" i="14"/>
  <c r="N153" i="14"/>
  <c r="F147" i="14"/>
  <c r="N147" i="14" s="1"/>
  <c r="N149" i="14"/>
  <c r="N160" i="14"/>
  <c r="N151" i="14"/>
  <c r="AK92" i="15"/>
  <c r="DA46" i="15" l="1"/>
  <c r="DA50" i="15" s="1"/>
  <c r="CO43" i="15"/>
  <c r="CO44" i="15" s="1"/>
  <c r="CJ92" i="15"/>
  <c r="CI92" i="15"/>
  <c r="BZ43" i="15"/>
  <c r="BZ46" i="15" s="1"/>
  <c r="BZ50" i="15" s="1"/>
  <c r="AR92" i="15"/>
  <c r="AO92" i="15"/>
  <c r="DA48" i="15"/>
  <c r="DC44" i="15"/>
  <c r="DC47" i="15" s="1"/>
  <c r="DC51" i="15" s="1"/>
  <c r="DC48" i="15"/>
  <c r="DI44" i="15"/>
  <c r="DI49" i="15" s="1"/>
  <c r="CP92" i="15"/>
  <c r="DI46" i="15"/>
  <c r="DI50" i="15" s="1"/>
  <c r="CE43" i="15"/>
  <c r="CE44" i="15" s="1"/>
  <c r="DK48" i="15"/>
  <c r="CG92" i="15"/>
  <c r="DL44" i="15"/>
  <c r="DL49" i="15" s="1"/>
  <c r="DG46" i="15"/>
  <c r="DG50" i="15" s="1"/>
  <c r="DK44" i="15"/>
  <c r="DK47" i="15" s="1"/>
  <c r="DK51" i="15" s="1"/>
  <c r="DG48" i="15"/>
  <c r="CN92" i="15"/>
  <c r="AL92" i="15"/>
  <c r="CC43" i="15"/>
  <c r="CC44" i="15" s="1"/>
  <c r="DJ44" i="15"/>
  <c r="DJ47" i="15" s="1"/>
  <c r="DJ51" i="15" s="1"/>
  <c r="DJ48" i="15"/>
  <c r="DF46" i="15"/>
  <c r="DF50" i="15" s="1"/>
  <c r="DF48" i="15"/>
  <c r="G97" i="21"/>
  <c r="CD92" i="15"/>
  <c r="AQ92" i="15"/>
  <c r="DD48" i="15"/>
  <c r="DD44" i="15"/>
  <c r="DD47" i="15" s="1"/>
  <c r="DD51" i="15" s="1"/>
  <c r="DB44" i="15"/>
  <c r="DB47" i="15" s="1"/>
  <c r="DB51" i="15" s="1"/>
  <c r="DB46" i="15"/>
  <c r="DB50" i="15" s="1"/>
  <c r="AD92" i="15"/>
  <c r="N18" i="21"/>
  <c r="DE44" i="15"/>
  <c r="DE49" i="15" s="1"/>
  <c r="CZ48" i="15"/>
  <c r="CZ44" i="15"/>
  <c r="CZ47" i="15" s="1"/>
  <c r="CZ51" i="15" s="1"/>
  <c r="DL46" i="15"/>
  <c r="DL50" i="15" s="1"/>
  <c r="DH44" i="15"/>
  <c r="DH47" i="15" s="1"/>
  <c r="DH51" i="15" s="1"/>
  <c r="I57" i="21"/>
  <c r="DH46" i="15"/>
  <c r="DH50" i="15" s="1"/>
  <c r="H185" i="21"/>
  <c r="H189" i="21" s="1"/>
  <c r="CY44" i="15"/>
  <c r="CY49" i="15" s="1"/>
  <c r="F141" i="21"/>
  <c r="CY48" i="15"/>
  <c r="H97" i="21"/>
  <c r="DE48" i="15"/>
  <c r="F97" i="21"/>
  <c r="CM92" i="15"/>
  <c r="I185" i="21"/>
  <c r="I189" i="21" s="1"/>
  <c r="CB43" i="15"/>
  <c r="CB44" i="15" s="1"/>
  <c r="M18" i="21"/>
  <c r="CK43" i="15"/>
  <c r="CK44" i="15" s="1"/>
  <c r="DM44" i="15"/>
  <c r="DM49" i="15" s="1"/>
  <c r="AT92" i="15"/>
  <c r="H57" i="21"/>
  <c r="G57" i="21"/>
  <c r="F57" i="21"/>
  <c r="D57" i="21"/>
  <c r="C57" i="21"/>
  <c r="E97" i="21"/>
  <c r="D97" i="21"/>
  <c r="C97" i="21"/>
  <c r="B97" i="21"/>
  <c r="K97" i="21"/>
  <c r="J97" i="21"/>
  <c r="I97" i="21"/>
  <c r="E57" i="21"/>
  <c r="B57" i="21"/>
  <c r="K57" i="21"/>
  <c r="J57" i="21"/>
  <c r="E141" i="21"/>
  <c r="CH92" i="15"/>
  <c r="D141" i="21"/>
  <c r="K141" i="21"/>
  <c r="J141" i="21"/>
  <c r="I141" i="21"/>
  <c r="H141" i="21"/>
  <c r="G141" i="21"/>
  <c r="O18" i="21"/>
  <c r="DM46" i="15"/>
  <c r="DM50" i="15" s="1"/>
  <c r="CA43" i="15"/>
  <c r="CA48" i="15" s="1"/>
  <c r="E185" i="21"/>
  <c r="E189" i="21" s="1"/>
  <c r="CL43" i="15"/>
  <c r="CL46" i="15" s="1"/>
  <c r="CL50" i="15" s="1"/>
  <c r="G185" i="21"/>
  <c r="G189" i="21" s="1"/>
  <c r="F185" i="21"/>
  <c r="F189" i="21" s="1"/>
  <c r="CF92" i="15"/>
  <c r="P18" i="21"/>
  <c r="AX52" i="15"/>
  <c r="K185" i="21"/>
  <c r="K189" i="21" s="1"/>
  <c r="J185" i="21"/>
  <c r="J189" i="21" s="1"/>
  <c r="I188" i="21"/>
  <c r="F188" i="21"/>
  <c r="J188" i="21"/>
  <c r="K188" i="21"/>
  <c r="G188" i="21"/>
  <c r="E188" i="21"/>
  <c r="H188" i="21"/>
  <c r="H100" i="21"/>
  <c r="C60" i="21"/>
  <c r="D60" i="21"/>
  <c r="E60" i="21"/>
  <c r="F60" i="21"/>
  <c r="G60" i="21"/>
  <c r="H60" i="21"/>
  <c r="I60" i="21"/>
  <c r="J60" i="21"/>
  <c r="K60" i="21"/>
  <c r="B60" i="21"/>
  <c r="G100" i="21"/>
  <c r="D100" i="21"/>
  <c r="C100" i="21"/>
  <c r="E144" i="21"/>
  <c r="F144" i="21"/>
  <c r="G144" i="21"/>
  <c r="H144" i="21"/>
  <c r="I144" i="21"/>
  <c r="J144" i="21"/>
  <c r="K144" i="21"/>
  <c r="D144" i="21"/>
  <c r="F100" i="21"/>
  <c r="E100" i="21"/>
  <c r="K100" i="21"/>
  <c r="J100" i="21"/>
  <c r="I100" i="21"/>
  <c r="B100" i="21"/>
  <c r="N21" i="21"/>
  <c r="O21" i="21"/>
  <c r="AX55" i="15"/>
  <c r="M21" i="21"/>
  <c r="P21" i="21"/>
  <c r="D147" i="14"/>
  <c r="L147" i="14" s="1"/>
  <c r="L154" i="14"/>
  <c r="L157" i="14"/>
  <c r="L159" i="14"/>
  <c r="L161" i="14"/>
  <c r="L158" i="14"/>
  <c r="L152" i="14"/>
  <c r="L150" i="14"/>
  <c r="L151" i="14"/>
  <c r="L148" i="14"/>
  <c r="L155" i="14"/>
  <c r="L160" i="14"/>
  <c r="L156" i="14"/>
  <c r="L153" i="14"/>
  <c r="M149" i="14"/>
  <c r="M152" i="14"/>
  <c r="M150" i="14"/>
  <c r="M151" i="14"/>
  <c r="M158" i="14"/>
  <c r="M157" i="14"/>
  <c r="M159" i="14"/>
  <c r="K148" i="14"/>
  <c r="M155" i="14"/>
  <c r="M160" i="14"/>
  <c r="E147" i="14"/>
  <c r="M147" i="14" s="1"/>
  <c r="M154" i="14"/>
  <c r="M161" i="14"/>
  <c r="M148" i="14"/>
  <c r="M156" i="14"/>
  <c r="K149" i="14"/>
  <c r="D167" i="14"/>
  <c r="H167" i="14" s="1"/>
  <c r="K160" i="14"/>
  <c r="K159" i="14"/>
  <c r="K152" i="14"/>
  <c r="K151" i="14"/>
  <c r="D165" i="14"/>
  <c r="K153" i="14"/>
  <c r="C147" i="14"/>
  <c r="D164" i="14" s="1"/>
  <c r="F164" i="14" s="1"/>
  <c r="K154" i="14"/>
  <c r="K155" i="14"/>
  <c r="K156" i="14"/>
  <c r="K157" i="14"/>
  <c r="K161" i="14"/>
  <c r="D166" i="14"/>
  <c r="K158" i="14"/>
  <c r="CN44" i="15"/>
  <c r="CN48" i="15"/>
  <c r="CN46" i="15"/>
  <c r="CN50" i="15" s="1"/>
  <c r="CH46" i="15"/>
  <c r="CH50" i="15" s="1"/>
  <c r="CH48" i="15"/>
  <c r="CH44" i="15"/>
  <c r="CI44" i="15"/>
  <c r="CI48" i="15"/>
  <c r="CI46" i="15"/>
  <c r="CI50" i="15" s="1"/>
  <c r="CJ44" i="15"/>
  <c r="CJ46" i="15"/>
  <c r="CJ50" i="15" s="1"/>
  <c r="CJ48" i="15"/>
  <c r="CF44" i="15"/>
  <c r="CF48" i="15"/>
  <c r="CF46" i="15"/>
  <c r="CF50" i="15" s="1"/>
  <c r="DA47" i="15"/>
  <c r="DA51" i="15" s="1"/>
  <c r="DA49" i="15"/>
  <c r="DF47" i="15"/>
  <c r="DF51" i="15" s="1"/>
  <c r="DF49" i="15"/>
  <c r="CG46" i="15"/>
  <c r="CG50" i="15" s="1"/>
  <c r="CG44" i="15"/>
  <c r="CG48" i="15"/>
  <c r="CM48" i="15"/>
  <c r="CM44" i="15"/>
  <c r="CM46" i="15"/>
  <c r="CM50" i="15" s="1"/>
  <c r="DG49" i="15"/>
  <c r="DG47" i="15"/>
  <c r="DG51" i="15" s="1"/>
  <c r="CD44" i="15"/>
  <c r="CD48" i="15"/>
  <c r="CD46" i="15"/>
  <c r="CD50" i="15" s="1"/>
  <c r="CY50" i="15"/>
  <c r="DC49" i="15" l="1"/>
  <c r="BZ48" i="15"/>
  <c r="BZ44" i="15"/>
  <c r="BZ47" i="15" s="1"/>
  <c r="BZ51" i="15" s="1"/>
  <c r="DI47" i="15"/>
  <c r="DI51" i="15" s="1"/>
  <c r="CE46" i="15"/>
  <c r="CE50" i="15" s="1"/>
  <c r="DL47" i="15"/>
  <c r="DL51" i="15" s="1"/>
  <c r="CE48" i="15"/>
  <c r="CC48" i="15"/>
  <c r="CZ49" i="15"/>
  <c r="DK49" i="15"/>
  <c r="CC46" i="15"/>
  <c r="CC50" i="15" s="1"/>
  <c r="DJ49" i="15"/>
  <c r="DE47" i="15"/>
  <c r="DE51" i="15" s="1"/>
  <c r="DD49" i="15"/>
  <c r="DH49" i="15"/>
  <c r="DB49" i="15"/>
  <c r="CY47" i="15"/>
  <c r="CY51" i="15" s="1"/>
  <c r="CB48" i="15"/>
  <c r="CB46" i="15"/>
  <c r="CB50" i="15" s="1"/>
  <c r="DN48" i="15"/>
  <c r="CA44" i="15"/>
  <c r="CA47" i="15" s="1"/>
  <c r="CA51" i="15" s="1"/>
  <c r="CA46" i="15"/>
  <c r="CA50" i="15" s="1"/>
  <c r="CK46" i="15"/>
  <c r="CK50" i="15" s="1"/>
  <c r="CK48" i="15"/>
  <c r="DM47" i="15"/>
  <c r="DM51" i="15" s="1"/>
  <c r="DN46" i="15"/>
  <c r="DN50" i="15"/>
  <c r="CL44" i="15"/>
  <c r="CL47" i="15" s="1"/>
  <c r="CL51" i="15" s="1"/>
  <c r="CL48" i="15"/>
  <c r="G167" i="14"/>
  <c r="E167" i="14"/>
  <c r="F167" i="14"/>
  <c r="H164" i="14"/>
  <c r="G164" i="14"/>
  <c r="E164" i="14"/>
  <c r="K147" i="14"/>
  <c r="H165" i="14"/>
  <c r="F165" i="14"/>
  <c r="E165" i="14"/>
  <c r="G165" i="14"/>
  <c r="F166" i="14"/>
  <c r="G166" i="14"/>
  <c r="H166" i="14"/>
  <c r="E166" i="14"/>
  <c r="CG47" i="15"/>
  <c r="CG51" i="15" s="1"/>
  <c r="CG49" i="15"/>
  <c r="CF49" i="15"/>
  <c r="CF47" i="15"/>
  <c r="CF51" i="15" s="1"/>
  <c r="CH49" i="15"/>
  <c r="CH47" i="15"/>
  <c r="CH51" i="15" s="1"/>
  <c r="CC49" i="15"/>
  <c r="CC47" i="15"/>
  <c r="CC51" i="15" s="1"/>
  <c r="CI47" i="15"/>
  <c r="CI51" i="15" s="1"/>
  <c r="CI49" i="15"/>
  <c r="B205" i="21"/>
  <c r="V174" i="21"/>
  <c r="CD47" i="15"/>
  <c r="CD51" i="15" s="1"/>
  <c r="CD49" i="15"/>
  <c r="CK47" i="15"/>
  <c r="CK51" i="15" s="1"/>
  <c r="CK49" i="15"/>
  <c r="CJ47" i="15"/>
  <c r="CJ51" i="15" s="1"/>
  <c r="CJ49" i="15"/>
  <c r="CB59" i="7"/>
  <c r="ET59" i="7" s="1"/>
  <c r="BW60" i="7"/>
  <c r="EO60" i="7" s="1"/>
  <c r="BX62" i="7"/>
  <c r="EP62" i="7" s="1"/>
  <c r="CB61" i="7"/>
  <c r="ET61" i="7" s="1"/>
  <c r="BT58" i="7"/>
  <c r="EL58" i="7" s="1"/>
  <c r="BX60" i="7"/>
  <c r="EP60" i="7" s="1"/>
  <c r="BZ61" i="7"/>
  <c r="ER61" i="7" s="1"/>
  <c r="BQ61" i="7"/>
  <c r="EI61" i="7" s="1"/>
  <c r="BX56" i="7"/>
  <c r="EP56" i="7" s="1"/>
  <c r="CB62" i="7"/>
  <c r="ET62" i="7" s="1"/>
  <c r="BR60" i="7"/>
  <c r="EJ60" i="7" s="1"/>
  <c r="BY61" i="7"/>
  <c r="EQ61" i="7" s="1"/>
  <c r="BZ59" i="7"/>
  <c r="ER59" i="7" s="1"/>
  <c r="CB60" i="7"/>
  <c r="ET60" i="7" s="1"/>
  <c r="BT61" i="7"/>
  <c r="EL61" i="7" s="1"/>
  <c r="BT55" i="7"/>
  <c r="EL55" i="7" s="1"/>
  <c r="BT59" i="7"/>
  <c r="EL59" i="7" s="1"/>
  <c r="BY62" i="7"/>
  <c r="EQ62" i="7" s="1"/>
  <c r="BS58" i="7"/>
  <c r="EK58" i="7" s="1"/>
  <c r="BW58" i="7"/>
  <c r="EO58" i="7" s="1"/>
  <c r="BQ57" i="7"/>
  <c r="EI57" i="7" s="1"/>
  <c r="BU62" i="7"/>
  <c r="EM62" i="7" s="1"/>
  <c r="BX57" i="7"/>
  <c r="EP57" i="7" s="1"/>
  <c r="BY59" i="7"/>
  <c r="EQ59" i="7" s="1"/>
  <c r="BX55" i="7"/>
  <c r="EP55" i="7" s="1"/>
  <c r="BX58" i="7"/>
  <c r="EP58" i="7" s="1"/>
  <c r="BV59" i="7"/>
  <c r="EN59" i="7" s="1"/>
  <c r="BV61" i="7"/>
  <c r="EN61" i="7" s="1"/>
  <c r="BV58" i="7"/>
  <c r="EN58" i="7" s="1"/>
  <c r="BT56" i="7"/>
  <c r="EL56" i="7" s="1"/>
  <c r="BQ59" i="7"/>
  <c r="EI59" i="7" s="1"/>
  <c r="BQ58" i="7"/>
  <c r="EI58" i="7" s="1"/>
  <c r="BU58" i="7"/>
  <c r="EM58" i="7" s="1"/>
  <c r="BX59" i="7"/>
  <c r="EP59" i="7" s="1"/>
  <c r="BW61" i="7"/>
  <c r="EO61" i="7" s="1"/>
  <c r="BT62" i="7"/>
  <c r="EL62" i="7" s="1"/>
  <c r="CA59" i="7"/>
  <c r="ES59" i="7" s="1"/>
  <c r="BV57" i="7"/>
  <c r="EN57" i="7" s="1"/>
  <c r="BU61" i="7"/>
  <c r="EM61" i="7" s="1"/>
  <c r="BX61" i="7"/>
  <c r="EP61" i="7" s="1"/>
  <c r="BS61" i="7"/>
  <c r="EK61" i="7" s="1"/>
  <c r="CA60" i="7"/>
  <c r="ES60" i="7" s="1"/>
  <c r="BQ56" i="7"/>
  <c r="EI56" i="7" s="1"/>
  <c r="BQ55" i="7"/>
  <c r="EI55" i="7" s="1"/>
  <c r="BV62" i="7"/>
  <c r="EN62" i="7" s="1"/>
  <c r="BW55" i="7"/>
  <c r="EO55" i="7" s="1"/>
  <c r="BS57" i="7"/>
  <c r="EK57" i="7" s="1"/>
  <c r="BR58" i="7"/>
  <c r="EJ58" i="7" s="1"/>
  <c r="BU57" i="7"/>
  <c r="EM57" i="7" s="1"/>
  <c r="BU56" i="7"/>
  <c r="EM56" i="7" s="1"/>
  <c r="BQ60" i="7"/>
  <c r="EI60" i="7" s="1"/>
  <c r="BZ60" i="7"/>
  <c r="ER60" i="7" s="1"/>
  <c r="BU59" i="7"/>
  <c r="EM59" i="7" s="1"/>
  <c r="BY60" i="7"/>
  <c r="EQ60" i="7" s="1"/>
  <c r="BS62" i="7"/>
  <c r="EK62" i="7" s="1"/>
  <c r="CA61" i="7"/>
  <c r="ES61" i="7" s="1"/>
  <c r="BT60" i="7"/>
  <c r="EL60" i="7" s="1"/>
  <c r="BR61" i="7"/>
  <c r="EJ61" i="7" s="1"/>
  <c r="BV55" i="7"/>
  <c r="EN55" i="7" s="1"/>
  <c r="BV56" i="7"/>
  <c r="EN56" i="7" s="1"/>
  <c r="BW62" i="7"/>
  <c r="EO62" i="7" s="1"/>
  <c r="BW56" i="7"/>
  <c r="EO56" i="7" s="1"/>
  <c r="BW57" i="7"/>
  <c r="EO57" i="7" s="1"/>
  <c r="BT57" i="7"/>
  <c r="EL57" i="7" s="1"/>
  <c r="BS56" i="7"/>
  <c r="EK56" i="7" s="1"/>
  <c r="BS55" i="7"/>
  <c r="EK55" i="7" s="1"/>
  <c r="CA62" i="7"/>
  <c r="ES62" i="7" s="1"/>
  <c r="BZ62" i="7"/>
  <c r="ER62" i="7" s="1"/>
  <c r="BR62" i="7"/>
  <c r="EJ62" i="7" s="1"/>
  <c r="BS60" i="7"/>
  <c r="EK60" i="7" s="1"/>
  <c r="BR57" i="7"/>
  <c r="EJ57" i="7" s="1"/>
  <c r="BQ62" i="7"/>
  <c r="EI62" i="7" s="1"/>
  <c r="BS59" i="7"/>
  <c r="EK59" i="7" s="1"/>
  <c r="BR59" i="7"/>
  <c r="EJ59" i="7" s="1"/>
  <c r="BV60" i="7"/>
  <c r="EN60" i="7" s="1"/>
  <c r="BR56" i="7"/>
  <c r="EJ56" i="7" s="1"/>
  <c r="BW59" i="7"/>
  <c r="EO59" i="7" s="1"/>
  <c r="BR55" i="7"/>
  <c r="EJ55" i="7" s="1"/>
  <c r="BU55" i="7"/>
  <c r="EM55" i="7" s="1"/>
  <c r="BU60" i="7"/>
  <c r="EM60" i="7" s="1"/>
  <c r="CB47" i="15"/>
  <c r="CB51" i="15" s="1"/>
  <c r="CB49" i="15"/>
  <c r="CE47" i="15"/>
  <c r="CE51" i="15" s="1"/>
  <c r="CE49" i="15"/>
  <c r="CM47" i="15"/>
  <c r="CM51" i="15" s="1"/>
  <c r="CM49" i="15"/>
  <c r="CN49" i="15"/>
  <c r="CN47" i="15"/>
  <c r="CN51" i="15" s="1"/>
  <c r="BZ49" i="15" l="1"/>
  <c r="DN49" i="15"/>
  <c r="CA49" i="15"/>
  <c r="DN51" i="15"/>
  <c r="DN47" i="15"/>
  <c r="CL49" i="15"/>
  <c r="X174" i="21"/>
  <c r="EO70" i="7"/>
  <c r="EK69" i="7"/>
  <c r="EP70" i="7"/>
  <c r="EN69" i="7"/>
  <c r="EK70" i="7"/>
  <c r="EM69" i="7"/>
  <c r="EJ70" i="7"/>
  <c r="EM70" i="7"/>
  <c r="EO69" i="7"/>
  <c r="EQ70" i="7"/>
  <c r="EI70" i="7"/>
  <c r="EL70" i="7"/>
  <c r="EL69" i="7"/>
  <c r="EI69" i="7"/>
  <c r="EP69" i="7"/>
  <c r="ER70" i="7"/>
  <c r="EJ69" i="7"/>
  <c r="EN70" i="7"/>
  <c r="W174" i="21"/>
  <c r="ES70" i="7"/>
  <c r="ET70" i="7"/>
  <c r="V184" i="21"/>
  <c r="W184" i="21"/>
  <c r="X184" i="21" s="1"/>
  <c r="Y184" i="21" s="1"/>
  <c r="Z184" i="21" s="1"/>
  <c r="AA184" i="21" s="1"/>
  <c r="AB184" i="21" s="1"/>
  <c r="Y174" i="21" l="1"/>
  <c r="GL90" i="7"/>
  <c r="GM90" i="7" s="1"/>
  <c r="Z174" i="21" l="1"/>
  <c r="GM81" i="7"/>
  <c r="GN81" i="7" s="1"/>
  <c r="GM82" i="7"/>
  <c r="GN82" i="7" s="1"/>
  <c r="GL88" i="7"/>
  <c r="GM88" i="7" s="1"/>
  <c r="GN76" i="7"/>
  <c r="GO76" i="7" s="1"/>
  <c r="GL89" i="7"/>
  <c r="GM89" i="7" s="1"/>
  <c r="GM83" i="7"/>
  <c r="GN83" i="7" s="1"/>
  <c r="AA174" i="21" l="1"/>
  <c r="GN74" i="7"/>
  <c r="GO74" i="7" s="1"/>
  <c r="GN75" i="7"/>
  <c r="GO75" i="7" s="1"/>
  <c r="GK94" i="7"/>
  <c r="GL94" i="7" s="1"/>
  <c r="GN72" i="7"/>
  <c r="GJ72" i="7"/>
  <c r="GM80" i="7"/>
  <c r="GN80" i="7" s="1"/>
  <c r="AB174" i="21" l="1"/>
  <c r="GO72" i="7"/>
  <c r="BA35" i="15" l="1"/>
  <c r="BB35" i="15"/>
  <c r="BE35" i="15"/>
  <c r="BD35" i="15"/>
  <c r="BC35" i="15"/>
  <c r="BP35" i="15"/>
  <c r="BQ35" i="15"/>
  <c r="BO35" i="15"/>
  <c r="BN35" i="15"/>
  <c r="GJ94" i="7" l="1"/>
  <c r="GK87" i="7"/>
  <c r="GL80" i="7"/>
  <c r="GM72" i="7"/>
  <c r="BO92" i="15"/>
  <c r="BE92" i="15"/>
  <c r="BQ92" i="15"/>
  <c r="BC92" i="15"/>
  <c r="BB92" i="15"/>
  <c r="F187" i="21"/>
  <c r="G187" i="21"/>
  <c r="E187" i="21"/>
  <c r="H187" i="21"/>
  <c r="I187" i="21"/>
  <c r="J187" i="21"/>
  <c r="K187" i="21"/>
  <c r="P20" i="21"/>
  <c r="BN92" i="15"/>
  <c r="BP92" i="15"/>
  <c r="BD92" i="15"/>
  <c r="C59" i="21"/>
  <c r="C61" i="21" s="1"/>
  <c r="E59" i="21"/>
  <c r="E61" i="21" s="1"/>
  <c r="D59" i="21"/>
  <c r="D61" i="21" s="1"/>
  <c r="B59" i="21"/>
  <c r="B61" i="21" s="1"/>
  <c r="F59" i="21"/>
  <c r="F61" i="21" s="1"/>
  <c r="H59" i="21"/>
  <c r="H61" i="21" s="1"/>
  <c r="G59" i="21"/>
  <c r="G61" i="21" s="1"/>
  <c r="M20" i="21"/>
  <c r="I59" i="21"/>
  <c r="I61" i="21" s="1"/>
  <c r="J59" i="21"/>
  <c r="J61" i="21" s="1"/>
  <c r="K59" i="21"/>
  <c r="K61" i="21" s="1"/>
  <c r="BA92" i="15"/>
  <c r="AB46" i="21" l="1"/>
  <c r="W46" i="21"/>
  <c r="Z46" i="21"/>
  <c r="U46" i="21"/>
  <c r="X46" i="21"/>
  <c r="S46" i="21"/>
  <c r="B77" i="21"/>
  <c r="S56" i="21" s="1"/>
  <c r="AA46" i="21"/>
  <c r="V46" i="21"/>
  <c r="Y46" i="21"/>
  <c r="T46" i="21"/>
  <c r="X56" i="21" l="1"/>
  <c r="Y56" i="21"/>
  <c r="AA56" i="21"/>
  <c r="V56" i="21"/>
  <c r="U56" i="21"/>
  <c r="T56" i="21"/>
  <c r="AB56" i="21"/>
  <c r="W56" i="21"/>
  <c r="Z56" i="21"/>
  <c r="BH92" i="15" l="1"/>
  <c r="BI92" i="15"/>
  <c r="B99" i="21"/>
  <c r="N20" i="21"/>
  <c r="BF92" i="15"/>
  <c r="BG92" i="15"/>
  <c r="C99" i="21" l="1"/>
  <c r="B101" i="21"/>
  <c r="F143" i="21"/>
  <c r="F145" i="21" s="1"/>
  <c r="G143" i="21"/>
  <c r="G145" i="21" s="1"/>
  <c r="H143" i="21"/>
  <c r="H145" i="21" s="1"/>
  <c r="I143" i="21"/>
  <c r="I145" i="21" s="1"/>
  <c r="J143" i="21"/>
  <c r="J145" i="21" s="1"/>
  <c r="E143" i="21"/>
  <c r="E145" i="21" s="1"/>
  <c r="K143" i="21"/>
  <c r="K145" i="21" s="1"/>
  <c r="D143" i="21"/>
  <c r="D145" i="21" s="1"/>
  <c r="O20" i="21"/>
  <c r="BJ92" i="15"/>
  <c r="BL92" i="15"/>
  <c r="BM92" i="15"/>
  <c r="BK92" i="15"/>
  <c r="AX54" i="15"/>
  <c r="Y130" i="21" l="1"/>
  <c r="W130" i="21"/>
  <c r="BA107" i="15"/>
  <c r="X130" i="21"/>
  <c r="AW50" i="15"/>
  <c r="AW51" i="15"/>
  <c r="AW52" i="15"/>
  <c r="AW53" i="15"/>
  <c r="AW49" i="15"/>
  <c r="AW54" i="15"/>
  <c r="AW55" i="15"/>
  <c r="B117" i="21"/>
  <c r="S86" i="21"/>
  <c r="T86" i="21" s="1"/>
  <c r="U86" i="21" s="1"/>
  <c r="V86" i="21" s="1"/>
  <c r="W86" i="21" s="1"/>
  <c r="X86" i="21" s="1"/>
  <c r="Y86" i="21" s="1"/>
  <c r="Z86" i="21" s="1"/>
  <c r="AA86" i="21" s="1"/>
  <c r="AB86" i="21" s="1"/>
  <c r="D99" i="21"/>
  <c r="C101" i="21"/>
  <c r="Z130" i="21"/>
  <c r="U130" i="21"/>
  <c r="B161" i="21"/>
  <c r="AB130" i="21"/>
  <c r="V130" i="21"/>
  <c r="AA130" i="21"/>
  <c r="E99" i="21" l="1"/>
  <c r="D101" i="21"/>
  <c r="S96" i="21"/>
  <c r="U96" i="21"/>
  <c r="T96" i="21"/>
  <c r="V96" i="21"/>
  <c r="W96" i="21"/>
  <c r="X96" i="21" s="1"/>
  <c r="Y96" i="21" s="1"/>
  <c r="Z96" i="21" s="1"/>
  <c r="AA96" i="21" s="1"/>
  <c r="AB96" i="21" s="1"/>
  <c r="W140" i="21"/>
  <c r="X140" i="21" s="1"/>
  <c r="Y140" i="21" s="1"/>
  <c r="Z140" i="21" s="1"/>
  <c r="AA140" i="21" s="1"/>
  <c r="AB140" i="21" s="1"/>
  <c r="U140" i="21"/>
  <c r="V140" i="21"/>
  <c r="F99" i="21" l="1"/>
  <c r="E101" i="21"/>
  <c r="G99" i="21" l="1"/>
  <c r="F101" i="21"/>
  <c r="H99" i="21" l="1"/>
  <c r="G101" i="21"/>
  <c r="I99" i="21" l="1"/>
  <c r="H101" i="21"/>
  <c r="J99" i="21" l="1"/>
  <c r="I101" i="21"/>
  <c r="K99" i="21" l="1"/>
  <c r="K101" i="21" s="1"/>
  <c r="J101" i="21"/>
  <c r="C20" i="7" l="1" a="1"/>
  <c r="AZ20" i="7" s="1"/>
  <c r="AX20" i="7" l="1"/>
  <c r="AA62" i="7"/>
  <c r="AC62" i="7"/>
  <c r="S62" i="7"/>
  <c r="S67" i="7" s="1"/>
  <c r="U62" i="7"/>
  <c r="W62" i="7"/>
  <c r="AY20" i="7"/>
  <c r="O62" i="7"/>
  <c r="V62" i="7"/>
  <c r="J174" i="7"/>
  <c r="BC20" i="7"/>
  <c r="X62" i="7"/>
  <c r="BB20" i="7"/>
  <c r="H96" i="7"/>
  <c r="AF62" i="7"/>
  <c r="G132" i="7"/>
  <c r="L174" i="7"/>
  <c r="Y62" i="7"/>
  <c r="K174" i="7"/>
  <c r="N132" i="7"/>
  <c r="H174" i="7"/>
  <c r="R132" i="7"/>
  <c r="O174" i="7"/>
  <c r="V96" i="7"/>
  <c r="R174" i="7"/>
  <c r="L96" i="7"/>
  <c r="AK62" i="7"/>
  <c r="L132" i="7"/>
  <c r="F96" i="7"/>
  <c r="T132" i="7"/>
  <c r="Q132" i="7"/>
  <c r="D132" i="7"/>
  <c r="R96" i="7"/>
  <c r="I96" i="7"/>
  <c r="N174" i="7"/>
  <c r="AN62" i="7"/>
  <c r="M96" i="7"/>
  <c r="P96" i="7"/>
  <c r="T174" i="7"/>
  <c r="V132" i="7"/>
  <c r="I132" i="7"/>
  <c r="M174" i="7"/>
  <c r="V174" i="7"/>
  <c r="N96" i="7"/>
  <c r="I174" i="7"/>
  <c r="AJ62" i="7"/>
  <c r="AL62" i="7"/>
  <c r="E132" i="7"/>
  <c r="Q174" i="7"/>
  <c r="U132" i="7"/>
  <c r="G174" i="7"/>
  <c r="AG62" i="7"/>
  <c r="K132" i="7"/>
  <c r="D174" i="7"/>
  <c r="K96" i="7"/>
  <c r="AH62" i="7"/>
  <c r="F132" i="7"/>
  <c r="O96" i="7"/>
  <c r="J132" i="7"/>
  <c r="P132" i="7"/>
  <c r="Q96" i="7"/>
  <c r="H132" i="7"/>
  <c r="Z62" i="7"/>
  <c r="D96" i="7"/>
  <c r="P62" i="7"/>
  <c r="AP62" i="7"/>
  <c r="U174" i="7"/>
  <c r="G96" i="7"/>
  <c r="S174" i="7"/>
  <c r="T96" i="7"/>
  <c r="E174" i="7"/>
  <c r="AO62" i="7"/>
  <c r="F174" i="7"/>
  <c r="O132" i="7"/>
  <c r="E96" i="7"/>
  <c r="AB62" i="7"/>
  <c r="M132" i="7"/>
  <c r="T62" i="7"/>
  <c r="AD62" i="7"/>
  <c r="P174" i="7"/>
  <c r="U96" i="7"/>
  <c r="Q62" i="7"/>
  <c r="BD20" i="7"/>
  <c r="AE62" i="7"/>
  <c r="BA20" i="7"/>
  <c r="S132" i="7"/>
  <c r="S96" i="7"/>
  <c r="AM62" i="7"/>
  <c r="AI62" i="7"/>
  <c r="J96" i="7"/>
  <c r="C20" i="7"/>
  <c r="R62" i="7"/>
  <c r="AU62" i="7" l="1"/>
  <c r="AW62" i="7"/>
  <c r="AW67" i="7" s="1"/>
  <c r="K33" i="30" s="1"/>
  <c r="K4" i="28" a="1"/>
  <c r="Y13" i="28" s="1"/>
  <c r="E101" i="7"/>
  <c r="P101" i="7"/>
  <c r="AX62" i="7"/>
  <c r="F179" i="7"/>
  <c r="Q101" i="7"/>
  <c r="Q179" i="7"/>
  <c r="M101" i="7"/>
  <c r="R179" i="7"/>
  <c r="BL95" i="7"/>
  <c r="F171" i="21"/>
  <c r="AU67" i="7"/>
  <c r="V67" i="7"/>
  <c r="BA84" i="15" a="1"/>
  <c r="V101" i="7"/>
  <c r="AD84" i="15" a="1"/>
  <c r="AT62" i="7"/>
  <c r="O67" i="7"/>
  <c r="N179" i="7"/>
  <c r="AT174" i="7"/>
  <c r="O179" i="7"/>
  <c r="J179" i="7"/>
  <c r="AY62" i="7"/>
  <c r="AZ115" i="15" a="1"/>
  <c r="S137" i="7"/>
  <c r="AU132" i="7"/>
  <c r="H137" i="7"/>
  <c r="E137" i="7"/>
  <c r="Q67" i="7"/>
  <c r="I179" i="7"/>
  <c r="AV62" i="7"/>
  <c r="G179" i="7"/>
  <c r="F137" i="7"/>
  <c r="R101" i="7"/>
  <c r="H179" i="7"/>
  <c r="AZ62" i="7"/>
  <c r="P179" i="7"/>
  <c r="G101" i="7"/>
  <c r="N101" i="7"/>
  <c r="D137" i="7"/>
  <c r="N137" i="7"/>
  <c r="U67" i="7"/>
  <c r="U137" i="7"/>
  <c r="P137" i="7"/>
  <c r="T101" i="7"/>
  <c r="K101" i="7"/>
  <c r="V179" i="7"/>
  <c r="Q137" i="7"/>
  <c r="K179" i="7"/>
  <c r="O137" i="7"/>
  <c r="AT132" i="7"/>
  <c r="C132" i="7"/>
  <c r="C96" i="7"/>
  <c r="C174" i="7"/>
  <c r="J101" i="7"/>
  <c r="J137" i="7"/>
  <c r="R137" i="7"/>
  <c r="U101" i="7"/>
  <c r="H171" i="21"/>
  <c r="U179" i="7"/>
  <c r="T67" i="7"/>
  <c r="D179" i="7"/>
  <c r="M179" i="7"/>
  <c r="T137" i="7"/>
  <c r="T179" i="7"/>
  <c r="H101" i="7"/>
  <c r="E179" i="7"/>
  <c r="I101" i="7"/>
  <c r="S179" i="7"/>
  <c r="AU174" i="7"/>
  <c r="M137" i="7"/>
  <c r="P67" i="7"/>
  <c r="K137" i="7"/>
  <c r="I137" i="7"/>
  <c r="F101" i="7"/>
  <c r="L179" i="7"/>
  <c r="R67" i="7"/>
  <c r="L101" i="7"/>
  <c r="AT96" i="7"/>
  <c r="O101" i="7"/>
  <c r="S101" i="7"/>
  <c r="AU96" i="7"/>
  <c r="D101" i="7"/>
  <c r="BZ84" i="15" a="1"/>
  <c r="V137" i="7"/>
  <c r="L137" i="7"/>
  <c r="G137" i="7"/>
  <c r="AD27" i="15" l="1"/>
  <c r="AE27" i="15"/>
  <c r="AF27" i="15"/>
  <c r="AG27" i="15"/>
  <c r="AH27" i="15"/>
  <c r="AI27" i="15"/>
  <c r="AJ27" i="15"/>
  <c r="AK27" i="15"/>
  <c r="AL27" i="15"/>
  <c r="AM27" i="15"/>
  <c r="AN27" i="15"/>
  <c r="AO27" i="15"/>
  <c r="AP27" i="15"/>
  <c r="AQ27" i="15"/>
  <c r="AR27" i="15"/>
  <c r="AS27" i="15"/>
  <c r="AT27" i="15"/>
  <c r="X9" i="28"/>
  <c r="Z4" i="28"/>
  <c r="AE4" i="28"/>
  <c r="Y7" i="28"/>
  <c r="AD15" i="28"/>
  <c r="AE9" i="28"/>
  <c r="Y17" i="28"/>
  <c r="X6" i="28"/>
  <c r="AA15" i="28"/>
  <c r="AC15" i="28"/>
  <c r="AG17" i="28"/>
  <c r="AA13" i="28"/>
  <c r="AE14" i="28"/>
  <c r="AF4" i="28"/>
  <c r="AG8" i="28"/>
  <c r="AC17" i="28"/>
  <c r="Z13" i="28"/>
  <c r="AF5" i="28"/>
  <c r="AE6" i="28"/>
  <c r="AA14" i="28"/>
  <c r="AB7" i="28"/>
  <c r="AB8" i="28"/>
  <c r="AE8" i="28"/>
  <c r="AA16" i="28"/>
  <c r="Z11" i="28"/>
  <c r="Z6" i="28"/>
  <c r="AD18" i="28"/>
  <c r="AA11" i="28"/>
  <c r="Z15" i="28"/>
  <c r="AA6" i="28"/>
  <c r="Z14" i="28"/>
  <c r="AF15" i="28"/>
  <c r="AF7" i="28"/>
  <c r="AD6" i="28"/>
  <c r="X14" i="28"/>
  <c r="AC6" i="28"/>
  <c r="AB16" i="28"/>
  <c r="AD5" i="28"/>
  <c r="AB18" i="28"/>
  <c r="X12" i="28"/>
  <c r="AG6" i="28"/>
  <c r="AC10" i="28"/>
  <c r="AF9" i="28"/>
  <c r="Y16" i="28"/>
  <c r="Z7" i="28"/>
  <c r="AC5" i="28"/>
  <c r="X5" i="28"/>
  <c r="AC11" i="28"/>
  <c r="AG18" i="28"/>
  <c r="AB12" i="28"/>
  <c r="Y9" i="28"/>
  <c r="AB15" i="28"/>
  <c r="AG5" i="28"/>
  <c r="X7" i="28"/>
  <c r="AF11" i="28"/>
  <c r="AA5" i="28"/>
  <c r="Y19" i="28"/>
  <c r="Y20" i="28"/>
  <c r="AB9" i="28"/>
  <c r="AC7" i="28"/>
  <c r="AA9" i="28"/>
  <c r="AG13" i="28"/>
  <c r="AC4" i="28"/>
  <c r="Y15" i="28"/>
  <c r="AE20" i="28"/>
  <c r="AB14" i="28"/>
  <c r="AC9" i="28"/>
  <c r="AA20" i="28"/>
  <c r="AE5" i="28"/>
  <c r="AD11" i="28"/>
  <c r="AA4" i="28"/>
  <c r="AC20" i="28"/>
  <c r="X8" i="28"/>
  <c r="AD7" i="28"/>
  <c r="AG15" i="28"/>
  <c r="Z17" i="28"/>
  <c r="X15" i="28"/>
  <c r="AG7" i="28"/>
  <c r="AF6" i="28"/>
  <c r="AC8" i="28"/>
  <c r="Y8" i="28"/>
  <c r="AA12" i="28"/>
  <c r="Z5" i="28"/>
  <c r="X10" i="28"/>
  <c r="AF10" i="28"/>
  <c r="AE13" i="28"/>
  <c r="AG20" i="28"/>
  <c r="AE16" i="28"/>
  <c r="AF8" i="28"/>
  <c r="Y5" i="28"/>
  <c r="AF12" i="28"/>
  <c r="AA10" i="28"/>
  <c r="AD8" i="28"/>
  <c r="AG10" i="28"/>
  <c r="AB6" i="28"/>
  <c r="Z8" i="28"/>
  <c r="Y10" i="28"/>
  <c r="Z9" i="28"/>
  <c r="Z12" i="28"/>
  <c r="Z10" i="28"/>
  <c r="Y4" i="28"/>
  <c r="AD4" i="28"/>
  <c r="AB10" i="28"/>
  <c r="AG4" i="28"/>
  <c r="AE12" i="28"/>
  <c r="AB5" i="28"/>
  <c r="X20" i="28"/>
  <c r="AA8" i="28"/>
  <c r="AE11" i="28"/>
  <c r="AG19" i="28"/>
  <c r="AG11" i="28"/>
  <c r="Y11" i="28"/>
  <c r="X13" i="28"/>
  <c r="AD20" i="28"/>
  <c r="AB4" i="28"/>
  <c r="Z19" i="28"/>
  <c r="AB20" i="28"/>
  <c r="AG12" i="28"/>
  <c r="Z20" i="28"/>
  <c r="Y12" i="28"/>
  <c r="X16" i="28"/>
  <c r="X11" i="28"/>
  <c r="AE17" i="28"/>
  <c r="AB17" i="28"/>
  <c r="AF20" i="28"/>
  <c r="AG14" i="28"/>
  <c r="AF14" i="28"/>
  <c r="AF13" i="28"/>
  <c r="K4" i="28"/>
  <c r="X4" i="28" s="1"/>
  <c r="AA7" i="28"/>
  <c r="AA19" i="28"/>
  <c r="AB13" i="28"/>
  <c r="X17" i="28"/>
  <c r="AE19" i="28"/>
  <c r="X18" i="28"/>
  <c r="AE15" i="28"/>
  <c r="AB11" i="28"/>
  <c r="AA18" i="28"/>
  <c r="AD9" i="28"/>
  <c r="AE18" i="28"/>
  <c r="Y14" i="28"/>
  <c r="AF18" i="28"/>
  <c r="AF19" i="28"/>
  <c r="AD13" i="28"/>
  <c r="AE10" i="28"/>
  <c r="X19" i="28"/>
  <c r="AA17" i="28"/>
  <c r="AF16" i="28"/>
  <c r="AC12" i="28"/>
  <c r="AD14" i="28"/>
  <c r="Y18" i="28"/>
  <c r="AD19" i="28"/>
  <c r="AF17" i="28"/>
  <c r="AG9" i="28"/>
  <c r="Z16" i="28"/>
  <c r="Z18" i="28"/>
  <c r="AB19" i="28"/>
  <c r="AC14" i="28"/>
  <c r="AD12" i="28"/>
  <c r="AC19" i="28"/>
  <c r="Y6" i="28"/>
  <c r="AD10" i="28"/>
  <c r="AD17" i="28"/>
  <c r="AC16" i="28"/>
  <c r="AC18" i="28"/>
  <c r="AD16" i="28"/>
  <c r="AC13" i="28"/>
  <c r="AE7" i="28"/>
  <c r="AG16" i="28"/>
  <c r="AU68" i="7"/>
  <c r="AU69" i="7" s="1"/>
  <c r="I33" i="30"/>
  <c r="C179" i="7"/>
  <c r="F203" i="21"/>
  <c r="W182" i="21" s="1"/>
  <c r="W171" i="21"/>
  <c r="AM43" i="21" s="1"/>
  <c r="AM49" i="21" s="1"/>
  <c r="AT101" i="7"/>
  <c r="H203" i="21"/>
  <c r="Y182" i="21" s="1"/>
  <c r="Y171" i="21"/>
  <c r="AO43" i="21" s="1"/>
  <c r="AO49" i="21" s="1"/>
  <c r="C101" i="7"/>
  <c r="H4" i="21"/>
  <c r="AT67" i="7"/>
  <c r="E171" i="21"/>
  <c r="BK95" i="7"/>
  <c r="AX67" i="7"/>
  <c r="L33" i="30" s="1"/>
  <c r="I171" i="21"/>
  <c r="K36" i="30"/>
  <c r="K30" i="30"/>
  <c r="K34" i="30" s="1"/>
  <c r="K70" i="30"/>
  <c r="K44" i="30"/>
  <c r="C137" i="7"/>
  <c r="AT137" i="7"/>
  <c r="K171" i="21"/>
  <c r="AZ67" i="7"/>
  <c r="N33" i="30" s="1"/>
  <c r="AU89" i="15"/>
  <c r="AU93" i="15" s="1"/>
  <c r="AU97" i="15" s="1"/>
  <c r="AU101" i="15" s="1"/>
  <c r="AW89" i="15"/>
  <c r="AW93" i="15" s="1"/>
  <c r="AW97" i="15" s="1"/>
  <c r="AW101" i="15" s="1"/>
  <c r="AV89" i="15"/>
  <c r="AV93" i="15" s="1"/>
  <c r="AV97" i="15" s="1"/>
  <c r="AV101" i="15" s="1"/>
  <c r="AD84" i="15"/>
  <c r="CS89" i="15"/>
  <c r="CS93" i="15" s="1"/>
  <c r="CS97" i="15" s="1"/>
  <c r="CS101" i="15" s="1"/>
  <c r="CI89" i="15"/>
  <c r="CI93" i="15" s="1"/>
  <c r="CI97" i="15" s="1"/>
  <c r="CI101" i="15" s="1"/>
  <c r="CR89" i="15"/>
  <c r="CR93" i="15" s="1"/>
  <c r="CR97" i="15" s="1"/>
  <c r="CR101" i="15" s="1"/>
  <c r="CE89" i="15"/>
  <c r="CE93" i="15" s="1"/>
  <c r="CE97" i="15" s="1"/>
  <c r="CE101" i="15" s="1"/>
  <c r="CL89" i="15"/>
  <c r="CL93" i="15" s="1"/>
  <c r="CL97" i="15" s="1"/>
  <c r="CL101" i="15" s="1"/>
  <c r="CP89" i="15"/>
  <c r="CP93" i="15" s="1"/>
  <c r="CP97" i="15" s="1"/>
  <c r="CP101" i="15" s="1"/>
  <c r="CG89" i="15"/>
  <c r="CG93" i="15" s="1"/>
  <c r="CG97" i="15" s="1"/>
  <c r="CG101" i="15" s="1"/>
  <c r="CN89" i="15"/>
  <c r="CN93" i="15" s="1"/>
  <c r="CN97" i="15" s="1"/>
  <c r="CN101" i="15" s="1"/>
  <c r="CC89" i="15"/>
  <c r="CC93" i="15" s="1"/>
  <c r="CC97" i="15" s="1"/>
  <c r="CC101" i="15" s="1"/>
  <c r="CA89" i="15"/>
  <c r="CA93" i="15" s="1"/>
  <c r="CA97" i="15" s="1"/>
  <c r="CA101" i="15" s="1"/>
  <c r="CH89" i="15"/>
  <c r="CH93" i="15" s="1"/>
  <c r="CH97" i="15" s="1"/>
  <c r="CH101" i="15" s="1"/>
  <c r="BZ84" i="15"/>
  <c r="BZ89" i="15" s="1"/>
  <c r="BZ93" i="15" s="1"/>
  <c r="BZ97" i="15" s="1"/>
  <c r="BZ101" i="15" s="1"/>
  <c r="CD89" i="15"/>
  <c r="CD93" i="15" s="1"/>
  <c r="CD97" i="15" s="1"/>
  <c r="CD101" i="15" s="1"/>
  <c r="CJ89" i="15"/>
  <c r="CJ93" i="15" s="1"/>
  <c r="CJ97" i="15" s="1"/>
  <c r="CJ101" i="15" s="1"/>
  <c r="CQ89" i="15"/>
  <c r="CQ93" i="15" s="1"/>
  <c r="CQ97" i="15" s="1"/>
  <c r="CQ101" i="15" s="1"/>
  <c r="CO89" i="15"/>
  <c r="CO93" i="15" s="1"/>
  <c r="CO97" i="15" s="1"/>
  <c r="CO101" i="15" s="1"/>
  <c r="CK89" i="15"/>
  <c r="CK93" i="15" s="1"/>
  <c r="CK97" i="15" s="1"/>
  <c r="CK101" i="15" s="1"/>
  <c r="CB89" i="15"/>
  <c r="CB93" i="15" s="1"/>
  <c r="CB97" i="15" s="1"/>
  <c r="CB101" i="15" s="1"/>
  <c r="CM89" i="15"/>
  <c r="CM93" i="15" s="1"/>
  <c r="CM97" i="15" s="1"/>
  <c r="CM101" i="15" s="1"/>
  <c r="CF89" i="15"/>
  <c r="CF93" i="15" s="1"/>
  <c r="CF97" i="15" s="1"/>
  <c r="CF101" i="15" s="1"/>
  <c r="AU137" i="7"/>
  <c r="J171" i="21"/>
  <c r="AY67" i="7"/>
  <c r="M33" i="30" s="1"/>
  <c r="AU101" i="7"/>
  <c r="AU179" i="7"/>
  <c r="AV67" i="7"/>
  <c r="J33" i="30" s="1"/>
  <c r="G171" i="21"/>
  <c r="BQ27" i="15"/>
  <c r="BN27" i="15"/>
  <c r="BN127" i="15"/>
  <c r="BK127" i="15"/>
  <c r="BE27" i="15"/>
  <c r="BO27" i="15"/>
  <c r="BM127" i="15"/>
  <c r="BM27" i="15"/>
  <c r="BD127" i="15"/>
  <c r="BD27" i="15"/>
  <c r="BG27" i="15"/>
  <c r="BO127" i="15"/>
  <c r="BJ27" i="15"/>
  <c r="BF27" i="15"/>
  <c r="BA27" i="15"/>
  <c r="BJ127" i="15"/>
  <c r="BK27" i="15"/>
  <c r="BH127" i="15"/>
  <c r="BB127" i="15"/>
  <c r="BC27" i="15"/>
  <c r="BE127" i="15"/>
  <c r="BG127" i="15"/>
  <c r="BB27" i="15"/>
  <c r="BL27" i="15"/>
  <c r="BF127" i="15"/>
  <c r="BQ127" i="15"/>
  <c r="BR127" i="15"/>
  <c r="BP27" i="15"/>
  <c r="BI127" i="15"/>
  <c r="BC127" i="15"/>
  <c r="BL127" i="15"/>
  <c r="BH27" i="15"/>
  <c r="BP127" i="15"/>
  <c r="BI27" i="15"/>
  <c r="AZ115" i="15"/>
  <c r="AT179" i="7"/>
  <c r="BT89" i="15"/>
  <c r="BT93" i="15" s="1"/>
  <c r="BT97" i="15" s="1"/>
  <c r="BT101" i="15" s="1"/>
  <c r="BA84" i="15"/>
  <c r="BR89" i="15"/>
  <c r="BR93" i="15" s="1"/>
  <c r="BR97" i="15" s="1"/>
  <c r="BR101" i="15" s="1"/>
  <c r="BS89" i="15"/>
  <c r="BS93" i="15" s="1"/>
  <c r="BS97" i="15" s="1"/>
  <c r="BS101" i="15" s="1"/>
  <c r="AT43" i="15" l="1"/>
  <c r="AT44" i="15" s="1"/>
  <c r="AT88" i="15"/>
  <c r="AT89" i="15" s="1"/>
  <c r="AT93" i="15" s="1"/>
  <c r="AT97" i="15" s="1"/>
  <c r="AT101" i="15" s="1"/>
  <c r="AS43" i="15"/>
  <c r="AS44" i="15" s="1"/>
  <c r="AS88" i="15"/>
  <c r="AS89" i="15" s="1"/>
  <c r="AS93" i="15" s="1"/>
  <c r="AS97" i="15" s="1"/>
  <c r="AS101" i="15" s="1"/>
  <c r="AR43" i="15"/>
  <c r="AR88" i="15"/>
  <c r="AR89" i="15" s="1"/>
  <c r="AR93" i="15" s="1"/>
  <c r="AR97" i="15" s="1"/>
  <c r="AR101" i="15" s="1"/>
  <c r="AQ43" i="15"/>
  <c r="AQ88" i="15"/>
  <c r="AQ89" i="15" s="1"/>
  <c r="AQ93" i="15" s="1"/>
  <c r="AQ97" i="15" s="1"/>
  <c r="AQ101" i="15" s="1"/>
  <c r="AP43" i="15"/>
  <c r="AP44" i="15" s="1"/>
  <c r="AP88" i="15"/>
  <c r="AP89" i="15" s="1"/>
  <c r="AP93" i="15" s="1"/>
  <c r="AP97" i="15" s="1"/>
  <c r="AP101" i="15" s="1"/>
  <c r="AO43" i="15"/>
  <c r="AO44" i="15" s="1"/>
  <c r="AO88" i="15"/>
  <c r="AO89" i="15" s="1"/>
  <c r="AO93" i="15" s="1"/>
  <c r="AO97" i="15" s="1"/>
  <c r="AO101" i="15" s="1"/>
  <c r="AN43" i="15"/>
  <c r="AN44" i="15" s="1"/>
  <c r="AN88" i="15"/>
  <c r="AN89" i="15" s="1"/>
  <c r="AN93" i="15" s="1"/>
  <c r="AN97" i="15" s="1"/>
  <c r="AN101" i="15" s="1"/>
  <c r="AM43" i="15"/>
  <c r="AM44" i="15" s="1"/>
  <c r="AM88" i="15"/>
  <c r="AM89" i="15" s="1"/>
  <c r="AM93" i="15" s="1"/>
  <c r="AM97" i="15" s="1"/>
  <c r="AM101" i="15" s="1"/>
  <c r="AL43" i="15"/>
  <c r="AL44" i="15" s="1"/>
  <c r="AL88" i="15"/>
  <c r="AL89" i="15" s="1"/>
  <c r="AL93" i="15" s="1"/>
  <c r="AL97" i="15" s="1"/>
  <c r="AL101" i="15" s="1"/>
  <c r="AK43" i="15"/>
  <c r="AK44" i="15" s="1"/>
  <c r="AK88" i="15"/>
  <c r="AK89" i="15" s="1"/>
  <c r="AK93" i="15" s="1"/>
  <c r="AK97" i="15" s="1"/>
  <c r="AK101" i="15" s="1"/>
  <c r="AJ43" i="15"/>
  <c r="AJ44" i="15" s="1"/>
  <c r="AJ88" i="15"/>
  <c r="AJ89" i="15" s="1"/>
  <c r="AJ93" i="15" s="1"/>
  <c r="AJ97" i="15" s="1"/>
  <c r="AJ101" i="15" s="1"/>
  <c r="AI43" i="15"/>
  <c r="AI44" i="15" s="1"/>
  <c r="AI88" i="15"/>
  <c r="AI89" i="15" s="1"/>
  <c r="AI93" i="15" s="1"/>
  <c r="AI97" i="15" s="1"/>
  <c r="AI101" i="15" s="1"/>
  <c r="AH43" i="15"/>
  <c r="AH44" i="15" s="1"/>
  <c r="AH88" i="15"/>
  <c r="AH89" i="15" s="1"/>
  <c r="AH93" i="15" s="1"/>
  <c r="AH97" i="15" s="1"/>
  <c r="AH101" i="15" s="1"/>
  <c r="AG43" i="15"/>
  <c r="AG44" i="15" s="1"/>
  <c r="AG88" i="15"/>
  <c r="AG89" i="15" s="1"/>
  <c r="AG93" i="15" s="1"/>
  <c r="AG97" i="15" s="1"/>
  <c r="AG101" i="15" s="1"/>
  <c r="AF43" i="15"/>
  <c r="AF44" i="15" s="1"/>
  <c r="AF88" i="15"/>
  <c r="AF89" i="15" s="1"/>
  <c r="AF93" i="15" s="1"/>
  <c r="AF97" i="15" s="1"/>
  <c r="AF101" i="15" s="1"/>
  <c r="AE43" i="15"/>
  <c r="AE44" i="15" s="1"/>
  <c r="AE88" i="15"/>
  <c r="AE89" i="15" s="1"/>
  <c r="AE93" i="15" s="1"/>
  <c r="AE97" i="15" s="1"/>
  <c r="AE101" i="15" s="1"/>
  <c r="AD43" i="15"/>
  <c r="AD88" i="15"/>
  <c r="AD89" i="15" s="1"/>
  <c r="AD93" i="15" s="1"/>
  <c r="AD97" i="15" s="1"/>
  <c r="AD101" i="15" s="1"/>
  <c r="AI102" i="15"/>
  <c r="J24" i="28" a="1"/>
  <c r="J24" i="28" s="1"/>
  <c r="AZ130" i="15" a="1"/>
  <c r="BJ140" i="15" s="1"/>
  <c r="J44" i="30"/>
  <c r="J30" i="30"/>
  <c r="J34" i="30" s="1"/>
  <c r="J36" i="30"/>
  <c r="J70" i="30"/>
  <c r="BZ102" i="15"/>
  <c r="BO88" i="15"/>
  <c r="BO89" i="15" s="1"/>
  <c r="BO93" i="15" s="1"/>
  <c r="BO97" i="15" s="1"/>
  <c r="BO101" i="15" s="1"/>
  <c r="BO43" i="15"/>
  <c r="AB171" i="21"/>
  <c r="AR43" i="21" s="1"/>
  <c r="AR49" i="21" s="1"/>
  <c r="K203" i="21"/>
  <c r="AB182" i="21" s="1"/>
  <c r="I203" i="21"/>
  <c r="Z182" i="21" s="1"/>
  <c r="Z171" i="21"/>
  <c r="AP43" i="21" s="1"/>
  <c r="AP49" i="21" s="1"/>
  <c r="BC88" i="15"/>
  <c r="BC89" i="15" s="1"/>
  <c r="BC93" i="15" s="1"/>
  <c r="BC97" i="15" s="1"/>
  <c r="BC101" i="15" s="1"/>
  <c r="BC43" i="15"/>
  <c r="L70" i="30"/>
  <c r="L30" i="30"/>
  <c r="L34" i="30" s="1"/>
  <c r="L36" i="30"/>
  <c r="L44" i="30"/>
  <c r="BH88" i="15"/>
  <c r="BH89" i="15" s="1"/>
  <c r="BH93" i="15" s="1"/>
  <c r="BH97" i="15" s="1"/>
  <c r="BH101" i="15" s="1"/>
  <c r="BH43" i="15"/>
  <c r="BE43" i="15"/>
  <c r="BE88" i="15"/>
  <c r="BE89" i="15" s="1"/>
  <c r="BE93" i="15" s="1"/>
  <c r="BE97" i="15" s="1"/>
  <c r="BE101" i="15" s="1"/>
  <c r="CN102" i="15"/>
  <c r="AM102" i="15"/>
  <c r="BK88" i="15"/>
  <c r="BK89" i="15" s="1"/>
  <c r="BK93" i="15" s="1"/>
  <c r="BK97" i="15" s="1"/>
  <c r="BK101" i="15" s="1"/>
  <c r="BK43" i="15"/>
  <c r="AD102" i="15"/>
  <c r="BM88" i="15"/>
  <c r="BM89" i="15" s="1"/>
  <c r="BM93" i="15" s="1"/>
  <c r="BM97" i="15" s="1"/>
  <c r="BM101" i="15" s="1"/>
  <c r="BM43" i="15"/>
  <c r="N70" i="30"/>
  <c r="N36" i="30"/>
  <c r="N44" i="30"/>
  <c r="N30" i="30"/>
  <c r="N34" i="30" s="1"/>
  <c r="H11" i="21"/>
  <c r="E178" i="21"/>
  <c r="E180" i="21" s="1"/>
  <c r="E181" i="21" s="1"/>
  <c r="G178" i="21"/>
  <c r="G180" i="21" s="1"/>
  <c r="X172" i="21" s="1"/>
  <c r="H178" i="21"/>
  <c r="H180" i="21" s="1"/>
  <c r="I178" i="21"/>
  <c r="I180" i="21" s="1"/>
  <c r="Z172" i="21" s="1"/>
  <c r="K178" i="21"/>
  <c r="K180" i="21" s="1"/>
  <c r="AB172" i="21" s="1"/>
  <c r="J178" i="21"/>
  <c r="J180" i="21" s="1"/>
  <c r="AA172" i="21" s="1"/>
  <c r="BN43" i="15"/>
  <c r="F178" i="21"/>
  <c r="F180" i="21" s="1"/>
  <c r="BN88" i="15"/>
  <c r="BN89" i="15" s="1"/>
  <c r="BN93" i="15" s="1"/>
  <c r="BN97" i="15" s="1"/>
  <c r="BN101" i="15" s="1"/>
  <c r="P12" i="21"/>
  <c r="BQ43" i="15"/>
  <c r="BQ88" i="15"/>
  <c r="BQ89" i="15" s="1"/>
  <c r="BQ93" i="15" s="1"/>
  <c r="BQ97" i="15" s="1"/>
  <c r="BQ101" i="15" s="1"/>
  <c r="J203" i="21"/>
  <c r="AA182" i="21" s="1"/>
  <c r="AA171" i="21"/>
  <c r="AQ43" i="21" s="1"/>
  <c r="AQ49" i="21" s="1"/>
  <c r="AR102" i="15"/>
  <c r="K72" i="30"/>
  <c r="K80" i="30"/>
  <c r="V171" i="21"/>
  <c r="AL43" i="21" s="1"/>
  <c r="AL49" i="21" s="1"/>
  <c r="E203" i="21"/>
  <c r="V182" i="21" s="1"/>
  <c r="I44" i="30"/>
  <c r="I36" i="30"/>
  <c r="I30" i="30"/>
  <c r="I34" i="30" s="1"/>
  <c r="I70" i="30"/>
  <c r="K67" i="30"/>
  <c r="AT68" i="7"/>
  <c r="AT69" i="7" s="1"/>
  <c r="H33" i="30"/>
  <c r="BP43" i="15"/>
  <c r="BP88" i="15"/>
  <c r="BP89" i="15" s="1"/>
  <c r="BP93" i="15" s="1"/>
  <c r="BP97" i="15" s="1"/>
  <c r="BP101" i="15" s="1"/>
  <c r="M36" i="30"/>
  <c r="M30" i="30"/>
  <c r="M34" i="30" s="1"/>
  <c r="M44" i="30"/>
  <c r="M70" i="30"/>
  <c r="F11" i="21"/>
  <c r="G134" i="21"/>
  <c r="G136" i="21" s="1"/>
  <c r="BJ43" i="15"/>
  <c r="BJ88" i="15"/>
  <c r="BJ89" i="15" s="1"/>
  <c r="BJ93" i="15" s="1"/>
  <c r="BJ97" i="15" s="1"/>
  <c r="BJ101" i="15" s="1"/>
  <c r="O12" i="21"/>
  <c r="E134" i="21"/>
  <c r="E136" i="21" s="1"/>
  <c r="K134" i="21"/>
  <c r="K136" i="21" s="1"/>
  <c r="I134" i="21"/>
  <c r="I136" i="21" s="1"/>
  <c r="J134" i="21"/>
  <c r="J136" i="21" s="1"/>
  <c r="H134" i="21"/>
  <c r="H136" i="21" s="1"/>
  <c r="F134" i="21"/>
  <c r="F136" i="21" s="1"/>
  <c r="D134" i="21"/>
  <c r="D136" i="21" s="1"/>
  <c r="CE102" i="15"/>
  <c r="I15" i="21"/>
  <c r="I12" i="21"/>
  <c r="I6" i="21"/>
  <c r="I18" i="21"/>
  <c r="I9" i="21"/>
  <c r="I4" i="21"/>
  <c r="I10" i="21"/>
  <c r="I19" i="21"/>
  <c r="I25" i="21"/>
  <c r="I5" i="21"/>
  <c r="I22" i="21"/>
  <c r="I8" i="21"/>
  <c r="I21" i="21"/>
  <c r="I7" i="21"/>
  <c r="I24" i="21"/>
  <c r="I17" i="21"/>
  <c r="I23" i="21"/>
  <c r="I16" i="21"/>
  <c r="BG43" i="15"/>
  <c r="BG88" i="15"/>
  <c r="BG89" i="15" s="1"/>
  <c r="BG93" i="15" s="1"/>
  <c r="BG97" i="15" s="1"/>
  <c r="BG101" i="15" s="1"/>
  <c r="AY27" i="15"/>
  <c r="B11" i="21"/>
  <c r="K50" i="21"/>
  <c r="K52" i="21" s="1"/>
  <c r="K53" i="21" s="1"/>
  <c r="I50" i="21"/>
  <c r="I52" i="21" s="1"/>
  <c r="I53" i="21" s="1"/>
  <c r="M12" i="21"/>
  <c r="J50" i="21"/>
  <c r="J52" i="21" s="1"/>
  <c r="J53" i="21" s="1"/>
  <c r="F50" i="21"/>
  <c r="F52" i="21" s="1"/>
  <c r="B50" i="21"/>
  <c r="B52" i="21" s="1"/>
  <c r="C50" i="21"/>
  <c r="C52" i="21" s="1"/>
  <c r="BA88" i="15"/>
  <c r="BA43" i="15"/>
  <c r="D50" i="21"/>
  <c r="D52" i="21" s="1"/>
  <c r="G50" i="21"/>
  <c r="G52" i="21" s="1"/>
  <c r="G53" i="21" s="1"/>
  <c r="H50" i="21"/>
  <c r="H52" i="21" s="1"/>
  <c r="H53" i="21" s="1"/>
  <c r="E50" i="21"/>
  <c r="E52" i="21" s="1"/>
  <c r="D11" i="21"/>
  <c r="N12" i="21"/>
  <c r="E90" i="21"/>
  <c r="E92" i="21" s="1"/>
  <c r="F90" i="21"/>
  <c r="F92" i="21" s="1"/>
  <c r="BF88" i="15"/>
  <c r="BF89" i="15" s="1"/>
  <c r="BF93" i="15" s="1"/>
  <c r="BF97" i="15" s="1"/>
  <c r="BF101" i="15" s="1"/>
  <c r="C90" i="21"/>
  <c r="C92" i="21" s="1"/>
  <c r="J90" i="21"/>
  <c r="J92" i="21" s="1"/>
  <c r="H90" i="21"/>
  <c r="H92" i="21" s="1"/>
  <c r="I90" i="21"/>
  <c r="I92" i="21" s="1"/>
  <c r="K90" i="21"/>
  <c r="K92" i="21" s="1"/>
  <c r="B90" i="21"/>
  <c r="B92" i="21" s="1"/>
  <c r="G90" i="21"/>
  <c r="G92" i="21" s="1"/>
  <c r="D90" i="21"/>
  <c r="D92" i="21" s="1"/>
  <c r="BF43" i="15"/>
  <c r="BL43" i="15"/>
  <c r="BL88" i="15"/>
  <c r="BL89" i="15" s="1"/>
  <c r="BL93" i="15" s="1"/>
  <c r="BL97" i="15" s="1"/>
  <c r="BL101" i="15" s="1"/>
  <c r="BB43" i="15"/>
  <c r="BB88" i="15"/>
  <c r="BB89" i="15" s="1"/>
  <c r="BB93" i="15" s="1"/>
  <c r="BB97" i="15" s="1"/>
  <c r="BB101" i="15" s="1"/>
  <c r="BI43" i="15"/>
  <c r="BI88" i="15"/>
  <c r="BI89" i="15" s="1"/>
  <c r="BI93" i="15" s="1"/>
  <c r="BI97" i="15" s="1"/>
  <c r="BI101" i="15" s="1"/>
  <c r="BD88" i="15"/>
  <c r="BD89" i="15" s="1"/>
  <c r="BD93" i="15" s="1"/>
  <c r="BD97" i="15" s="1"/>
  <c r="BD101" i="15" s="1"/>
  <c r="BD43" i="15"/>
  <c r="G203" i="21"/>
  <c r="X182" i="21" s="1"/>
  <c r="X171" i="21"/>
  <c r="AN43" i="21" s="1"/>
  <c r="AN49" i="21" s="1"/>
  <c r="CI102" i="15"/>
  <c r="AD44" i="15" l="1"/>
  <c r="AD116" i="15" a="1"/>
  <c r="AD116" i="15" s="1"/>
  <c r="AQ44" i="15"/>
  <c r="AQ48" i="15"/>
  <c r="AQ46" i="15"/>
  <c r="AQ50" i="15" s="1"/>
  <c r="AR44" i="15"/>
  <c r="AR46" i="15"/>
  <c r="AR50" i="15" s="1"/>
  <c r="AR48" i="15"/>
  <c r="AE116" i="15" a="1"/>
  <c r="BH140" i="15"/>
  <c r="BR140" i="15"/>
  <c r="BN140" i="15"/>
  <c r="BQ140" i="15"/>
  <c r="J181" i="21"/>
  <c r="J190" i="21" s="1"/>
  <c r="BP140" i="15"/>
  <c r="BB140" i="15"/>
  <c r="AZ130" i="15"/>
  <c r="BM140" i="15"/>
  <c r="BK140" i="15"/>
  <c r="BC140" i="15"/>
  <c r="BF140" i="15"/>
  <c r="BE140" i="15"/>
  <c r="BG140" i="15"/>
  <c r="BD140" i="15"/>
  <c r="BL140" i="15"/>
  <c r="BI140" i="15"/>
  <c r="BO140" i="15"/>
  <c r="BA106" i="15"/>
  <c r="BB107" i="15" s="1"/>
  <c r="BF102" i="15"/>
  <c r="G181" i="21"/>
  <c r="G190" i="21" s="1"/>
  <c r="E190" i="21"/>
  <c r="V173" i="21"/>
  <c r="BI44" i="15"/>
  <c r="BI64" i="15"/>
  <c r="C93" i="21"/>
  <c r="T84" i="21"/>
  <c r="T44" i="21"/>
  <c r="Y44" i="21" s="1"/>
  <c r="C53" i="21"/>
  <c r="W128" i="21"/>
  <c r="F137" i="21"/>
  <c r="I67" i="30"/>
  <c r="H13" i="21"/>
  <c r="I11" i="21"/>
  <c r="M80" i="30"/>
  <c r="M72" i="30"/>
  <c r="S44" i="21"/>
  <c r="X44" i="21" s="1"/>
  <c r="B76" i="21"/>
  <c r="S55" i="21" s="1"/>
  <c r="B53" i="21"/>
  <c r="B79" i="21"/>
  <c r="S58" i="21" s="1"/>
  <c r="BG44" i="15"/>
  <c r="BG64" i="15"/>
  <c r="Y128" i="21"/>
  <c r="H137" i="21"/>
  <c r="M67" i="30"/>
  <c r="BQ44" i="15"/>
  <c r="BQ64" i="15"/>
  <c r="N67" i="30"/>
  <c r="K181" i="21"/>
  <c r="I80" i="30"/>
  <c r="I72" i="30"/>
  <c r="BE64" i="15"/>
  <c r="BE44" i="15"/>
  <c r="W84" i="21"/>
  <c r="F93" i="21"/>
  <c r="Z128" i="21"/>
  <c r="I137" i="21"/>
  <c r="BF44" i="15"/>
  <c r="N28" i="21"/>
  <c r="BF64" i="15"/>
  <c r="K137" i="21"/>
  <c r="AB128" i="21"/>
  <c r="BP44" i="15"/>
  <c r="BP64" i="15"/>
  <c r="W172" i="21"/>
  <c r="F181" i="21"/>
  <c r="N80" i="30"/>
  <c r="N72" i="30"/>
  <c r="BO44" i="15"/>
  <c r="BO64" i="15"/>
  <c r="B207" i="21"/>
  <c r="V186" i="21" s="1"/>
  <c r="W186" i="21" s="1"/>
  <c r="X186" i="21" s="1"/>
  <c r="Y186" i="21" s="1"/>
  <c r="Z186" i="21" s="1"/>
  <c r="AA186" i="21" s="1"/>
  <c r="AB186" i="21" s="1"/>
  <c r="B204" i="21"/>
  <c r="V172" i="21"/>
  <c r="BB44" i="15"/>
  <c r="BB64" i="15"/>
  <c r="AA128" i="21"/>
  <c r="J137" i="21"/>
  <c r="BK64" i="15"/>
  <c r="BK44" i="15"/>
  <c r="AA45" i="21"/>
  <c r="J62" i="21"/>
  <c r="D13" i="21"/>
  <c r="E11" i="21"/>
  <c r="I62" i="21"/>
  <c r="Z45" i="21"/>
  <c r="V128" i="21"/>
  <c r="E137" i="21"/>
  <c r="H44" i="30"/>
  <c r="H70" i="30"/>
  <c r="H30" i="30"/>
  <c r="H34" i="30" s="1"/>
  <c r="H36" i="30"/>
  <c r="P28" i="21"/>
  <c r="BN44" i="15"/>
  <c r="BN64" i="15"/>
  <c r="BM44" i="15"/>
  <c r="BM64" i="15"/>
  <c r="BO102" i="15"/>
  <c r="AA84" i="21"/>
  <c r="J93" i="21"/>
  <c r="BH64" i="15"/>
  <c r="BH44" i="15"/>
  <c r="BL44" i="15"/>
  <c r="BL64" i="15"/>
  <c r="V44" i="21"/>
  <c r="AA44" i="21" s="1"/>
  <c r="E53" i="21"/>
  <c r="L67" i="30"/>
  <c r="W44" i="21"/>
  <c r="AB44" i="21" s="1"/>
  <c r="F53" i="21"/>
  <c r="AB45" i="21"/>
  <c r="K62" i="21"/>
  <c r="Y45" i="21"/>
  <c r="H62" i="21"/>
  <c r="B13" i="21"/>
  <c r="C11" i="21"/>
  <c r="BJ102" i="15"/>
  <c r="L80" i="30"/>
  <c r="L72" i="30"/>
  <c r="J72" i="30"/>
  <c r="J80" i="30"/>
  <c r="B160" i="21"/>
  <c r="B163" i="21"/>
  <c r="U128" i="21"/>
  <c r="D137" i="21"/>
  <c r="E93" i="21"/>
  <c r="V84" i="21"/>
  <c r="D93" i="21"/>
  <c r="U84" i="21"/>
  <c r="G93" i="21"/>
  <c r="X84" i="21"/>
  <c r="S84" i="21"/>
  <c r="B116" i="21"/>
  <c r="B93" i="21"/>
  <c r="BD64" i="15"/>
  <c r="BD44" i="15"/>
  <c r="K93" i="21"/>
  <c r="AB84" i="21"/>
  <c r="X45" i="21"/>
  <c r="G62" i="21"/>
  <c r="AX20" i="15"/>
  <c r="AX27" i="15"/>
  <c r="AX25" i="15"/>
  <c r="AX26" i="15"/>
  <c r="AX28" i="15"/>
  <c r="AX22" i="15"/>
  <c r="AX21" i="15"/>
  <c r="AX23" i="15"/>
  <c r="O28" i="21"/>
  <c r="BJ64" i="15"/>
  <c r="BJ44" i="15"/>
  <c r="Z84" i="21"/>
  <c r="I93" i="21"/>
  <c r="U44" i="21"/>
  <c r="Z44" i="21" s="1"/>
  <c r="D53" i="21"/>
  <c r="BA89" i="15"/>
  <c r="BA93" i="15" s="1"/>
  <c r="BA97" i="15" s="1"/>
  <c r="BA101" i="15" s="1"/>
  <c r="BA102" i="15" s="1"/>
  <c r="G137" i="21"/>
  <c r="X128" i="21"/>
  <c r="Y172" i="21"/>
  <c r="H181" i="21"/>
  <c r="J67" i="30"/>
  <c r="Y84" i="21"/>
  <c r="H93" i="21"/>
  <c r="BA64" i="15"/>
  <c r="BA44" i="15"/>
  <c r="M28" i="21"/>
  <c r="F13" i="21"/>
  <c r="G11" i="21"/>
  <c r="BC64" i="15"/>
  <c r="BC44" i="15"/>
  <c r="I181" i="21"/>
  <c r="AR49" i="15" l="1"/>
  <c r="AR47" i="15"/>
  <c r="AR51" i="15" s="1"/>
  <c r="AQ49" i="15"/>
  <c r="AQ47" i="15"/>
  <c r="AQ51" i="15" s="1"/>
  <c r="AE116" i="15"/>
  <c r="AF116" i="15" s="1"/>
  <c r="AF117" i="15"/>
  <c r="AF129" i="15"/>
  <c r="AF132" i="15"/>
  <c r="AF118" i="15"/>
  <c r="AF130" i="15"/>
  <c r="AF119" i="15"/>
  <c r="AF131" i="15"/>
  <c r="AF120" i="15"/>
  <c r="AF121" i="15"/>
  <c r="AF122" i="15"/>
  <c r="AF123" i="15"/>
  <c r="AF124" i="15"/>
  <c r="AF125" i="15"/>
  <c r="AF126" i="15"/>
  <c r="AF127" i="15"/>
  <c r="AF128" i="15"/>
  <c r="AA173" i="21"/>
  <c r="BB106" i="15"/>
  <c r="BB105" i="15"/>
  <c r="X173" i="21"/>
  <c r="Z47" i="21"/>
  <c r="I68" i="21"/>
  <c r="Z49" i="21" s="1"/>
  <c r="I102" i="21"/>
  <c r="Z85" i="21"/>
  <c r="W129" i="21"/>
  <c r="F146" i="21"/>
  <c r="U45" i="21"/>
  <c r="D62" i="21"/>
  <c r="G196" i="21"/>
  <c r="X177" i="21" s="1"/>
  <c r="X175" i="21"/>
  <c r="AA175" i="21"/>
  <c r="J196" i="21"/>
  <c r="AA177" i="21" s="1"/>
  <c r="E13" i="21"/>
  <c r="D14" i="21"/>
  <c r="Y173" i="21"/>
  <c r="H190" i="21"/>
  <c r="W45" i="21"/>
  <c r="F62" i="21"/>
  <c r="K146" i="21"/>
  <c r="AB129" i="21"/>
  <c r="J68" i="21"/>
  <c r="AA49" i="21" s="1"/>
  <c r="AA47" i="21"/>
  <c r="I146" i="21"/>
  <c r="Z129" i="21"/>
  <c r="X58" i="21"/>
  <c r="W58" i="21"/>
  <c r="AA58" i="21"/>
  <c r="U58" i="21"/>
  <c r="T58" i="21"/>
  <c r="AB58" i="21"/>
  <c r="Z58" i="21"/>
  <c r="Y58" i="21"/>
  <c r="V58" i="21"/>
  <c r="T45" i="21"/>
  <c r="C62" i="21"/>
  <c r="V183" i="21"/>
  <c r="W183" i="21"/>
  <c r="X183" i="21" s="1"/>
  <c r="Y183" i="21" s="1"/>
  <c r="Z183" i="21" s="1"/>
  <c r="AA183" i="21" s="1"/>
  <c r="AB183" i="21" s="1"/>
  <c r="X47" i="21"/>
  <c r="G68" i="21"/>
  <c r="X49" i="21" s="1"/>
  <c r="S45" i="21"/>
  <c r="B62" i="21"/>
  <c r="V85" i="21"/>
  <c r="E102" i="21"/>
  <c r="F102" i="21"/>
  <c r="W85" i="21"/>
  <c r="X55" i="21"/>
  <c r="W55" i="21"/>
  <c r="Y55" i="21"/>
  <c r="U55" i="21"/>
  <c r="V55" i="21"/>
  <c r="Z55" i="21"/>
  <c r="AA55" i="21"/>
  <c r="AB55" i="21"/>
  <c r="T55" i="21"/>
  <c r="H146" i="21"/>
  <c r="Y129" i="21"/>
  <c r="X85" i="21"/>
  <c r="G102" i="21"/>
  <c r="I190" i="21"/>
  <c r="Z173" i="21"/>
  <c r="AW44" i="15"/>
  <c r="G146" i="21"/>
  <c r="X129" i="21"/>
  <c r="AB85" i="21"/>
  <c r="K102" i="21"/>
  <c r="C13" i="21"/>
  <c r="B14" i="21"/>
  <c r="J102" i="21"/>
  <c r="AA85" i="21"/>
  <c r="H67" i="30"/>
  <c r="F190" i="21"/>
  <c r="W173" i="21"/>
  <c r="T85" i="21"/>
  <c r="C102" i="21"/>
  <c r="AB173" i="21"/>
  <c r="K190" i="21"/>
  <c r="U85" i="21"/>
  <c r="D102" i="21"/>
  <c r="H102" i="21"/>
  <c r="Y85" i="21"/>
  <c r="H72" i="30"/>
  <c r="H80" i="30"/>
  <c r="J146" i="21"/>
  <c r="AA129" i="21"/>
  <c r="D146" i="21"/>
  <c r="U129" i="21"/>
  <c r="V45" i="21"/>
  <c r="E62" i="21"/>
  <c r="H68" i="21"/>
  <c r="Y49" i="21" s="1"/>
  <c r="Y47" i="21"/>
  <c r="B102" i="21"/>
  <c r="B119" i="21" s="1"/>
  <c r="S85" i="21"/>
  <c r="V142" i="21"/>
  <c r="W142" i="21" s="1"/>
  <c r="X142" i="21" s="1"/>
  <c r="Y142" i="21" s="1"/>
  <c r="Z142" i="21" s="1"/>
  <c r="AA142" i="21" s="1"/>
  <c r="AB142" i="21" s="1"/>
  <c r="U142" i="21"/>
  <c r="AB47" i="21"/>
  <c r="K68" i="21"/>
  <c r="AB49" i="21" s="1"/>
  <c r="V129" i="21"/>
  <c r="E146" i="21"/>
  <c r="F14" i="21"/>
  <c r="G13" i="21"/>
  <c r="W95" i="21"/>
  <c r="X95" i="21" s="1"/>
  <c r="Y95" i="21" s="1"/>
  <c r="Z95" i="21" s="1"/>
  <c r="AA95" i="21" s="1"/>
  <c r="AB95" i="21" s="1"/>
  <c r="V95" i="21"/>
  <c r="U95" i="21"/>
  <c r="T95" i="21"/>
  <c r="S95" i="21"/>
  <c r="W139" i="21"/>
  <c r="X139" i="21" s="1"/>
  <c r="Y139" i="21" s="1"/>
  <c r="Z139" i="21" s="1"/>
  <c r="AA139" i="21" s="1"/>
  <c r="AB139" i="21" s="1"/>
  <c r="U139" i="21"/>
  <c r="V139" i="21"/>
  <c r="I13" i="21"/>
  <c r="H14" i="21"/>
  <c r="E196" i="21"/>
  <c r="V177" i="21" s="1"/>
  <c r="V175" i="21"/>
  <c r="AR44" i="21" l="1"/>
  <c r="AR50" i="21" s="1"/>
  <c r="AN44" i="21"/>
  <c r="AN50" i="21" s="1"/>
  <c r="AO44" i="21"/>
  <c r="AO50" i="21" s="1"/>
  <c r="AL44" i="21"/>
  <c r="AL50" i="21" s="1"/>
  <c r="AP44" i="21"/>
  <c r="AP50" i="21" s="1"/>
  <c r="AQ44" i="21"/>
  <c r="AQ50" i="21" s="1"/>
  <c r="W98" i="21"/>
  <c r="X98" i="21" s="1"/>
  <c r="Y98" i="21" s="1"/>
  <c r="Z98" i="21" s="1"/>
  <c r="AA98" i="21" s="1"/>
  <c r="AB98" i="21" s="1"/>
  <c r="V98" i="21"/>
  <c r="U98" i="21"/>
  <c r="T98" i="21"/>
  <c r="S98" i="21"/>
  <c r="C108" i="21"/>
  <c r="T89" i="21" s="1"/>
  <c r="T87" i="21"/>
  <c r="C14" i="21"/>
  <c r="B20" i="21"/>
  <c r="I196" i="21"/>
  <c r="Z177" i="21" s="1"/>
  <c r="Z175" i="21"/>
  <c r="F108" i="21"/>
  <c r="W89" i="21" s="1"/>
  <c r="W87" i="21"/>
  <c r="G108" i="21"/>
  <c r="X89" i="21" s="1"/>
  <c r="X87" i="21"/>
  <c r="H152" i="21"/>
  <c r="Y133" i="21" s="1"/>
  <c r="Y131" i="21"/>
  <c r="K152" i="21"/>
  <c r="AB133" i="21" s="1"/>
  <c r="AB131" i="21"/>
  <c r="Z87" i="21"/>
  <c r="I108" i="21"/>
  <c r="Z89" i="21" s="1"/>
  <c r="AA87" i="21"/>
  <c r="J108" i="21"/>
  <c r="AA89" i="21" s="1"/>
  <c r="F20" i="21"/>
  <c r="G14" i="21"/>
  <c r="F68" i="21"/>
  <c r="W49" i="21" s="1"/>
  <c r="W47" i="21"/>
  <c r="V87" i="21"/>
  <c r="E108" i="21"/>
  <c r="V89" i="21" s="1"/>
  <c r="AM44" i="21"/>
  <c r="AM50" i="21" s="1"/>
  <c r="D108" i="21"/>
  <c r="U89" i="21" s="1"/>
  <c r="U87" i="21"/>
  <c r="F196" i="21"/>
  <c r="W177" i="21" s="1"/>
  <c r="W175" i="21"/>
  <c r="K108" i="21"/>
  <c r="AB89" i="21" s="1"/>
  <c r="AB87" i="21"/>
  <c r="H196" i="21"/>
  <c r="Y177" i="21" s="1"/>
  <c r="Y175" i="21"/>
  <c r="T47" i="21"/>
  <c r="C68" i="21"/>
  <c r="T49" i="21" s="1"/>
  <c r="D68" i="21"/>
  <c r="U49" i="21" s="1"/>
  <c r="U47" i="21"/>
  <c r="I14" i="21"/>
  <c r="H20" i="21"/>
  <c r="E152" i="21"/>
  <c r="V133" i="21" s="1"/>
  <c r="V131" i="21"/>
  <c r="AJ44" i="21"/>
  <c r="AJ50" i="21" s="1"/>
  <c r="I152" i="21"/>
  <c r="Z133" i="21" s="1"/>
  <c r="Z131" i="21"/>
  <c r="AK44" i="21"/>
  <c r="AK50" i="21" s="1"/>
  <c r="D152" i="21"/>
  <c r="U133" i="21" s="1"/>
  <c r="U131" i="21"/>
  <c r="H108" i="21"/>
  <c r="Y89" i="21" s="1"/>
  <c r="Y87" i="21"/>
  <c r="B108" i="21"/>
  <c r="S89" i="21" s="1"/>
  <c r="S87" i="21"/>
  <c r="K196" i="21"/>
  <c r="AB177" i="21" s="1"/>
  <c r="AB175" i="21"/>
  <c r="G152" i="21"/>
  <c r="X133" i="21" s="1"/>
  <c r="X131" i="21"/>
  <c r="S47" i="21"/>
  <c r="B68" i="21"/>
  <c r="S49" i="21" s="1"/>
  <c r="F152" i="21"/>
  <c r="W133" i="21" s="1"/>
  <c r="W131" i="21"/>
  <c r="E68" i="21"/>
  <c r="V49" i="21" s="1"/>
  <c r="V47" i="21"/>
  <c r="AA131" i="21"/>
  <c r="J152" i="21"/>
  <c r="AA133" i="21" s="1"/>
  <c r="AI44" i="21"/>
  <c r="AI50" i="21" s="1"/>
  <c r="D20" i="21"/>
  <c r="E14" i="21"/>
  <c r="AN45" i="21" l="1"/>
  <c r="AN51" i="21" s="1"/>
  <c r="AQ46" i="21"/>
  <c r="AQ52" i="21" s="1"/>
  <c r="AJ46" i="21"/>
  <c r="AJ52" i="21" s="1"/>
  <c r="AQ45" i="21"/>
  <c r="AQ51" i="21" s="1"/>
  <c r="AO45" i="21"/>
  <c r="AO51" i="21" s="1"/>
  <c r="AO46" i="21"/>
  <c r="AO52" i="21" s="1"/>
  <c r="AL45" i="21"/>
  <c r="AL51" i="21" s="1"/>
  <c r="AI46" i="21"/>
  <c r="AI52" i="21" s="1"/>
  <c r="AP45" i="21"/>
  <c r="AP51" i="21" s="1"/>
  <c r="AP46" i="21"/>
  <c r="AP52" i="21" s="1"/>
  <c r="AR46" i="21"/>
  <c r="AR52" i="21" s="1"/>
  <c r="AL46" i="21"/>
  <c r="AL52" i="21" s="1"/>
  <c r="AI45" i="21"/>
  <c r="AI51" i="21" s="1"/>
  <c r="AK46" i="21"/>
  <c r="AK52" i="21" s="1"/>
  <c r="AR45" i="21"/>
  <c r="AR51" i="21" s="1"/>
  <c r="AK45" i="21"/>
  <c r="AK51" i="21" s="1"/>
  <c r="AJ45" i="21"/>
  <c r="AJ51" i="21" s="1"/>
  <c r="AN46" i="21"/>
  <c r="AN52" i="21" s="1"/>
  <c r="AM46" i="21"/>
  <c r="AM52" i="21" s="1"/>
  <c r="D26" i="21"/>
  <c r="E26" i="21" s="1"/>
  <c r="E20" i="21"/>
  <c r="B26" i="21"/>
  <c r="C26" i="21" s="1"/>
  <c r="C20" i="21"/>
  <c r="G20" i="21"/>
  <c r="F26" i="21"/>
  <c r="G26" i="21" s="1"/>
  <c r="H26" i="21"/>
  <c r="I26" i="21" s="1"/>
  <c r="I20" i="21"/>
  <c r="AM45" i="21"/>
  <c r="AM51" i="21" s="1"/>
  <c r="J29" i="30" l="1"/>
  <c r="J66" i="30" s="1"/>
  <c r="DR4" i="7" a="1"/>
  <c r="DN4" i="7" a="1"/>
  <c r="DN4" i="7" s="1"/>
  <c r="DZ24" i="7" s="1" a="1"/>
  <c r="DL4" i="7" a="1"/>
  <c r="DL4" i="7" s="1"/>
  <c r="DR24" i="7" s="1" a="1"/>
  <c r="DS4" i="7" a="1"/>
  <c r="DS4" i="7" s="1"/>
  <c r="ET24" i="7" s="1" a="1"/>
  <c r="DK4" i="7" a="1"/>
  <c r="DK4" i="7" s="1"/>
  <c r="DN24" i="7" s="1" a="1"/>
  <c r="DM4" i="7" a="1"/>
  <c r="DM4" i="7" s="1"/>
  <c r="DV24" i="7" s="1" a="1"/>
  <c r="DJ4" i="7" a="1"/>
  <c r="DJ4" i="7" s="1"/>
  <c r="DJ24" i="7" s="1" a="1"/>
  <c r="DP4" i="7" a="1"/>
  <c r="DO4" i="7" a="1"/>
  <c r="DQ4" i="7" a="1"/>
  <c r="DQ4" i="7" s="1"/>
  <c r="EL24" i="7" s="1" a="1"/>
  <c r="J24" i="30"/>
  <c r="J25" i="30"/>
  <c r="J62" i="30" s="1"/>
  <c r="J27" i="30" l="1"/>
  <c r="J64" i="30" s="1"/>
  <c r="J28" i="30"/>
  <c r="J65" i="30" s="1"/>
  <c r="CC48" i="7"/>
  <c r="CC47" i="7"/>
  <c r="CC61" i="7"/>
  <c r="CC49" i="7"/>
  <c r="CC54" i="7"/>
  <c r="CC58" i="7"/>
  <c r="CC51" i="7"/>
  <c r="CC55" i="7"/>
  <c r="CC50" i="7"/>
  <c r="CC56" i="7"/>
  <c r="CC53" i="7"/>
  <c r="CC59" i="7"/>
  <c r="DV24" i="7"/>
  <c r="CC57" i="7"/>
  <c r="CC60" i="7"/>
  <c r="CC62" i="7"/>
  <c r="CC52" i="7"/>
  <c r="J61" i="30"/>
  <c r="BU47" i="7"/>
  <c r="BU52" i="7"/>
  <c r="BU53" i="7"/>
  <c r="DO27" i="7"/>
  <c r="DO31" i="7"/>
  <c r="DO28" i="7"/>
  <c r="DO30" i="7"/>
  <c r="DO29" i="7"/>
  <c r="BU51" i="7"/>
  <c r="BU48" i="7"/>
  <c r="DO26" i="7"/>
  <c r="BU50" i="7"/>
  <c r="BU49" i="7"/>
  <c r="DN24" i="7"/>
  <c r="BU54" i="7"/>
  <c r="DO32" i="7"/>
  <c r="DO25" i="7"/>
  <c r="K25" i="30"/>
  <c r="K62" i="30" s="1"/>
  <c r="K27" i="30"/>
  <c r="K64" i="30" s="1"/>
  <c r="K29" i="30"/>
  <c r="K66" i="30" s="1"/>
  <c r="K28" i="30"/>
  <c r="K65" i="30" s="1"/>
  <c r="EU36" i="7"/>
  <c r="EU34" i="7"/>
  <c r="DA56" i="7"/>
  <c r="EU26" i="7"/>
  <c r="DA49" i="7"/>
  <c r="EU38" i="7"/>
  <c r="DA54" i="7"/>
  <c r="EU27" i="7"/>
  <c r="DA53" i="7"/>
  <c r="EU39" i="7"/>
  <c r="DA52" i="7"/>
  <c r="EU40" i="7"/>
  <c r="DA60" i="7"/>
  <c r="EU29" i="7"/>
  <c r="ET24" i="7"/>
  <c r="EU31" i="7"/>
  <c r="DA50" i="7"/>
  <c r="EU32" i="7"/>
  <c r="DA51" i="7"/>
  <c r="EU30" i="7"/>
  <c r="DA61" i="7"/>
  <c r="EU25" i="7"/>
  <c r="DA62" i="7"/>
  <c r="DA55" i="7"/>
  <c r="EU28" i="7"/>
  <c r="DA59" i="7"/>
  <c r="EU35" i="7"/>
  <c r="EU33" i="7"/>
  <c r="EU37" i="7"/>
  <c r="DA57" i="7"/>
  <c r="DA58" i="7"/>
  <c r="DA47" i="7"/>
  <c r="DA48" i="7"/>
  <c r="CS55" i="7"/>
  <c r="EL24" i="7"/>
  <c r="CS60" i="7"/>
  <c r="CS53" i="7"/>
  <c r="CS52" i="7"/>
  <c r="CS51" i="7"/>
  <c r="CS59" i="7"/>
  <c r="CS62" i="7"/>
  <c r="CS57" i="7"/>
  <c r="CS47" i="7"/>
  <c r="CS50" i="7"/>
  <c r="CS54" i="7"/>
  <c r="CS48" i="7"/>
  <c r="CS56" i="7"/>
  <c r="CS61" i="7"/>
  <c r="CS49" i="7"/>
  <c r="CS58" i="7"/>
  <c r="F24" i="30"/>
  <c r="F29" i="30"/>
  <c r="F66" i="30" s="1"/>
  <c r="F25" i="30"/>
  <c r="F62" i="30" s="1"/>
  <c r="F27" i="30"/>
  <c r="F64" i="30" s="1"/>
  <c r="F28" i="30"/>
  <c r="F65" i="30" s="1"/>
  <c r="I24" i="30"/>
  <c r="I25" i="30"/>
  <c r="I62" i="30" s="1"/>
  <c r="I29" i="30"/>
  <c r="I66" i="30" s="1"/>
  <c r="I27" i="30"/>
  <c r="I64" i="30" s="1"/>
  <c r="I28" i="30"/>
  <c r="I65" i="30" s="1"/>
  <c r="DO4" i="7"/>
  <c r="CA128" i="7"/>
  <c r="ES128" i="7" s="1"/>
  <c r="CH118" i="7"/>
  <c r="EZ118" i="7" s="1"/>
  <c r="BS123" i="7"/>
  <c r="EK123" i="7" s="1"/>
  <c r="BR127" i="7"/>
  <c r="EJ127" i="7" s="1"/>
  <c r="CJ124" i="7"/>
  <c r="FB124" i="7" s="1"/>
  <c r="BZ121" i="7"/>
  <c r="ER121" i="7" s="1"/>
  <c r="BX125" i="7"/>
  <c r="EP125" i="7" s="1"/>
  <c r="BZ132" i="7"/>
  <c r="ER132" i="7" s="1"/>
  <c r="BY117" i="7"/>
  <c r="CD122" i="7"/>
  <c r="EV122" i="7" s="1"/>
  <c r="CI120" i="7"/>
  <c r="FA120" i="7" s="1"/>
  <c r="BS127" i="7"/>
  <c r="EK127" i="7" s="1"/>
  <c r="BQ132" i="7"/>
  <c r="EI132" i="7" s="1"/>
  <c r="BT124" i="7"/>
  <c r="EL124" i="7" s="1"/>
  <c r="CC126" i="7"/>
  <c r="BS130" i="7"/>
  <c r="EK130" i="7" s="1"/>
  <c r="BX118" i="7"/>
  <c r="EP118" i="7" s="1"/>
  <c r="BS131" i="7"/>
  <c r="EK131" i="7" s="1"/>
  <c r="BX128" i="7"/>
  <c r="EP128" i="7" s="1"/>
  <c r="CA130" i="7"/>
  <c r="ES130" i="7" s="1"/>
  <c r="CE119" i="7"/>
  <c r="EW119" i="7" s="1"/>
  <c r="BW124" i="7"/>
  <c r="EO124" i="7" s="1"/>
  <c r="CB132" i="7"/>
  <c r="ET132" i="7" s="1"/>
  <c r="BZ122" i="7"/>
  <c r="ER122" i="7" s="1"/>
  <c r="BZ126" i="7"/>
  <c r="ER126" i="7" s="1"/>
  <c r="CG129" i="7"/>
  <c r="CF126" i="7"/>
  <c r="EX126" i="7" s="1"/>
  <c r="CI125" i="7"/>
  <c r="FA125" i="7" s="1"/>
  <c r="CG127" i="7"/>
  <c r="CJ119" i="7"/>
  <c r="FB119" i="7" s="1"/>
  <c r="BX124" i="7"/>
  <c r="EP124" i="7" s="1"/>
  <c r="CD123" i="7"/>
  <c r="EV123" i="7" s="1"/>
  <c r="CC129" i="7"/>
  <c r="CJ129" i="7"/>
  <c r="FB129" i="7" s="1"/>
  <c r="BQ122" i="7"/>
  <c r="EI122" i="7" s="1"/>
  <c r="CB119" i="7"/>
  <c r="ET119" i="7" s="1"/>
  <c r="CF120" i="7"/>
  <c r="EX120" i="7" s="1"/>
  <c r="BW121" i="7"/>
  <c r="EO121" i="7" s="1"/>
  <c r="BU117" i="7"/>
  <c r="CH119" i="7"/>
  <c r="EZ119" i="7" s="1"/>
  <c r="BU122" i="7"/>
  <c r="BS120" i="7"/>
  <c r="EK120" i="7" s="1"/>
  <c r="BY130" i="7"/>
  <c r="EQ130" i="7" s="1"/>
  <c r="CC120" i="7"/>
  <c r="CI119" i="7"/>
  <c r="FA119" i="7" s="1"/>
  <c r="BW120" i="7"/>
  <c r="EO120" i="7" s="1"/>
  <c r="BR130" i="7"/>
  <c r="EJ130" i="7" s="1"/>
  <c r="CD129" i="7"/>
  <c r="EV129" i="7" s="1"/>
  <c r="CB128" i="7"/>
  <c r="ET128" i="7" s="1"/>
  <c r="BU131" i="7"/>
  <c r="EM131" i="7" s="1"/>
  <c r="CG122" i="7"/>
  <c r="CD131" i="7"/>
  <c r="EV131" i="7" s="1"/>
  <c r="CE127" i="7"/>
  <c r="EW127" i="7" s="1"/>
  <c r="CD124" i="7"/>
  <c r="EV124" i="7" s="1"/>
  <c r="BU120" i="7"/>
  <c r="CE125" i="7"/>
  <c r="EW125" i="7" s="1"/>
  <c r="CE120" i="7"/>
  <c r="EW120" i="7" s="1"/>
  <c r="CB126" i="7"/>
  <c r="ET126" i="7" s="1"/>
  <c r="BZ125" i="7"/>
  <c r="ER125" i="7" s="1"/>
  <c r="CA123" i="7"/>
  <c r="ES123" i="7" s="1"/>
  <c r="BW117" i="7"/>
  <c r="EO117" i="7" s="1"/>
  <c r="CJ121" i="7"/>
  <c r="FB121" i="7" s="1"/>
  <c r="CI117" i="7"/>
  <c r="FA117" i="7" s="1"/>
  <c r="BS119" i="7"/>
  <c r="EK119" i="7" s="1"/>
  <c r="BQ125" i="7"/>
  <c r="EI125" i="7" s="1"/>
  <c r="CG119" i="7"/>
  <c r="BV132" i="7"/>
  <c r="EN132" i="7" s="1"/>
  <c r="CD125" i="7"/>
  <c r="EV125" i="7" s="1"/>
  <c r="CI124" i="7"/>
  <c r="FA124" i="7" s="1"/>
  <c r="CC123" i="7"/>
  <c r="BZ128" i="7"/>
  <c r="ER128" i="7" s="1"/>
  <c r="BX132" i="7"/>
  <c r="EP132" i="7" s="1"/>
  <c r="CB118" i="7"/>
  <c r="ET118" i="7" s="1"/>
  <c r="BT129" i="7"/>
  <c r="EL129" i="7" s="1"/>
  <c r="CF117" i="7"/>
  <c r="EX117" i="7" s="1"/>
  <c r="BV131" i="7"/>
  <c r="EN131" i="7" s="1"/>
  <c r="BV128" i="7"/>
  <c r="EN128" i="7" s="1"/>
  <c r="CG131" i="7"/>
  <c r="CI123" i="7"/>
  <c r="FA123" i="7" s="1"/>
  <c r="CC128" i="7"/>
  <c r="CB124" i="7"/>
  <c r="ET124" i="7" s="1"/>
  <c r="CF122" i="7"/>
  <c r="EX122" i="7" s="1"/>
  <c r="BW119" i="7"/>
  <c r="EO119" i="7" s="1"/>
  <c r="BZ118" i="7"/>
  <c r="ER118" i="7" s="1"/>
  <c r="CC125" i="7"/>
  <c r="BQ117" i="7"/>
  <c r="CF129" i="7"/>
  <c r="EX129" i="7" s="1"/>
  <c r="BX127" i="7"/>
  <c r="EP127" i="7" s="1"/>
  <c r="BQ129" i="7"/>
  <c r="EI129" i="7" s="1"/>
  <c r="CA121" i="7"/>
  <c r="ES121" i="7" s="1"/>
  <c r="CI127" i="7"/>
  <c r="FA127" i="7" s="1"/>
  <c r="BW122" i="7"/>
  <c r="EO122" i="7" s="1"/>
  <c r="CG124" i="7"/>
  <c r="CE128" i="7"/>
  <c r="EW128" i="7" s="1"/>
  <c r="BQ118" i="7"/>
  <c r="CJ127" i="7"/>
  <c r="FB127" i="7" s="1"/>
  <c r="CC130" i="7"/>
  <c r="BT132" i="7"/>
  <c r="EL132" i="7" s="1"/>
  <c r="CH125" i="7"/>
  <c r="EZ125" i="7" s="1"/>
  <c r="BX117" i="7"/>
  <c r="EP117" i="7" s="1"/>
  <c r="CI121" i="7"/>
  <c r="FA121" i="7" s="1"/>
  <c r="CJ117" i="7"/>
  <c r="FB117" i="7" s="1"/>
  <c r="CC127" i="7"/>
  <c r="BT127" i="7"/>
  <c r="EL127" i="7" s="1"/>
  <c r="CA124" i="7"/>
  <c r="ES124" i="7" s="1"/>
  <c r="CA132" i="7"/>
  <c r="ES132" i="7" s="1"/>
  <c r="BT130" i="7"/>
  <c r="EL130" i="7" s="1"/>
  <c r="CA126" i="7"/>
  <c r="ES126" i="7" s="1"/>
  <c r="BW128" i="7"/>
  <c r="EO128" i="7" s="1"/>
  <c r="CJ126" i="7"/>
  <c r="FB126" i="7" s="1"/>
  <c r="BZ131" i="7"/>
  <c r="ER131" i="7" s="1"/>
  <c r="CG123" i="7"/>
  <c r="CC122" i="7"/>
  <c r="BY128" i="7"/>
  <c r="BV130" i="7"/>
  <c r="EN130" i="7" s="1"/>
  <c r="CA117" i="7"/>
  <c r="ES117" i="7" s="1"/>
  <c r="BX122" i="7"/>
  <c r="EP122" i="7" s="1"/>
  <c r="CA125" i="7"/>
  <c r="ES125" i="7" s="1"/>
  <c r="CG125" i="7"/>
  <c r="BV129" i="7"/>
  <c r="EN129" i="7" s="1"/>
  <c r="BR132" i="7"/>
  <c r="EJ132" i="7" s="1"/>
  <c r="CG120" i="7"/>
  <c r="CF128" i="7"/>
  <c r="EX128" i="7" s="1"/>
  <c r="BR125" i="7"/>
  <c r="EJ125" i="7" s="1"/>
  <c r="BW123" i="7"/>
  <c r="EO123" i="7" s="1"/>
  <c r="CF131" i="7"/>
  <c r="EX131" i="7" s="1"/>
  <c r="BY118" i="7"/>
  <c r="CE124" i="7"/>
  <c r="EW124" i="7" s="1"/>
  <c r="CF118" i="7"/>
  <c r="EX118" i="7" s="1"/>
  <c r="CI132" i="7"/>
  <c r="FA132" i="7" s="1"/>
  <c r="BV121" i="7"/>
  <c r="EN121" i="7" s="1"/>
  <c r="BS121" i="7"/>
  <c r="EK121" i="7" s="1"/>
  <c r="CJ125" i="7"/>
  <c r="FB125" i="7" s="1"/>
  <c r="CD126" i="7"/>
  <c r="EV126" i="7" s="1"/>
  <c r="CA129" i="7"/>
  <c r="ES129" i="7" s="1"/>
  <c r="CC117" i="7"/>
  <c r="CC131" i="7"/>
  <c r="CB120" i="7"/>
  <c r="ET120" i="7" s="1"/>
  <c r="CE123" i="7"/>
  <c r="EW123" i="7" s="1"/>
  <c r="BS129" i="7"/>
  <c r="EK129" i="7" s="1"/>
  <c r="CG126" i="7"/>
  <c r="CD121" i="7"/>
  <c r="EV121" i="7" s="1"/>
  <c r="BX119" i="7"/>
  <c r="EP119" i="7" s="1"/>
  <c r="BQ120" i="7"/>
  <c r="BS128" i="7"/>
  <c r="EK128" i="7" s="1"/>
  <c r="CG117" i="7"/>
  <c r="BX130" i="7"/>
  <c r="EP130" i="7" s="1"/>
  <c r="CE130" i="7"/>
  <c r="EW130" i="7" s="1"/>
  <c r="CB129" i="7"/>
  <c r="ET129" i="7" s="1"/>
  <c r="BW131" i="7"/>
  <c r="EO131" i="7" s="1"/>
  <c r="BU129" i="7"/>
  <c r="EM129" i="7" s="1"/>
  <c r="CG121" i="7"/>
  <c r="CH123" i="7"/>
  <c r="EZ123" i="7" s="1"/>
  <c r="BR131" i="7"/>
  <c r="EJ131" i="7" s="1"/>
  <c r="BW130" i="7"/>
  <c r="EO130" i="7" s="1"/>
  <c r="CA118" i="7"/>
  <c r="ES118" i="7" s="1"/>
  <c r="CH129" i="7"/>
  <c r="EZ129" i="7" s="1"/>
  <c r="BT126" i="7"/>
  <c r="EL126" i="7" s="1"/>
  <c r="BQ131" i="7"/>
  <c r="EI131" i="7" s="1"/>
  <c r="CA127" i="7"/>
  <c r="ES127" i="7" s="1"/>
  <c r="BV124" i="7"/>
  <c r="EN124" i="7" s="1"/>
  <c r="BX126" i="7"/>
  <c r="EP126" i="7" s="1"/>
  <c r="CE121" i="7"/>
  <c r="EW121" i="7" s="1"/>
  <c r="BY121" i="7"/>
  <c r="CJ123" i="7"/>
  <c r="FB123" i="7" s="1"/>
  <c r="BU130" i="7"/>
  <c r="EM130" i="7" s="1"/>
  <c r="BW132" i="7"/>
  <c r="EO132" i="7" s="1"/>
  <c r="BT118" i="7"/>
  <c r="EL118" i="7" s="1"/>
  <c r="CB127" i="7"/>
  <c r="ET127" i="7" s="1"/>
  <c r="BR124" i="7"/>
  <c r="EJ124" i="7" s="1"/>
  <c r="BT125" i="7"/>
  <c r="EL125" i="7" s="1"/>
  <c r="CE117" i="7"/>
  <c r="EW117" i="7" s="1"/>
  <c r="BQ127" i="7"/>
  <c r="EI127" i="7" s="1"/>
  <c r="BX131" i="7"/>
  <c r="EP131" i="7" s="1"/>
  <c r="CH132" i="7"/>
  <c r="EZ132" i="7" s="1"/>
  <c r="CI129" i="7"/>
  <c r="FA129" i="7" s="1"/>
  <c r="BX121" i="7"/>
  <c r="EP121" i="7" s="1"/>
  <c r="BU128" i="7"/>
  <c r="EM128" i="7" s="1"/>
  <c r="CE126" i="7"/>
  <c r="EW126" i="7" s="1"/>
  <c r="BY126" i="7"/>
  <c r="CB121" i="7"/>
  <c r="ET121" i="7" s="1"/>
  <c r="CB122" i="7"/>
  <c r="ET122" i="7" s="1"/>
  <c r="CJ122" i="7"/>
  <c r="FB122" i="7" s="1"/>
  <c r="BT128" i="7"/>
  <c r="EL128" i="7" s="1"/>
  <c r="BT131" i="7"/>
  <c r="EL131" i="7" s="1"/>
  <c r="CB130" i="7"/>
  <c r="ET130" i="7" s="1"/>
  <c r="BT122" i="7"/>
  <c r="EL122" i="7" s="1"/>
  <c r="BR120" i="7"/>
  <c r="EJ120" i="7" s="1"/>
  <c r="BR119" i="7"/>
  <c r="EJ119" i="7" s="1"/>
  <c r="CC119" i="7"/>
  <c r="CA131" i="7"/>
  <c r="ES131" i="7" s="1"/>
  <c r="CD127" i="7"/>
  <c r="EV127" i="7" s="1"/>
  <c r="CF130" i="7"/>
  <c r="EX130" i="7" s="1"/>
  <c r="CE132" i="7"/>
  <c r="EW132" i="7" s="1"/>
  <c r="CA119" i="7"/>
  <c r="ES119" i="7" s="1"/>
  <c r="CJ130" i="7"/>
  <c r="FB130" i="7" s="1"/>
  <c r="BZ117" i="7"/>
  <c r="ER117" i="7" s="1"/>
  <c r="BV125" i="7"/>
  <c r="EN125" i="7" s="1"/>
  <c r="CB123" i="7"/>
  <c r="ET123" i="7" s="1"/>
  <c r="BS124" i="7"/>
  <c r="EK124" i="7" s="1"/>
  <c r="CH121" i="7"/>
  <c r="EZ121" i="7" s="1"/>
  <c r="CF132" i="7"/>
  <c r="EX132" i="7" s="1"/>
  <c r="CE118" i="7"/>
  <c r="EW118" i="7" s="1"/>
  <c r="BV117" i="7"/>
  <c r="EN117" i="7" s="1"/>
  <c r="BQ124" i="7"/>
  <c r="EI124" i="7" s="1"/>
  <c r="CH124" i="7"/>
  <c r="EZ124" i="7" s="1"/>
  <c r="CJ131" i="7"/>
  <c r="FB131" i="7" s="1"/>
  <c r="BT121" i="7"/>
  <c r="EL121" i="7" s="1"/>
  <c r="CJ132" i="7"/>
  <c r="FB132" i="7" s="1"/>
  <c r="BQ126" i="7"/>
  <c r="EI126" i="7" s="1"/>
  <c r="BS125" i="7"/>
  <c r="EK125" i="7" s="1"/>
  <c r="BV123" i="7"/>
  <c r="EN123" i="7" s="1"/>
  <c r="CJ128" i="7"/>
  <c r="FB128" i="7" s="1"/>
  <c r="BW125" i="7"/>
  <c r="EO125" i="7" s="1"/>
  <c r="BU132" i="7"/>
  <c r="EM132" i="7" s="1"/>
  <c r="BQ123" i="7"/>
  <c r="EI123" i="7" s="1"/>
  <c r="BR121" i="7"/>
  <c r="EJ121" i="7" s="1"/>
  <c r="BS117" i="7"/>
  <c r="EK117" i="7" s="1"/>
  <c r="CI130" i="7"/>
  <c r="FA130" i="7" s="1"/>
  <c r="BX120" i="7"/>
  <c r="EP120" i="7" s="1"/>
  <c r="BW129" i="7"/>
  <c r="EO129" i="7" s="1"/>
  <c r="BZ127" i="7"/>
  <c r="ER127" i="7" s="1"/>
  <c r="CD128" i="7"/>
  <c r="EV128" i="7" s="1"/>
  <c r="CI128" i="7"/>
  <c r="FA128" i="7" s="1"/>
  <c r="CG130" i="7"/>
  <c r="BR128" i="7"/>
  <c r="EJ128" i="7" s="1"/>
  <c r="BZ120" i="7"/>
  <c r="ER120" i="7" s="1"/>
  <c r="BY122" i="7"/>
  <c r="BZ129" i="7"/>
  <c r="ER129" i="7" s="1"/>
  <c r="BY120" i="7"/>
  <c r="CG128" i="7"/>
  <c r="BY119" i="7"/>
  <c r="CA122" i="7"/>
  <c r="ES122" i="7" s="1"/>
  <c r="CF124" i="7"/>
  <c r="EX124" i="7" s="1"/>
  <c r="CE122" i="7"/>
  <c r="EW122" i="7" s="1"/>
  <c r="BU119" i="7"/>
  <c r="BY123" i="7"/>
  <c r="CD132" i="7"/>
  <c r="EV132" i="7" s="1"/>
  <c r="CC118" i="7"/>
  <c r="BR129" i="7"/>
  <c r="EJ129" i="7" s="1"/>
  <c r="CH117" i="7"/>
  <c r="EZ117" i="7" s="1"/>
  <c r="BS118" i="7"/>
  <c r="EK118" i="7" s="1"/>
  <c r="BV120" i="7"/>
  <c r="EN120" i="7" s="1"/>
  <c r="CI126" i="7"/>
  <c r="FA126" i="7" s="1"/>
  <c r="CE129" i="7"/>
  <c r="EW129" i="7" s="1"/>
  <c r="BV122" i="7"/>
  <c r="EN122" i="7" s="1"/>
  <c r="BT123" i="7"/>
  <c r="EL123" i="7" s="1"/>
  <c r="BY125" i="7"/>
  <c r="CG118" i="7"/>
  <c r="BR117" i="7"/>
  <c r="EJ117" i="7" s="1"/>
  <c r="BY132" i="7"/>
  <c r="EQ132" i="7" s="1"/>
  <c r="BQ119" i="7"/>
  <c r="BZ119" i="7"/>
  <c r="ER119" i="7" s="1"/>
  <c r="CC121" i="7"/>
  <c r="CD118" i="7"/>
  <c r="EV118" i="7" s="1"/>
  <c r="BV126" i="7"/>
  <c r="EN126" i="7" s="1"/>
  <c r="BY124" i="7"/>
  <c r="BQ128" i="7"/>
  <c r="EI128" i="7" s="1"/>
  <c r="BX129" i="7"/>
  <c r="EP129" i="7" s="1"/>
  <c r="CE131" i="7"/>
  <c r="EW131" i="7" s="1"/>
  <c r="CD117" i="7"/>
  <c r="EV117" i="7" s="1"/>
  <c r="CH130" i="7"/>
  <c r="EZ130" i="7" s="1"/>
  <c r="CB125" i="7"/>
  <c r="ET125" i="7" s="1"/>
  <c r="ET139" i="7" s="1"/>
  <c r="BU126" i="7"/>
  <c r="EM126" i="7" s="1"/>
  <c r="BY129" i="7"/>
  <c r="EQ129" i="7" s="1"/>
  <c r="CF119" i="7"/>
  <c r="EX119" i="7" s="1"/>
  <c r="CI131" i="7"/>
  <c r="FA131" i="7" s="1"/>
  <c r="BZ130" i="7"/>
  <c r="ER130" i="7" s="1"/>
  <c r="BR126" i="7"/>
  <c r="EJ126" i="7" s="1"/>
  <c r="BU118" i="7"/>
  <c r="CI122" i="7"/>
  <c r="FA122" i="7" s="1"/>
  <c r="BW118" i="7"/>
  <c r="EO118" i="7" s="1"/>
  <c r="CH120" i="7"/>
  <c r="EZ120" i="7" s="1"/>
  <c r="BU124" i="7"/>
  <c r="BS126" i="7"/>
  <c r="EK126" i="7" s="1"/>
  <c r="CC132" i="7"/>
  <c r="BV127" i="7"/>
  <c r="EN127" i="7" s="1"/>
  <c r="BX123" i="7"/>
  <c r="EP123" i="7" s="1"/>
  <c r="BR123" i="7"/>
  <c r="EJ123" i="7" s="1"/>
  <c r="BV119" i="7"/>
  <c r="EN119" i="7" s="1"/>
  <c r="CJ118" i="7"/>
  <c r="FB118" i="7" s="1"/>
  <c r="CC124" i="7"/>
  <c r="BY127" i="7"/>
  <c r="CB117" i="7"/>
  <c r="ET117" i="7" s="1"/>
  <c r="CH131" i="7"/>
  <c r="EZ131" i="7" s="1"/>
  <c r="CF127" i="7"/>
  <c r="EX127" i="7" s="1"/>
  <c r="BU123" i="7"/>
  <c r="CB131" i="7"/>
  <c r="ET131" i="7" s="1"/>
  <c r="BQ130" i="7"/>
  <c r="EI130" i="7" s="1"/>
  <c r="BT120" i="7"/>
  <c r="EL120" i="7" s="1"/>
  <c r="BT119" i="7"/>
  <c r="EL119" i="7" s="1"/>
  <c r="BW126" i="7"/>
  <c r="EO126" i="7" s="1"/>
  <c r="CH128" i="7"/>
  <c r="EZ128" i="7" s="1"/>
  <c r="CF123" i="7"/>
  <c r="EX123" i="7" s="1"/>
  <c r="BU125" i="7"/>
  <c r="EM125" i="7" s="1"/>
  <c r="CG132" i="7"/>
  <c r="BU121" i="7"/>
  <c r="CJ120" i="7"/>
  <c r="FB120" i="7" s="1"/>
  <c r="BS132" i="7"/>
  <c r="EK132" i="7" s="1"/>
  <c r="BS122" i="7"/>
  <c r="EK122" i="7" s="1"/>
  <c r="CA120" i="7"/>
  <c r="ES120" i="7" s="1"/>
  <c r="CH122" i="7"/>
  <c r="EZ122" i="7" s="1"/>
  <c r="CD130" i="7"/>
  <c r="EV130" i="7" s="1"/>
  <c r="CH126" i="7"/>
  <c r="EZ126" i="7" s="1"/>
  <c r="CI118" i="7"/>
  <c r="FA118" i="7" s="1"/>
  <c r="BV118" i="7"/>
  <c r="EN118" i="7" s="1"/>
  <c r="BW127" i="7"/>
  <c r="EO127" i="7" s="1"/>
  <c r="CD120" i="7"/>
  <c r="EV120" i="7" s="1"/>
  <c r="BU127" i="7"/>
  <c r="EM127" i="7" s="1"/>
  <c r="CF121" i="7"/>
  <c r="EX121" i="7" s="1"/>
  <c r="BR122" i="7"/>
  <c r="EJ122" i="7" s="1"/>
  <c r="CH127" i="7"/>
  <c r="EZ127" i="7" s="1"/>
  <c r="BZ123" i="7"/>
  <c r="ER123" i="7" s="1"/>
  <c r="BQ121" i="7"/>
  <c r="EI121" i="7" s="1"/>
  <c r="EI138" i="7" s="1"/>
  <c r="CD119" i="7"/>
  <c r="EV119" i="7" s="1"/>
  <c r="BY131" i="7"/>
  <c r="EQ131" i="7" s="1"/>
  <c r="BZ124" i="7"/>
  <c r="ER124" i="7" s="1"/>
  <c r="CF125" i="7"/>
  <c r="EX125" i="7" s="1"/>
  <c r="BT117" i="7"/>
  <c r="EL117" i="7" s="1"/>
  <c r="BR118" i="7"/>
  <c r="EJ118" i="7" s="1"/>
  <c r="DS36" i="7"/>
  <c r="BY51" i="7"/>
  <c r="DS35" i="7"/>
  <c r="DS34" i="7"/>
  <c r="DS26" i="7"/>
  <c r="BY54" i="7"/>
  <c r="BY48" i="7"/>
  <c r="DS27" i="7"/>
  <c r="DS29" i="7"/>
  <c r="BY53" i="7"/>
  <c r="BY49" i="7"/>
  <c r="DS31" i="7"/>
  <c r="DS28" i="7"/>
  <c r="BY57" i="7"/>
  <c r="BY55" i="7"/>
  <c r="DS33" i="7"/>
  <c r="DS25" i="7"/>
  <c r="BY58" i="7"/>
  <c r="BY50" i="7"/>
  <c r="BY56" i="7"/>
  <c r="BY52" i="7"/>
  <c r="BY47" i="7"/>
  <c r="DR24" i="7"/>
  <c r="DS32" i="7"/>
  <c r="DS30" i="7"/>
  <c r="N24" i="30"/>
  <c r="N29" i="30"/>
  <c r="N66" i="30" s="1"/>
  <c r="N25" i="30"/>
  <c r="N62" i="30" s="1"/>
  <c r="N27" i="30"/>
  <c r="N64" i="30" s="1"/>
  <c r="N28" i="30"/>
  <c r="N65" i="30" s="1"/>
  <c r="M24" i="30"/>
  <c r="M25" i="30"/>
  <c r="M62" i="30" s="1"/>
  <c r="M27" i="30"/>
  <c r="M64" i="30" s="1"/>
  <c r="M29" i="30"/>
  <c r="M66" i="30" s="1"/>
  <c r="M28" i="30"/>
  <c r="M65" i="30" s="1"/>
  <c r="EA39" i="7"/>
  <c r="EA34" i="7"/>
  <c r="CG50" i="7"/>
  <c r="CG54" i="7"/>
  <c r="EA32" i="7"/>
  <c r="EA37" i="7"/>
  <c r="CG48" i="7"/>
  <c r="CG56" i="7"/>
  <c r="EA27" i="7"/>
  <c r="EA29" i="7"/>
  <c r="CG49" i="7"/>
  <c r="CG57" i="7"/>
  <c r="DZ24" i="7"/>
  <c r="EA31" i="7"/>
  <c r="EA36" i="7"/>
  <c r="CG60" i="7"/>
  <c r="CG53" i="7"/>
  <c r="EA38" i="7"/>
  <c r="EA40" i="7"/>
  <c r="CG55" i="7"/>
  <c r="CG47" i="7"/>
  <c r="CG61" i="7"/>
  <c r="EA30" i="7"/>
  <c r="EA26" i="7"/>
  <c r="CG62" i="7"/>
  <c r="CG51" i="7"/>
  <c r="EA33" i="7"/>
  <c r="CG58" i="7"/>
  <c r="EA25" i="7"/>
  <c r="CG52" i="7"/>
  <c r="EA35" i="7"/>
  <c r="CG59" i="7"/>
  <c r="EA28" i="7"/>
  <c r="E27" i="30"/>
  <c r="E64" i="30" s="1"/>
  <c r="E29" i="30"/>
  <c r="E66" i="30" s="1"/>
  <c r="E25" i="30"/>
  <c r="E62" i="30" s="1"/>
  <c r="E28" i="30"/>
  <c r="E65" i="30" s="1"/>
  <c r="G24" i="30"/>
  <c r="G29" i="30"/>
  <c r="G66" i="30" s="1"/>
  <c r="G25" i="30"/>
  <c r="G62" i="30" s="1"/>
  <c r="G27" i="30"/>
  <c r="G64" i="30" s="1"/>
  <c r="G28" i="30"/>
  <c r="G65" i="30" s="1"/>
  <c r="L24" i="30"/>
  <c r="L25" i="30"/>
  <c r="L62" i="30" s="1"/>
  <c r="L29" i="30"/>
  <c r="L66" i="30" s="1"/>
  <c r="L27" i="30"/>
  <c r="L64" i="30" s="1"/>
  <c r="L28" i="30"/>
  <c r="L65" i="30" s="1"/>
  <c r="DP4" i="7"/>
  <c r="BX85" i="7"/>
  <c r="EP85" i="7" s="1"/>
  <c r="CF87" i="7"/>
  <c r="EX87" i="7" s="1"/>
  <c r="CD86" i="7"/>
  <c r="EV86" i="7" s="1"/>
  <c r="CH85" i="7"/>
  <c r="EZ85" i="7" s="1"/>
  <c r="BV87" i="7"/>
  <c r="EN87" i="7" s="1"/>
  <c r="CC92" i="7"/>
  <c r="BZ94" i="7"/>
  <c r="ER94" i="7" s="1"/>
  <c r="CH96" i="7"/>
  <c r="EZ96" i="7" s="1"/>
  <c r="BS92" i="7"/>
  <c r="EK92" i="7" s="1"/>
  <c r="CI85" i="7"/>
  <c r="FA85" i="7" s="1"/>
  <c r="CI96" i="7"/>
  <c r="FA96" i="7" s="1"/>
  <c r="CJ91" i="7"/>
  <c r="FB91" i="7" s="1"/>
  <c r="BS87" i="7"/>
  <c r="EK87" i="7" s="1"/>
  <c r="CF88" i="7"/>
  <c r="EX88" i="7" s="1"/>
  <c r="CJ85" i="7"/>
  <c r="FB85" i="7" s="1"/>
  <c r="CE94" i="7"/>
  <c r="EW94" i="7" s="1"/>
  <c r="CI91" i="7"/>
  <c r="FA91" i="7" s="1"/>
  <c r="BV93" i="7"/>
  <c r="EN93" i="7" s="1"/>
  <c r="BR90" i="7"/>
  <c r="EJ90" i="7" s="1"/>
  <c r="BZ81" i="7"/>
  <c r="ER81" i="7" s="1"/>
  <c r="CE87" i="7"/>
  <c r="EW87" i="7" s="1"/>
  <c r="CA96" i="7"/>
  <c r="ES96" i="7" s="1"/>
  <c r="CI86" i="7"/>
  <c r="FA86" i="7" s="1"/>
  <c r="CJ89" i="7"/>
  <c r="FB89" i="7" s="1"/>
  <c r="CD90" i="7"/>
  <c r="EV90" i="7" s="1"/>
  <c r="CE91" i="7"/>
  <c r="EW91" i="7" s="1"/>
  <c r="BZ93" i="7"/>
  <c r="ER93" i="7" s="1"/>
  <c r="CC95" i="7"/>
  <c r="BX84" i="7"/>
  <c r="EP84" i="7" s="1"/>
  <c r="CB84" i="7"/>
  <c r="ET84" i="7" s="1"/>
  <c r="BU83" i="7"/>
  <c r="CB92" i="7"/>
  <c r="ET92" i="7" s="1"/>
  <c r="BS88" i="7"/>
  <c r="EK88" i="7" s="1"/>
  <c r="CD91" i="7"/>
  <c r="EV91" i="7" s="1"/>
  <c r="CD85" i="7"/>
  <c r="EV85" i="7" s="1"/>
  <c r="BU86" i="7"/>
  <c r="CC81" i="7"/>
  <c r="BT87" i="7"/>
  <c r="EL87" i="7" s="1"/>
  <c r="BV85" i="7"/>
  <c r="EN85" i="7" s="1"/>
  <c r="BV86" i="7"/>
  <c r="EN86" i="7" s="1"/>
  <c r="CC83" i="7"/>
  <c r="BU82" i="7"/>
  <c r="CA89" i="7"/>
  <c r="ES89" i="7" s="1"/>
  <c r="CB89" i="7"/>
  <c r="ET89" i="7" s="1"/>
  <c r="BX88" i="7"/>
  <c r="EP88" i="7" s="1"/>
  <c r="CJ96" i="7"/>
  <c r="FB96" i="7" s="1"/>
  <c r="BV94" i="7"/>
  <c r="EN94" i="7" s="1"/>
  <c r="BZ96" i="7"/>
  <c r="ER96" i="7" s="1"/>
  <c r="BZ86" i="7"/>
  <c r="ER86" i="7" s="1"/>
  <c r="CC91" i="7"/>
  <c r="CF83" i="7"/>
  <c r="EX83" i="7" s="1"/>
  <c r="BS94" i="7"/>
  <c r="EK94" i="7" s="1"/>
  <c r="CE92" i="7"/>
  <c r="EW92" i="7" s="1"/>
  <c r="BT81" i="7"/>
  <c r="EL81" i="7" s="1"/>
  <c r="BQ86" i="7"/>
  <c r="EI86" i="7" s="1"/>
  <c r="CA85" i="7"/>
  <c r="ES85" i="7" s="1"/>
  <c r="BT93" i="7"/>
  <c r="EL93" i="7" s="1"/>
  <c r="CD95" i="7"/>
  <c r="EV95" i="7" s="1"/>
  <c r="CE83" i="7"/>
  <c r="EW83" i="7" s="1"/>
  <c r="CA93" i="7"/>
  <c r="ES93" i="7" s="1"/>
  <c r="BQ89" i="7"/>
  <c r="EI89" i="7" s="1"/>
  <c r="CG96" i="7"/>
  <c r="BQ82" i="7"/>
  <c r="BT91" i="7"/>
  <c r="EL91" i="7" s="1"/>
  <c r="CC94" i="7"/>
  <c r="CD94" i="7"/>
  <c r="EV94" i="7" s="1"/>
  <c r="CB94" i="7"/>
  <c r="ET94" i="7" s="1"/>
  <c r="CC89" i="7"/>
  <c r="BQ84" i="7"/>
  <c r="BT90" i="7"/>
  <c r="EL90" i="7" s="1"/>
  <c r="BY81" i="7"/>
  <c r="BR95" i="7"/>
  <c r="EJ95" i="7" s="1"/>
  <c r="CG93" i="7"/>
  <c r="CE81" i="7"/>
  <c r="EW81" i="7" s="1"/>
  <c r="CB87" i="7"/>
  <c r="ET87" i="7" s="1"/>
  <c r="BZ90" i="7"/>
  <c r="ER90" i="7" s="1"/>
  <c r="CC88" i="7"/>
  <c r="BT94" i="7"/>
  <c r="EL94" i="7" s="1"/>
  <c r="CF85" i="7"/>
  <c r="EX85" i="7" s="1"/>
  <c r="BZ85" i="7"/>
  <c r="ER85" i="7" s="1"/>
  <c r="CI82" i="7"/>
  <c r="FA82" i="7" s="1"/>
  <c r="BZ88" i="7"/>
  <c r="ER88" i="7" s="1"/>
  <c r="BW81" i="7"/>
  <c r="EO81" i="7" s="1"/>
  <c r="CA88" i="7"/>
  <c r="ES88" i="7" s="1"/>
  <c r="BS82" i="7"/>
  <c r="EK82" i="7" s="1"/>
  <c r="CB88" i="7"/>
  <c r="ET88" i="7" s="1"/>
  <c r="CJ93" i="7"/>
  <c r="FB93" i="7" s="1"/>
  <c r="CG82" i="7"/>
  <c r="CE85" i="7"/>
  <c r="EW85" i="7" s="1"/>
  <c r="BW83" i="7"/>
  <c r="EO83" i="7" s="1"/>
  <c r="BT95" i="7"/>
  <c r="EL95" i="7" s="1"/>
  <c r="CG88" i="7"/>
  <c r="BZ95" i="7"/>
  <c r="ER95" i="7" s="1"/>
  <c r="BQ87" i="7"/>
  <c r="EI87" i="7" s="1"/>
  <c r="BR92" i="7"/>
  <c r="EJ92" i="7" s="1"/>
  <c r="BU93" i="7"/>
  <c r="EM93" i="7" s="1"/>
  <c r="CD88" i="7"/>
  <c r="EV88" i="7" s="1"/>
  <c r="CJ95" i="7"/>
  <c r="FB95" i="7" s="1"/>
  <c r="CI92" i="7"/>
  <c r="FA92" i="7" s="1"/>
  <c r="CJ90" i="7"/>
  <c r="FB90" i="7" s="1"/>
  <c r="BT92" i="7"/>
  <c r="EL92" i="7" s="1"/>
  <c r="BX83" i="7"/>
  <c r="EP83" i="7" s="1"/>
  <c r="CH93" i="7"/>
  <c r="EZ93" i="7" s="1"/>
  <c r="CC93" i="7"/>
  <c r="BT84" i="7"/>
  <c r="EL84" i="7" s="1"/>
  <c r="CA92" i="7"/>
  <c r="ES92" i="7" s="1"/>
  <c r="BU84" i="7"/>
  <c r="BY89" i="7"/>
  <c r="CI93" i="7"/>
  <c r="FA93" i="7" s="1"/>
  <c r="CA95" i="7"/>
  <c r="ES95" i="7" s="1"/>
  <c r="BS90" i="7"/>
  <c r="EK90" i="7" s="1"/>
  <c r="BY87" i="7"/>
  <c r="CF89" i="7"/>
  <c r="EX89" i="7" s="1"/>
  <c r="BU94" i="7"/>
  <c r="EM94" i="7" s="1"/>
  <c r="CH84" i="7"/>
  <c r="EZ84" i="7" s="1"/>
  <c r="BU88" i="7"/>
  <c r="CB82" i="7"/>
  <c r="ET82" i="7" s="1"/>
  <c r="BX89" i="7"/>
  <c r="EP89" i="7" s="1"/>
  <c r="BR89" i="7"/>
  <c r="EJ89" i="7" s="1"/>
  <c r="CH91" i="7"/>
  <c r="EZ91" i="7" s="1"/>
  <c r="BX82" i="7"/>
  <c r="EP82" i="7" s="1"/>
  <c r="BV89" i="7"/>
  <c r="EN89" i="7" s="1"/>
  <c r="BS96" i="7"/>
  <c r="EK96" i="7" s="1"/>
  <c r="BV82" i="7"/>
  <c r="EN82" i="7" s="1"/>
  <c r="CH89" i="7"/>
  <c r="EZ89" i="7" s="1"/>
  <c r="CC96" i="7"/>
  <c r="CA84" i="7"/>
  <c r="ES84" i="7" s="1"/>
  <c r="BR82" i="7"/>
  <c r="EJ82" i="7" s="1"/>
  <c r="BY82" i="7"/>
  <c r="CH81" i="7"/>
  <c r="EZ81" i="7" s="1"/>
  <c r="BW96" i="7"/>
  <c r="EO96" i="7" s="1"/>
  <c r="CG85" i="7"/>
  <c r="BZ92" i="7"/>
  <c r="ER92" i="7" s="1"/>
  <c r="BY92" i="7"/>
  <c r="CG91" i="7"/>
  <c r="BQ93" i="7"/>
  <c r="EI93" i="7" s="1"/>
  <c r="CI95" i="7"/>
  <c r="FA95" i="7" s="1"/>
  <c r="BV83" i="7"/>
  <c r="EN83" i="7" s="1"/>
  <c r="CG87" i="7"/>
  <c r="CF94" i="7"/>
  <c r="EX94" i="7" s="1"/>
  <c r="CE93" i="7"/>
  <c r="EW93" i="7" s="1"/>
  <c r="CB85" i="7"/>
  <c r="ET85" i="7" s="1"/>
  <c r="BZ91" i="7"/>
  <c r="ER91" i="7" s="1"/>
  <c r="BY91" i="7"/>
  <c r="CC85" i="7"/>
  <c r="CI89" i="7"/>
  <c r="FA89" i="7" s="1"/>
  <c r="BW94" i="7"/>
  <c r="EO94" i="7" s="1"/>
  <c r="BY94" i="7"/>
  <c r="EQ94" i="7" s="1"/>
  <c r="CD93" i="7"/>
  <c r="EV93" i="7" s="1"/>
  <c r="BQ95" i="7"/>
  <c r="EI95" i="7" s="1"/>
  <c r="BY84" i="7"/>
  <c r="BR87" i="7"/>
  <c r="EJ87" i="7" s="1"/>
  <c r="CH95" i="7"/>
  <c r="EZ95" i="7" s="1"/>
  <c r="BW87" i="7"/>
  <c r="EO87" i="7" s="1"/>
  <c r="BY96" i="7"/>
  <c r="EQ96" i="7" s="1"/>
  <c r="CF92" i="7"/>
  <c r="EX92" i="7" s="1"/>
  <c r="BX91" i="7"/>
  <c r="EP91" i="7" s="1"/>
  <c r="CB93" i="7"/>
  <c r="ET93" i="7" s="1"/>
  <c r="BQ91" i="7"/>
  <c r="EI91" i="7" s="1"/>
  <c r="CA81" i="7"/>
  <c r="ES81" i="7" s="1"/>
  <c r="BX94" i="7"/>
  <c r="EP94" i="7" s="1"/>
  <c r="CG84" i="7"/>
  <c r="CH92" i="7"/>
  <c r="EZ92" i="7" s="1"/>
  <c r="CG83" i="7"/>
  <c r="BY95" i="7"/>
  <c r="EQ95" i="7" s="1"/>
  <c r="BY85" i="7"/>
  <c r="BX96" i="7"/>
  <c r="EP96" i="7" s="1"/>
  <c r="CJ82" i="7"/>
  <c r="FB82" i="7" s="1"/>
  <c r="BR85" i="7"/>
  <c r="EJ85" i="7" s="1"/>
  <c r="BW82" i="7"/>
  <c r="EO82" i="7" s="1"/>
  <c r="CI87" i="7"/>
  <c r="FA87" i="7" s="1"/>
  <c r="CD84" i="7"/>
  <c r="EV84" i="7" s="1"/>
  <c r="BR93" i="7"/>
  <c r="EJ93" i="7" s="1"/>
  <c r="BW90" i="7"/>
  <c r="EO90" i="7" s="1"/>
  <c r="BT83" i="7"/>
  <c r="EL83" i="7" s="1"/>
  <c r="BX87" i="7"/>
  <c r="EP87" i="7" s="1"/>
  <c r="CA91" i="7"/>
  <c r="ES91" i="7" s="1"/>
  <c r="BW91" i="7"/>
  <c r="EO91" i="7" s="1"/>
  <c r="CH87" i="7"/>
  <c r="EZ87" i="7" s="1"/>
  <c r="CB86" i="7"/>
  <c r="ET86" i="7" s="1"/>
  <c r="BQ96" i="7"/>
  <c r="EI96" i="7" s="1"/>
  <c r="CB95" i="7"/>
  <c r="ET95" i="7" s="1"/>
  <c r="BY83" i="7"/>
  <c r="CG89" i="7"/>
  <c r="BX95" i="7"/>
  <c r="EP95" i="7" s="1"/>
  <c r="BY90" i="7"/>
  <c r="BW92" i="7"/>
  <c r="EO92" i="7" s="1"/>
  <c r="CF81" i="7"/>
  <c r="EX81" i="7" s="1"/>
  <c r="CC84" i="7"/>
  <c r="BU91" i="7"/>
  <c r="EM91" i="7" s="1"/>
  <c r="CJ86" i="7"/>
  <c r="FB86" i="7" s="1"/>
  <c r="BR91" i="7"/>
  <c r="EJ91" i="7" s="1"/>
  <c r="CI81" i="7"/>
  <c r="FA81" i="7" s="1"/>
  <c r="CI94" i="7"/>
  <c r="FA94" i="7" s="1"/>
  <c r="CH82" i="7"/>
  <c r="EZ82" i="7" s="1"/>
  <c r="BR88" i="7"/>
  <c r="EJ88" i="7" s="1"/>
  <c r="CJ81" i="7"/>
  <c r="FB81" i="7" s="1"/>
  <c r="CC90" i="7"/>
  <c r="CJ88" i="7"/>
  <c r="FB88" i="7" s="1"/>
  <c r="BW85" i="7"/>
  <c r="EO85" i="7" s="1"/>
  <c r="CI83" i="7"/>
  <c r="FA83" i="7" s="1"/>
  <c r="BS91" i="7"/>
  <c r="EK91" i="7" s="1"/>
  <c r="BQ92" i="7"/>
  <c r="EI92" i="7" s="1"/>
  <c r="CH88" i="7"/>
  <c r="EZ88" i="7" s="1"/>
  <c r="BV95" i="7"/>
  <c r="EN95" i="7" s="1"/>
  <c r="CD92" i="7"/>
  <c r="EV92" i="7" s="1"/>
  <c r="BZ82" i="7"/>
  <c r="ER82" i="7" s="1"/>
  <c r="BX81" i="7"/>
  <c r="EP81" i="7" s="1"/>
  <c r="CD81" i="7"/>
  <c r="EV81" i="7" s="1"/>
  <c r="CC87" i="7"/>
  <c r="CJ94" i="7"/>
  <c r="FB94" i="7" s="1"/>
  <c r="CD89" i="7"/>
  <c r="EV89" i="7" s="1"/>
  <c r="CA86" i="7"/>
  <c r="ES86" i="7" s="1"/>
  <c r="BT89" i="7"/>
  <c r="EL89" i="7" s="1"/>
  <c r="BZ87" i="7"/>
  <c r="ER87" i="7" s="1"/>
  <c r="BT85" i="7"/>
  <c r="EL85" i="7" s="1"/>
  <c r="BS93" i="7"/>
  <c r="EK93" i="7" s="1"/>
  <c r="CH90" i="7"/>
  <c r="EZ90" i="7" s="1"/>
  <c r="CF86" i="7"/>
  <c r="EX86" i="7" s="1"/>
  <c r="BZ84" i="7"/>
  <c r="ER84" i="7" s="1"/>
  <c r="BV96" i="7"/>
  <c r="EN96" i="7" s="1"/>
  <c r="BX93" i="7"/>
  <c r="EP93" i="7" s="1"/>
  <c r="CF96" i="7"/>
  <c r="EX96" i="7" s="1"/>
  <c r="BV88" i="7"/>
  <c r="EN88" i="7" s="1"/>
  <c r="CD82" i="7"/>
  <c r="EV82" i="7" s="1"/>
  <c r="BQ83" i="7"/>
  <c r="CE95" i="7"/>
  <c r="EW95" i="7" s="1"/>
  <c r="CE86" i="7"/>
  <c r="EW86" i="7" s="1"/>
  <c r="CF82" i="7"/>
  <c r="EX82" i="7" s="1"/>
  <c r="BS95" i="7"/>
  <c r="EK95" i="7" s="1"/>
  <c r="BU96" i="7"/>
  <c r="EM96" i="7" s="1"/>
  <c r="BV81" i="7"/>
  <c r="EN81" i="7" s="1"/>
  <c r="BW88" i="7"/>
  <c r="EO88" i="7" s="1"/>
  <c r="CD87" i="7"/>
  <c r="EV87" i="7" s="1"/>
  <c r="CH94" i="7"/>
  <c r="EZ94" i="7" s="1"/>
  <c r="CA82" i="7"/>
  <c r="ES82" i="7" s="1"/>
  <c r="CJ84" i="7"/>
  <c r="FB84" i="7" s="1"/>
  <c r="BU92" i="7"/>
  <c r="EM92" i="7" s="1"/>
  <c r="BX90" i="7"/>
  <c r="EP90" i="7" s="1"/>
  <c r="BR94" i="7"/>
  <c r="EJ94" i="7" s="1"/>
  <c r="BV90" i="7"/>
  <c r="EN90" i="7" s="1"/>
  <c r="BV84" i="7"/>
  <c r="EN84" i="7" s="1"/>
  <c r="BR81" i="7"/>
  <c r="EJ81" i="7" s="1"/>
  <c r="BQ85" i="7"/>
  <c r="EI85" i="7" s="1"/>
  <c r="BR84" i="7"/>
  <c r="EJ84" i="7" s="1"/>
  <c r="CJ83" i="7"/>
  <c r="FB83" i="7" s="1"/>
  <c r="CA90" i="7"/>
  <c r="ES90" i="7" s="1"/>
  <c r="BT88" i="7"/>
  <c r="EL88" i="7" s="1"/>
  <c r="BW95" i="7"/>
  <c r="EO95" i="7" s="1"/>
  <c r="BQ81" i="7"/>
  <c r="BT96" i="7"/>
  <c r="EL96" i="7" s="1"/>
  <c r="BZ89" i="7"/>
  <c r="ER89" i="7" s="1"/>
  <c r="BT82" i="7"/>
  <c r="EL82" i="7" s="1"/>
  <c r="CI90" i="7"/>
  <c r="FA90" i="7" s="1"/>
  <c r="CC82" i="7"/>
  <c r="BU89" i="7"/>
  <c r="EM89" i="7" s="1"/>
  <c r="BR96" i="7"/>
  <c r="EJ96" i="7" s="1"/>
  <c r="CD96" i="7"/>
  <c r="EV96" i="7" s="1"/>
  <c r="BZ83" i="7"/>
  <c r="ER83" i="7" s="1"/>
  <c r="BR86" i="7"/>
  <c r="EJ86" i="7" s="1"/>
  <c r="CB90" i="7"/>
  <c r="ET90" i="7" s="1"/>
  <c r="CE82" i="7"/>
  <c r="EW82" i="7" s="1"/>
  <c r="CG90" i="7"/>
  <c r="BU85" i="7"/>
  <c r="BY86" i="7"/>
  <c r="BY88" i="7"/>
  <c r="CE96" i="7"/>
  <c r="EW96" i="7" s="1"/>
  <c r="BT86" i="7"/>
  <c r="EL86" i="7" s="1"/>
  <c r="CF91" i="7"/>
  <c r="EX91" i="7" s="1"/>
  <c r="BV92" i="7"/>
  <c r="EN92" i="7" s="1"/>
  <c r="CB91" i="7"/>
  <c r="ET91" i="7" s="1"/>
  <c r="BU81" i="7"/>
  <c r="CG92" i="7"/>
  <c r="CE89" i="7"/>
  <c r="EW89" i="7" s="1"/>
  <c r="CA87" i="7"/>
  <c r="ES87" i="7" s="1"/>
  <c r="CA83" i="7"/>
  <c r="ES83" i="7" s="1"/>
  <c r="CC86" i="7"/>
  <c r="BS81" i="7"/>
  <c r="EK81" i="7" s="1"/>
  <c r="CH83" i="7"/>
  <c r="EZ83" i="7" s="1"/>
  <c r="CI88" i="7"/>
  <c r="FA88" i="7" s="1"/>
  <c r="BW84" i="7"/>
  <c r="EO84" i="7" s="1"/>
  <c r="BQ94" i="7"/>
  <c r="EI94" i="7" s="1"/>
  <c r="CD83" i="7"/>
  <c r="EV83" i="7" s="1"/>
  <c r="BR83" i="7"/>
  <c r="EJ83" i="7" s="1"/>
  <c r="BU90" i="7"/>
  <c r="EM90" i="7" s="1"/>
  <c r="CE88" i="7"/>
  <c r="EW88" i="7" s="1"/>
  <c r="BS85" i="7"/>
  <c r="EK85" i="7" s="1"/>
  <c r="CH86" i="7"/>
  <c r="EZ86" i="7" s="1"/>
  <c r="CG95" i="7"/>
  <c r="CF93" i="7"/>
  <c r="EX93" i="7" s="1"/>
  <c r="CB83" i="7"/>
  <c r="ET83" i="7" s="1"/>
  <c r="BX92" i="7"/>
  <c r="EP92" i="7" s="1"/>
  <c r="BW89" i="7"/>
  <c r="EO89" i="7" s="1"/>
  <c r="BW86" i="7"/>
  <c r="EO86" i="7" s="1"/>
  <c r="BQ90" i="7"/>
  <c r="EI90" i="7" s="1"/>
  <c r="CG81" i="7"/>
  <c r="BW93" i="7"/>
  <c r="EO93" i="7" s="1"/>
  <c r="CJ87" i="7"/>
  <c r="FB87" i="7" s="1"/>
  <c r="CA94" i="7"/>
  <c r="ES94" i="7" s="1"/>
  <c r="CG94" i="7"/>
  <c r="CG86" i="7"/>
  <c r="BS89" i="7"/>
  <c r="EK89" i="7" s="1"/>
  <c r="BU87" i="7"/>
  <c r="CB96" i="7"/>
  <c r="ET96" i="7" s="1"/>
  <c r="BY93" i="7"/>
  <c r="EQ93" i="7" s="1"/>
  <c r="CF84" i="7"/>
  <c r="EX84" i="7" s="1"/>
  <c r="CB81" i="7"/>
  <c r="ET81" i="7" s="1"/>
  <c r="BS84" i="7"/>
  <c r="EK84" i="7" s="1"/>
  <c r="CI84" i="7"/>
  <c r="FA84" i="7" s="1"/>
  <c r="CE84" i="7"/>
  <c r="EW84" i="7" s="1"/>
  <c r="BU95" i="7"/>
  <c r="EM95" i="7" s="1"/>
  <c r="BS86" i="7"/>
  <c r="EK86" i="7" s="1"/>
  <c r="BQ88" i="7"/>
  <c r="EI88" i="7" s="1"/>
  <c r="CE90" i="7"/>
  <c r="EW90" i="7" s="1"/>
  <c r="CF95" i="7"/>
  <c r="EX95" i="7" s="1"/>
  <c r="BV91" i="7"/>
  <c r="EN91" i="7" s="1"/>
  <c r="BS83" i="7"/>
  <c r="EK83" i="7" s="1"/>
  <c r="CF90" i="7"/>
  <c r="EX90" i="7" s="1"/>
  <c r="BX86" i="7"/>
  <c r="EP86" i="7" s="1"/>
  <c r="CJ92" i="7"/>
  <c r="FB92" i="7" s="1"/>
  <c r="H24" i="30"/>
  <c r="H25" i="30"/>
  <c r="H62" i="30" s="1"/>
  <c r="H29" i="30"/>
  <c r="H66" i="30" s="1"/>
  <c r="H27" i="30"/>
  <c r="H64" i="30" s="1"/>
  <c r="H28" i="30"/>
  <c r="H65" i="30" s="1"/>
  <c r="BQ52" i="7"/>
  <c r="BQ54" i="7"/>
  <c r="BQ49" i="7"/>
  <c r="BQ51" i="7"/>
  <c r="BQ53" i="7"/>
  <c r="BQ47" i="7"/>
  <c r="DJ24" i="7"/>
  <c r="BQ48" i="7"/>
  <c r="BQ50" i="7"/>
  <c r="DR4" i="7"/>
  <c r="BX170" i="7"/>
  <c r="EP170" i="7" s="1"/>
  <c r="CH172" i="7"/>
  <c r="EZ172" i="7" s="1"/>
  <c r="BT160" i="7"/>
  <c r="EL160" i="7" s="1"/>
  <c r="CI163" i="7"/>
  <c r="FA163" i="7" s="1"/>
  <c r="BS167" i="7"/>
  <c r="EK167" i="7" s="1"/>
  <c r="CE172" i="7"/>
  <c r="EW172" i="7" s="1"/>
  <c r="BT170" i="7"/>
  <c r="EL170" i="7" s="1"/>
  <c r="BR168" i="7"/>
  <c r="EJ168" i="7" s="1"/>
  <c r="BV170" i="7"/>
  <c r="EN170" i="7" s="1"/>
  <c r="CD161" i="7"/>
  <c r="EV161" i="7" s="1"/>
  <c r="BW160" i="7"/>
  <c r="EO160" i="7" s="1"/>
  <c r="CB163" i="7"/>
  <c r="ET163" i="7" s="1"/>
  <c r="BW159" i="7"/>
  <c r="EO159" i="7" s="1"/>
  <c r="BU173" i="7"/>
  <c r="EM173" i="7" s="1"/>
  <c r="BY170" i="7"/>
  <c r="BX161" i="7"/>
  <c r="EP161" i="7" s="1"/>
  <c r="CE174" i="7"/>
  <c r="EW174" i="7" s="1"/>
  <c r="CC162" i="7"/>
  <c r="BU165" i="7"/>
  <c r="CG161" i="7"/>
  <c r="CA162" i="7"/>
  <c r="ES162" i="7" s="1"/>
  <c r="BS161" i="7"/>
  <c r="EK161" i="7" s="1"/>
  <c r="CC174" i="7"/>
  <c r="BT172" i="7"/>
  <c r="EL172" i="7" s="1"/>
  <c r="BS160" i="7"/>
  <c r="EK160" i="7" s="1"/>
  <c r="CD164" i="7"/>
  <c r="EV164" i="7" s="1"/>
  <c r="CE170" i="7"/>
  <c r="EW170" i="7" s="1"/>
  <c r="CI174" i="7"/>
  <c r="FA174" i="7" s="1"/>
  <c r="BQ166" i="7"/>
  <c r="EI166" i="7" s="1"/>
  <c r="CA170" i="7"/>
  <c r="ES170" i="7" s="1"/>
  <c r="BU164" i="7"/>
  <c r="BZ173" i="7"/>
  <c r="ER173" i="7" s="1"/>
  <c r="BQ161" i="7"/>
  <c r="BY174" i="7"/>
  <c r="EQ174" i="7" s="1"/>
  <c r="CE164" i="7"/>
  <c r="EW164" i="7" s="1"/>
  <c r="CD168" i="7"/>
  <c r="EV168" i="7" s="1"/>
  <c r="BW161" i="7"/>
  <c r="EO161" i="7" s="1"/>
  <c r="CJ170" i="7"/>
  <c r="FB170" i="7" s="1"/>
  <c r="CD160" i="7"/>
  <c r="EV160" i="7" s="1"/>
  <c r="BW162" i="7"/>
  <c r="EO162" i="7" s="1"/>
  <c r="BY164" i="7"/>
  <c r="CB162" i="7"/>
  <c r="ET162" i="7" s="1"/>
  <c r="BR165" i="7"/>
  <c r="EJ165" i="7" s="1"/>
  <c r="CI159" i="7"/>
  <c r="FA159" i="7" s="1"/>
  <c r="BU163" i="7"/>
  <c r="BT163" i="7"/>
  <c r="EL163" i="7" s="1"/>
  <c r="BV166" i="7"/>
  <c r="EN166" i="7" s="1"/>
  <c r="CH170" i="7"/>
  <c r="EZ170" i="7" s="1"/>
  <c r="CI164" i="7"/>
  <c r="FA164" i="7" s="1"/>
  <c r="BY165" i="7"/>
  <c r="CF173" i="7"/>
  <c r="EX173" i="7" s="1"/>
  <c r="CD162" i="7"/>
  <c r="EV162" i="7" s="1"/>
  <c r="CD167" i="7"/>
  <c r="EV167" i="7" s="1"/>
  <c r="CH165" i="7"/>
  <c r="EZ165" i="7" s="1"/>
  <c r="BR174" i="7"/>
  <c r="EJ174" i="7" s="1"/>
  <c r="CJ159" i="7"/>
  <c r="FB159" i="7" s="1"/>
  <c r="CB160" i="7"/>
  <c r="ET160" i="7" s="1"/>
  <c r="CC160" i="7"/>
  <c r="CG160" i="7"/>
  <c r="BU159" i="7"/>
  <c r="CF169" i="7"/>
  <c r="EX169" i="7" s="1"/>
  <c r="BU160" i="7"/>
  <c r="CE162" i="7"/>
  <c r="EW162" i="7" s="1"/>
  <c r="CG162" i="7"/>
  <c r="BR163" i="7"/>
  <c r="EJ163" i="7" s="1"/>
  <c r="BZ159" i="7"/>
  <c r="ER159" i="7" s="1"/>
  <c r="CG159" i="7"/>
  <c r="BW167" i="7"/>
  <c r="EO167" i="7" s="1"/>
  <c r="BQ163" i="7"/>
  <c r="EI163" i="7" s="1"/>
  <c r="BT173" i="7"/>
  <c r="EL173" i="7" s="1"/>
  <c r="BZ167" i="7"/>
  <c r="ER167" i="7" s="1"/>
  <c r="CB161" i="7"/>
  <c r="ET161" i="7" s="1"/>
  <c r="CF164" i="7"/>
  <c r="EX164" i="7" s="1"/>
  <c r="BV172" i="7"/>
  <c r="EN172" i="7" s="1"/>
  <c r="BU162" i="7"/>
  <c r="CJ162" i="7"/>
  <c r="FB162" i="7" s="1"/>
  <c r="CH163" i="7"/>
  <c r="EZ163" i="7" s="1"/>
  <c r="BT166" i="7"/>
  <c r="EL166" i="7" s="1"/>
  <c r="BT171" i="7"/>
  <c r="EL171" i="7" s="1"/>
  <c r="BW173" i="7"/>
  <c r="EO173" i="7" s="1"/>
  <c r="CJ167" i="7"/>
  <c r="FB167" i="7" s="1"/>
  <c r="CB173" i="7"/>
  <c r="ET173" i="7" s="1"/>
  <c r="BX174" i="7"/>
  <c r="EP174" i="7" s="1"/>
  <c r="CF162" i="7"/>
  <c r="EX162" i="7" s="1"/>
  <c r="CB174" i="7"/>
  <c r="ET174" i="7" s="1"/>
  <c r="BQ173" i="7"/>
  <c r="EI173" i="7" s="1"/>
  <c r="BZ170" i="7"/>
  <c r="ER170" i="7" s="1"/>
  <c r="BY172" i="7"/>
  <c r="EQ172" i="7" s="1"/>
  <c r="BZ171" i="7"/>
  <c r="ER171" i="7" s="1"/>
  <c r="CC172" i="7"/>
  <c r="BW169" i="7"/>
  <c r="EO169" i="7" s="1"/>
  <c r="BV165" i="7"/>
  <c r="EN165" i="7" s="1"/>
  <c r="BV160" i="7"/>
  <c r="EN160" i="7" s="1"/>
  <c r="CB164" i="7"/>
  <c r="ET164" i="7" s="1"/>
  <c r="BS165" i="7"/>
  <c r="EK165" i="7" s="1"/>
  <c r="CE166" i="7"/>
  <c r="EW166" i="7" s="1"/>
  <c r="CJ163" i="7"/>
  <c r="FB163" i="7" s="1"/>
  <c r="BR166" i="7"/>
  <c r="EJ166" i="7" s="1"/>
  <c r="CE171" i="7"/>
  <c r="EW171" i="7" s="1"/>
  <c r="BY169" i="7"/>
  <c r="CC167" i="7"/>
  <c r="CI161" i="7"/>
  <c r="FA161" i="7" s="1"/>
  <c r="BR170" i="7"/>
  <c r="EJ170" i="7" s="1"/>
  <c r="BV164" i="7"/>
  <c r="EN164" i="7" s="1"/>
  <c r="BV171" i="7"/>
  <c r="EN171" i="7" s="1"/>
  <c r="BX167" i="7"/>
  <c r="EP167" i="7" s="1"/>
  <c r="CD171" i="7"/>
  <c r="EV171" i="7" s="1"/>
  <c r="CA173" i="7"/>
  <c r="ES173" i="7" s="1"/>
  <c r="CI168" i="7"/>
  <c r="FA168" i="7" s="1"/>
  <c r="CH173" i="7"/>
  <c r="EZ173" i="7" s="1"/>
  <c r="CD172" i="7"/>
  <c r="EV172" i="7" s="1"/>
  <c r="CC171" i="7"/>
  <c r="BZ172" i="7"/>
  <c r="ER172" i="7" s="1"/>
  <c r="CI171" i="7"/>
  <c r="FA171" i="7" s="1"/>
  <c r="BV168" i="7"/>
  <c r="EN168" i="7" s="1"/>
  <c r="BT161" i="7"/>
  <c r="EL161" i="7" s="1"/>
  <c r="BW172" i="7"/>
  <c r="EO172" i="7" s="1"/>
  <c r="CE160" i="7"/>
  <c r="EW160" i="7" s="1"/>
  <c r="BW174" i="7"/>
  <c r="EO174" i="7" s="1"/>
  <c r="BX169" i="7"/>
  <c r="EP169" i="7" s="1"/>
  <c r="CB159" i="7"/>
  <c r="ET159" i="7" s="1"/>
  <c r="CH169" i="7"/>
  <c r="EZ169" i="7" s="1"/>
  <c r="CC168" i="7"/>
  <c r="BT167" i="7"/>
  <c r="EL167" i="7" s="1"/>
  <c r="CB168" i="7"/>
  <c r="ET168" i="7" s="1"/>
  <c r="CG172" i="7"/>
  <c r="CE163" i="7"/>
  <c r="EW163" i="7" s="1"/>
  <c r="CG169" i="7"/>
  <c r="BS173" i="7"/>
  <c r="EK173" i="7" s="1"/>
  <c r="BW165" i="7"/>
  <c r="EO165" i="7" s="1"/>
  <c r="CD174" i="7"/>
  <c r="EV174" i="7" s="1"/>
  <c r="BT169" i="7"/>
  <c r="EL169" i="7" s="1"/>
  <c r="BS171" i="7"/>
  <c r="EK171" i="7" s="1"/>
  <c r="CC165" i="7"/>
  <c r="CA167" i="7"/>
  <c r="ES167" i="7" s="1"/>
  <c r="BX159" i="7"/>
  <c r="EP159" i="7" s="1"/>
  <c r="BZ162" i="7"/>
  <c r="ER162" i="7" s="1"/>
  <c r="BV173" i="7"/>
  <c r="EN173" i="7" s="1"/>
  <c r="CF171" i="7"/>
  <c r="EX171" i="7" s="1"/>
  <c r="BS168" i="7"/>
  <c r="EK168" i="7" s="1"/>
  <c r="CJ165" i="7"/>
  <c r="FB165" i="7" s="1"/>
  <c r="CB171" i="7"/>
  <c r="ET171" i="7" s="1"/>
  <c r="BT168" i="7"/>
  <c r="EL168" i="7" s="1"/>
  <c r="BR171" i="7"/>
  <c r="EJ171" i="7" s="1"/>
  <c r="CI160" i="7"/>
  <c r="FA160" i="7" s="1"/>
  <c r="BS172" i="7"/>
  <c r="EK172" i="7" s="1"/>
  <c r="CG174" i="7"/>
  <c r="BS170" i="7"/>
  <c r="EK170" i="7" s="1"/>
  <c r="BY163" i="7"/>
  <c r="CI173" i="7"/>
  <c r="FA173" i="7" s="1"/>
  <c r="CF170" i="7"/>
  <c r="EX170" i="7" s="1"/>
  <c r="CA164" i="7"/>
  <c r="ES164" i="7" s="1"/>
  <c r="BR159" i="7"/>
  <c r="EJ159" i="7" s="1"/>
  <c r="CJ169" i="7"/>
  <c r="FB169" i="7" s="1"/>
  <c r="BU167" i="7"/>
  <c r="EM167" i="7" s="1"/>
  <c r="CJ173" i="7"/>
  <c r="FB173" i="7" s="1"/>
  <c r="CG171" i="7"/>
  <c r="CE169" i="7"/>
  <c r="EW169" i="7" s="1"/>
  <c r="CG167" i="7"/>
  <c r="BT162" i="7"/>
  <c r="EL162" i="7" s="1"/>
  <c r="BY173" i="7"/>
  <c r="EQ173" i="7" s="1"/>
  <c r="BU171" i="7"/>
  <c r="EM171" i="7" s="1"/>
  <c r="BY162" i="7"/>
  <c r="CF161" i="7"/>
  <c r="EX161" i="7" s="1"/>
  <c r="BQ170" i="7"/>
  <c r="EI170" i="7" s="1"/>
  <c r="BT174" i="7"/>
  <c r="EL174" i="7" s="1"/>
  <c r="BR161" i="7"/>
  <c r="EJ161" i="7" s="1"/>
  <c r="CG164" i="7"/>
  <c r="BU170" i="7"/>
  <c r="EM170" i="7" s="1"/>
  <c r="CI170" i="7"/>
  <c r="FA170" i="7" s="1"/>
  <c r="CA166" i="7"/>
  <c r="ES166" i="7" s="1"/>
  <c r="BU168" i="7"/>
  <c r="EM168" i="7" s="1"/>
  <c r="BR172" i="7"/>
  <c r="EJ172" i="7" s="1"/>
  <c r="BY160" i="7"/>
  <c r="BV162" i="7"/>
  <c r="EN162" i="7" s="1"/>
  <c r="BZ168" i="7"/>
  <c r="ER168" i="7" s="1"/>
  <c r="CH171" i="7"/>
  <c r="EZ171" i="7" s="1"/>
  <c r="BX160" i="7"/>
  <c r="EP160" i="7" s="1"/>
  <c r="CD166" i="7"/>
  <c r="EV166" i="7" s="1"/>
  <c r="CE168" i="7"/>
  <c r="EW168" i="7" s="1"/>
  <c r="BZ174" i="7"/>
  <c r="ER174" i="7" s="1"/>
  <c r="BS162" i="7"/>
  <c r="EK162" i="7" s="1"/>
  <c r="CH168" i="7"/>
  <c r="EZ168" i="7" s="1"/>
  <c r="CG168" i="7"/>
  <c r="BX164" i="7"/>
  <c r="EP164" i="7" s="1"/>
  <c r="CJ172" i="7"/>
  <c r="FB172" i="7" s="1"/>
  <c r="BQ174" i="7"/>
  <c r="EI174" i="7" s="1"/>
  <c r="CB165" i="7"/>
  <c r="ET165" i="7" s="1"/>
  <c r="CC169" i="7"/>
  <c r="CE167" i="7"/>
  <c r="EW167" i="7" s="1"/>
  <c r="CH161" i="7"/>
  <c r="EZ161" i="7" s="1"/>
  <c r="BZ161" i="7"/>
  <c r="ER161" i="7" s="1"/>
  <c r="CI165" i="7"/>
  <c r="FA165" i="7" s="1"/>
  <c r="CC164" i="7"/>
  <c r="BU172" i="7"/>
  <c r="EM172" i="7" s="1"/>
  <c r="CG173" i="7"/>
  <c r="BZ163" i="7"/>
  <c r="ER163" i="7" s="1"/>
  <c r="BX165" i="7"/>
  <c r="EP165" i="7" s="1"/>
  <c r="CA174" i="7"/>
  <c r="ES174" i="7" s="1"/>
  <c r="CA168" i="7"/>
  <c r="ES168" i="7" s="1"/>
  <c r="BZ164" i="7"/>
  <c r="ER164" i="7" s="1"/>
  <c r="CF167" i="7"/>
  <c r="EX167" i="7" s="1"/>
  <c r="BR162" i="7"/>
  <c r="EJ162" i="7" s="1"/>
  <c r="CB166" i="7"/>
  <c r="ET166" i="7" s="1"/>
  <c r="CI167" i="7"/>
  <c r="FA167" i="7" s="1"/>
  <c r="BS166" i="7"/>
  <c r="EK166" i="7" s="1"/>
  <c r="CA165" i="7"/>
  <c r="ES165" i="7" s="1"/>
  <c r="BR173" i="7"/>
  <c r="EJ173" i="7" s="1"/>
  <c r="CJ171" i="7"/>
  <c r="FB171" i="7" s="1"/>
  <c r="BW168" i="7"/>
  <c r="EO168" i="7" s="1"/>
  <c r="BW166" i="7"/>
  <c r="EO166" i="7" s="1"/>
  <c r="BV174" i="7"/>
  <c r="EN174" i="7" s="1"/>
  <c r="BX171" i="7"/>
  <c r="EP171" i="7" s="1"/>
  <c r="BQ168" i="7"/>
  <c r="EI168" i="7" s="1"/>
  <c r="CJ164" i="7"/>
  <c r="FB164" i="7" s="1"/>
  <c r="BU169" i="7"/>
  <c r="EM169" i="7" s="1"/>
  <c r="BS169" i="7"/>
  <c r="EK169" i="7" s="1"/>
  <c r="CF172" i="7"/>
  <c r="EX172" i="7" s="1"/>
  <c r="BU166" i="7"/>
  <c r="CF166" i="7"/>
  <c r="EX166" i="7" s="1"/>
  <c r="CA161" i="7"/>
  <c r="ES161" i="7" s="1"/>
  <c r="CF163" i="7"/>
  <c r="EX163" i="7" s="1"/>
  <c r="BV167" i="7"/>
  <c r="EN167" i="7" s="1"/>
  <c r="BQ172" i="7"/>
  <c r="EI172" i="7" s="1"/>
  <c r="BY167" i="7"/>
  <c r="CD170" i="7"/>
  <c r="EV170" i="7" s="1"/>
  <c r="BQ167" i="7"/>
  <c r="EI167" i="7" s="1"/>
  <c r="CF165" i="7"/>
  <c r="EX165" i="7" s="1"/>
  <c r="BX166" i="7"/>
  <c r="EP166" i="7" s="1"/>
  <c r="BX163" i="7"/>
  <c r="EP163" i="7" s="1"/>
  <c r="BV169" i="7"/>
  <c r="EN169" i="7" s="1"/>
  <c r="CD159" i="7"/>
  <c r="EV159" i="7" s="1"/>
  <c r="BT164" i="7"/>
  <c r="EL164" i="7" s="1"/>
  <c r="BZ165" i="7"/>
  <c r="ER165" i="7" s="1"/>
  <c r="CJ160" i="7"/>
  <c r="FB160" i="7" s="1"/>
  <c r="CD165" i="7"/>
  <c r="EV165" i="7" s="1"/>
  <c r="BQ164" i="7"/>
  <c r="EI164" i="7" s="1"/>
  <c r="CB172" i="7"/>
  <c r="ET172" i="7" s="1"/>
  <c r="CI166" i="7"/>
  <c r="FA166" i="7" s="1"/>
  <c r="CD173" i="7"/>
  <c r="EV173" i="7" s="1"/>
  <c r="BR167" i="7"/>
  <c r="EJ167" i="7" s="1"/>
  <c r="CE165" i="7"/>
  <c r="EW165" i="7" s="1"/>
  <c r="BW163" i="7"/>
  <c r="EO163" i="7" s="1"/>
  <c r="BR164" i="7"/>
  <c r="EJ164" i="7" s="1"/>
  <c r="CE159" i="7"/>
  <c r="EW159" i="7" s="1"/>
  <c r="CJ166" i="7"/>
  <c r="FB166" i="7" s="1"/>
  <c r="CC166" i="7"/>
  <c r="BT159" i="7"/>
  <c r="EL159" i="7" s="1"/>
  <c r="CH162" i="7"/>
  <c r="EZ162" i="7" s="1"/>
  <c r="BY171" i="7"/>
  <c r="EQ171" i="7" s="1"/>
  <c r="BZ166" i="7"/>
  <c r="ER166" i="7" s="1"/>
  <c r="BW170" i="7"/>
  <c r="EO170" i="7" s="1"/>
  <c r="CH174" i="7"/>
  <c r="EZ174" i="7" s="1"/>
  <c r="CD163" i="7"/>
  <c r="EV163" i="7" s="1"/>
  <c r="CA159" i="7"/>
  <c r="ES159" i="7" s="1"/>
  <c r="CJ168" i="7"/>
  <c r="FB168" i="7" s="1"/>
  <c r="CF159" i="7"/>
  <c r="EX159" i="7" s="1"/>
  <c r="CC161" i="7"/>
  <c r="BS163" i="7"/>
  <c r="EK163" i="7" s="1"/>
  <c r="BQ169" i="7"/>
  <c r="EI169" i="7" s="1"/>
  <c r="BY161" i="7"/>
  <c r="CB170" i="7"/>
  <c r="ET170" i="7" s="1"/>
  <c r="CG170" i="7"/>
  <c r="BY159" i="7"/>
  <c r="CE173" i="7"/>
  <c r="EW173" i="7" s="1"/>
  <c r="BS174" i="7"/>
  <c r="EK174" i="7" s="1"/>
  <c r="CH159" i="7"/>
  <c r="EZ159" i="7" s="1"/>
  <c r="CC170" i="7"/>
  <c r="CC173" i="7"/>
  <c r="CA169" i="7"/>
  <c r="ES169" i="7" s="1"/>
  <c r="BQ162" i="7"/>
  <c r="CG163" i="7"/>
  <c r="BQ159" i="7"/>
  <c r="BY166" i="7"/>
  <c r="BW171" i="7"/>
  <c r="EO171" i="7" s="1"/>
  <c r="BY168" i="7"/>
  <c r="BR169" i="7"/>
  <c r="EJ169" i="7" s="1"/>
  <c r="CA172" i="7"/>
  <c r="ES172" i="7" s="1"/>
  <c r="CC163" i="7"/>
  <c r="CI172" i="7"/>
  <c r="FA172" i="7" s="1"/>
  <c r="BS164" i="7"/>
  <c r="EK164" i="7" s="1"/>
  <c r="CA171" i="7"/>
  <c r="ES171" i="7" s="1"/>
  <c r="BV161" i="7"/>
  <c r="EN161" i="7" s="1"/>
  <c r="BX173" i="7"/>
  <c r="EP173" i="7" s="1"/>
  <c r="CJ161" i="7"/>
  <c r="FB161" i="7" s="1"/>
  <c r="BU174" i="7"/>
  <c r="EM174" i="7" s="1"/>
  <c r="BZ169" i="7"/>
  <c r="ER169" i="7" s="1"/>
  <c r="CI162" i="7"/>
  <c r="FA162" i="7" s="1"/>
  <c r="BX172" i="7"/>
  <c r="EP172" i="7" s="1"/>
  <c r="CH167" i="7"/>
  <c r="EZ167" i="7" s="1"/>
  <c r="BW164" i="7"/>
  <c r="EO164" i="7" s="1"/>
  <c r="CH160" i="7"/>
  <c r="EZ160" i="7" s="1"/>
  <c r="CI169" i="7"/>
  <c r="FA169" i="7" s="1"/>
  <c r="BV163" i="7"/>
  <c r="EN163" i="7" s="1"/>
  <c r="EN180" i="7" s="1"/>
  <c r="CA160" i="7"/>
  <c r="ES160" i="7" s="1"/>
  <c r="BX162" i="7"/>
  <c r="EP162" i="7" s="1"/>
  <c r="CG166" i="7"/>
  <c r="BQ165" i="7"/>
  <c r="EI165" i="7" s="1"/>
  <c r="CC159" i="7"/>
  <c r="CB169" i="7"/>
  <c r="ET169" i="7" s="1"/>
  <c r="CJ174" i="7"/>
  <c r="FB174" i="7" s="1"/>
  <c r="CA163" i="7"/>
  <c r="ES163" i="7" s="1"/>
  <c r="BS159" i="7"/>
  <c r="EK159" i="7" s="1"/>
  <c r="BQ160" i="7"/>
  <c r="CF160" i="7"/>
  <c r="EX160" i="7" s="1"/>
  <c r="CG165" i="7"/>
  <c r="CE161" i="7"/>
  <c r="EW161" i="7" s="1"/>
  <c r="BT165" i="7"/>
  <c r="EL165" i="7" s="1"/>
  <c r="CD169" i="7"/>
  <c r="EV169" i="7" s="1"/>
  <c r="BX168" i="7"/>
  <c r="EP168" i="7" s="1"/>
  <c r="CF168" i="7"/>
  <c r="EX168" i="7" s="1"/>
  <c r="BR160" i="7"/>
  <c r="EJ160" i="7" s="1"/>
  <c r="BZ160" i="7"/>
  <c r="ER160" i="7" s="1"/>
  <c r="CF174" i="7"/>
  <c r="EX174" i="7" s="1"/>
  <c r="BU161" i="7"/>
  <c r="CH164" i="7"/>
  <c r="EZ164" i="7" s="1"/>
  <c r="BV159" i="7"/>
  <c r="EN159" i="7" s="1"/>
  <c r="CB167" i="7"/>
  <c r="ET167" i="7" s="1"/>
  <c r="BQ171" i="7"/>
  <c r="EI171" i="7" s="1"/>
  <c r="CH166" i="7"/>
  <c r="EZ166" i="7" s="1"/>
  <c r="K24" i="30"/>
  <c r="J68" i="30" l="1"/>
  <c r="J31" i="30"/>
  <c r="ER182" i="7"/>
  <c r="FB182" i="7"/>
  <c r="EL104" i="7"/>
  <c r="EX139" i="7"/>
  <c r="ER103" i="7"/>
  <c r="EX182" i="7"/>
  <c r="ES180" i="7"/>
  <c r="EZ181" i="7"/>
  <c r="EZ182" i="7"/>
  <c r="EV103" i="7"/>
  <c r="ET103" i="7"/>
  <c r="ET181" i="7"/>
  <c r="ET104" i="7"/>
  <c r="EV180" i="7"/>
  <c r="EJ181" i="7"/>
  <c r="FA181" i="7"/>
  <c r="FB180" i="7"/>
  <c r="ET182" i="7"/>
  <c r="EL102" i="7"/>
  <c r="D12" i="16"/>
  <c r="ER104" i="7"/>
  <c r="FB103" i="7"/>
  <c r="EL138" i="7"/>
  <c r="EJ139" i="7"/>
  <c r="EO104" i="7"/>
  <c r="EI181" i="7"/>
  <c r="EW103" i="7"/>
  <c r="EM140" i="7"/>
  <c r="EN181" i="7"/>
  <c r="F12" i="16"/>
  <c r="EO103" i="7"/>
  <c r="EN104" i="7"/>
  <c r="EZ138" i="7"/>
  <c r="EP138" i="7"/>
  <c r="EJ180" i="7"/>
  <c r="EV139" i="7"/>
  <c r="EW139" i="7"/>
  <c r="EK182" i="7"/>
  <c r="DI85" i="7"/>
  <c r="EY85" i="7"/>
  <c r="DI123" i="7"/>
  <c r="EY123" i="7"/>
  <c r="GF123" i="7" s="1"/>
  <c r="FK62" i="7"/>
  <c r="EX180" i="7"/>
  <c r="DH173" i="7"/>
  <c r="DR173" i="7" s="1"/>
  <c r="EU173" i="7"/>
  <c r="GD173" i="7" s="1"/>
  <c r="EQ163" i="7"/>
  <c r="DG163" i="7"/>
  <c r="DQ163" i="7" s="1"/>
  <c r="EU167" i="7"/>
  <c r="DH167" i="7"/>
  <c r="DR167" i="7" s="1"/>
  <c r="EZ180" i="7"/>
  <c r="EV181" i="7"/>
  <c r="EI49" i="7"/>
  <c r="EI160" i="7"/>
  <c r="FX160" i="7" s="1"/>
  <c r="DE160" i="7"/>
  <c r="DO160" i="7" s="1"/>
  <c r="EU170" i="7"/>
  <c r="GD170" i="7" s="1"/>
  <c r="DH170" i="7"/>
  <c r="DR170" i="7" s="1"/>
  <c r="EY173" i="7"/>
  <c r="GF173" i="7" s="1"/>
  <c r="DI173" i="7"/>
  <c r="DS173" i="7" s="1"/>
  <c r="EY168" i="7"/>
  <c r="GF168" i="7" s="1"/>
  <c r="DI168" i="7"/>
  <c r="DS168" i="7" s="1"/>
  <c r="EL181" i="7"/>
  <c r="EU171" i="7"/>
  <c r="DH171" i="7"/>
  <c r="DR171" i="7" s="1"/>
  <c r="EQ169" i="7"/>
  <c r="GB169" i="7" s="1"/>
  <c r="DG169" i="7"/>
  <c r="DQ169" i="7" s="1"/>
  <c r="EY162" i="7"/>
  <c r="GF162" i="7" s="1"/>
  <c r="DI162" i="7"/>
  <c r="DS162" i="7" s="1"/>
  <c r="FA182" i="7"/>
  <c r="FA180" i="7"/>
  <c r="EI54" i="7"/>
  <c r="EM87" i="7"/>
  <c r="FZ87" i="7" s="1"/>
  <c r="DF87" i="7"/>
  <c r="DP87" i="7" s="1"/>
  <c r="ED87" i="7" s="1"/>
  <c r="EW104" i="7"/>
  <c r="DH82" i="7"/>
  <c r="DR82" i="7" s="1"/>
  <c r="EE82" i="7" s="1"/>
  <c r="EU82" i="7"/>
  <c r="GD82" i="7" s="1"/>
  <c r="EM104" i="7"/>
  <c r="EQ83" i="7"/>
  <c r="GB83" i="7" s="1"/>
  <c r="DG83" i="7"/>
  <c r="DI91" i="7"/>
  <c r="DS91" i="7" s="1"/>
  <c r="EY91" i="7"/>
  <c r="GF91" i="7" s="1"/>
  <c r="EK104" i="7"/>
  <c r="EI82" i="7"/>
  <c r="FX82" i="7" s="1"/>
  <c r="DE82" i="7"/>
  <c r="FB102" i="7"/>
  <c r="EB26" i="7"/>
  <c r="CH48" i="7"/>
  <c r="EZ48" i="7" s="1"/>
  <c r="EY57" i="7"/>
  <c r="BY46" i="7"/>
  <c r="DS24" i="7"/>
  <c r="EQ49" i="7"/>
  <c r="EM139" i="7"/>
  <c r="DG127" i="7"/>
  <c r="DQ127" i="7" s="1"/>
  <c r="EQ127" i="7"/>
  <c r="GB127" i="7" s="1"/>
  <c r="EK139" i="7"/>
  <c r="EZ140" i="7"/>
  <c r="EW138" i="7"/>
  <c r="E12" i="16"/>
  <c r="DG118" i="7"/>
  <c r="EQ118" i="7"/>
  <c r="GB118" i="7" s="1"/>
  <c r="DH127" i="7"/>
  <c r="DR127" i="7" s="1"/>
  <c r="EE127" i="7" s="1"/>
  <c r="EU127" i="7"/>
  <c r="GD127" i="7" s="1"/>
  <c r="EN140" i="7"/>
  <c r="DF120" i="7"/>
  <c r="DP120" i="7" s="1"/>
  <c r="ED120" i="7" s="1"/>
  <c r="EM120" i="7"/>
  <c r="FZ120" i="7" s="1"/>
  <c r="EP139" i="7"/>
  <c r="I61" i="30"/>
  <c r="I68" i="30" s="1"/>
  <c r="I31" i="30"/>
  <c r="FK50" i="7"/>
  <c r="FS47" i="7"/>
  <c r="EV30" i="7"/>
  <c r="DB52" i="7"/>
  <c r="FT52" i="7" s="1"/>
  <c r="EV27" i="7"/>
  <c r="DB49" i="7"/>
  <c r="FT49" i="7" s="1"/>
  <c r="DP25" i="7"/>
  <c r="BV47" i="7"/>
  <c r="EN47" i="7" s="1"/>
  <c r="DP31" i="7"/>
  <c r="BV53" i="7"/>
  <c r="EN53" i="7" s="1"/>
  <c r="EU59" i="7"/>
  <c r="EQ91" i="7"/>
  <c r="GB91" i="7" s="1"/>
  <c r="DG91" i="7"/>
  <c r="DQ91" i="7" s="1"/>
  <c r="EU161" i="7"/>
  <c r="GD161" i="7" s="1"/>
  <c r="DH161" i="7"/>
  <c r="DR161" i="7" s="1"/>
  <c r="EQ160" i="7"/>
  <c r="GB160" i="7" s="1"/>
  <c r="DG160" i="7"/>
  <c r="DQ160" i="7" s="1"/>
  <c r="EM161" i="7"/>
  <c r="FZ161" i="7" s="1"/>
  <c r="DF161" i="7"/>
  <c r="DP161" i="7" s="1"/>
  <c r="EU163" i="7"/>
  <c r="DH163" i="7"/>
  <c r="DR163" i="7" s="1"/>
  <c r="EO180" i="7"/>
  <c r="EM166" i="7"/>
  <c r="FZ166" i="7" s="1"/>
  <c r="DF166" i="7"/>
  <c r="DP166" i="7" s="1"/>
  <c r="E114" i="16"/>
  <c r="EY167" i="7"/>
  <c r="DI167" i="7"/>
  <c r="DS167" i="7" s="1"/>
  <c r="DI174" i="7"/>
  <c r="DS174" i="7" s="1"/>
  <c r="EY174" i="7"/>
  <c r="GF174" i="7" s="1"/>
  <c r="ES181" i="7"/>
  <c r="DH168" i="7"/>
  <c r="DR168" i="7" s="1"/>
  <c r="EU168" i="7"/>
  <c r="GD168" i="7" s="1"/>
  <c r="EM162" i="7"/>
  <c r="FZ162" i="7" s="1"/>
  <c r="DF162" i="7"/>
  <c r="DP162" i="7" s="1"/>
  <c r="EQ170" i="7"/>
  <c r="GB170" i="7" s="1"/>
  <c r="DG170" i="7"/>
  <c r="DQ170" i="7" s="1"/>
  <c r="EI52" i="7"/>
  <c r="EK103" i="7"/>
  <c r="DG88" i="7"/>
  <c r="DQ88" i="7" s="1"/>
  <c r="EQ88" i="7"/>
  <c r="GB88" i="7" s="1"/>
  <c r="FA103" i="7"/>
  <c r="EQ92" i="7"/>
  <c r="GB92" i="7" s="1"/>
  <c r="DG92" i="7"/>
  <c r="DQ92" i="7" s="1"/>
  <c r="EN103" i="7"/>
  <c r="DI96" i="7"/>
  <c r="DS96" i="7" s="1"/>
  <c r="EY96" i="7"/>
  <c r="GF96" i="7" s="1"/>
  <c r="EU91" i="7"/>
  <c r="GD91" i="7" s="1"/>
  <c r="DH91" i="7"/>
  <c r="DR91" i="7" s="1"/>
  <c r="EE91" i="7" s="1"/>
  <c r="G61" i="30"/>
  <c r="G68" i="30" s="1"/>
  <c r="G31" i="30"/>
  <c r="CH52" i="7"/>
  <c r="EZ52" i="7" s="1"/>
  <c r="EB30" i="7"/>
  <c r="EY49" i="7"/>
  <c r="EQ47" i="7"/>
  <c r="EQ53" i="7"/>
  <c r="DH124" i="7"/>
  <c r="DR124" i="7" s="1"/>
  <c r="EE124" i="7" s="1"/>
  <c r="EU124" i="7"/>
  <c r="GD124" i="7" s="1"/>
  <c r="DF118" i="7"/>
  <c r="DP118" i="7" s="1"/>
  <c r="ED118" i="7" s="1"/>
  <c r="EM118" i="7"/>
  <c r="FZ118" i="7" s="1"/>
  <c r="EN139" i="7"/>
  <c r="DG128" i="7"/>
  <c r="DQ128" i="7" s="1"/>
  <c r="EQ128" i="7"/>
  <c r="GB128" i="7" s="1"/>
  <c r="ES138" i="7"/>
  <c r="DI131" i="7"/>
  <c r="DS131" i="7" s="1"/>
  <c r="EY131" i="7"/>
  <c r="DI119" i="7"/>
  <c r="EY119" i="7"/>
  <c r="GF119" i="7" s="1"/>
  <c r="ER138" i="7"/>
  <c r="FK47" i="7"/>
  <c r="FS58" i="7"/>
  <c r="FS51" i="7"/>
  <c r="FS54" i="7"/>
  <c r="BV54" i="7"/>
  <c r="EN54" i="7" s="1"/>
  <c r="DP32" i="7"/>
  <c r="DP27" i="7"/>
  <c r="BV49" i="7"/>
  <c r="EN49" i="7" s="1"/>
  <c r="EU53" i="7"/>
  <c r="EY171" i="7"/>
  <c r="DI171" i="7"/>
  <c r="DS171" i="7" s="1"/>
  <c r="EH24" i="7" a="1"/>
  <c r="BQ80" i="7"/>
  <c r="CJ80" i="7"/>
  <c r="CG80" i="7"/>
  <c r="BZ80" i="7"/>
  <c r="BY80" i="7"/>
  <c r="BR80" i="7"/>
  <c r="CC80" i="7"/>
  <c r="CA80" i="7"/>
  <c r="CF80" i="7"/>
  <c r="BX80" i="7"/>
  <c r="BT80" i="7"/>
  <c r="BV80" i="7"/>
  <c r="BW80" i="7"/>
  <c r="CE80" i="7"/>
  <c r="BU80" i="7"/>
  <c r="CH80" i="7"/>
  <c r="BS80" i="7"/>
  <c r="CI80" i="7"/>
  <c r="CD80" i="7"/>
  <c r="CB80" i="7"/>
  <c r="EP180" i="7"/>
  <c r="EU164" i="7"/>
  <c r="GD164" i="7" s="1"/>
  <c r="DH164" i="7"/>
  <c r="DR164" i="7" s="1"/>
  <c r="EU165" i="7"/>
  <c r="GD165" i="7" s="1"/>
  <c r="DH165" i="7"/>
  <c r="DR165" i="7" s="1"/>
  <c r="EM160" i="7"/>
  <c r="FZ160" i="7" s="1"/>
  <c r="DF160" i="7"/>
  <c r="DP160" i="7" s="1"/>
  <c r="EQ165" i="7"/>
  <c r="GB165" i="7" s="1"/>
  <c r="DG165" i="7"/>
  <c r="DQ165" i="7" s="1"/>
  <c r="DI86" i="7"/>
  <c r="EY86" i="7"/>
  <c r="GF86" i="7" s="1"/>
  <c r="EY95" i="7"/>
  <c r="GF95" i="7" s="1"/>
  <c r="DI95" i="7"/>
  <c r="DS95" i="7" s="1"/>
  <c r="DH86" i="7"/>
  <c r="DR86" i="7" s="1"/>
  <c r="EE86" i="7" s="1"/>
  <c r="EU86" i="7"/>
  <c r="GD86" i="7" s="1"/>
  <c r="DG86" i="7"/>
  <c r="EQ86" i="7"/>
  <c r="GB86" i="7" s="1"/>
  <c r="EJ102" i="7"/>
  <c r="EU85" i="7"/>
  <c r="DH85" i="7"/>
  <c r="DR85" i="7" s="1"/>
  <c r="EE85" i="7" s="1"/>
  <c r="EY93" i="7"/>
  <c r="DI93" i="7"/>
  <c r="DS93" i="7" s="1"/>
  <c r="EI103" i="7"/>
  <c r="EU81" i="7"/>
  <c r="GD81" i="7" s="1"/>
  <c r="DH81" i="7"/>
  <c r="DR81" i="7" s="1"/>
  <c r="EE81" i="7" s="1"/>
  <c r="EP102" i="7"/>
  <c r="E24" i="30"/>
  <c r="EY61" i="7"/>
  <c r="CH51" i="7"/>
  <c r="EZ51" i="7" s="1"/>
  <c r="EB29" i="7"/>
  <c r="EQ52" i="7"/>
  <c r="DT29" i="7"/>
  <c r="BZ51" i="7"/>
  <c r="ER51" i="7" s="1"/>
  <c r="DG124" i="7"/>
  <c r="DQ124" i="7" s="1"/>
  <c r="EQ124" i="7"/>
  <c r="GB124" i="7" s="1"/>
  <c r="FB140" i="7"/>
  <c r="EU131" i="7"/>
  <c r="GD131" i="7" s="1"/>
  <c r="DH131" i="7"/>
  <c r="DR131" i="7" s="1"/>
  <c r="DH122" i="7"/>
  <c r="DR122" i="7" s="1"/>
  <c r="EE122" i="7" s="1"/>
  <c r="EU122" i="7"/>
  <c r="GD122" i="7" s="1"/>
  <c r="FA138" i="7"/>
  <c r="EI139" i="7"/>
  <c r="DF122" i="7"/>
  <c r="DP122" i="7" s="1"/>
  <c r="ED122" i="7" s="1"/>
  <c r="EM122" i="7"/>
  <c r="FZ122" i="7" s="1"/>
  <c r="DI127" i="7"/>
  <c r="DS127" i="7" s="1"/>
  <c r="EY127" i="7"/>
  <c r="GF127" i="7" s="1"/>
  <c r="FK57" i="7"/>
  <c r="FS57" i="7"/>
  <c r="EV32" i="7"/>
  <c r="DB54" i="7"/>
  <c r="FT54" i="7" s="1"/>
  <c r="EV38" i="7"/>
  <c r="DB60" i="7"/>
  <c r="FT60" i="7" s="1"/>
  <c r="EM54" i="7"/>
  <c r="EM53" i="7"/>
  <c r="EU56" i="7"/>
  <c r="EV37" i="7"/>
  <c r="DB59" i="7"/>
  <c r="FT59" i="7" s="1"/>
  <c r="EM159" i="7"/>
  <c r="FZ159" i="7" s="1"/>
  <c r="DF159" i="7"/>
  <c r="DP159" i="7" s="1"/>
  <c r="ET180" i="7"/>
  <c r="EP24" i="7" a="1"/>
  <c r="BU158" i="7"/>
  <c r="CH158" i="7"/>
  <c r="CF158" i="7"/>
  <c r="CA158" i="7"/>
  <c r="BZ158" i="7"/>
  <c r="BT158" i="7"/>
  <c r="CC158" i="7"/>
  <c r="BQ158" i="7"/>
  <c r="CG158" i="7"/>
  <c r="BY158" i="7"/>
  <c r="BX158" i="7"/>
  <c r="BS158" i="7"/>
  <c r="BV158" i="7"/>
  <c r="CB158" i="7"/>
  <c r="CJ158" i="7"/>
  <c r="CI158" i="7"/>
  <c r="CE158" i="7"/>
  <c r="BR158" i="7"/>
  <c r="BW158" i="7"/>
  <c r="CD158" i="7"/>
  <c r="EK102" i="7"/>
  <c r="EY90" i="7"/>
  <c r="GF90" i="7" s="1"/>
  <c r="DI90" i="7"/>
  <c r="EP104" i="7"/>
  <c r="EQ104" i="7"/>
  <c r="EJ103" i="7"/>
  <c r="DF84" i="7"/>
  <c r="DP84" i="7" s="1"/>
  <c r="ED84" i="7" s="1"/>
  <c r="EM84" i="7"/>
  <c r="FZ84" i="7" s="1"/>
  <c r="EQ81" i="7"/>
  <c r="GB81" i="7" s="1"/>
  <c r="DG81" i="7"/>
  <c r="EV102" i="7"/>
  <c r="FA104" i="7"/>
  <c r="EY59" i="7"/>
  <c r="EY55" i="7"/>
  <c r="EY56" i="7"/>
  <c r="M61" i="30"/>
  <c r="M68" i="30" s="1"/>
  <c r="M31" i="30"/>
  <c r="EQ50" i="7"/>
  <c r="EQ48" i="7"/>
  <c r="DI128" i="7"/>
  <c r="DS128" i="7" s="1"/>
  <c r="EY128" i="7"/>
  <c r="GF128" i="7" s="1"/>
  <c r="EL139" i="7"/>
  <c r="EZ139" i="7"/>
  <c r="DI122" i="7"/>
  <c r="EY122" i="7"/>
  <c r="GF122" i="7" s="1"/>
  <c r="EM117" i="7"/>
  <c r="FZ117" i="7" s="1"/>
  <c r="DF117" i="7"/>
  <c r="DP117" i="7" s="1"/>
  <c r="ED117" i="7" s="1"/>
  <c r="DH126" i="7"/>
  <c r="DR126" i="7" s="1"/>
  <c r="EE126" i="7" s="1"/>
  <c r="EU126" i="7"/>
  <c r="GD126" i="7" s="1"/>
  <c r="FK59" i="7"/>
  <c r="EV33" i="7"/>
  <c r="DB55" i="7"/>
  <c r="FT55" i="7" s="1"/>
  <c r="EV31" i="7"/>
  <c r="DB53" i="7"/>
  <c r="FT53" i="7" s="1"/>
  <c r="EV26" i="7"/>
  <c r="DB48" i="7"/>
  <c r="FT48" i="7" s="1"/>
  <c r="EM49" i="7"/>
  <c r="EM47" i="7"/>
  <c r="EU55" i="7"/>
  <c r="EB28" i="7"/>
  <c r="CH50" i="7"/>
  <c r="EZ50" i="7" s="1"/>
  <c r="DO24" i="7"/>
  <c r="BU46" i="7"/>
  <c r="EQ168" i="7"/>
  <c r="GB168" i="7" s="1"/>
  <c r="DG168" i="7"/>
  <c r="DQ168" i="7" s="1"/>
  <c r="EU159" i="7"/>
  <c r="GD159" i="7" s="1"/>
  <c r="DH159" i="7"/>
  <c r="DR159" i="7" s="1"/>
  <c r="EV182" i="7"/>
  <c r="EO182" i="7"/>
  <c r="EP182" i="7"/>
  <c r="ER181" i="7"/>
  <c r="EY160" i="7"/>
  <c r="GF160" i="7" s="1"/>
  <c r="DI160" i="7"/>
  <c r="DS160" i="7" s="1"/>
  <c r="DH174" i="7"/>
  <c r="DR174" i="7" s="1"/>
  <c r="EU174" i="7"/>
  <c r="GD174" i="7" s="1"/>
  <c r="EI50" i="7"/>
  <c r="EI81" i="7"/>
  <c r="FX81" i="7" s="1"/>
  <c r="DE81" i="7"/>
  <c r="DE83" i="7"/>
  <c r="EI83" i="7"/>
  <c r="FX83" i="7" s="1"/>
  <c r="EL103" i="7"/>
  <c r="EQ85" i="7"/>
  <c r="DG85" i="7"/>
  <c r="ET102" i="7"/>
  <c r="EP103" i="7"/>
  <c r="FB104" i="7"/>
  <c r="ES104" i="7"/>
  <c r="FA102" i="7"/>
  <c r="EB35" i="7"/>
  <c r="CH57" i="7"/>
  <c r="EZ57" i="7" s="1"/>
  <c r="EB40" i="7"/>
  <c r="CH62" i="7"/>
  <c r="EZ62" i="7" s="1"/>
  <c r="EY48" i="7"/>
  <c r="EQ58" i="7"/>
  <c r="EQ54" i="7"/>
  <c r="DH121" i="7"/>
  <c r="DR121" i="7" s="1"/>
  <c r="EE121" i="7" s="1"/>
  <c r="EU121" i="7"/>
  <c r="DG120" i="7"/>
  <c r="EQ120" i="7"/>
  <c r="GB120" i="7" s="1"/>
  <c r="EW140" i="7"/>
  <c r="DI117" i="7"/>
  <c r="EY117" i="7"/>
  <c r="GF117" i="7" s="1"/>
  <c r="EY120" i="7"/>
  <c r="GF120" i="7" s="1"/>
  <c r="DI120" i="7"/>
  <c r="EL140" i="7"/>
  <c r="EI117" i="7"/>
  <c r="FX117" i="7" s="1"/>
  <c r="DE117" i="7"/>
  <c r="FB138" i="7"/>
  <c r="EO138" i="7"/>
  <c r="DI129" i="7"/>
  <c r="DS129" i="7" s="1"/>
  <c r="EY129" i="7"/>
  <c r="F61" i="30"/>
  <c r="F68" i="30" s="1"/>
  <c r="F31" i="30"/>
  <c r="FK51" i="7"/>
  <c r="EV35" i="7"/>
  <c r="DB57" i="7"/>
  <c r="FT57" i="7" s="1"/>
  <c r="EU24" i="7"/>
  <c r="DA46" i="7"/>
  <c r="FS56" i="7"/>
  <c r="EM50" i="7"/>
  <c r="J43" i="30"/>
  <c r="J37" i="30"/>
  <c r="EU51" i="7"/>
  <c r="EY47" i="7"/>
  <c r="DT27" i="7"/>
  <c r="BZ49" i="7"/>
  <c r="ER49" i="7" s="1"/>
  <c r="DG119" i="7"/>
  <c r="EQ119" i="7"/>
  <c r="GB119" i="7" s="1"/>
  <c r="FS50" i="7"/>
  <c r="DI170" i="7"/>
  <c r="DS170" i="7" s="1"/>
  <c r="EY170" i="7"/>
  <c r="GF170" i="7" s="1"/>
  <c r="EM181" i="7"/>
  <c r="EM182" i="7"/>
  <c r="EQ166" i="7"/>
  <c r="GB166" i="7" s="1"/>
  <c r="DG166" i="7"/>
  <c r="DQ166" i="7" s="1"/>
  <c r="EX181" i="7"/>
  <c r="EW181" i="7"/>
  <c r="EL182" i="7"/>
  <c r="EP181" i="7"/>
  <c r="EU160" i="7"/>
  <c r="GD160" i="7" s="1"/>
  <c r="DH160" i="7"/>
  <c r="DR160" i="7" s="1"/>
  <c r="EL180" i="7"/>
  <c r="EQ182" i="7"/>
  <c r="EI48" i="7"/>
  <c r="H61" i="30"/>
  <c r="H68" i="30" s="1"/>
  <c r="H31" i="30"/>
  <c r="EY92" i="7"/>
  <c r="GF92" i="7" s="1"/>
  <c r="DI92" i="7"/>
  <c r="DS92" i="7" s="1"/>
  <c r="DH84" i="7"/>
  <c r="DR84" i="7" s="1"/>
  <c r="EE84" i="7" s="1"/>
  <c r="EU84" i="7"/>
  <c r="GD84" i="7" s="1"/>
  <c r="EQ82" i="7"/>
  <c r="GB82" i="7" s="1"/>
  <c r="DG82" i="7"/>
  <c r="DE84" i="7"/>
  <c r="DO84" i="7" s="1"/>
  <c r="EI84" i="7"/>
  <c r="FX84" i="7" s="1"/>
  <c r="EY52" i="7"/>
  <c r="CH60" i="7"/>
  <c r="EZ60" i="7" s="1"/>
  <c r="EB38" i="7"/>
  <c r="EB37" i="7"/>
  <c r="CH59" i="7"/>
  <c r="EZ59" i="7" s="1"/>
  <c r="DT25" i="7"/>
  <c r="BZ47" i="7"/>
  <c r="ER47" i="7" s="1"/>
  <c r="DT26" i="7"/>
  <c r="BZ48" i="7"/>
  <c r="ER48" i="7" s="1"/>
  <c r="EJ138" i="7"/>
  <c r="ET138" i="7"/>
  <c r="FB139" i="7"/>
  <c r="EJ140" i="7"/>
  <c r="DH130" i="7"/>
  <c r="DR130" i="7" s="1"/>
  <c r="EE130" i="7" s="1"/>
  <c r="EU130" i="7"/>
  <c r="GD130" i="7" s="1"/>
  <c r="DH125" i="7"/>
  <c r="DR125" i="7" s="1"/>
  <c r="EE125" i="7" s="1"/>
  <c r="EU125" i="7"/>
  <c r="EI140" i="7"/>
  <c r="FK58" i="7"/>
  <c r="FK52" i="7"/>
  <c r="FS59" i="7"/>
  <c r="EV29" i="7"/>
  <c r="DB51" i="7"/>
  <c r="FT51" i="7" s="1"/>
  <c r="EV34" i="7"/>
  <c r="DB56" i="7"/>
  <c r="FT56" i="7" s="1"/>
  <c r="DP26" i="7"/>
  <c r="BV48" i="7"/>
  <c r="EN48" i="7" s="1"/>
  <c r="J79" i="30"/>
  <c r="J73" i="30"/>
  <c r="EU58" i="7"/>
  <c r="FS49" i="7"/>
  <c r="EY164" i="7"/>
  <c r="GF164" i="7" s="1"/>
  <c r="DI164" i="7"/>
  <c r="DS164" i="7" s="1"/>
  <c r="EI159" i="7"/>
  <c r="FX159" i="7" s="1"/>
  <c r="DE159" i="7"/>
  <c r="DO159" i="7" s="1"/>
  <c r="EQ161" i="7"/>
  <c r="GB161" i="7" s="1"/>
  <c r="DG161" i="7"/>
  <c r="DQ161" i="7" s="1"/>
  <c r="EQ167" i="7"/>
  <c r="DG167" i="7"/>
  <c r="DQ167" i="7" s="1"/>
  <c r="DH169" i="7"/>
  <c r="DR169" i="7" s="1"/>
  <c r="EU169" i="7"/>
  <c r="GD169" i="7" s="1"/>
  <c r="FB181" i="7"/>
  <c r="EI180" i="7"/>
  <c r="EM163" i="7"/>
  <c r="DF163" i="7"/>
  <c r="DP163" i="7" s="1"/>
  <c r="EI161" i="7"/>
  <c r="FX161" i="7" s="1"/>
  <c r="DE161" i="7"/>
  <c r="DO161" i="7" s="1"/>
  <c r="DK24" i="7" a="1"/>
  <c r="BQ46" i="7"/>
  <c r="DI81" i="7"/>
  <c r="EY81" i="7"/>
  <c r="GF81" i="7" s="1"/>
  <c r="EM81" i="7"/>
  <c r="FZ81" i="7" s="1"/>
  <c r="DF81" i="7"/>
  <c r="DP81" i="7" s="1"/>
  <c r="ED81" i="7" s="1"/>
  <c r="EN102" i="7"/>
  <c r="EO102" i="7"/>
  <c r="DI83" i="7"/>
  <c r="EY83" i="7"/>
  <c r="GF83" i="7" s="1"/>
  <c r="DF88" i="7"/>
  <c r="DP88" i="7" s="1"/>
  <c r="ED88" i="7" s="1"/>
  <c r="EM88" i="7"/>
  <c r="FZ88" i="7" s="1"/>
  <c r="DH93" i="7"/>
  <c r="DR93" i="7" s="1"/>
  <c r="EE93" i="7" s="1"/>
  <c r="EU93" i="7"/>
  <c r="DI88" i="7"/>
  <c r="EY88" i="7"/>
  <c r="GF88" i="7" s="1"/>
  <c r="ER102" i="7"/>
  <c r="EU89" i="7"/>
  <c r="DH89" i="7"/>
  <c r="DR89" i="7" s="1"/>
  <c r="EE89" i="7" s="1"/>
  <c r="ES102" i="7"/>
  <c r="EZ104" i="7"/>
  <c r="CH47" i="7"/>
  <c r="EZ47" i="7" s="1"/>
  <c r="EB25" i="7"/>
  <c r="EY53" i="7"/>
  <c r="EB32" i="7"/>
  <c r="CH54" i="7"/>
  <c r="EZ54" i="7" s="1"/>
  <c r="DT33" i="7"/>
  <c r="BZ55" i="7"/>
  <c r="ER55" i="7" s="1"/>
  <c r="DT34" i="7"/>
  <c r="BZ56" i="7"/>
  <c r="ER56" i="7" s="1"/>
  <c r="DH132" i="7"/>
  <c r="DR132" i="7" s="1"/>
  <c r="EU132" i="7"/>
  <c r="GD132" i="7" s="1"/>
  <c r="DE119" i="7"/>
  <c r="EI119" i="7"/>
  <c r="FX119" i="7" s="1"/>
  <c r="DG122" i="7"/>
  <c r="EQ122" i="7"/>
  <c r="GB122" i="7" s="1"/>
  <c r="DG126" i="7"/>
  <c r="DQ126" i="7" s="1"/>
  <c r="EQ126" i="7"/>
  <c r="GB126" i="7" s="1"/>
  <c r="DE120" i="7"/>
  <c r="DO120" i="7" s="1"/>
  <c r="EI120" i="7"/>
  <c r="FX120" i="7" s="1"/>
  <c r="EK138" i="7"/>
  <c r="EP140" i="7"/>
  <c r="ED24" i="7" a="1"/>
  <c r="CC116" i="7"/>
  <c r="CD116" i="7"/>
  <c r="BW116" i="7"/>
  <c r="BT116" i="7"/>
  <c r="CH116" i="7"/>
  <c r="BX116" i="7"/>
  <c r="BQ116" i="7"/>
  <c r="CA116" i="7"/>
  <c r="BS116" i="7"/>
  <c r="BV116" i="7"/>
  <c r="BZ116" i="7"/>
  <c r="BY116" i="7"/>
  <c r="CE116" i="7"/>
  <c r="CG116" i="7"/>
  <c r="CJ116" i="7"/>
  <c r="CF116" i="7"/>
  <c r="BU116" i="7"/>
  <c r="BR116" i="7"/>
  <c r="CB116" i="7"/>
  <c r="CI116" i="7"/>
  <c r="FK49" i="7"/>
  <c r="FK53" i="7"/>
  <c r="EV28" i="7"/>
  <c r="DB50" i="7"/>
  <c r="FT50" i="7" s="1"/>
  <c r="FS60" i="7"/>
  <c r="EV36" i="7"/>
  <c r="DB58" i="7"/>
  <c r="FT58" i="7" s="1"/>
  <c r="EM48" i="7"/>
  <c r="EU52" i="7"/>
  <c r="EU54" i="7"/>
  <c r="DI94" i="7"/>
  <c r="DS94" i="7" s="1"/>
  <c r="EY94" i="7"/>
  <c r="GF94" i="7" s="1"/>
  <c r="DF85" i="7"/>
  <c r="DP85" i="7" s="1"/>
  <c r="ED85" i="7" s="1"/>
  <c r="EM85" i="7"/>
  <c r="EQ89" i="7"/>
  <c r="DG89" i="7"/>
  <c r="DQ89" i="7" s="1"/>
  <c r="DF86" i="7"/>
  <c r="DP86" i="7" s="1"/>
  <c r="ED86" i="7" s="1"/>
  <c r="EM86" i="7"/>
  <c r="FZ86" i="7" s="1"/>
  <c r="EB27" i="7"/>
  <c r="CH49" i="7"/>
  <c r="EZ49" i="7" s="1"/>
  <c r="DH117" i="7"/>
  <c r="DR117" i="7" s="1"/>
  <c r="EE117" i="7" s="1"/>
  <c r="EU117" i="7"/>
  <c r="GD117" i="7" s="1"/>
  <c r="EU50" i="7"/>
  <c r="EQ159" i="7"/>
  <c r="GB159" i="7" s="1"/>
  <c r="DG159" i="7"/>
  <c r="DQ159" i="7" s="1"/>
  <c r="K61" i="30"/>
  <c r="K68" i="30" s="1"/>
  <c r="K31" i="30"/>
  <c r="EY166" i="7"/>
  <c r="DI166" i="7"/>
  <c r="DS166" i="7" s="1"/>
  <c r="EY163" i="7"/>
  <c r="DI163" i="7"/>
  <c r="DS163" i="7" s="1"/>
  <c r="EN182" i="7"/>
  <c r="EY169" i="7"/>
  <c r="GF169" i="7" s="1"/>
  <c r="DI169" i="7"/>
  <c r="DS169" i="7" s="1"/>
  <c r="EO181" i="7"/>
  <c r="EY161" i="7"/>
  <c r="GF161" i="7" s="1"/>
  <c r="DI161" i="7"/>
  <c r="DS161" i="7" s="1"/>
  <c r="EI47" i="7"/>
  <c r="EX104" i="7"/>
  <c r="EQ84" i="7"/>
  <c r="GB84" i="7" s="1"/>
  <c r="DG84" i="7"/>
  <c r="EY87" i="7"/>
  <c r="GF87" i="7" s="1"/>
  <c r="DI87" i="7"/>
  <c r="EX102" i="7"/>
  <c r="ES103" i="7"/>
  <c r="EM83" i="7"/>
  <c r="FZ83" i="7" s="1"/>
  <c r="DF83" i="7"/>
  <c r="DP83" i="7" s="1"/>
  <c r="ED83" i="7" s="1"/>
  <c r="L61" i="30"/>
  <c r="L68" i="30" s="1"/>
  <c r="L31" i="30"/>
  <c r="EY58" i="7"/>
  <c r="EY60" i="7"/>
  <c r="EY54" i="7"/>
  <c r="EQ55" i="7"/>
  <c r="BZ57" i="7"/>
  <c r="ER57" i="7" s="1"/>
  <c r="DT35" i="7"/>
  <c r="DF123" i="7"/>
  <c r="DP123" i="7" s="1"/>
  <c r="ED123" i="7" s="1"/>
  <c r="EM123" i="7"/>
  <c r="FZ123" i="7" s="1"/>
  <c r="EQ140" i="7"/>
  <c r="DH118" i="7"/>
  <c r="DR118" i="7" s="1"/>
  <c r="EE118" i="7" s="1"/>
  <c r="EU118" i="7"/>
  <c r="GD118" i="7" s="1"/>
  <c r="EO140" i="7"/>
  <c r="EN138" i="7"/>
  <c r="DI125" i="7"/>
  <c r="EY125" i="7"/>
  <c r="DE118" i="7"/>
  <c r="EI118" i="7"/>
  <c r="FX118" i="7" s="1"/>
  <c r="ER139" i="7"/>
  <c r="ET140" i="7"/>
  <c r="FK61" i="7"/>
  <c r="FK60" i="7"/>
  <c r="FS55" i="7"/>
  <c r="EV40" i="7"/>
  <c r="DB62" i="7"/>
  <c r="FT62" i="7" s="1"/>
  <c r="EM51" i="7"/>
  <c r="EU62" i="7"/>
  <c r="EU49" i="7"/>
  <c r="EM52" i="7"/>
  <c r="EI162" i="7"/>
  <c r="FX162" i="7" s="1"/>
  <c r="DE162" i="7"/>
  <c r="DO162" i="7" s="1"/>
  <c r="EK180" i="7"/>
  <c r="EU166" i="7"/>
  <c r="GD166" i="7" s="1"/>
  <c r="DH166" i="7"/>
  <c r="DR166" i="7" s="1"/>
  <c r="ES182" i="7"/>
  <c r="EI182" i="7"/>
  <c r="DG162" i="7"/>
  <c r="DQ162" i="7" s="1"/>
  <c r="EQ162" i="7"/>
  <c r="GB162" i="7" s="1"/>
  <c r="EW180" i="7"/>
  <c r="EY159" i="7"/>
  <c r="GF159" i="7" s="1"/>
  <c r="DI159" i="7"/>
  <c r="DS159" i="7" s="1"/>
  <c r="EJ182" i="7"/>
  <c r="EM164" i="7"/>
  <c r="FZ164" i="7" s="1"/>
  <c r="DF164" i="7"/>
  <c r="DP164" i="7" s="1"/>
  <c r="EM165" i="7"/>
  <c r="FZ165" i="7" s="1"/>
  <c r="DF165" i="7"/>
  <c r="DP165" i="7" s="1"/>
  <c r="EI53" i="7"/>
  <c r="EV104" i="7"/>
  <c r="DH87" i="7"/>
  <c r="DR87" i="7" s="1"/>
  <c r="EE87" i="7" s="1"/>
  <c r="EU87" i="7"/>
  <c r="GD87" i="7" s="1"/>
  <c r="DH90" i="7"/>
  <c r="DR90" i="7" s="1"/>
  <c r="EE90" i="7" s="1"/>
  <c r="EU90" i="7"/>
  <c r="GD90" i="7" s="1"/>
  <c r="EQ90" i="7"/>
  <c r="GB90" i="7" s="1"/>
  <c r="DG90" i="7"/>
  <c r="DQ90" i="7" s="1"/>
  <c r="EY84" i="7"/>
  <c r="GF84" i="7" s="1"/>
  <c r="DI84" i="7"/>
  <c r="DH96" i="7"/>
  <c r="DR96" i="7" s="1"/>
  <c r="EU96" i="7"/>
  <c r="GD96" i="7" s="1"/>
  <c r="DF82" i="7"/>
  <c r="DP82" i="7" s="1"/>
  <c r="ED82" i="7" s="1"/>
  <c r="EM82" i="7"/>
  <c r="FZ82" i="7" s="1"/>
  <c r="EU92" i="7"/>
  <c r="GD92" i="7" s="1"/>
  <c r="DH92" i="7"/>
  <c r="DR92" i="7" s="1"/>
  <c r="EE92" i="7" s="1"/>
  <c r="EB33" i="7"/>
  <c r="CH55" i="7"/>
  <c r="EZ55" i="7" s="1"/>
  <c r="CH58" i="7"/>
  <c r="EZ58" i="7" s="1"/>
  <c r="EB36" i="7"/>
  <c r="EY50" i="7"/>
  <c r="N61" i="30"/>
  <c r="N68" i="30" s="1"/>
  <c r="N31" i="30"/>
  <c r="EQ57" i="7"/>
  <c r="EQ51" i="7"/>
  <c r="EX138" i="7"/>
  <c r="DF124" i="7"/>
  <c r="DP124" i="7" s="1"/>
  <c r="ED124" i="7" s="1"/>
  <c r="EM124" i="7"/>
  <c r="FZ124" i="7" s="1"/>
  <c r="EV140" i="7"/>
  <c r="EO139" i="7"/>
  <c r="EX140" i="7"/>
  <c r="DH119" i="7"/>
  <c r="DR119" i="7" s="1"/>
  <c r="EE119" i="7" s="1"/>
  <c r="EU119" i="7"/>
  <c r="GD119" i="7" s="1"/>
  <c r="EV138" i="7"/>
  <c r="FA140" i="7"/>
  <c r="ES139" i="7"/>
  <c r="ES140" i="7"/>
  <c r="EU123" i="7"/>
  <c r="GD123" i="7" s="1"/>
  <c r="DH123" i="7"/>
  <c r="DR123" i="7" s="1"/>
  <c r="EE123" i="7" s="1"/>
  <c r="FK56" i="7"/>
  <c r="EM24" i="7" a="1"/>
  <c r="CS46" i="7"/>
  <c r="FS62" i="7"/>
  <c r="FS52" i="7"/>
  <c r="DP29" i="7"/>
  <c r="BV51" i="7"/>
  <c r="EN51" i="7" s="1"/>
  <c r="EU60" i="7"/>
  <c r="EU61" i="7"/>
  <c r="EQ56" i="7"/>
  <c r="EY165" i="7"/>
  <c r="DI165" i="7"/>
  <c r="DS165" i="7" s="1"/>
  <c r="EY172" i="7"/>
  <c r="GF172" i="7" s="1"/>
  <c r="DI172" i="7"/>
  <c r="DS172" i="7" s="1"/>
  <c r="EU172" i="7"/>
  <c r="GD172" i="7" s="1"/>
  <c r="DH172" i="7"/>
  <c r="DR172" i="7" s="1"/>
  <c r="EU162" i="7"/>
  <c r="GD162" i="7" s="1"/>
  <c r="DH162" i="7"/>
  <c r="DR162" i="7" s="1"/>
  <c r="EI51" i="7"/>
  <c r="EJ104" i="7"/>
  <c r="EZ103" i="7"/>
  <c r="EX103" i="7"/>
  <c r="EW102" i="7"/>
  <c r="EU88" i="7"/>
  <c r="GD88" i="7" s="1"/>
  <c r="DH88" i="7"/>
  <c r="DR88" i="7" s="1"/>
  <c r="EE88" i="7" s="1"/>
  <c r="EU94" i="7"/>
  <c r="GD94" i="7" s="1"/>
  <c r="DH94" i="7"/>
  <c r="DR94" i="7" s="1"/>
  <c r="EE94" i="7" s="1"/>
  <c r="EU83" i="7"/>
  <c r="GD83" i="7" s="1"/>
  <c r="DH83" i="7"/>
  <c r="DR83" i="7" s="1"/>
  <c r="EE83" i="7" s="1"/>
  <c r="EY51" i="7"/>
  <c r="EB31" i="7"/>
  <c r="CH53" i="7"/>
  <c r="EZ53" i="7" s="1"/>
  <c r="EB34" i="7"/>
  <c r="CH56" i="7"/>
  <c r="EZ56" i="7" s="1"/>
  <c r="DT30" i="7"/>
  <c r="BZ52" i="7"/>
  <c r="ER52" i="7" s="1"/>
  <c r="DT28" i="7"/>
  <c r="BZ50" i="7"/>
  <c r="ER50" i="7" s="1"/>
  <c r="BZ58" i="7"/>
  <c r="ER58" i="7" s="1"/>
  <c r="DT36" i="7"/>
  <c r="EM121" i="7"/>
  <c r="DF121" i="7"/>
  <c r="DP121" i="7" s="1"/>
  <c r="ED121" i="7" s="1"/>
  <c r="DI118" i="7"/>
  <c r="EY118" i="7"/>
  <c r="GF118" i="7" s="1"/>
  <c r="EQ123" i="7"/>
  <c r="GB123" i="7" s="1"/>
  <c r="DG123" i="7"/>
  <c r="DI130" i="7"/>
  <c r="DS130" i="7" s="1"/>
  <c r="EY130" i="7"/>
  <c r="EY126" i="7"/>
  <c r="GF126" i="7" s="1"/>
  <c r="DI126" i="7"/>
  <c r="DI124" i="7"/>
  <c r="EY124" i="7"/>
  <c r="GF124" i="7" s="1"/>
  <c r="EU129" i="7"/>
  <c r="DH129" i="7"/>
  <c r="DR129" i="7" s="1"/>
  <c r="EE129" i="7" s="1"/>
  <c r="DG117" i="7"/>
  <c r="EQ117" i="7"/>
  <c r="GB117" i="7" s="1"/>
  <c r="FK48" i="7"/>
  <c r="FK55" i="7"/>
  <c r="EV25" i="7"/>
  <c r="DB47" i="7"/>
  <c r="FT47" i="7" s="1"/>
  <c r="EV39" i="7"/>
  <c r="DB61" i="7"/>
  <c r="FT61" i="7" s="1"/>
  <c r="DP30" i="7"/>
  <c r="BV52" i="7"/>
  <c r="EN52" i="7" s="1"/>
  <c r="EU57" i="7"/>
  <c r="EU47" i="7"/>
  <c r="FA139" i="7"/>
  <c r="ER180" i="7"/>
  <c r="EQ164" i="7"/>
  <c r="GB164" i="7" s="1"/>
  <c r="DG164" i="7"/>
  <c r="DQ164" i="7" s="1"/>
  <c r="EW182" i="7"/>
  <c r="EK181" i="7"/>
  <c r="EM103" i="7"/>
  <c r="EI102" i="7"/>
  <c r="DI89" i="7"/>
  <c r="EY89" i="7"/>
  <c r="EI104" i="7"/>
  <c r="EQ87" i="7"/>
  <c r="GB87" i="7" s="1"/>
  <c r="DG87" i="7"/>
  <c r="EY82" i="7"/>
  <c r="GF82" i="7" s="1"/>
  <c r="DI82" i="7"/>
  <c r="EU95" i="7"/>
  <c r="GD95" i="7" s="1"/>
  <c r="DH95" i="7"/>
  <c r="DR95" i="7" s="1"/>
  <c r="EZ102" i="7"/>
  <c r="EY62" i="7"/>
  <c r="EA24" i="7"/>
  <c r="CG46" i="7"/>
  <c r="EB39" i="7"/>
  <c r="CH61" i="7"/>
  <c r="EZ61" i="7" s="1"/>
  <c r="DT32" i="7"/>
  <c r="BZ54" i="7"/>
  <c r="ER54" i="7" s="1"/>
  <c r="DT31" i="7"/>
  <c r="BZ53" i="7"/>
  <c r="ER53" i="7" s="1"/>
  <c r="DI132" i="7"/>
  <c r="DS132" i="7" s="1"/>
  <c r="EY132" i="7"/>
  <c r="DG125" i="7"/>
  <c r="DQ125" i="7" s="1"/>
  <c r="EQ125" i="7"/>
  <c r="DF119" i="7"/>
  <c r="DP119" i="7" s="1"/>
  <c r="ED119" i="7" s="1"/>
  <c r="EM119" i="7"/>
  <c r="FZ119" i="7" s="1"/>
  <c r="DG121" i="7"/>
  <c r="EQ121" i="7"/>
  <c r="DI121" i="7"/>
  <c r="EY121" i="7"/>
  <c r="EK140" i="7"/>
  <c r="DH128" i="7"/>
  <c r="DR128" i="7" s="1"/>
  <c r="EE128" i="7" s="1"/>
  <c r="EU128" i="7"/>
  <c r="GD128" i="7" s="1"/>
  <c r="DH120" i="7"/>
  <c r="DR120" i="7" s="1"/>
  <c r="EE120" i="7" s="1"/>
  <c r="EU120" i="7"/>
  <c r="GD120" i="7" s="1"/>
  <c r="ER140" i="7"/>
  <c r="FK54" i="7"/>
  <c r="FS48" i="7"/>
  <c r="FS61" i="7"/>
  <c r="FS53" i="7"/>
  <c r="BV50" i="7"/>
  <c r="EN50" i="7" s="1"/>
  <c r="DP28" i="7"/>
  <c r="DW24" i="7" a="1"/>
  <c r="CC46" i="7"/>
  <c r="EU48" i="7"/>
  <c r="GK167" i="7" l="1"/>
  <c r="FS69" i="7"/>
  <c r="GP85" i="7"/>
  <c r="FS70" i="7"/>
  <c r="FK69" i="7"/>
  <c r="FT68" i="7"/>
  <c r="GP94" i="7"/>
  <c r="DQ121" i="7"/>
  <c r="EB121" i="7"/>
  <c r="CI61" i="7"/>
  <c r="FA61" i="7" s="1"/>
  <c r="EC39" i="7"/>
  <c r="CJ61" i="7" s="1"/>
  <c r="FB61" i="7" s="1"/>
  <c r="GF130" i="7"/>
  <c r="D106" i="16"/>
  <c r="L43" i="30"/>
  <c r="L37" i="30"/>
  <c r="K79" i="30"/>
  <c r="K73" i="30"/>
  <c r="GB89" i="7"/>
  <c r="GC89" i="7" s="1"/>
  <c r="GJ88" i="7" s="1"/>
  <c r="EQ103" i="7"/>
  <c r="EW36" i="7"/>
  <c r="DD58" i="7" s="1"/>
  <c r="FV58" i="7" s="1"/>
  <c r="DC58" i="7"/>
  <c r="FU58" i="7" s="1"/>
  <c r="DF116" i="7"/>
  <c r="EM116" i="7"/>
  <c r="BU138" i="7"/>
  <c r="CH138" i="7"/>
  <c r="EZ116" i="7"/>
  <c r="EZ137" i="7" s="1"/>
  <c r="EC32" i="7"/>
  <c r="CJ54" i="7" s="1"/>
  <c r="FB54" i="7" s="1"/>
  <c r="CI54" i="7"/>
  <c r="GD93" i="7"/>
  <c r="GE93" i="7" s="1"/>
  <c r="EU104" i="7"/>
  <c r="EI46" i="7"/>
  <c r="BQ67" i="7"/>
  <c r="CA47" i="7"/>
  <c r="ES47" i="7" s="1"/>
  <c r="DU25" i="7"/>
  <c r="CB47" i="7" s="1"/>
  <c r="ET47" i="7" s="1"/>
  <c r="GD121" i="7"/>
  <c r="GE121" i="7" s="1"/>
  <c r="GL82" i="7" s="1"/>
  <c r="EU138" i="7"/>
  <c r="CI57" i="7"/>
  <c r="FA57" i="7" s="1"/>
  <c r="EC35" i="7"/>
  <c r="CJ57" i="7" s="1"/>
  <c r="FB57" i="7" s="1"/>
  <c r="M43" i="30"/>
  <c r="M37" i="30"/>
  <c r="FA158" i="7"/>
  <c r="FA179" i="7" s="1"/>
  <c r="CI180" i="7"/>
  <c r="ES158" i="7"/>
  <c r="ES179" i="7" s="1"/>
  <c r="CA180" i="7"/>
  <c r="BX102" i="7"/>
  <c r="EP80" i="7"/>
  <c r="EP101" i="7" s="1"/>
  <c r="GF171" i="7"/>
  <c r="GG171" i="7" s="1"/>
  <c r="EY182" i="7"/>
  <c r="G37" i="30"/>
  <c r="G43" i="30"/>
  <c r="GB163" i="7"/>
  <c r="GC163" i="7" s="1"/>
  <c r="GK83" i="7" s="1"/>
  <c r="EQ180" i="7"/>
  <c r="EY46" i="7"/>
  <c r="CG67" i="7"/>
  <c r="DU30" i="7"/>
  <c r="CB52" i="7" s="1"/>
  <c r="ET52" i="7" s="1"/>
  <c r="CA52" i="7"/>
  <c r="ES52" i="7" s="1"/>
  <c r="L79" i="30"/>
  <c r="L73" i="30"/>
  <c r="FZ85" i="7"/>
  <c r="GA85" i="7" s="1"/>
  <c r="GJ81" i="7" s="1"/>
  <c r="EM102" i="7"/>
  <c r="CF138" i="7"/>
  <c r="EX116" i="7"/>
  <c r="EX137" i="7" s="1"/>
  <c r="BT138" i="7"/>
  <c r="EL116" i="7"/>
  <c r="EL137" i="7" s="1"/>
  <c r="BR50" i="7"/>
  <c r="DK24" i="7"/>
  <c r="BR49" i="7"/>
  <c r="BR54" i="7"/>
  <c r="BR53" i="7"/>
  <c r="BR52" i="7"/>
  <c r="BR51" i="7"/>
  <c r="BR48" i="7"/>
  <c r="BR47" i="7"/>
  <c r="DQ26" i="7"/>
  <c r="BX48" i="7" s="1"/>
  <c r="EP48" i="7" s="1"/>
  <c r="BW48" i="7"/>
  <c r="EO48" i="7" s="1"/>
  <c r="GD125" i="7"/>
  <c r="GE125" i="7" s="1"/>
  <c r="GK89" i="7" s="1"/>
  <c r="EU139" i="7"/>
  <c r="EB119" i="7"/>
  <c r="DQ119" i="7"/>
  <c r="M79" i="30"/>
  <c r="M73" i="30"/>
  <c r="CJ180" i="7"/>
  <c r="FB158" i="7"/>
  <c r="FB179" i="7" s="1"/>
  <c r="CF180" i="7"/>
  <c r="EX158" i="7"/>
  <c r="EX179" i="7" s="1"/>
  <c r="ER68" i="7"/>
  <c r="CF102" i="7"/>
  <c r="EX80" i="7"/>
  <c r="EX101" i="7" s="1"/>
  <c r="G73" i="30"/>
  <c r="G79" i="30"/>
  <c r="E110" i="16"/>
  <c r="GF167" i="7"/>
  <c r="GG167" i="7" s="1"/>
  <c r="EY181" i="7"/>
  <c r="EW30" i="7"/>
  <c r="DD52" i="7" s="1"/>
  <c r="FV52" i="7" s="1"/>
  <c r="DC52" i="7"/>
  <c r="EU46" i="7"/>
  <c r="CC67" i="7"/>
  <c r="EB24" i="7"/>
  <c r="CH46" i="7"/>
  <c r="GF89" i="7"/>
  <c r="GG89" i="7" s="1"/>
  <c r="EY103" i="7"/>
  <c r="EB123" i="7"/>
  <c r="DQ123" i="7"/>
  <c r="N43" i="30"/>
  <c r="N37" i="30"/>
  <c r="DU35" i="7"/>
  <c r="CB57" i="7" s="1"/>
  <c r="ET57" i="7" s="1"/>
  <c r="CA57" i="7"/>
  <c r="CJ138" i="7"/>
  <c r="FB116" i="7"/>
  <c r="FB137" i="7" s="1"/>
  <c r="EO116" i="7"/>
  <c r="EO137" i="7" s="1"/>
  <c r="BW138" i="7"/>
  <c r="EB122" i="7"/>
  <c r="DQ122" i="7"/>
  <c r="EC37" i="7"/>
  <c r="CJ59" i="7" s="1"/>
  <c r="FB59" i="7" s="1"/>
  <c r="CI59" i="7"/>
  <c r="FA59" i="7" s="1"/>
  <c r="FS46" i="7"/>
  <c r="FS67" i="7" s="1"/>
  <c r="EA117" i="7"/>
  <c r="DO117" i="7"/>
  <c r="ET158" i="7"/>
  <c r="ET179" i="7" s="1"/>
  <c r="CB180" i="7"/>
  <c r="EZ158" i="7"/>
  <c r="EZ179" i="7" s="1"/>
  <c r="CH180" i="7"/>
  <c r="CA51" i="7"/>
  <c r="DU29" i="7"/>
  <c r="CB51" i="7" s="1"/>
  <c r="ET51" i="7" s="1"/>
  <c r="GP89" i="7"/>
  <c r="CB102" i="7"/>
  <c r="ET80" i="7"/>
  <c r="ET101" i="7" s="1"/>
  <c r="CA102" i="7"/>
  <c r="ES80" i="7"/>
  <c r="ES101" i="7" s="1"/>
  <c r="BZ46" i="7"/>
  <c r="DT24" i="7"/>
  <c r="EB83" i="7"/>
  <c r="DQ83" i="7"/>
  <c r="CD59" i="7"/>
  <c r="CD51" i="7"/>
  <c r="CD47" i="7"/>
  <c r="CD57" i="7"/>
  <c r="DW24" i="7"/>
  <c r="CD53" i="7"/>
  <c r="CD50" i="7"/>
  <c r="CD49" i="7"/>
  <c r="CD52" i="7"/>
  <c r="CD62" i="7"/>
  <c r="CD54" i="7"/>
  <c r="CD56" i="7"/>
  <c r="CD61" i="7"/>
  <c r="CD48" i="7"/>
  <c r="CD60" i="7"/>
  <c r="CD58" i="7"/>
  <c r="CD55" i="7"/>
  <c r="EQ139" i="7"/>
  <c r="GB125" i="7"/>
  <c r="GC125" i="7" s="1"/>
  <c r="GJ89" i="7" s="1"/>
  <c r="EY70" i="7"/>
  <c r="EC89" i="7"/>
  <c r="DS89" i="7"/>
  <c r="EC34" i="7"/>
  <c r="CJ56" i="7" s="1"/>
  <c r="FB56" i="7" s="1"/>
  <c r="CI56" i="7"/>
  <c r="FA56" i="7" s="1"/>
  <c r="GF165" i="7"/>
  <c r="E101" i="16"/>
  <c r="N79" i="30"/>
  <c r="N73" i="30"/>
  <c r="CG138" i="7"/>
  <c r="DI116" i="7"/>
  <c r="EY116" i="7"/>
  <c r="CD138" i="7"/>
  <c r="EV116" i="7"/>
  <c r="EV137" i="7" s="1"/>
  <c r="EC25" i="7"/>
  <c r="CJ47" i="7" s="1"/>
  <c r="FB47" i="7" s="1"/>
  <c r="CI47" i="7"/>
  <c r="FA47" i="7" s="1"/>
  <c r="EW34" i="7"/>
  <c r="DD56" i="7" s="1"/>
  <c r="FV56" i="7" s="1"/>
  <c r="DC56" i="7"/>
  <c r="FU56" i="7" s="1"/>
  <c r="EC38" i="7"/>
  <c r="CJ60" i="7" s="1"/>
  <c r="FB60" i="7" s="1"/>
  <c r="CI60" i="7"/>
  <c r="FA60" i="7" s="1"/>
  <c r="H37" i="30"/>
  <c r="H43" i="30"/>
  <c r="CA49" i="7"/>
  <c r="ES49" i="7" s="1"/>
  <c r="DU27" i="7"/>
  <c r="CB49" i="7" s="1"/>
  <c r="ET49" i="7" s="1"/>
  <c r="EV24" i="7"/>
  <c r="DB46" i="7"/>
  <c r="FT46" i="7" s="1"/>
  <c r="FT67" i="7" s="1"/>
  <c r="EW26" i="7"/>
  <c r="DD48" i="7" s="1"/>
  <c r="FV48" i="7" s="1"/>
  <c r="DC48" i="7"/>
  <c r="EC122" i="7"/>
  <c r="DS122" i="7"/>
  <c r="EN158" i="7"/>
  <c r="EN179" i="7" s="1"/>
  <c r="BV180" i="7"/>
  <c r="BU180" i="7"/>
  <c r="DF158" i="7"/>
  <c r="EM158" i="7"/>
  <c r="DG52" i="7"/>
  <c r="CD102" i="7"/>
  <c r="EV80" i="7"/>
  <c r="EV101" i="7" s="1"/>
  <c r="CC102" i="7"/>
  <c r="DH80" i="7"/>
  <c r="EU80" i="7"/>
  <c r="EB118" i="7"/>
  <c r="DQ118" i="7"/>
  <c r="EQ46" i="7"/>
  <c r="BY67" i="7"/>
  <c r="FK46" i="7"/>
  <c r="FK67" i="7" s="1"/>
  <c r="EC84" i="7"/>
  <c r="DS84" i="7"/>
  <c r="EM68" i="7"/>
  <c r="EA118" i="7"/>
  <c r="DO118" i="7"/>
  <c r="EW28" i="7"/>
  <c r="DD50" i="7" s="1"/>
  <c r="FV50" i="7" s="1"/>
  <c r="DC50" i="7"/>
  <c r="FU50" i="7" s="1"/>
  <c r="EW116" i="7"/>
  <c r="EW137" i="7" s="1"/>
  <c r="CE138" i="7"/>
  <c r="DH116" i="7"/>
  <c r="EU116" i="7"/>
  <c r="CC138" i="7"/>
  <c r="EA119" i="7"/>
  <c r="DO119" i="7"/>
  <c r="H79" i="30"/>
  <c r="H73" i="30"/>
  <c r="EM46" i="7"/>
  <c r="BU67" i="7"/>
  <c r="EK158" i="7"/>
  <c r="BS180" i="7"/>
  <c r="EP24" i="7"/>
  <c r="EQ29" i="7"/>
  <c r="CW51" i="7"/>
  <c r="EQ32" i="7"/>
  <c r="EQ26" i="7"/>
  <c r="EQ28" i="7"/>
  <c r="CW54" i="7"/>
  <c r="CW47" i="7"/>
  <c r="EQ39" i="7"/>
  <c r="CW49" i="7"/>
  <c r="EQ38" i="7"/>
  <c r="CW55" i="7"/>
  <c r="EQ33" i="7"/>
  <c r="CW62" i="7"/>
  <c r="EQ30" i="7"/>
  <c r="CW61" i="7"/>
  <c r="CW52" i="7"/>
  <c r="EQ27" i="7"/>
  <c r="EQ37" i="7"/>
  <c r="CW48" i="7"/>
  <c r="CW59" i="7"/>
  <c r="CW53" i="7"/>
  <c r="CW50" i="7"/>
  <c r="CW56" i="7"/>
  <c r="EQ40" i="7"/>
  <c r="EQ36" i="7"/>
  <c r="CW58" i="7"/>
  <c r="EQ34" i="7"/>
  <c r="CW57" i="7"/>
  <c r="EQ31" i="7"/>
  <c r="EQ25" i="7"/>
  <c r="EQ35" i="7"/>
  <c r="CW60" i="7"/>
  <c r="DS86" i="7"/>
  <c r="EC86" i="7"/>
  <c r="CI102" i="7"/>
  <c r="FA80" i="7"/>
  <c r="FA101" i="7" s="1"/>
  <c r="EJ80" i="7"/>
  <c r="EJ101" i="7" s="1"/>
  <c r="BR102" i="7"/>
  <c r="BW49" i="7"/>
  <c r="DQ27" i="7"/>
  <c r="BX49" i="7" s="1"/>
  <c r="EP49" i="7" s="1"/>
  <c r="FK70" i="7"/>
  <c r="DQ28" i="7"/>
  <c r="BX50" i="7" s="1"/>
  <c r="EP50" i="7" s="1"/>
  <c r="BW50" i="7"/>
  <c r="EO50" i="7" s="1"/>
  <c r="D114" i="16"/>
  <c r="GF132" i="7"/>
  <c r="EB117" i="7"/>
  <c r="DQ117" i="7"/>
  <c r="EC118" i="7"/>
  <c r="DS118" i="7"/>
  <c r="EC31" i="7"/>
  <c r="CJ53" i="7" s="1"/>
  <c r="FB53" i="7" s="1"/>
  <c r="CI53" i="7"/>
  <c r="FA53" i="7" s="1"/>
  <c r="CT60" i="7"/>
  <c r="CT50" i="7"/>
  <c r="CT55" i="7"/>
  <c r="CT61" i="7"/>
  <c r="CT58" i="7"/>
  <c r="CT56" i="7"/>
  <c r="CT48" i="7"/>
  <c r="CT49" i="7"/>
  <c r="CT54" i="7"/>
  <c r="CT51" i="7"/>
  <c r="CT59" i="7"/>
  <c r="CT53" i="7"/>
  <c r="CT52" i="7"/>
  <c r="CT62" i="7"/>
  <c r="CT57" i="7"/>
  <c r="EM24" i="7"/>
  <c r="CT47" i="7"/>
  <c r="GK163" i="7"/>
  <c r="FT70" i="7"/>
  <c r="GF125" i="7"/>
  <c r="GG125" i="7" s="1"/>
  <c r="EY139" i="7"/>
  <c r="EQ69" i="7"/>
  <c r="DG116" i="7"/>
  <c r="BY138" i="7"/>
  <c r="EQ116" i="7"/>
  <c r="EE39" i="7"/>
  <c r="EE36" i="7"/>
  <c r="CK53" i="7"/>
  <c r="EE30" i="7"/>
  <c r="EE37" i="7"/>
  <c r="CK48" i="7"/>
  <c r="CK58" i="7"/>
  <c r="CK57" i="7"/>
  <c r="CK59" i="7"/>
  <c r="EE29" i="7"/>
  <c r="CK50" i="7"/>
  <c r="CK61" i="7"/>
  <c r="EE35" i="7"/>
  <c r="CK49" i="7"/>
  <c r="EE38" i="7"/>
  <c r="CK54" i="7"/>
  <c r="EE28" i="7"/>
  <c r="EE32" i="7"/>
  <c r="CK55" i="7"/>
  <c r="EE34" i="7"/>
  <c r="EE25" i="7"/>
  <c r="CK62" i="7"/>
  <c r="CK47" i="7"/>
  <c r="ED24" i="7"/>
  <c r="CK51" i="7"/>
  <c r="CK56" i="7"/>
  <c r="EE33" i="7"/>
  <c r="CK60" i="7"/>
  <c r="EE27" i="7"/>
  <c r="CK52" i="7"/>
  <c r="EE26" i="7"/>
  <c r="EE40" i="7"/>
  <c r="EE31" i="7"/>
  <c r="EC83" i="7"/>
  <c r="DS83" i="7"/>
  <c r="FZ163" i="7"/>
  <c r="GA163" i="7" s="1"/>
  <c r="GJ83" i="7" s="1"/>
  <c r="EM180" i="7"/>
  <c r="EW29" i="7"/>
  <c r="DD51" i="7" s="1"/>
  <c r="FV51" i="7" s="1"/>
  <c r="DC51" i="7"/>
  <c r="FU51" i="7" s="1"/>
  <c r="EW35" i="7"/>
  <c r="DD57" i="7" s="1"/>
  <c r="FV57" i="7" s="1"/>
  <c r="DC57" i="7"/>
  <c r="FU57" i="7" s="1"/>
  <c r="DS120" i="7"/>
  <c r="EC120" i="7"/>
  <c r="DP24" i="7"/>
  <c r="BV46" i="7"/>
  <c r="EW31" i="7"/>
  <c r="DD53" i="7" s="1"/>
  <c r="FV53" i="7" s="1"/>
  <c r="DC53" i="7"/>
  <c r="EY69" i="7"/>
  <c r="EC90" i="7"/>
  <c r="DS90" i="7"/>
  <c r="EP158" i="7"/>
  <c r="EP179" i="7" s="1"/>
  <c r="BX180" i="7"/>
  <c r="EW38" i="7"/>
  <c r="DD60" i="7" s="1"/>
  <c r="FV60" i="7" s="1"/>
  <c r="DC60" i="7"/>
  <c r="EC29" i="7"/>
  <c r="CJ51" i="7" s="1"/>
  <c r="FB51" i="7" s="1"/>
  <c r="CI51" i="7"/>
  <c r="GF93" i="7"/>
  <c r="GG93" i="7" s="1"/>
  <c r="EY104" i="7"/>
  <c r="FY109" i="7" s="1"/>
  <c r="BS102" i="7"/>
  <c r="EK80" i="7"/>
  <c r="EK101" i="7" s="1"/>
  <c r="BY102" i="7"/>
  <c r="DG80" i="7"/>
  <c r="EQ80" i="7"/>
  <c r="DQ32" i="7"/>
  <c r="BX54" i="7" s="1"/>
  <c r="EP54" i="7" s="1"/>
  <c r="BW54" i="7"/>
  <c r="EC119" i="7"/>
  <c r="DS119" i="7"/>
  <c r="EU70" i="7"/>
  <c r="EC36" i="7"/>
  <c r="CJ58" i="7" s="1"/>
  <c r="FB58" i="7" s="1"/>
  <c r="CI58" i="7"/>
  <c r="FA58" i="7" s="1"/>
  <c r="EW40" i="7"/>
  <c r="DD62" i="7" s="1"/>
  <c r="FV62" i="7" s="1"/>
  <c r="DC62" i="7"/>
  <c r="EC125" i="7"/>
  <c r="DS125" i="7"/>
  <c r="EC87" i="7"/>
  <c r="DS87" i="7"/>
  <c r="BZ138" i="7"/>
  <c r="ER116" i="7"/>
  <c r="ER137" i="7" s="1"/>
  <c r="EB85" i="7"/>
  <c r="DQ85" i="7"/>
  <c r="FT69" i="7"/>
  <c r="DG158" i="7"/>
  <c r="EQ158" i="7"/>
  <c r="BY180" i="7"/>
  <c r="CH102" i="7"/>
  <c r="EZ80" i="7"/>
  <c r="EZ101" i="7" s="1"/>
  <c r="BZ102" i="7"/>
  <c r="ER80" i="7"/>
  <c r="ER101" i="7" s="1"/>
  <c r="D110" i="16"/>
  <c r="GF131" i="7"/>
  <c r="EN68" i="7"/>
  <c r="I43" i="30"/>
  <c r="I37" i="30"/>
  <c r="GK130" i="7"/>
  <c r="DQ30" i="7"/>
  <c r="BX52" i="7" s="1"/>
  <c r="EP52" i="7" s="1"/>
  <c r="BW52" i="7"/>
  <c r="EO52" i="7" s="1"/>
  <c r="GD129" i="7"/>
  <c r="GE129" i="7" s="1"/>
  <c r="EU140" i="7"/>
  <c r="FZ121" i="7"/>
  <c r="GA121" i="7" s="1"/>
  <c r="GJ82" i="7" s="1"/>
  <c r="EM138" i="7"/>
  <c r="EY68" i="7"/>
  <c r="EI68" i="7"/>
  <c r="BV138" i="7"/>
  <c r="EN116" i="7"/>
  <c r="EN137" i="7" s="1"/>
  <c r="GK121" i="7"/>
  <c r="EU68" i="7"/>
  <c r="FK68" i="7"/>
  <c r="GB85" i="7"/>
  <c r="GC85" i="7" s="1"/>
  <c r="GK81" i="7" s="1"/>
  <c r="EQ102" i="7"/>
  <c r="EC28" i="7"/>
  <c r="CJ50" i="7" s="1"/>
  <c r="FB50" i="7" s="1"/>
  <c r="CI50" i="7"/>
  <c r="EW33" i="7"/>
  <c r="DD55" i="7" s="1"/>
  <c r="FV55" i="7" s="1"/>
  <c r="DC55" i="7"/>
  <c r="DI158" i="7"/>
  <c r="EY158" i="7"/>
  <c r="CG180" i="7"/>
  <c r="EW32" i="7"/>
  <c r="DD54" i="7" s="1"/>
  <c r="FV54" i="7" s="1"/>
  <c r="DC54" i="7"/>
  <c r="FU54" i="7" s="1"/>
  <c r="EU102" i="7"/>
  <c r="GD85" i="7"/>
  <c r="GE85" i="7" s="1"/>
  <c r="GL81" i="7" s="1"/>
  <c r="DF80" i="7"/>
  <c r="EM80" i="7"/>
  <c r="BU102" i="7"/>
  <c r="CG102" i="7"/>
  <c r="DI80" i="7"/>
  <c r="EY80" i="7"/>
  <c r="EU180" i="7"/>
  <c r="GD163" i="7"/>
  <c r="GE163" i="7" s="1"/>
  <c r="GL83" i="7" s="1"/>
  <c r="BW53" i="7"/>
  <c r="DQ31" i="7"/>
  <c r="BX53" i="7" s="1"/>
  <c r="EP53" i="7" s="1"/>
  <c r="I79" i="30"/>
  <c r="I73" i="30"/>
  <c r="GK125" i="7"/>
  <c r="EC26" i="7"/>
  <c r="CJ48" i="7" s="1"/>
  <c r="FB48" i="7" s="1"/>
  <c r="CI48" i="7"/>
  <c r="GD171" i="7"/>
  <c r="GE171" i="7" s="1"/>
  <c r="EU182" i="7"/>
  <c r="EC123" i="7"/>
  <c r="DS123" i="7"/>
  <c r="CA53" i="7"/>
  <c r="ES53" i="7" s="1"/>
  <c r="DU31" i="7"/>
  <c r="CB53" i="7" s="1"/>
  <c r="ET53" i="7" s="1"/>
  <c r="DS82" i="7"/>
  <c r="EC82" i="7"/>
  <c r="DU36" i="7"/>
  <c r="CB58" i="7" s="1"/>
  <c r="ET58" i="7" s="1"/>
  <c r="CA58" i="7"/>
  <c r="ES58" i="7" s="1"/>
  <c r="EZ69" i="7"/>
  <c r="DI60" i="7"/>
  <c r="EB84" i="7"/>
  <c r="DQ84" i="7"/>
  <c r="EY180" i="7"/>
  <c r="GF163" i="7"/>
  <c r="EC27" i="7"/>
  <c r="CJ49" i="7" s="1"/>
  <c r="FB49" i="7" s="1"/>
  <c r="CI49" i="7"/>
  <c r="FA49" i="7" s="1"/>
  <c r="BS138" i="7"/>
  <c r="EK116" i="7"/>
  <c r="DU34" i="7"/>
  <c r="CB56" i="7" s="1"/>
  <c r="ET56" i="7" s="1"/>
  <c r="CA56" i="7"/>
  <c r="EU103" i="7"/>
  <c r="GD89" i="7"/>
  <c r="GE89" i="7" s="1"/>
  <c r="GK88" i="7" s="1"/>
  <c r="J40" i="30"/>
  <c r="J39" i="30"/>
  <c r="J41" i="30"/>
  <c r="F37" i="30"/>
  <c r="F43" i="30"/>
  <c r="DS117" i="7"/>
  <c r="EC117" i="7"/>
  <c r="EV158" i="7"/>
  <c r="EV179" i="7" s="1"/>
  <c r="CD180" i="7"/>
  <c r="BQ180" i="7"/>
  <c r="DE158" i="7"/>
  <c r="EI158" i="7"/>
  <c r="CE102" i="7"/>
  <c r="EW80" i="7"/>
  <c r="EW101" i="7" s="1"/>
  <c r="CJ102" i="7"/>
  <c r="FB80" i="7"/>
  <c r="FB101" i="7" s="1"/>
  <c r="GF85" i="7"/>
  <c r="GG85" i="7" s="1"/>
  <c r="EY102" i="7"/>
  <c r="GF121" i="7"/>
  <c r="GG121" i="7" s="1"/>
  <c r="EY138" i="7"/>
  <c r="EW39" i="7"/>
  <c r="DD61" i="7" s="1"/>
  <c r="FV61" i="7" s="1"/>
  <c r="DC61" i="7"/>
  <c r="EC124" i="7"/>
  <c r="DS124" i="7"/>
  <c r="EC33" i="7"/>
  <c r="CJ55" i="7" s="1"/>
  <c r="FB55" i="7" s="1"/>
  <c r="CI55" i="7"/>
  <c r="FA55" i="7" s="1"/>
  <c r="CI138" i="7"/>
  <c r="FA116" i="7"/>
  <c r="FA137" i="7" s="1"/>
  <c r="CA138" i="7"/>
  <c r="ES116" i="7"/>
  <c r="ES137" i="7" s="1"/>
  <c r="ER69" i="7"/>
  <c r="EB82" i="7"/>
  <c r="DQ82" i="7"/>
  <c r="F73" i="30"/>
  <c r="F79" i="30"/>
  <c r="EZ70" i="7"/>
  <c r="EU69" i="7"/>
  <c r="EO158" i="7"/>
  <c r="EO179" i="7" s="1"/>
  <c r="BW180" i="7"/>
  <c r="EU158" i="7"/>
  <c r="DH158" i="7"/>
  <c r="CC180" i="7"/>
  <c r="EW37" i="7"/>
  <c r="DD59" i="7" s="1"/>
  <c r="FV59" i="7" s="1"/>
  <c r="DC59" i="7"/>
  <c r="BW102" i="7"/>
  <c r="EO80" i="7"/>
  <c r="EO101" i="7" s="1"/>
  <c r="BQ102" i="7"/>
  <c r="DE80" i="7"/>
  <c r="EI80" i="7"/>
  <c r="DQ25" i="7"/>
  <c r="BX47" i="7" s="1"/>
  <c r="EP47" i="7" s="1"/>
  <c r="BW47" i="7"/>
  <c r="EA82" i="7"/>
  <c r="DO82" i="7"/>
  <c r="EC85" i="7"/>
  <c r="DS85" i="7"/>
  <c r="EC121" i="7"/>
  <c r="DS121" i="7"/>
  <c r="DU32" i="7"/>
  <c r="CB54" i="7" s="1"/>
  <c r="ET54" i="7" s="1"/>
  <c r="CA54" i="7"/>
  <c r="ES54" i="7" s="1"/>
  <c r="EB87" i="7"/>
  <c r="DQ87" i="7"/>
  <c r="EC126" i="7"/>
  <c r="DS126" i="7"/>
  <c r="DI58" i="7"/>
  <c r="GF166" i="7"/>
  <c r="E106" i="16"/>
  <c r="CB138" i="7"/>
  <c r="ET116" i="7"/>
  <c r="ET137" i="7" s="1"/>
  <c r="DE116" i="7"/>
  <c r="EI116" i="7"/>
  <c r="BQ138" i="7"/>
  <c r="DU33" i="7"/>
  <c r="CB55" i="7" s="1"/>
  <c r="ET55" i="7" s="1"/>
  <c r="CA55" i="7"/>
  <c r="J76" i="30"/>
  <c r="J75" i="30"/>
  <c r="J82" i="30"/>
  <c r="DU26" i="7"/>
  <c r="CB48" i="7" s="1"/>
  <c r="ET48" i="7" s="1"/>
  <c r="CA48" i="7"/>
  <c r="ES48" i="7" s="1"/>
  <c r="D101" i="16"/>
  <c r="GF129" i="7"/>
  <c r="EY140" i="7"/>
  <c r="EC40" i="7"/>
  <c r="CJ62" i="7" s="1"/>
  <c r="FB62" i="7" s="1"/>
  <c r="CI62" i="7"/>
  <c r="EA83" i="7"/>
  <c r="DO83" i="7"/>
  <c r="EB81" i="7"/>
  <c r="DQ81" i="7"/>
  <c r="EJ158" i="7"/>
  <c r="EJ179" i="7" s="1"/>
  <c r="BR180" i="7"/>
  <c r="EL158" i="7"/>
  <c r="EL179" i="7" s="1"/>
  <c r="BT180" i="7"/>
  <c r="E61" i="30"/>
  <c r="E31" i="30"/>
  <c r="EB86" i="7"/>
  <c r="DQ86" i="7"/>
  <c r="BV102" i="7"/>
  <c r="EN80" i="7"/>
  <c r="EN101" i="7" s="1"/>
  <c r="EI25" i="7"/>
  <c r="EI31" i="7"/>
  <c r="EI28" i="7"/>
  <c r="CO51" i="7"/>
  <c r="CO53" i="7"/>
  <c r="CO60" i="7"/>
  <c r="EI29" i="7"/>
  <c r="CO54" i="7"/>
  <c r="CO48" i="7"/>
  <c r="CO62" i="7"/>
  <c r="EI34" i="7"/>
  <c r="CO57" i="7"/>
  <c r="EI32" i="7"/>
  <c r="CO61" i="7"/>
  <c r="EI33" i="7"/>
  <c r="CO56" i="7"/>
  <c r="EI36" i="7"/>
  <c r="CO49" i="7"/>
  <c r="EI37" i="7"/>
  <c r="EH24" i="7"/>
  <c r="EI26" i="7"/>
  <c r="EI27" i="7"/>
  <c r="EI39" i="7"/>
  <c r="CO55" i="7"/>
  <c r="CO59" i="7"/>
  <c r="EI38" i="7"/>
  <c r="CO50" i="7"/>
  <c r="CO47" i="7"/>
  <c r="CO58" i="7"/>
  <c r="EI35" i="7"/>
  <c r="CO52" i="7"/>
  <c r="EI40" i="7"/>
  <c r="EI30" i="7"/>
  <c r="FS68" i="7"/>
  <c r="EC30" i="7"/>
  <c r="CJ52" i="7" s="1"/>
  <c r="FB52" i="7" s="1"/>
  <c r="CI52" i="7"/>
  <c r="GD167" i="7"/>
  <c r="GE167" i="7" s="1"/>
  <c r="GK90" i="7" s="1"/>
  <c r="EU181" i="7"/>
  <c r="GB121" i="7"/>
  <c r="GC121" i="7" s="1"/>
  <c r="GK82" i="7" s="1"/>
  <c r="EQ138" i="7"/>
  <c r="EW25" i="7"/>
  <c r="DD47" i="7" s="1"/>
  <c r="FV47" i="7" s="1"/>
  <c r="DC47" i="7"/>
  <c r="FU47" i="7" s="1"/>
  <c r="DU28" i="7"/>
  <c r="CB50" i="7" s="1"/>
  <c r="ET50" i="7" s="1"/>
  <c r="CA50" i="7"/>
  <c r="ES50" i="7" s="1"/>
  <c r="DQ29" i="7"/>
  <c r="BX51" i="7" s="1"/>
  <c r="EP51" i="7" s="1"/>
  <c r="BW51" i="7"/>
  <c r="EQ68" i="7"/>
  <c r="K43" i="30"/>
  <c r="K37" i="30"/>
  <c r="BR138" i="7"/>
  <c r="EJ116" i="7"/>
  <c r="EJ137" i="7" s="1"/>
  <c r="BX138" i="7"/>
  <c r="EP116" i="7"/>
  <c r="EP137" i="7" s="1"/>
  <c r="EZ68" i="7"/>
  <c r="EC88" i="7"/>
  <c r="DS88" i="7"/>
  <c r="EC81" i="7"/>
  <c r="DS81" i="7"/>
  <c r="EQ181" i="7"/>
  <c r="GB167" i="7"/>
  <c r="GC167" i="7" s="1"/>
  <c r="GJ90" i="7" s="1"/>
  <c r="EB120" i="7"/>
  <c r="DQ120" i="7"/>
  <c r="EA81" i="7"/>
  <c r="DO81" i="7"/>
  <c r="EW158" i="7"/>
  <c r="EW179" i="7" s="1"/>
  <c r="CE180" i="7"/>
  <c r="ER158" i="7"/>
  <c r="ER179" i="7" s="1"/>
  <c r="BZ180" i="7"/>
  <c r="BT102" i="7"/>
  <c r="EL80" i="7"/>
  <c r="EL101" i="7" s="1"/>
  <c r="EW27" i="7"/>
  <c r="DD49" i="7" s="1"/>
  <c r="FV49" i="7" s="1"/>
  <c r="DC49" i="7"/>
  <c r="GK172" i="7"/>
  <c r="DI59" i="7" l="1"/>
  <c r="DF50" i="7"/>
  <c r="DI61" i="7"/>
  <c r="GB52" i="7"/>
  <c r="DG47" i="7"/>
  <c r="EP68" i="7"/>
  <c r="GF47" i="7"/>
  <c r="DF52" i="7"/>
  <c r="GH125" i="7"/>
  <c r="DN58" i="7"/>
  <c r="DX58" i="7" s="1"/>
  <c r="GF57" i="7"/>
  <c r="DF48" i="7"/>
  <c r="DP48" i="7" s="1"/>
  <c r="FB69" i="7"/>
  <c r="DN50" i="7"/>
  <c r="DX50" i="7" s="1"/>
  <c r="FZ52" i="7"/>
  <c r="GF58" i="7"/>
  <c r="FY187" i="7"/>
  <c r="FY185" i="7"/>
  <c r="FZ48" i="7"/>
  <c r="GB54" i="7"/>
  <c r="ET68" i="7"/>
  <c r="FY143" i="7"/>
  <c r="GB58" i="7"/>
  <c r="FY145" i="7"/>
  <c r="FY107" i="7"/>
  <c r="DG50" i="7"/>
  <c r="GF49" i="7"/>
  <c r="GB47" i="7"/>
  <c r="GH167" i="7"/>
  <c r="FY144" i="7"/>
  <c r="DN54" i="7"/>
  <c r="DX54" i="7" s="1"/>
  <c r="GF59" i="7"/>
  <c r="ET69" i="7"/>
  <c r="GF55" i="7"/>
  <c r="DE179" i="7"/>
  <c r="DO179" i="7" s="1"/>
  <c r="DO158" i="7"/>
  <c r="DS60" i="7"/>
  <c r="EE60" i="7"/>
  <c r="FA48" i="7"/>
  <c r="GF48" i="7" s="1"/>
  <c r="DI48" i="7"/>
  <c r="I39" i="30"/>
  <c r="I40" i="30"/>
  <c r="AF23" i="30" s="1"/>
  <c r="I41" i="30"/>
  <c r="DG179" i="7"/>
  <c r="DQ179" i="7" s="1"/>
  <c r="DQ158" i="7"/>
  <c r="FU62" i="7"/>
  <c r="DN62" i="7"/>
  <c r="DX62" i="7" s="1"/>
  <c r="DG101" i="7"/>
  <c r="DQ101" i="7" s="1"/>
  <c r="EB80" i="7"/>
  <c r="DQ80" i="7"/>
  <c r="EF27" i="7"/>
  <c r="CL49" i="7"/>
  <c r="FD49" i="7" s="1"/>
  <c r="EF28" i="7"/>
  <c r="CL50" i="7"/>
  <c r="FD50" i="7" s="1"/>
  <c r="CL59" i="7"/>
  <c r="FD59" i="7" s="1"/>
  <c r="EF37" i="7"/>
  <c r="FL49" i="7"/>
  <c r="EO49" i="7"/>
  <c r="FZ49" i="7" s="1"/>
  <c r="DF49" i="7"/>
  <c r="FO57" i="7"/>
  <c r="FO52" i="7"/>
  <c r="ER26" i="7"/>
  <c r="CX48" i="7"/>
  <c r="FP48" i="7" s="1"/>
  <c r="H75" i="30"/>
  <c r="H76" i="30"/>
  <c r="H82" i="30"/>
  <c r="GD80" i="7"/>
  <c r="GE80" i="7" s="1"/>
  <c r="GM74" i="7" s="1"/>
  <c r="EU101" i="7"/>
  <c r="E118" i="16"/>
  <c r="EV60" i="7"/>
  <c r="EV47" i="7"/>
  <c r="M75" i="30"/>
  <c r="M76" i="30"/>
  <c r="M82" i="30"/>
  <c r="EJ53" i="7"/>
  <c r="L75" i="30"/>
  <c r="L82" i="30"/>
  <c r="L76" i="30"/>
  <c r="K76" i="30"/>
  <c r="K82" i="30"/>
  <c r="K75" i="30"/>
  <c r="ER32" i="7"/>
  <c r="CX54" i="7"/>
  <c r="FP54" i="7" s="1"/>
  <c r="EJ39" i="7"/>
  <c r="CP61" i="7"/>
  <c r="FH61" i="7" s="1"/>
  <c r="EJ34" i="7"/>
  <c r="CP56" i="7"/>
  <c r="FH56" i="7" s="1"/>
  <c r="EO47" i="7"/>
  <c r="FZ47" i="7" s="1"/>
  <c r="DF47" i="7"/>
  <c r="GD158" i="7"/>
  <c r="GE158" i="7" s="1"/>
  <c r="GM76" i="7" s="1"/>
  <c r="EU179" i="7"/>
  <c r="GH121" i="7"/>
  <c r="ES56" i="7"/>
  <c r="GB56" i="7" s="1"/>
  <c r="DG56" i="7"/>
  <c r="FZ80" i="7"/>
  <c r="GA80" i="7" s="1"/>
  <c r="GK74" i="7" s="1"/>
  <c r="EM101" i="7"/>
  <c r="FV69" i="7"/>
  <c r="FV68" i="7"/>
  <c r="CL55" i="7"/>
  <c r="FD55" i="7" s="1"/>
  <c r="EF33" i="7"/>
  <c r="CL60" i="7"/>
  <c r="FD60" i="7" s="1"/>
  <c r="EF38" i="7"/>
  <c r="FC53" i="7"/>
  <c r="FL56" i="7"/>
  <c r="FO58" i="7"/>
  <c r="ER30" i="7"/>
  <c r="CX52" i="7"/>
  <c r="FP52" i="7" s="1"/>
  <c r="FO51" i="7"/>
  <c r="GF56" i="7"/>
  <c r="EV61" i="7"/>
  <c r="EV59" i="7"/>
  <c r="ES51" i="7"/>
  <c r="DG51" i="7"/>
  <c r="EJ49" i="7"/>
  <c r="L39" i="30"/>
  <c r="L41" i="30"/>
  <c r="L40" i="30"/>
  <c r="DH179" i="7"/>
  <c r="DR179" i="7" s="1"/>
  <c r="DR158" i="7"/>
  <c r="FU55" i="7"/>
  <c r="FU69" i="7" s="1"/>
  <c r="DN55" i="7"/>
  <c r="DX55" i="7" s="1"/>
  <c r="FL48" i="7"/>
  <c r="FA54" i="7"/>
  <c r="GF54" i="7" s="1"/>
  <c r="DI54" i="7"/>
  <c r="EO51" i="7"/>
  <c r="DF51" i="7"/>
  <c r="CP49" i="7"/>
  <c r="FH49" i="7" s="1"/>
  <c r="EJ27" i="7"/>
  <c r="FG62" i="7"/>
  <c r="I76" i="30"/>
  <c r="AF24" i="30" s="1"/>
  <c r="I75" i="30"/>
  <c r="I82" i="30"/>
  <c r="DF101" i="7"/>
  <c r="DP101" i="7" s="1"/>
  <c r="DP80" i="7"/>
  <c r="ED80" i="7" s="1"/>
  <c r="FA50" i="7"/>
  <c r="GF50" i="7" s="1"/>
  <c r="DI50" i="7"/>
  <c r="DQ47" i="7"/>
  <c r="EC47" i="7"/>
  <c r="FC56" i="7"/>
  <c r="FC49" i="7"/>
  <c r="EF36" i="7"/>
  <c r="CL58" i="7"/>
  <c r="FD58" i="7" s="1"/>
  <c r="FL47" i="7"/>
  <c r="FL58" i="7"/>
  <c r="GG129" i="7"/>
  <c r="ER36" i="7"/>
  <c r="CX58" i="7"/>
  <c r="FP58" i="7" s="1"/>
  <c r="FO62" i="7"/>
  <c r="ER29" i="7"/>
  <c r="CX51" i="7"/>
  <c r="FP51" i="7" s="1"/>
  <c r="EV56" i="7"/>
  <c r="DL24" i="7" a="1"/>
  <c r="BR46" i="7"/>
  <c r="CP54" i="7"/>
  <c r="FH54" i="7" s="1"/>
  <c r="EJ32" i="7"/>
  <c r="FG57" i="7"/>
  <c r="FC54" i="7"/>
  <c r="GB50" i="7"/>
  <c r="EJ30" i="7"/>
  <c r="CP52" i="7"/>
  <c r="FH52" i="7" s="1"/>
  <c r="EJ26" i="7"/>
  <c r="CP48" i="7"/>
  <c r="FH48" i="7" s="1"/>
  <c r="FG48" i="7"/>
  <c r="FA62" i="7"/>
  <c r="DI62" i="7"/>
  <c r="ES55" i="7"/>
  <c r="DG55" i="7"/>
  <c r="DN51" i="7"/>
  <c r="DX51" i="7" s="1"/>
  <c r="GH85" i="7"/>
  <c r="DG48" i="7"/>
  <c r="EK137" i="7"/>
  <c r="GK116" i="7"/>
  <c r="FU53" i="7"/>
  <c r="DN53" i="7"/>
  <c r="DX53" i="7" s="1"/>
  <c r="FC51" i="7"/>
  <c r="EF35" i="7"/>
  <c r="CL57" i="7"/>
  <c r="FD57" i="7" s="1"/>
  <c r="EF39" i="7"/>
  <c r="CL61" i="7"/>
  <c r="FD61" i="7" s="1"/>
  <c r="CT46" i="7"/>
  <c r="EN24" i="7" a="1"/>
  <c r="FL61" i="7"/>
  <c r="D118" i="16"/>
  <c r="ER40" i="7"/>
  <c r="CX62" i="7"/>
  <c r="FP62" i="7" s="1"/>
  <c r="ER33" i="7"/>
  <c r="CX55" i="7"/>
  <c r="FP55" i="7" s="1"/>
  <c r="EQ24" i="7"/>
  <c r="CW46" i="7"/>
  <c r="DG54" i="7"/>
  <c r="EV54" i="7"/>
  <c r="FY108" i="7"/>
  <c r="G75" i="30"/>
  <c r="G82" i="30"/>
  <c r="G76" i="30"/>
  <c r="EJ50" i="7"/>
  <c r="DN56" i="7"/>
  <c r="DX56" i="7" s="1"/>
  <c r="FG55" i="7"/>
  <c r="EV48" i="7"/>
  <c r="G39" i="30"/>
  <c r="G40" i="30"/>
  <c r="G41" i="30"/>
  <c r="EJ40" i="7"/>
  <c r="CP62" i="7"/>
  <c r="FH62" i="7" s="1"/>
  <c r="EI24" i="7"/>
  <c r="CO46" i="7"/>
  <c r="FG54" i="7"/>
  <c r="E43" i="30"/>
  <c r="E37" i="30"/>
  <c r="I38" i="30" s="1"/>
  <c r="AF15" i="30" s="1"/>
  <c r="FB70" i="7"/>
  <c r="GP80" i="7"/>
  <c r="EI101" i="7"/>
  <c r="FX80" i="7"/>
  <c r="FY80" i="7" s="1"/>
  <c r="GJ74" i="7" s="1"/>
  <c r="DI49" i="7"/>
  <c r="CK46" i="7"/>
  <c r="EE24" i="7"/>
  <c r="FC61" i="7"/>
  <c r="GB116" i="7"/>
  <c r="GC116" i="7" s="1"/>
  <c r="GL75" i="7" s="1"/>
  <c r="EQ137" i="7"/>
  <c r="FL57" i="7"/>
  <c r="FL55" i="7"/>
  <c r="FZ50" i="7"/>
  <c r="FO56" i="7"/>
  <c r="FO55" i="7"/>
  <c r="C180" i="7" a="1"/>
  <c r="EU137" i="7"/>
  <c r="GD116" i="7"/>
  <c r="GE116" i="7" s="1"/>
  <c r="GM75" i="7" s="1"/>
  <c r="DQ52" i="7"/>
  <c r="EC52" i="7"/>
  <c r="EV62" i="7"/>
  <c r="DU24" i="7"/>
  <c r="CB46" i="7" s="1"/>
  <c r="CA46" i="7"/>
  <c r="GH89" i="7"/>
  <c r="DI53" i="7"/>
  <c r="FV70" i="7"/>
  <c r="FO61" i="7"/>
  <c r="E68" i="30"/>
  <c r="DP52" i="7"/>
  <c r="EB52" i="7"/>
  <c r="EO53" i="7"/>
  <c r="FZ53" i="7" s="1"/>
  <c r="DF53" i="7"/>
  <c r="DS61" i="7"/>
  <c r="EE61" i="7"/>
  <c r="FA51" i="7"/>
  <c r="DI51" i="7"/>
  <c r="EN46" i="7"/>
  <c r="EN67" i="7" s="1"/>
  <c r="BV67" i="7"/>
  <c r="FC47" i="7"/>
  <c r="FC50" i="7"/>
  <c r="FL62" i="7"/>
  <c r="FL50" i="7"/>
  <c r="FO50" i="7"/>
  <c r="CX60" i="7"/>
  <c r="FP60" i="7" s="1"/>
  <c r="ER38" i="7"/>
  <c r="EK179" i="7"/>
  <c r="GK158" i="7"/>
  <c r="DH137" i="7"/>
  <c r="DR137" i="7" s="1"/>
  <c r="DR116" i="7"/>
  <c r="EE116" i="7" s="1"/>
  <c r="EM179" i="7"/>
  <c r="FZ158" i="7"/>
  <c r="GA158" i="7" s="1"/>
  <c r="GK76" i="7" s="1"/>
  <c r="EW24" i="7"/>
  <c r="DD46" i="7" s="1"/>
  <c r="FV46" i="7" s="1"/>
  <c r="FV67" i="7" s="1"/>
  <c r="DC46" i="7"/>
  <c r="FU46" i="7" s="1"/>
  <c r="EV52" i="7"/>
  <c r="ER46" i="7"/>
  <c r="ER67" i="7" s="1"/>
  <c r="BZ67" i="7"/>
  <c r="EZ46" i="7"/>
  <c r="EZ67" i="7" s="1"/>
  <c r="CH67" i="7"/>
  <c r="FZ116" i="7"/>
  <c r="GA116" i="7" s="1"/>
  <c r="GK75" i="7" s="1"/>
  <c r="EM137" i="7"/>
  <c r="EJ25" i="7"/>
  <c r="CP47" i="7"/>
  <c r="FH47" i="7" s="1"/>
  <c r="CX56" i="7"/>
  <c r="FP56" i="7" s="1"/>
  <c r="ER34" i="7"/>
  <c r="C138" i="7" a="1"/>
  <c r="DE101" i="7"/>
  <c r="DO101" i="7" s="1"/>
  <c r="EA80" i="7"/>
  <c r="DO80" i="7"/>
  <c r="FG49" i="7"/>
  <c r="EI137" i="7"/>
  <c r="FX116" i="7"/>
  <c r="FY116" i="7" s="1"/>
  <c r="GJ75" i="7" s="1"/>
  <c r="C102" i="7" a="1"/>
  <c r="FA69" i="7"/>
  <c r="EY66" i="7" s="1"/>
  <c r="GB53" i="7"/>
  <c r="FB68" i="7"/>
  <c r="DQ24" i="7"/>
  <c r="BX46" i="7" s="1"/>
  <c r="BW46" i="7"/>
  <c r="FC62" i="7"/>
  <c r="CL51" i="7"/>
  <c r="FD51" i="7" s="1"/>
  <c r="EF29" i="7"/>
  <c r="DG137" i="7"/>
  <c r="DQ137" i="7" s="1"/>
  <c r="EB116" i="7"/>
  <c r="DQ116" i="7"/>
  <c r="FL52" i="7"/>
  <c r="FL60" i="7"/>
  <c r="FO53" i="7"/>
  <c r="FO49" i="7"/>
  <c r="DI55" i="7"/>
  <c r="DP158" i="7"/>
  <c r="DF179" i="7"/>
  <c r="DP179" i="7" s="1"/>
  <c r="EY137" i="7"/>
  <c r="GF116" i="7"/>
  <c r="GG116" i="7" s="1"/>
  <c r="EV49" i="7"/>
  <c r="DN47" i="7"/>
  <c r="DX47" i="7" s="1"/>
  <c r="DI56" i="7"/>
  <c r="EC24" i="7"/>
  <c r="CJ46" i="7" s="1"/>
  <c r="CI46" i="7"/>
  <c r="DF137" i="7"/>
  <c r="DP137" i="7" s="1"/>
  <c r="DP116" i="7"/>
  <c r="ED116" i="7" s="1"/>
  <c r="FG59" i="7"/>
  <c r="EF30" i="7"/>
  <c r="CL52" i="7"/>
  <c r="FD52" i="7" s="1"/>
  <c r="FU48" i="7"/>
  <c r="DN48" i="7"/>
  <c r="DX48" i="7" s="1"/>
  <c r="FG52" i="7"/>
  <c r="EJ37" i="7"/>
  <c r="CP59" i="7"/>
  <c r="FH59" i="7" s="1"/>
  <c r="EJ29" i="7"/>
  <c r="CP51" i="7"/>
  <c r="FH51" i="7" s="1"/>
  <c r="EJ35" i="7"/>
  <c r="CP57" i="7"/>
  <c r="FH57" i="7" s="1"/>
  <c r="FG60" i="7"/>
  <c r="FG58" i="7"/>
  <c r="EJ36" i="7"/>
  <c r="CP58" i="7"/>
  <c r="FH58" i="7" s="1"/>
  <c r="FG53" i="7"/>
  <c r="EA116" i="7"/>
  <c r="DE137" i="7"/>
  <c r="DO137" i="7" s="1"/>
  <c r="DO116" i="7"/>
  <c r="F41" i="30"/>
  <c r="F39" i="30"/>
  <c r="F40" i="30"/>
  <c r="GG163" i="7"/>
  <c r="GH163" i="7" s="1"/>
  <c r="FU60" i="7"/>
  <c r="DN60" i="7"/>
  <c r="DX60" i="7" s="1"/>
  <c r="DG58" i="7"/>
  <c r="EF31" i="7"/>
  <c r="CL53" i="7"/>
  <c r="FD53" i="7" s="1"/>
  <c r="CL47" i="7"/>
  <c r="FD47" i="7" s="1"/>
  <c r="EF25" i="7"/>
  <c r="FC59" i="7"/>
  <c r="FL53" i="7"/>
  <c r="GF53" i="7"/>
  <c r="DI57" i="7"/>
  <c r="FO60" i="7"/>
  <c r="FO59" i="7"/>
  <c r="ER39" i="7"/>
  <c r="CX61" i="7"/>
  <c r="FP61" i="7" s="1"/>
  <c r="GB49" i="7"/>
  <c r="DS116" i="7"/>
  <c r="DI137" i="7"/>
  <c r="DS137" i="7" s="1"/>
  <c r="EC116" i="7"/>
  <c r="EV50" i="7"/>
  <c r="ES57" i="7"/>
  <c r="GB57" i="7" s="1"/>
  <c r="DG57" i="7"/>
  <c r="EJ47" i="7"/>
  <c r="EY67" i="7"/>
  <c r="GF61" i="7"/>
  <c r="EC50" i="7"/>
  <c r="DQ50" i="7"/>
  <c r="FG51" i="7"/>
  <c r="EB50" i="7"/>
  <c r="DP50" i="7"/>
  <c r="EO54" i="7"/>
  <c r="FZ54" i="7" s="1"/>
  <c r="DF54" i="7"/>
  <c r="EF40" i="7"/>
  <c r="CL62" i="7"/>
  <c r="FD62" i="7" s="1"/>
  <c r="FC57" i="7"/>
  <c r="FL59" i="7"/>
  <c r="CX57" i="7"/>
  <c r="FP57" i="7" s="1"/>
  <c r="ER35" i="7"/>
  <c r="FO48" i="7"/>
  <c r="FO47" i="7"/>
  <c r="EQ67" i="7"/>
  <c r="EV53" i="7"/>
  <c r="EU67" i="7"/>
  <c r="EJ48" i="7"/>
  <c r="FA52" i="7"/>
  <c r="GF52" i="7" s="1"/>
  <c r="DI52" i="7"/>
  <c r="FC60" i="7"/>
  <c r="DH101" i="7"/>
  <c r="DR101" i="7" s="1"/>
  <c r="DR80" i="7"/>
  <c r="EE80" i="7" s="1"/>
  <c r="FG47" i="7"/>
  <c r="EF34" i="7"/>
  <c r="CL56" i="7"/>
  <c r="FD56" i="7" s="1"/>
  <c r="FU49" i="7"/>
  <c r="DN49" i="7"/>
  <c r="DX49" i="7" s="1"/>
  <c r="K40" i="30"/>
  <c r="K39" i="30"/>
  <c r="K41" i="30"/>
  <c r="FY186" i="7"/>
  <c r="FG50" i="7"/>
  <c r="CP55" i="7"/>
  <c r="FH55" i="7" s="1"/>
  <c r="EJ33" i="7"/>
  <c r="CP50" i="7"/>
  <c r="FH50" i="7" s="1"/>
  <c r="EJ28" i="7"/>
  <c r="FU59" i="7"/>
  <c r="DN59" i="7"/>
  <c r="DX59" i="7" s="1"/>
  <c r="DN57" i="7"/>
  <c r="DX57" i="7" s="1"/>
  <c r="EY101" i="7"/>
  <c r="GF80" i="7"/>
  <c r="GG80" i="7" s="1"/>
  <c r="EY179" i="7"/>
  <c r="GF158" i="7"/>
  <c r="GG158" i="7" s="1"/>
  <c r="EF26" i="7"/>
  <c r="CL48" i="7"/>
  <c r="FD48" i="7" s="1"/>
  <c r="FC55" i="7"/>
  <c r="FC58" i="7"/>
  <c r="FL51" i="7"/>
  <c r="DG53" i="7"/>
  <c r="CX47" i="7"/>
  <c r="FP47" i="7" s="1"/>
  <c r="ER25" i="7"/>
  <c r="ER37" i="7"/>
  <c r="CX59" i="7"/>
  <c r="FP59" i="7" s="1"/>
  <c r="FO54" i="7"/>
  <c r="EM67" i="7"/>
  <c r="H39" i="30"/>
  <c r="H41" i="30"/>
  <c r="H40" i="30"/>
  <c r="N76" i="30"/>
  <c r="AG24" i="30" s="1"/>
  <c r="N75" i="30"/>
  <c r="N82" i="30"/>
  <c r="EV55" i="7"/>
  <c r="DX24" i="7" a="1"/>
  <c r="CD46" i="7"/>
  <c r="FU52" i="7"/>
  <c r="DN52" i="7"/>
  <c r="DX52" i="7" s="1"/>
  <c r="EJ51" i="7"/>
  <c r="M39" i="30"/>
  <c r="M40" i="30"/>
  <c r="M41" i="30"/>
  <c r="EI67" i="7"/>
  <c r="EE58" i="7"/>
  <c r="DS58" i="7"/>
  <c r="DS59" i="7"/>
  <c r="EE59" i="7"/>
  <c r="EV51" i="7"/>
  <c r="EJ54" i="7"/>
  <c r="FG56" i="7"/>
  <c r="F75" i="30"/>
  <c r="F82" i="30"/>
  <c r="F76" i="30"/>
  <c r="EJ38" i="7"/>
  <c r="CP60" i="7"/>
  <c r="FH60" i="7" s="1"/>
  <c r="FG61" i="7"/>
  <c r="EJ31" i="7"/>
  <c r="CP53" i="7"/>
  <c r="FH53" i="7" s="1"/>
  <c r="GB48" i="7"/>
  <c r="FU61" i="7"/>
  <c r="DN61" i="7"/>
  <c r="DX61" i="7" s="1"/>
  <c r="FX158" i="7"/>
  <c r="FY158" i="7" s="1"/>
  <c r="GJ76" i="7" s="1"/>
  <c r="EI179" i="7"/>
  <c r="DI101" i="7"/>
  <c r="DS101" i="7" s="1"/>
  <c r="EC80" i="7"/>
  <c r="DS80" i="7"/>
  <c r="DS158" i="7"/>
  <c r="DI179" i="7"/>
  <c r="DS179" i="7" s="1"/>
  <c r="EQ179" i="7"/>
  <c r="GB158" i="7"/>
  <c r="GC158" i="7" s="1"/>
  <c r="GL76" i="7" s="1"/>
  <c r="GB80" i="7"/>
  <c r="GC80" i="7" s="1"/>
  <c r="GL74" i="7" s="1"/>
  <c r="EQ101" i="7"/>
  <c r="FC52" i="7"/>
  <c r="EF32" i="7"/>
  <c r="CL54" i="7"/>
  <c r="FD54" i="7" s="1"/>
  <c r="FC48" i="7"/>
  <c r="FL54" i="7"/>
  <c r="ER31" i="7"/>
  <c r="CX53" i="7"/>
  <c r="FP53" i="7" s="1"/>
  <c r="ER27" i="7"/>
  <c r="CX49" i="7"/>
  <c r="FP49" i="7" s="1"/>
  <c r="ER28" i="7"/>
  <c r="CX50" i="7"/>
  <c r="FP50" i="7" s="1"/>
  <c r="DI47" i="7"/>
  <c r="GF60" i="7"/>
  <c r="EV58" i="7"/>
  <c r="EV57" i="7"/>
  <c r="N41" i="30"/>
  <c r="N39" i="30"/>
  <c r="N40" i="30"/>
  <c r="AG23" i="30" s="1"/>
  <c r="EJ52" i="7"/>
  <c r="DG49" i="7"/>
  <c r="EB48" i="7" l="1"/>
  <c r="FU68" i="7"/>
  <c r="C220" i="16" s="1"/>
  <c r="S12" i="16" s="1"/>
  <c r="DG46" i="7"/>
  <c r="DQ46" i="7" s="1"/>
  <c r="DN46" i="7"/>
  <c r="DN67" i="7" s="1"/>
  <c r="FL69" i="7"/>
  <c r="GG55" i="7"/>
  <c r="FC69" i="7"/>
  <c r="FG68" i="7"/>
  <c r="GH158" i="7"/>
  <c r="GL87" i="7"/>
  <c r="GM87" i="7" s="1"/>
  <c r="EB54" i="7"/>
  <c r="DP54" i="7"/>
  <c r="ES28" i="7"/>
  <c r="CZ50" i="7" s="1"/>
  <c r="FR50" i="7" s="1"/>
  <c r="CY50" i="7"/>
  <c r="FQ50" i="7" s="1"/>
  <c r="ES25" i="7"/>
  <c r="CZ47" i="7" s="1"/>
  <c r="FR47" i="7" s="1"/>
  <c r="CY47" i="7"/>
  <c r="FQ47" i="7" s="1"/>
  <c r="EG40" i="7"/>
  <c r="CN62" i="7" s="1"/>
  <c r="FF62" i="7" s="1"/>
  <c r="CM62" i="7"/>
  <c r="EG25" i="7"/>
  <c r="CN47" i="7" s="1"/>
  <c r="FF47" i="7" s="1"/>
  <c r="CM47" i="7"/>
  <c r="FE47" i="7" s="1"/>
  <c r="FH68" i="7"/>
  <c r="EC46" i="7"/>
  <c r="DG67" i="7"/>
  <c r="FL70" i="7"/>
  <c r="FH70" i="7"/>
  <c r="ES40" i="7"/>
  <c r="CZ62" i="7" s="1"/>
  <c r="FR62" i="7" s="1"/>
  <c r="CY62" i="7"/>
  <c r="BR67" i="7"/>
  <c r="EJ46" i="7"/>
  <c r="EE54" i="7"/>
  <c r="DS54" i="7"/>
  <c r="EK34" i="7"/>
  <c r="CR56" i="7" s="1"/>
  <c r="FJ56" i="7" s="1"/>
  <c r="CQ56" i="7"/>
  <c r="CM59" i="7"/>
  <c r="FE59" i="7" s="1"/>
  <c r="EG37" i="7"/>
  <c r="CN59" i="7" s="1"/>
  <c r="FF59" i="7" s="1"/>
  <c r="EK29" i="7"/>
  <c r="CR51" i="7" s="1"/>
  <c r="FJ51" i="7" s="1"/>
  <c r="CQ51" i="7"/>
  <c r="CY49" i="7"/>
  <c r="FQ49" i="7" s="1"/>
  <c r="ES27" i="7"/>
  <c r="CZ49" i="7" s="1"/>
  <c r="FR49" i="7" s="1"/>
  <c r="EK26" i="7"/>
  <c r="CR48" i="7" s="1"/>
  <c r="FJ48" i="7" s="1"/>
  <c r="CQ48" i="7"/>
  <c r="FI48" i="7" s="1"/>
  <c r="ES68" i="7"/>
  <c r="GB51" i="7"/>
  <c r="GC51" i="7" s="1"/>
  <c r="GK80" i="7" s="1"/>
  <c r="EK39" i="7"/>
  <c r="CR61" i="7" s="1"/>
  <c r="FJ61" i="7" s="1"/>
  <c r="CQ61" i="7"/>
  <c r="FI61" i="7" s="1"/>
  <c r="DS52" i="7"/>
  <c r="EE52" i="7"/>
  <c r="EC57" i="7"/>
  <c r="DQ57" i="7"/>
  <c r="EG31" i="7"/>
  <c r="CN53" i="7" s="1"/>
  <c r="FF53" i="7" s="1"/>
  <c r="CM53" i="7"/>
  <c r="FE53" i="7" s="1"/>
  <c r="CQ59" i="7"/>
  <c r="FI59" i="7" s="1"/>
  <c r="EK37" i="7"/>
  <c r="CR59" i="7" s="1"/>
  <c r="FJ59" i="7" s="1"/>
  <c r="CJ67" i="7"/>
  <c r="FB46" i="7"/>
  <c r="FB67" i="7" s="1"/>
  <c r="FD68" i="7"/>
  <c r="FY106" i="7"/>
  <c r="EI106" i="7" a="1"/>
  <c r="ES26" i="7"/>
  <c r="CZ48" i="7" s="1"/>
  <c r="FR48" i="7" s="1"/>
  <c r="CY48" i="7"/>
  <c r="EG28" i="7"/>
  <c r="CN50" i="7" s="1"/>
  <c r="FF50" i="7" s="1"/>
  <c r="CM50" i="7"/>
  <c r="DL24" i="7"/>
  <c r="BS54" i="7"/>
  <c r="BS53" i="7"/>
  <c r="BS52" i="7"/>
  <c r="BS51" i="7"/>
  <c r="BS49" i="7"/>
  <c r="BS50" i="7"/>
  <c r="BS48" i="7"/>
  <c r="BS47" i="7"/>
  <c r="CY53" i="7"/>
  <c r="FQ53" i="7" s="1"/>
  <c r="ES31" i="7"/>
  <c r="CZ53" i="7" s="1"/>
  <c r="FR53" i="7" s="1"/>
  <c r="EK31" i="7"/>
  <c r="CR53" i="7" s="1"/>
  <c r="FJ53" i="7" s="1"/>
  <c r="CQ53" i="7"/>
  <c r="FL68" i="7"/>
  <c r="DQ58" i="7"/>
  <c r="EC58" i="7"/>
  <c r="DS56" i="7"/>
  <c r="EE56" i="7"/>
  <c r="FC70" i="7"/>
  <c r="E73" i="30"/>
  <c r="E79" i="30"/>
  <c r="CU55" i="7"/>
  <c r="CU49" i="7"/>
  <c r="CU58" i="7"/>
  <c r="CU61" i="7"/>
  <c r="CU62" i="7"/>
  <c r="CU48" i="7"/>
  <c r="CU54" i="7"/>
  <c r="CU56" i="7"/>
  <c r="CU50" i="7"/>
  <c r="CU53" i="7"/>
  <c r="CU52" i="7"/>
  <c r="CU51" i="7"/>
  <c r="EN24" i="7"/>
  <c r="CU47" i="7"/>
  <c r="CU59" i="7"/>
  <c r="CU60" i="7"/>
  <c r="CU57" i="7"/>
  <c r="DQ48" i="7"/>
  <c r="EC48" i="7"/>
  <c r="EK30" i="7"/>
  <c r="CR52" i="7" s="1"/>
  <c r="FJ52" i="7" s="1"/>
  <c r="CQ52" i="7"/>
  <c r="FP68" i="7"/>
  <c r="EG36" i="7"/>
  <c r="CN58" i="7" s="1"/>
  <c r="FF58" i="7" s="1"/>
  <c r="CM58" i="7"/>
  <c r="DQ56" i="7"/>
  <c r="EC56" i="7"/>
  <c r="ES32" i="7"/>
  <c r="CZ54" i="7" s="1"/>
  <c r="FR54" i="7" s="1"/>
  <c r="CY54" i="7"/>
  <c r="EE48" i="7"/>
  <c r="DS48" i="7"/>
  <c r="DS55" i="7"/>
  <c r="EE55" i="7"/>
  <c r="GH80" i="7"/>
  <c r="EJ68" i="7"/>
  <c r="DK61" i="7"/>
  <c r="DU61" i="7" s="1"/>
  <c r="EV68" i="7"/>
  <c r="ES35" i="7"/>
  <c r="CZ57" i="7" s="1"/>
  <c r="FR57" i="7" s="1"/>
  <c r="CY57" i="7"/>
  <c r="FQ57" i="7" s="1"/>
  <c r="EK36" i="7"/>
  <c r="CR58" i="7" s="1"/>
  <c r="FJ58" i="7" s="1"/>
  <c r="CQ58" i="7"/>
  <c r="ES38" i="7"/>
  <c r="CZ60" i="7" s="1"/>
  <c r="FR60" i="7" s="1"/>
  <c r="CY60" i="7"/>
  <c r="FL46" i="7"/>
  <c r="FL67" i="7" s="1"/>
  <c r="ES29" i="7"/>
  <c r="CZ51" i="7" s="1"/>
  <c r="FR51" i="7" s="1"/>
  <c r="CY51" i="7"/>
  <c r="FQ51" i="7" s="1"/>
  <c r="C224" i="16"/>
  <c r="S16" i="16" s="1"/>
  <c r="CM49" i="7"/>
  <c r="EG27" i="7"/>
  <c r="CN49" i="7" s="1"/>
  <c r="FF49" i="7" s="1"/>
  <c r="EO46" i="7"/>
  <c r="BW67" i="7"/>
  <c r="C180" i="7"/>
  <c r="C181" i="7" s="1"/>
  <c r="R181" i="7"/>
  <c r="U181" i="7"/>
  <c r="Q181" i="7"/>
  <c r="K181" i="7"/>
  <c r="G181" i="7"/>
  <c r="P181" i="7"/>
  <c r="N181" i="7"/>
  <c r="V181" i="7"/>
  <c r="I181" i="7"/>
  <c r="D181" i="7"/>
  <c r="T181" i="7"/>
  <c r="O181" i="7"/>
  <c r="F181" i="7"/>
  <c r="E181" i="7"/>
  <c r="H181" i="7"/>
  <c r="M181" i="7"/>
  <c r="S181" i="7"/>
  <c r="L181" i="7"/>
  <c r="E41" i="30"/>
  <c r="D42" i="30" s="1"/>
  <c r="E39" i="30"/>
  <c r="E40" i="30"/>
  <c r="AF21" i="30"/>
  <c r="N38" i="30"/>
  <c r="DQ54" i="7"/>
  <c r="EC54" i="7"/>
  <c r="FO70" i="7"/>
  <c r="FG70" i="7"/>
  <c r="EG38" i="7"/>
  <c r="CN60" i="7" s="1"/>
  <c r="FF60" i="7" s="1"/>
  <c r="CM60" i="7"/>
  <c r="DQ51" i="7"/>
  <c r="EC51" i="7"/>
  <c r="DS57" i="7"/>
  <c r="EE57" i="7"/>
  <c r="DX46" i="7"/>
  <c r="DX67" i="7" s="1"/>
  <c r="EK28" i="7"/>
  <c r="CR50" i="7" s="1"/>
  <c r="FJ50" i="7" s="1"/>
  <c r="CQ50" i="7"/>
  <c r="FI50" i="7" s="1"/>
  <c r="BX67" i="7"/>
  <c r="EP46" i="7"/>
  <c r="EP67" i="7" s="1"/>
  <c r="C138" i="7"/>
  <c r="C139" i="7" s="1"/>
  <c r="Q139" i="7"/>
  <c r="L139" i="7"/>
  <c r="R139" i="7"/>
  <c r="T139" i="7"/>
  <c r="F139" i="7"/>
  <c r="P139" i="7"/>
  <c r="U139" i="7"/>
  <c r="H139" i="7"/>
  <c r="V139" i="7"/>
  <c r="K139" i="7"/>
  <c r="S139" i="7"/>
  <c r="E139" i="7"/>
  <c r="I139" i="7"/>
  <c r="M139" i="7"/>
  <c r="O139" i="7"/>
  <c r="N139" i="7"/>
  <c r="D139" i="7"/>
  <c r="G139" i="7"/>
  <c r="DS51" i="7"/>
  <c r="EE51" i="7"/>
  <c r="FO46" i="7"/>
  <c r="FO67" i="7" s="1"/>
  <c r="EG39" i="7"/>
  <c r="CN61" i="7" s="1"/>
  <c r="FF61" i="7" s="1"/>
  <c r="CM61" i="7"/>
  <c r="DQ55" i="7"/>
  <c r="EC55" i="7"/>
  <c r="ES39" i="7"/>
  <c r="CZ61" i="7" s="1"/>
  <c r="FR61" i="7" s="1"/>
  <c r="CY61" i="7"/>
  <c r="FQ61" i="7" s="1"/>
  <c r="EV70" i="7"/>
  <c r="EK38" i="7"/>
  <c r="CR60" i="7" s="1"/>
  <c r="FJ60" i="7" s="1"/>
  <c r="CQ60" i="7"/>
  <c r="FI60" i="7" s="1"/>
  <c r="CM56" i="7"/>
  <c r="FE56" i="7" s="1"/>
  <c r="EG34" i="7"/>
  <c r="CN56" i="7" s="1"/>
  <c r="FF56" i="7" s="1"/>
  <c r="GH116" i="7"/>
  <c r="ES34" i="7"/>
  <c r="CZ56" i="7" s="1"/>
  <c r="FR56" i="7" s="1"/>
  <c r="CY56" i="7"/>
  <c r="FQ56" i="7" s="1"/>
  <c r="FA68" i="7"/>
  <c r="GF51" i="7"/>
  <c r="GG51" i="7" s="1"/>
  <c r="DS53" i="7"/>
  <c r="EE53" i="7"/>
  <c r="FO69" i="7"/>
  <c r="EF24" i="7"/>
  <c r="CL46" i="7"/>
  <c r="FD46" i="7" s="1"/>
  <c r="FD67" i="7" s="1"/>
  <c r="FG69" i="7"/>
  <c r="ER24" i="7"/>
  <c r="CX46" i="7"/>
  <c r="FP46" i="7" s="1"/>
  <c r="FP67" i="7" s="1"/>
  <c r="FD69" i="7"/>
  <c r="ES69" i="7"/>
  <c r="GB55" i="7"/>
  <c r="GC55" i="7" s="1"/>
  <c r="GJ87" i="7" s="1"/>
  <c r="EK27" i="7"/>
  <c r="CR49" i="7" s="1"/>
  <c r="FJ49" i="7" s="1"/>
  <c r="CQ49" i="7"/>
  <c r="EG33" i="7"/>
  <c r="CN55" i="7" s="1"/>
  <c r="FF55" i="7" s="1"/>
  <c r="CM55" i="7"/>
  <c r="DP49" i="7"/>
  <c r="EB49" i="7"/>
  <c r="FY142" i="7"/>
  <c r="EI142" i="7" a="1"/>
  <c r="EK40" i="7"/>
  <c r="CR62" i="7" s="1"/>
  <c r="FJ62" i="7" s="1"/>
  <c r="CQ62" i="7"/>
  <c r="FI62" i="7" s="1"/>
  <c r="CI67" i="7"/>
  <c r="FA46" i="7"/>
  <c r="FA67" i="7" s="1"/>
  <c r="CE50" i="7"/>
  <c r="CE56" i="7"/>
  <c r="CE48" i="7"/>
  <c r="CE58" i="7"/>
  <c r="CE61" i="7"/>
  <c r="CE60" i="7"/>
  <c r="CE59" i="7"/>
  <c r="CE47" i="7"/>
  <c r="CE54" i="7"/>
  <c r="CE55" i="7"/>
  <c r="CE51" i="7"/>
  <c r="CE52" i="7"/>
  <c r="CE49" i="7"/>
  <c r="CE57" i="7"/>
  <c r="DX24" i="7"/>
  <c r="CE62" i="7"/>
  <c r="CE53" i="7"/>
  <c r="EK33" i="7"/>
  <c r="CR55" i="7" s="1"/>
  <c r="FJ55" i="7" s="1"/>
  <c r="CQ55" i="7"/>
  <c r="FI55" i="7" s="1"/>
  <c r="EG30" i="7"/>
  <c r="CN52" i="7" s="1"/>
  <c r="FF52" i="7" s="1"/>
  <c r="CM52" i="7"/>
  <c r="FU67" i="7"/>
  <c r="C215" i="16" s="1"/>
  <c r="FC46" i="7"/>
  <c r="FC67" i="7" s="1"/>
  <c r="FP69" i="7"/>
  <c r="EG35" i="7"/>
  <c r="CN57" i="7" s="1"/>
  <c r="FF57" i="7" s="1"/>
  <c r="CM57" i="7"/>
  <c r="EE62" i="7"/>
  <c r="DS62" i="7"/>
  <c r="ES36" i="7"/>
  <c r="CZ58" i="7" s="1"/>
  <c r="FR58" i="7" s="1"/>
  <c r="CY58" i="7"/>
  <c r="FO68" i="7"/>
  <c r="DP47" i="7"/>
  <c r="EB47" i="7"/>
  <c r="EG29" i="7"/>
  <c r="CN51" i="7" s="1"/>
  <c r="FF51" i="7" s="1"/>
  <c r="CM51" i="7"/>
  <c r="FE51" i="7" s="1"/>
  <c r="EV46" i="7"/>
  <c r="CD67" i="7"/>
  <c r="DS47" i="7"/>
  <c r="EE47" i="7"/>
  <c r="EG32" i="7"/>
  <c r="CN54" i="7" s="1"/>
  <c r="FF54" i="7" s="1"/>
  <c r="CM54" i="7"/>
  <c r="FE54" i="7" s="1"/>
  <c r="FY184" i="7"/>
  <c r="EI184" i="7" a="1"/>
  <c r="FH69" i="7"/>
  <c r="ES46" i="7"/>
  <c r="ES67" i="7" s="1"/>
  <c r="CA67" i="7"/>
  <c r="FG46" i="7"/>
  <c r="FG67" i="7" s="1"/>
  <c r="ES33" i="7"/>
  <c r="CZ55" i="7" s="1"/>
  <c r="FR55" i="7" s="1"/>
  <c r="CY55" i="7"/>
  <c r="FQ55" i="7" s="1"/>
  <c r="FA70" i="7"/>
  <c r="GF62" i="7"/>
  <c r="GG59" i="7" s="1"/>
  <c r="CQ54" i="7"/>
  <c r="EK32" i="7"/>
  <c r="CR54" i="7" s="1"/>
  <c r="FJ54" i="7" s="1"/>
  <c r="DP51" i="7"/>
  <c r="EB51" i="7"/>
  <c r="FU70" i="7"/>
  <c r="C228" i="16" s="1"/>
  <c r="S20" i="16" s="1"/>
  <c r="DQ53" i="7"/>
  <c r="EC53" i="7"/>
  <c r="DI46" i="7"/>
  <c r="DQ49" i="7"/>
  <c r="EC49" i="7"/>
  <c r="EV69" i="7"/>
  <c r="ES37" i="7"/>
  <c r="CZ59" i="7" s="1"/>
  <c r="FR59" i="7" s="1"/>
  <c r="CY59" i="7"/>
  <c r="CM48" i="7"/>
  <c r="EG26" i="7"/>
  <c r="CN48" i="7" s="1"/>
  <c r="FF48" i="7" s="1"/>
  <c r="FD70" i="7"/>
  <c r="DF46" i="7"/>
  <c r="EK35" i="7"/>
  <c r="CR57" i="7" s="1"/>
  <c r="FJ57" i="7" s="1"/>
  <c r="CQ57" i="7"/>
  <c r="FI57" i="7" s="1"/>
  <c r="C102" i="7"/>
  <c r="C103" i="7" s="1"/>
  <c r="K103" i="7"/>
  <c r="N103" i="7"/>
  <c r="P103" i="7"/>
  <c r="T103" i="7"/>
  <c r="J103" i="7"/>
  <c r="V103" i="7"/>
  <c r="I103" i="7"/>
  <c r="F103" i="7"/>
  <c r="M103" i="7"/>
  <c r="Q103" i="7"/>
  <c r="S103" i="7"/>
  <c r="R103" i="7"/>
  <c r="U103" i="7"/>
  <c r="O103" i="7"/>
  <c r="H103" i="7"/>
  <c r="G103" i="7"/>
  <c r="E103" i="7"/>
  <c r="D103" i="7"/>
  <c r="L103" i="7"/>
  <c r="CQ47" i="7"/>
  <c r="EK25" i="7"/>
  <c r="CR47" i="7" s="1"/>
  <c r="FJ47" i="7" s="1"/>
  <c r="EB53" i="7"/>
  <c r="DP53" i="7"/>
  <c r="ET46" i="7"/>
  <c r="ET67" i="7" s="1"/>
  <c r="CB67" i="7"/>
  <c r="DS49" i="7"/>
  <c r="EE49" i="7"/>
  <c r="CP46" i="7"/>
  <c r="FH46" i="7" s="1"/>
  <c r="FH67" i="7" s="1"/>
  <c r="EJ24" i="7"/>
  <c r="FP70" i="7"/>
  <c r="FC68" i="7"/>
  <c r="DK48" i="7"/>
  <c r="DU48" i="7" s="1"/>
  <c r="DS50" i="7"/>
  <c r="EE50" i="7"/>
  <c r="EO68" i="7"/>
  <c r="FZ51" i="7"/>
  <c r="GA51" i="7" s="1"/>
  <c r="GJ80" i="7" s="1"/>
  <c r="ES30" i="7"/>
  <c r="CZ52" i="7" s="1"/>
  <c r="FR52" i="7" s="1"/>
  <c r="CY52" i="7"/>
  <c r="DJ59" i="7" l="1"/>
  <c r="DT59" i="7" s="1"/>
  <c r="AG21" i="30"/>
  <c r="AG15" i="30"/>
  <c r="DM50" i="7"/>
  <c r="DW50" i="7" s="1"/>
  <c r="DK60" i="7"/>
  <c r="DU60" i="7" s="1"/>
  <c r="DK59" i="7"/>
  <c r="DU59" i="7" s="1"/>
  <c r="FJ69" i="7"/>
  <c r="DJ51" i="7"/>
  <c r="DT51" i="7" s="1"/>
  <c r="GF46" i="7"/>
  <c r="GG46" i="7" s="1"/>
  <c r="DJ53" i="7"/>
  <c r="DT53" i="7" s="1"/>
  <c r="DJ56" i="7"/>
  <c r="DT56" i="7" s="1"/>
  <c r="DK50" i="7"/>
  <c r="DU50" i="7" s="1"/>
  <c r="FI70" i="7"/>
  <c r="GB46" i="7"/>
  <c r="GC46" i="7" s="1"/>
  <c r="GL72" i="7" s="1"/>
  <c r="FJ70" i="7"/>
  <c r="DP46" i="7"/>
  <c r="DP67" i="7" s="1"/>
  <c r="EB46" i="7"/>
  <c r="DF67" i="7"/>
  <c r="FE52" i="7"/>
  <c r="DJ52" i="7"/>
  <c r="DT52" i="7" s="1"/>
  <c r="EW51" i="7"/>
  <c r="DK57" i="7"/>
  <c r="DU57" i="7" s="1"/>
  <c r="DM55" i="7"/>
  <c r="DW55" i="7" s="1"/>
  <c r="FE60" i="7"/>
  <c r="DJ60" i="7"/>
  <c r="DT60" i="7" s="1"/>
  <c r="FM60" i="7"/>
  <c r="FM61" i="7"/>
  <c r="EK54" i="7"/>
  <c r="FQ58" i="7"/>
  <c r="FQ69" i="7" s="1"/>
  <c r="DM58" i="7"/>
  <c r="DW58" i="7" s="1"/>
  <c r="EW55" i="7"/>
  <c r="FR68" i="7"/>
  <c r="FM59" i="7"/>
  <c r="FM58" i="7"/>
  <c r="FI53" i="7"/>
  <c r="DK53" i="7"/>
  <c r="DU53" i="7" s="1"/>
  <c r="BS46" i="7"/>
  <c r="DM24" i="7" a="1"/>
  <c r="EW54" i="7"/>
  <c r="FM47" i="7"/>
  <c r="FM49" i="7"/>
  <c r="FE50" i="7"/>
  <c r="DJ50" i="7"/>
  <c r="DT50" i="7" s="1"/>
  <c r="EJ67" i="7"/>
  <c r="FE62" i="7"/>
  <c r="DJ62" i="7"/>
  <c r="DT62" i="7" s="1"/>
  <c r="E58" i="16"/>
  <c r="E87" i="16"/>
  <c r="E44" i="16"/>
  <c r="E53" i="16"/>
  <c r="E40" i="16"/>
  <c r="E91" i="16"/>
  <c r="E26" i="16"/>
  <c r="E66" i="16"/>
  <c r="E78" i="16"/>
  <c r="E83" i="16"/>
  <c r="E62" i="16"/>
  <c r="EI142" i="7"/>
  <c r="E7" i="16" s="1"/>
  <c r="E16" i="16" s="1"/>
  <c r="E21" i="16"/>
  <c r="E35" i="16"/>
  <c r="DK62" i="7"/>
  <c r="DU62" i="7" s="1"/>
  <c r="CU46" i="7"/>
  <c r="EO24" i="7" a="1"/>
  <c r="FM55" i="7"/>
  <c r="FF70" i="7"/>
  <c r="FR69" i="7"/>
  <c r="EW59" i="7"/>
  <c r="DJ54" i="7"/>
  <c r="DT54" i="7" s="1"/>
  <c r="DM61" i="7"/>
  <c r="DW61" i="7" s="1"/>
  <c r="FE58" i="7"/>
  <c r="DJ58" i="7"/>
  <c r="DT58" i="7" s="1"/>
  <c r="FM51" i="7"/>
  <c r="FQ48" i="7"/>
  <c r="DM48" i="7"/>
  <c r="DW48" i="7" s="1"/>
  <c r="FI51" i="7"/>
  <c r="DK51" i="7"/>
  <c r="DU51" i="7" s="1"/>
  <c r="FQ62" i="7"/>
  <c r="DM62" i="7"/>
  <c r="DW62" i="7" s="1"/>
  <c r="FE57" i="7"/>
  <c r="DJ57" i="7"/>
  <c r="DT57" i="7" s="1"/>
  <c r="EW60" i="7"/>
  <c r="FQ60" i="7"/>
  <c r="DM60" i="7"/>
  <c r="DW60" i="7" s="1"/>
  <c r="FM52" i="7"/>
  <c r="E82" i="30"/>
  <c r="E75" i="30"/>
  <c r="E76" i="30"/>
  <c r="I74" i="30"/>
  <c r="N74" i="30"/>
  <c r="P83" i="30"/>
  <c r="EK47" i="7"/>
  <c r="FJ68" i="7"/>
  <c r="FR70" i="7"/>
  <c r="FI47" i="7"/>
  <c r="DK47" i="7"/>
  <c r="DU47" i="7" s="1"/>
  <c r="EV67" i="7"/>
  <c r="EW53" i="7"/>
  <c r="EW61" i="7"/>
  <c r="CY46" i="7"/>
  <c r="FQ46" i="7" s="1"/>
  <c r="ES24" i="7"/>
  <c r="CZ46" i="7" s="1"/>
  <c r="FR46" i="7" s="1"/>
  <c r="FR67" i="7" s="1"/>
  <c r="FM53" i="7"/>
  <c r="EK48" i="7"/>
  <c r="D58" i="16"/>
  <c r="D91" i="16"/>
  <c r="D87" i="16"/>
  <c r="D21" i="16"/>
  <c r="D26" i="16"/>
  <c r="EI106" i="7"/>
  <c r="D7" i="16" s="1"/>
  <c r="D16" i="16" s="1"/>
  <c r="D78" i="16"/>
  <c r="D40" i="16"/>
  <c r="D66" i="16"/>
  <c r="D83" i="16"/>
  <c r="D53" i="16"/>
  <c r="D35" i="16"/>
  <c r="D44" i="16"/>
  <c r="D62" i="16"/>
  <c r="DM47" i="7"/>
  <c r="DW47" i="7" s="1"/>
  <c r="EK24" i="7"/>
  <c r="CR46" i="7" s="1"/>
  <c r="FJ46" i="7" s="1"/>
  <c r="FJ67" i="7" s="1"/>
  <c r="CQ46" i="7"/>
  <c r="FI46" i="7" s="1"/>
  <c r="FQ52" i="7"/>
  <c r="DM52" i="7"/>
  <c r="DW52" i="7" s="1"/>
  <c r="FQ59" i="7"/>
  <c r="DM59" i="7"/>
  <c r="DW59" i="7" s="1"/>
  <c r="FE68" i="7"/>
  <c r="EW62" i="7"/>
  <c r="EW58" i="7"/>
  <c r="FE55" i="7"/>
  <c r="DJ55" i="7"/>
  <c r="DT55" i="7" s="1"/>
  <c r="FE61" i="7"/>
  <c r="DJ61" i="7"/>
  <c r="DT61" i="7" s="1"/>
  <c r="FI58" i="7"/>
  <c r="DK58" i="7"/>
  <c r="DU58" i="7" s="1"/>
  <c r="FI52" i="7"/>
  <c r="DK52" i="7"/>
  <c r="DU52" i="7" s="1"/>
  <c r="FM50" i="7"/>
  <c r="DM53" i="7"/>
  <c r="DW53" i="7" s="1"/>
  <c r="EK50" i="7"/>
  <c r="DS46" i="7"/>
  <c r="DS67" i="7" s="1"/>
  <c r="DI67" i="7"/>
  <c r="EE46" i="7"/>
  <c r="FE48" i="7"/>
  <c r="DJ48" i="7"/>
  <c r="DT48" i="7" s="1"/>
  <c r="FF68" i="7"/>
  <c r="DY24" i="7" a="1"/>
  <c r="CE46" i="7"/>
  <c r="EW48" i="7"/>
  <c r="FF69" i="7"/>
  <c r="DM49" i="7"/>
  <c r="DW49" i="7" s="1"/>
  <c r="EO67" i="7"/>
  <c r="FZ46" i="7"/>
  <c r="GA46" i="7" s="1"/>
  <c r="GK72" i="7" s="1"/>
  <c r="FM56" i="7"/>
  <c r="EK49" i="7"/>
  <c r="DJ47" i="7"/>
  <c r="DT47" i="7" s="1"/>
  <c r="DQ67" i="7"/>
  <c r="EW47" i="7"/>
  <c r="DX68" i="7"/>
  <c r="DX69" i="7"/>
  <c r="EW57" i="7"/>
  <c r="EW56" i="7"/>
  <c r="DM51" i="7"/>
  <c r="DW51" i="7" s="1"/>
  <c r="EG24" i="7"/>
  <c r="CN46" i="7" s="1"/>
  <c r="FF46" i="7" s="1"/>
  <c r="FF67" i="7" s="1"/>
  <c r="CM46" i="7"/>
  <c r="FQ54" i="7"/>
  <c r="DM54" i="7"/>
  <c r="DW54" i="7" s="1"/>
  <c r="FM54" i="7"/>
  <c r="EK51" i="7"/>
  <c r="FI56" i="7"/>
  <c r="FI69" i="7" s="1"/>
  <c r="C133" i="16" s="1"/>
  <c r="P16" i="16" s="1"/>
  <c r="DK56" i="7"/>
  <c r="DU56" i="7" s="1"/>
  <c r="FI54" i="7"/>
  <c r="DK54" i="7"/>
  <c r="DU54" i="7" s="1"/>
  <c r="DM56" i="7"/>
  <c r="DW56" i="7" s="1"/>
  <c r="EW49" i="7"/>
  <c r="EW50" i="7"/>
  <c r="FI49" i="7"/>
  <c r="DK49" i="7"/>
  <c r="DU49" i="7" s="1"/>
  <c r="FE49" i="7"/>
  <c r="DJ49" i="7"/>
  <c r="DT49" i="7" s="1"/>
  <c r="FM48" i="7"/>
  <c r="EK52" i="7"/>
  <c r="F21" i="16"/>
  <c r="F62" i="16"/>
  <c r="F66" i="16"/>
  <c r="F44" i="16"/>
  <c r="F40" i="16"/>
  <c r="F35" i="16"/>
  <c r="F87" i="16"/>
  <c r="F83" i="16"/>
  <c r="F58" i="16"/>
  <c r="F91" i="16"/>
  <c r="F26" i="16"/>
  <c r="F78" i="16"/>
  <c r="F95" i="16" s="1"/>
  <c r="F53" i="16"/>
  <c r="EI184" i="7"/>
  <c r="F7" i="16" s="1"/>
  <c r="F16" i="16" s="1"/>
  <c r="S7" i="16"/>
  <c r="S24" i="16" s="1"/>
  <c r="C232" i="16"/>
  <c r="EW52" i="7"/>
  <c r="DK55" i="7"/>
  <c r="DU55" i="7" s="1"/>
  <c r="DM57" i="7"/>
  <c r="DW57" i="7" s="1"/>
  <c r="FM57" i="7"/>
  <c r="FM62" i="7"/>
  <c r="EK53" i="7"/>
  <c r="F30" i="16" l="1"/>
  <c r="FQ68" i="7"/>
  <c r="C175" i="16" s="1"/>
  <c r="R12" i="16" s="1"/>
  <c r="AG22" i="30"/>
  <c r="AG16" i="30"/>
  <c r="AF22" i="30"/>
  <c r="AF16" i="30"/>
  <c r="FQ67" i="7"/>
  <c r="C137" i="16"/>
  <c r="P20" i="16" s="1"/>
  <c r="FM70" i="7"/>
  <c r="C179" i="16"/>
  <c r="R16" i="16" s="1"/>
  <c r="C170" i="16"/>
  <c r="R7" i="16" s="1"/>
  <c r="E30" i="16"/>
  <c r="D95" i="16"/>
  <c r="DS68" i="7"/>
  <c r="DS69" i="7"/>
  <c r="EK68" i="7"/>
  <c r="FE70" i="7"/>
  <c r="C114" i="16" s="1"/>
  <c r="O20" i="16" s="1"/>
  <c r="EW69" i="7"/>
  <c r="FI67" i="7"/>
  <c r="C124" i="16" s="1"/>
  <c r="FM69" i="7"/>
  <c r="BT53" i="7"/>
  <c r="BT50" i="7"/>
  <c r="BT49" i="7"/>
  <c r="BT54" i="7"/>
  <c r="BT52" i="7"/>
  <c r="BT47" i="7"/>
  <c r="BT48" i="7"/>
  <c r="BT51" i="7"/>
  <c r="DM24" i="7"/>
  <c r="BT46" i="7" s="1"/>
  <c r="DE46" i="7" s="1"/>
  <c r="FM68" i="7"/>
  <c r="CV61" i="7"/>
  <c r="CV59" i="7"/>
  <c r="CV55" i="7"/>
  <c r="CV58" i="7"/>
  <c r="CV53" i="7"/>
  <c r="CV56" i="7"/>
  <c r="CV62" i="7"/>
  <c r="CV49" i="7"/>
  <c r="CV57" i="7"/>
  <c r="CV60" i="7"/>
  <c r="CV47" i="7"/>
  <c r="EO24" i="7"/>
  <c r="CV46" i="7" s="1"/>
  <c r="FN46" i="7" s="1"/>
  <c r="CV52" i="7"/>
  <c r="CV48" i="7"/>
  <c r="CV54" i="7"/>
  <c r="CV51" i="7"/>
  <c r="CV50" i="7"/>
  <c r="E95" i="16"/>
  <c r="EK46" i="7"/>
  <c r="BS67" i="7"/>
  <c r="D30" i="16"/>
  <c r="FM46" i="7"/>
  <c r="FM67" i="7" s="1"/>
  <c r="DM46" i="7"/>
  <c r="FE69" i="7"/>
  <c r="EW68" i="7"/>
  <c r="FE46" i="7"/>
  <c r="FE67" i="7" s="1"/>
  <c r="DJ46" i="7"/>
  <c r="DQ69" i="7"/>
  <c r="DQ68" i="7"/>
  <c r="EW46" i="7"/>
  <c r="CE67" i="7"/>
  <c r="FI68" i="7"/>
  <c r="C129" i="16" s="1"/>
  <c r="P12" i="16" s="1"/>
  <c r="CF50" i="7"/>
  <c r="CF49" i="7"/>
  <c r="CF54" i="7"/>
  <c r="CF60" i="7"/>
  <c r="CF53" i="7"/>
  <c r="CF52" i="7"/>
  <c r="CF58" i="7"/>
  <c r="CF55" i="7"/>
  <c r="CF48" i="7"/>
  <c r="CF62" i="7"/>
  <c r="CF51" i="7"/>
  <c r="CF56" i="7"/>
  <c r="CF57" i="7"/>
  <c r="CF59" i="7"/>
  <c r="DY24" i="7"/>
  <c r="CF46" i="7" s="1"/>
  <c r="CF47" i="7"/>
  <c r="CF61" i="7"/>
  <c r="EW70" i="7"/>
  <c r="D48" i="16"/>
  <c r="E70" i="16"/>
  <c r="C106" i="16"/>
  <c r="O12" i="16" s="1"/>
  <c r="D70" i="16"/>
  <c r="FQ70" i="7"/>
  <c r="C183" i="16" s="1"/>
  <c r="R20" i="16" s="1"/>
  <c r="F70" i="16"/>
  <c r="F48" i="16"/>
  <c r="DK46" i="7"/>
  <c r="E48" i="16"/>
  <c r="DP68" i="7"/>
  <c r="DP69" i="7"/>
  <c r="C187" i="16" l="1"/>
  <c r="DO46" i="7"/>
  <c r="EA46" i="7"/>
  <c r="FN61" i="7"/>
  <c r="DL61" i="7"/>
  <c r="DV61" i="7" s="1"/>
  <c r="P7" i="16"/>
  <c r="P24" i="16" s="1"/>
  <c r="C141" i="16"/>
  <c r="EX51" i="7"/>
  <c r="DH51" i="7"/>
  <c r="EW67" i="7"/>
  <c r="EK67" i="7"/>
  <c r="EL51" i="7"/>
  <c r="DE51" i="7"/>
  <c r="DO51" i="7" s="1"/>
  <c r="FN47" i="7"/>
  <c r="DL47" i="7"/>
  <c r="DV47" i="7" s="1"/>
  <c r="EX48" i="7"/>
  <c r="GD48" i="7" s="1"/>
  <c r="DH48" i="7"/>
  <c r="EX55" i="7"/>
  <c r="DH55" i="7"/>
  <c r="EL48" i="7"/>
  <c r="FX48" i="7" s="1"/>
  <c r="DE48" i="7"/>
  <c r="C101" i="16"/>
  <c r="EX56" i="7"/>
  <c r="GD56" i="7" s="1"/>
  <c r="DH56" i="7"/>
  <c r="EX62" i="7"/>
  <c r="DH62" i="7"/>
  <c r="FN60" i="7"/>
  <c r="DL60" i="7"/>
  <c r="DV60" i="7" s="1"/>
  <c r="FN57" i="7"/>
  <c r="DL57" i="7"/>
  <c r="DV57" i="7" s="1"/>
  <c r="DU46" i="7"/>
  <c r="DU67" i="7" s="1"/>
  <c r="DK67" i="7"/>
  <c r="FN56" i="7"/>
  <c r="DL56" i="7"/>
  <c r="DV56" i="7" s="1"/>
  <c r="EL54" i="7"/>
  <c r="DE54" i="7"/>
  <c r="DO54" i="7" s="1"/>
  <c r="EL52" i="7"/>
  <c r="DE52" i="7"/>
  <c r="DO52" i="7" s="1"/>
  <c r="FN50" i="7"/>
  <c r="DL50" i="7"/>
  <c r="DV50" i="7" s="1"/>
  <c r="EL49" i="7"/>
  <c r="FX49" i="7" s="1"/>
  <c r="DE49" i="7"/>
  <c r="FN52" i="7"/>
  <c r="DL52" i="7"/>
  <c r="DV52" i="7" s="1"/>
  <c r="DT46" i="7"/>
  <c r="DT67" i="7" s="1"/>
  <c r="DJ67" i="7"/>
  <c r="EL47" i="7"/>
  <c r="FX47" i="7" s="1"/>
  <c r="DE47" i="7"/>
  <c r="FN62" i="7"/>
  <c r="DL62" i="7"/>
  <c r="DV62" i="7" s="1"/>
  <c r="EX53" i="7"/>
  <c r="GD53" i="7" s="1"/>
  <c r="DH53" i="7"/>
  <c r="EX60" i="7"/>
  <c r="GD60" i="7" s="1"/>
  <c r="DH60" i="7"/>
  <c r="FN51" i="7"/>
  <c r="DL51" i="7"/>
  <c r="DV51" i="7" s="1"/>
  <c r="EL50" i="7"/>
  <c r="FX50" i="7" s="1"/>
  <c r="DE50" i="7"/>
  <c r="BT67" i="7"/>
  <c r="EL46" i="7"/>
  <c r="EX58" i="7"/>
  <c r="GD58" i="7" s="1"/>
  <c r="DH58" i="7"/>
  <c r="FN49" i="7"/>
  <c r="DL49" i="7"/>
  <c r="DV49" i="7" s="1"/>
  <c r="EX52" i="7"/>
  <c r="GD52" i="7" s="1"/>
  <c r="DH52" i="7"/>
  <c r="EX61" i="7"/>
  <c r="GD61" i="7" s="1"/>
  <c r="DH61" i="7"/>
  <c r="EX47" i="7"/>
  <c r="GD47" i="7" s="1"/>
  <c r="DH47" i="7"/>
  <c r="EX54" i="7"/>
  <c r="GD54" i="7" s="1"/>
  <c r="DH54" i="7"/>
  <c r="FC66" i="7"/>
  <c r="C110" i="16"/>
  <c r="O16" i="16" s="1"/>
  <c r="FN58" i="7"/>
  <c r="DL58" i="7"/>
  <c r="DV58" i="7" s="1"/>
  <c r="EX59" i="7"/>
  <c r="DH59" i="7"/>
  <c r="EX49" i="7"/>
  <c r="GD49" i="7" s="1"/>
  <c r="DH49" i="7"/>
  <c r="DW46" i="7"/>
  <c r="DW67" i="7" s="1"/>
  <c r="DM67" i="7"/>
  <c r="FN54" i="7"/>
  <c r="DL54" i="7"/>
  <c r="DV54" i="7" s="1"/>
  <c r="FN55" i="7"/>
  <c r="DL55" i="7"/>
  <c r="DV55" i="7" s="1"/>
  <c r="EL53" i="7"/>
  <c r="DE53" i="7"/>
  <c r="DO53" i="7" s="1"/>
  <c r="FN53" i="7"/>
  <c r="DL53" i="7"/>
  <c r="DV53" i="7" s="1"/>
  <c r="DH46" i="7"/>
  <c r="EX46" i="7"/>
  <c r="GD46" i="7" s="1"/>
  <c r="CF67" i="7"/>
  <c r="R24" i="16"/>
  <c r="EX57" i="7"/>
  <c r="GD57" i="7" s="1"/>
  <c r="DH57" i="7"/>
  <c r="EX50" i="7"/>
  <c r="GD50" i="7" s="1"/>
  <c r="DH50" i="7"/>
  <c r="DL46" i="7"/>
  <c r="FN48" i="7"/>
  <c r="DL48" i="7"/>
  <c r="DV48" i="7" s="1"/>
  <c r="FN59" i="7"/>
  <c r="DL59" i="7"/>
  <c r="DV59" i="7" s="1"/>
  <c r="C68" i="7" l="1" a="1"/>
  <c r="GI46" i="7"/>
  <c r="FN67" i="7"/>
  <c r="C147" i="16" s="1"/>
  <c r="GE46" i="7"/>
  <c r="FN69" i="7"/>
  <c r="DR54" i="7"/>
  <c r="ED54" i="7"/>
  <c r="ED48" i="7"/>
  <c r="DR48" i="7"/>
  <c r="DR51" i="7"/>
  <c r="ED51" i="7"/>
  <c r="ED55" i="7"/>
  <c r="DR55" i="7"/>
  <c r="FN70" i="7"/>
  <c r="ED62" i="7"/>
  <c r="DR62" i="7"/>
  <c r="EX68" i="7"/>
  <c r="GD51" i="7"/>
  <c r="GE51" i="7" s="1"/>
  <c r="GH51" i="7" s="1"/>
  <c r="DR50" i="7"/>
  <c r="ED50" i="7"/>
  <c r="ED57" i="7"/>
  <c r="DR57" i="7"/>
  <c r="EA47" i="7"/>
  <c r="DO47" i="7"/>
  <c r="EX70" i="7"/>
  <c r="GD62" i="7"/>
  <c r="DR58" i="7"/>
  <c r="ED58" i="7"/>
  <c r="DR56" i="7"/>
  <c r="ED56" i="7"/>
  <c r="DR53" i="7"/>
  <c r="ED53" i="7"/>
  <c r="DW68" i="7"/>
  <c r="DW69" i="7"/>
  <c r="DR49" i="7"/>
  <c r="ED49" i="7"/>
  <c r="DR61" i="7"/>
  <c r="ED61" i="7"/>
  <c r="DO50" i="7"/>
  <c r="EA50" i="7"/>
  <c r="L72" i="7"/>
  <c r="J72" i="7"/>
  <c r="D72" i="7"/>
  <c r="N72" i="7"/>
  <c r="E72" i="7"/>
  <c r="H72" i="7"/>
  <c r="M72" i="7"/>
  <c r="G72" i="7"/>
  <c r="C68" i="7"/>
  <c r="C72" i="7" s="1"/>
  <c r="F72" i="7"/>
  <c r="K72" i="7"/>
  <c r="I72" i="7"/>
  <c r="S72" i="7"/>
  <c r="R72" i="7"/>
  <c r="U72" i="7"/>
  <c r="P72" i="7"/>
  <c r="O72" i="7"/>
  <c r="Q72" i="7"/>
  <c r="T72" i="7"/>
  <c r="V72" i="7"/>
  <c r="EX69" i="7"/>
  <c r="GD55" i="7"/>
  <c r="GE55" i="7" s="1"/>
  <c r="GH55" i="7" s="1"/>
  <c r="GI55" i="7"/>
  <c r="DR47" i="7"/>
  <c r="ED47" i="7"/>
  <c r="EX67" i="7"/>
  <c r="DR46" i="7"/>
  <c r="ED46" i="7"/>
  <c r="DH67" i="7"/>
  <c r="DT68" i="7"/>
  <c r="DT69" i="7"/>
  <c r="O7" i="16"/>
  <c r="O24" i="16" s="1"/>
  <c r="C118" i="16"/>
  <c r="EL68" i="7"/>
  <c r="GI51" i="7"/>
  <c r="DL67" i="7"/>
  <c r="DV46" i="7"/>
  <c r="DV67" i="7" s="1"/>
  <c r="ED59" i="7"/>
  <c r="DR59" i="7"/>
  <c r="GI60" i="7"/>
  <c r="GD59" i="7"/>
  <c r="FX46" i="7"/>
  <c r="FY46" i="7" s="1"/>
  <c r="EL67" i="7"/>
  <c r="FY72" i="7" s="1"/>
  <c r="ED52" i="7"/>
  <c r="DR52" i="7"/>
  <c r="FN68" i="7"/>
  <c r="C152" i="16" s="1"/>
  <c r="Q12" i="16" s="1"/>
  <c r="DR60" i="7"/>
  <c r="ED60" i="7"/>
  <c r="EA49" i="7"/>
  <c r="DO49" i="7"/>
  <c r="DU69" i="7"/>
  <c r="DU68" i="7"/>
  <c r="DO48" i="7"/>
  <c r="EA48" i="7"/>
  <c r="DE67" i="7"/>
  <c r="DO67" i="7" l="1"/>
  <c r="EI72" i="7" a="1"/>
  <c r="C87" i="16" s="1"/>
  <c r="N16" i="16" s="1"/>
  <c r="DO68" i="7"/>
  <c r="DO69" i="7"/>
  <c r="DV68" i="7"/>
  <c r="DV69" i="7"/>
  <c r="C156" i="16"/>
  <c r="Q16" i="16" s="1"/>
  <c r="FY74" i="7"/>
  <c r="DR67" i="7"/>
  <c r="DO70" i="7" s="1"/>
  <c r="GH46" i="7"/>
  <c r="FC72" i="7" a="1"/>
  <c r="FC72" i="7" s="1"/>
  <c r="C12" i="16"/>
  <c r="J12" i="16" s="1"/>
  <c r="FY73" i="7"/>
  <c r="FY67" i="7"/>
  <c r="FZ67" i="7" s="1"/>
  <c r="GE59" i="7"/>
  <c r="GH60" i="7" s="1"/>
  <c r="C160" i="16"/>
  <c r="Q20" i="16" s="1"/>
  <c r="FY75" i="7"/>
  <c r="Q7" i="16"/>
  <c r="C26" i="16" l="1"/>
  <c r="K12" i="16" s="1"/>
  <c r="C40" i="16"/>
  <c r="L12" i="16" s="1"/>
  <c r="C35" i="16"/>
  <c r="C91" i="16"/>
  <c r="N20" i="16" s="1"/>
  <c r="C44" i="16"/>
  <c r="L16" i="16" s="1"/>
  <c r="C83" i="16"/>
  <c r="N12" i="16" s="1"/>
  <c r="C78" i="16"/>
  <c r="C53" i="16"/>
  <c r="M7" i="16" s="1"/>
  <c r="C21" i="16"/>
  <c r="K7" i="16" s="1"/>
  <c r="K24" i="16" s="1"/>
  <c r="C164" i="16"/>
  <c r="C58" i="16"/>
  <c r="M12" i="16" s="1"/>
  <c r="GA72" i="7"/>
  <c r="EI72" i="7"/>
  <c r="C7" i="16" s="1"/>
  <c r="C16" i="16" s="1"/>
  <c r="EQ76" i="7"/>
  <c r="C62" i="16"/>
  <c r="M16" i="16" s="1"/>
  <c r="C66" i="16"/>
  <c r="M20" i="16" s="1"/>
  <c r="T20" i="16" s="1"/>
  <c r="L7" i="16"/>
  <c r="Q24" i="16"/>
  <c r="DR68" i="7"/>
  <c r="DR69" i="7"/>
  <c r="C95" i="16" l="1"/>
  <c r="C30" i="16"/>
  <c r="N7" i="16"/>
  <c r="N24" i="16" s="1"/>
  <c r="T12" i="16"/>
  <c r="J7" i="16"/>
  <c r="T7" i="16" s="1"/>
  <c r="L24" i="16"/>
  <c r="C48" i="16"/>
  <c r="T16" i="16"/>
  <c r="M24" i="16"/>
  <c r="C70" i="16"/>
  <c r="J24" i="16" l="1"/>
  <c r="J25" i="16" s="1"/>
  <c r="D221" i="14"/>
  <c r="D199" i="14"/>
  <c r="D199" i="14"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tc={37F6B860-B2CD-4A85-9F45-D3E9E5CB1157}</author>
  </authors>
  <commentList>
    <comment ref="AB56" authorId="0" shapeId="0" xr:uid="{37F6B860-B2CD-4A85-9F45-D3E9E5CB1157}">
      <text>
        <t>[Threaded comment]
Your version of Excel allows you to read this threaded comment; however, any edits to it will get removed if the file is opened in a newer version of Excel. Learn more: https://go.microsoft.com/fwlink/?linkid=870924
Comment:
    tolong diisi ya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<sst xmlns="http://schemas.openxmlformats.org/spreadsheetml/2006/main" count="4148" uniqueCount="855">
  <si>
    <t xml:space="preserve"> </t>
  </si>
  <si>
    <t>Variables</t>
  </si>
  <si>
    <t>Formula</t>
  </si>
  <si>
    <t>Reasoning</t>
  </si>
  <si>
    <t>References</t>
  </si>
  <si>
    <t>DIRECT OPERATING COSTS</t>
  </si>
  <si>
    <t>Fuel Cost</t>
  </si>
  <si>
    <t>Fuel Cost = (Block Fuel / Density * Fuel Price) * Block Hour</t>
  </si>
  <si>
    <t>Fuel Cost dikali dengan Block hour untuk mendapatkan cost selama penerbangan</t>
  </si>
  <si>
    <t>Taken from Pak Hisar's Diktat, page 127-128</t>
  </si>
  <si>
    <t>Block Fuel</t>
  </si>
  <si>
    <t>BF =( FC * FH) + Taxi Fuel</t>
  </si>
  <si>
    <t>Taxi Fuel untuk pesawat &gt;100000 KG, adalah 0.34% dari MTOW. Flight hour (FH) adalah BH - 0.5 jam dengan asumsi 0.5 jam  waktu yang digunakan selama Taxi</t>
  </si>
  <si>
    <t>Taken from Pak Hisar's Diktat, page 117</t>
  </si>
  <si>
    <t>Navigation En-route  Charge</t>
  </si>
  <si>
    <t>Navigation Charge = Faktor Jarak x Faktor Berat x Unit Rate</t>
  </si>
  <si>
    <t>Faktor Berat adalah angka MTOW yang dikonversikan menjadi skala Faktor berat, didapatkan dari Tabel yang tertera pada PM 17 Tahun 2014. Jarak terbang untuk pesawat udara yang berangkat dan mendarat di bandar udara di dalam wilayah Indonesia adalah jarak terdekat (Great Circle Distance) antara kedua bandar udara tersebut dan dikurangi 20 km karena dalam radius 20 km sudah masuk radar navigasi terminal. Faktor jarak adalah jarak dibagi dengan 100 km. Unit rate saat ini adalah Rp.7.000,00</t>
  </si>
  <si>
    <t>Kementerian perhubungan, PM 17 tahun 2014 tentang Formulasi dan Mekanisme Penetapan Biaya Pelayanan Jasa Navigasi Penerbangan</t>
  </si>
  <si>
    <t>Landing Fee</t>
  </si>
  <si>
    <t>Fee according to each airport</t>
  </si>
  <si>
    <t>Operated by each airport operator; for non Angkasa Pura Operator, landing fee will be assumed to be the same as BPN landing fee</t>
  </si>
  <si>
    <t>https://www.angkasapura2.co.id/id/business_relation/price_list  https://ap1.co.id/en/information/tarif-jasa-kebandarudaraan</t>
  </si>
  <si>
    <t>Terminal Navigation</t>
  </si>
  <si>
    <t>Charge x MTOW</t>
  </si>
  <si>
    <t>KM 63 TAHUN 2019</t>
  </si>
  <si>
    <t>CEF1990 ($)</t>
  </si>
  <si>
    <t>Cost escalation factor</t>
  </si>
  <si>
    <t>https://www.inflationtool.com/us-dollar/1990-to-present-value?amount=1</t>
  </si>
  <si>
    <t>CF1</t>
  </si>
  <si>
    <t>MTOW = ???</t>
  </si>
  <si>
    <t>CF2</t>
  </si>
  <si>
    <t>2-crew flight deck</t>
  </si>
  <si>
    <t>BEN</t>
  </si>
  <si>
    <t>1.18 (domestic) and 1.21 (international)</t>
  </si>
  <si>
    <t>Pak Hisar's Diktat, page 127</t>
  </si>
  <si>
    <t>DF</t>
  </si>
  <si>
    <t>Different for each route, first SF needs to be acquired to calculate DF</t>
  </si>
  <si>
    <t>Pak Hisar's Diktat, page 125</t>
  </si>
  <si>
    <t>SF</t>
  </si>
  <si>
    <t>Different for each route, coefficients are taken from graph one by one by finding the point of intersection according to each stage length of each route</t>
  </si>
  <si>
    <t>According to each Stage Length / Range in nm</t>
  </si>
  <si>
    <t xml:space="preserve">TRN </t>
  </si>
  <si>
    <t>24.90 (2-crew, domestic) and 24.75 (2-crew, international)</t>
  </si>
  <si>
    <t>PERSEXP</t>
  </si>
  <si>
    <t>29.60 (2-crew, domestic) and 40.00 (2-crew, international)</t>
  </si>
  <si>
    <t>PR TAX</t>
  </si>
  <si>
    <t>14.00 (2-crew, domestic) and 15.25 (2-crew, international)</t>
  </si>
  <si>
    <t>PF</t>
  </si>
  <si>
    <t xml:space="preserve">Avg. Block Time/Trip (hr) = approx. 2 </t>
  </si>
  <si>
    <t>Pallet / Container</t>
  </si>
  <si>
    <t>Depreciation</t>
  </si>
  <si>
    <t>dari FAA turbojet 4%</t>
  </si>
  <si>
    <t>Depresiasi dihitung terpisah untuk airframe dan mesin</t>
  </si>
  <si>
    <t>Pak Hisar's Diktat, page 134</t>
  </si>
  <si>
    <t>Parking Fee</t>
  </si>
  <si>
    <t>Operated by each airport operator; for non Angkasa Pura Operator, parking fee will be assumed to be the same as BPN parking fee</t>
  </si>
  <si>
    <t>Insurance</t>
  </si>
  <si>
    <t>Annual Insurance Pesawat adalah sebesar 0.35%</t>
  </si>
  <si>
    <t>Pak Hisar's Diktat, page 135</t>
  </si>
  <si>
    <t>Regulated Agent Cost</t>
  </si>
  <si>
    <t>Tarif batas bawah Rp. 550,00 / kg</t>
  </si>
  <si>
    <t>PM 153 Tahun 2015 pasasl 46  https://www.google.com/url?sa=t&amp;source=web&amp;rct=j&amp;url=https://jdih.dephub.go.id/assets/uudocs/permen/2015/PM_153_TAHUN_2015.pdf&amp;ved=2ahUKEwijyrf3iJzzAhXE4XMBHR0CDp0QFnoECAMQAQ&amp;usg=AOvVaw0eUqTCpK_blIOUtv-QyUDM</t>
  </si>
  <si>
    <t>Cargo Handling @CGK Warehousing</t>
  </si>
  <si>
    <t>Kargo Ekspor: Rp 1.760 / Kg / Hari
Kargo Impor: Rp 2.380 / Kg / Hari
Rush Handling: Rp 3.125 / Kg / Hari.</t>
  </si>
  <si>
    <t>Cool &amp; Cold Room : Surcharge 200% dari Tarif Dasar, semua tidak termasuk ppn 10%</t>
  </si>
  <si>
    <t>https://www.ptjas.co.id/2019/04/26/perubahan-ketentuan-tarif-dasar-kargo-cgk/</t>
  </si>
  <si>
    <t>INDIRECT OPERATING COSTS</t>
  </si>
  <si>
    <t>Building &amp; Equipment Cost dan Koefisien 40</t>
  </si>
  <si>
    <t>CBE = (1152*BH)</t>
  </si>
  <si>
    <r>
      <rPr>
        <sz val="10"/>
        <color theme="1"/>
        <rFont val="Arial"/>
        <family val="2"/>
      </rPr>
      <t xml:space="preserve">Rumus utama didapat dari laporan tahunan Economy Value FAA yaitu 1152 USD per satuan block hour
Bila menggunakan rumus asli (tanpa pembagi 40), maka </t>
    </r>
    <r>
      <rPr>
        <i/>
        <sz val="10"/>
        <color theme="1"/>
        <rFont val="Arial"/>
        <family val="2"/>
      </rPr>
      <t xml:space="preserve">cost </t>
    </r>
    <r>
      <rPr>
        <sz val="10"/>
        <color theme="1"/>
        <rFont val="Arial"/>
        <family val="2"/>
      </rPr>
      <t xml:space="preserve">yang didapat begitu besar dibanding data dari laporan keuangan Bandara. </t>
    </r>
    <r>
      <rPr>
        <b/>
        <sz val="10"/>
        <color theme="1"/>
        <rFont val="Arial"/>
        <family val="2"/>
      </rPr>
      <t>Angka 40 didapat dengan membagi hasil dari rumus asli dengan data dari bandara sehingga bisa mendekati data lapangan</t>
    </r>
  </si>
  <si>
    <t>Rumus Utama = https://www.faa.gov/regulations_policies/policy_guidance/benefit_cost/media/econ-value-section-4-op-costs.pdf
Data Bandara = Laporan Keuangan Bandara Sultan Babullah Ternate</t>
  </si>
  <si>
    <t>Handling Fees dan Koefisien 3</t>
  </si>
  <si>
    <t>CHF = (521*BH)</t>
  </si>
  <si>
    <r>
      <rPr>
        <sz val="10"/>
        <color theme="1"/>
        <rFont val="Arial"/>
        <family val="2"/>
      </rPr>
      <t xml:space="preserve">Rumus utama didapat dari laporan tahunan Economy Value FAA yaitu 512 USD per satuan block hour
Bila menggunakan rumus asli (tanpa pembagi 60), maka cost yang didapat begitu besar dibanding data dari laporan keuangan Bandara. </t>
    </r>
    <r>
      <rPr>
        <b/>
        <sz val="10"/>
        <color theme="1"/>
        <rFont val="Arial"/>
        <family val="2"/>
      </rPr>
      <t>Angka 60 didapat dengan membagi hasil dari rumus asli dengan data dari bandara sehingga bisa mendekati data lapangan</t>
    </r>
  </si>
  <si>
    <t>Rumus Utama = https://www.faa.gov/regulations_policies/policy_guidance/benefit_cost/media/econ-value-section-4-op-costs.pdf
Data Bandaraa = Laporan Keuangan Bandara Sultan Babullah Ternate</t>
  </si>
  <si>
    <t>Station Cost</t>
  </si>
  <si>
    <t>CS = 0.0032*RPM</t>
  </si>
  <si>
    <t>0.0032 USD per satuan Revenue Passenger Miles</t>
  </si>
  <si>
    <t>Rumus didapat dari Tugas 03 Mata Kuliah Transportasi Udara</t>
  </si>
  <si>
    <t>Amortization cost</t>
  </si>
  <si>
    <t>2$ * BH</t>
  </si>
  <si>
    <t>Group 1 All Cargo , karena annual rev &lt; 100 juta $</t>
  </si>
  <si>
    <t xml:space="preserve">FAA </t>
  </si>
  <si>
    <t>Marketing Cost</t>
  </si>
  <si>
    <t>General &amp; Admin of cargo ???</t>
  </si>
  <si>
    <t>GAP = 0.0034*RPM</t>
  </si>
  <si>
    <t>0.0034 USD per satuan Revenue Passenger Mles</t>
  </si>
  <si>
    <t>Rumus Utama = Diktat Sistem Transportasi Udara Hisar M. Pasaribu</t>
  </si>
  <si>
    <t>General &amp; Admin of Airlplane</t>
  </si>
  <si>
    <t>GAA = 807*BH</t>
  </si>
  <si>
    <t>807 USD per satuan block hour ini untuk kelas III yang annual revenue &gt; 1 billion $</t>
  </si>
  <si>
    <t>Rumus Utama = https://www.faa.gov/regulations_policies/policy_guidance/benefit_cost/media/econ-value-section-4-op-costs.pdf</t>
  </si>
  <si>
    <t xml:space="preserve">BOEING 787-8 </t>
  </si>
  <si>
    <t>AIRBUS A330-900 neo</t>
  </si>
  <si>
    <t>AIRBUS A330-200F</t>
  </si>
  <si>
    <t>ATTACHMENT A : AIRCRAFT DATA</t>
  </si>
  <si>
    <t>Airbus A321P2F</t>
  </si>
  <si>
    <t>Boeing 737-800BCF</t>
  </si>
  <si>
    <t>Tupolev tu-204</t>
  </si>
  <si>
    <t>Airbus A330-200F</t>
  </si>
  <si>
    <t>Boeing 767-300BCF</t>
  </si>
  <si>
    <t>Aircraft</t>
  </si>
  <si>
    <t>787-8</t>
  </si>
  <si>
    <t>A330-900 neo</t>
  </si>
  <si>
    <t>Engine Type</t>
  </si>
  <si>
    <t>CFM International CFM56</t>
  </si>
  <si>
    <t xml:space="preserve"> CFM56-7B24/26/27</t>
  </si>
  <si>
    <t>Pratt and Whitney pw4000</t>
  </si>
  <si>
    <t>GE 90-115B</t>
  </si>
  <si>
    <t>RR Trent 7000</t>
  </si>
  <si>
    <t>No of Engines</t>
  </si>
  <si>
    <t>No of Engines (Noe)</t>
  </si>
  <si>
    <t>Airplane Price (US $) (Average Price)</t>
  </si>
  <si>
    <t>Airplane Price (US $) [New, 2020]</t>
  </si>
  <si>
    <t xml:space="preserve">Engine Price (US$ per engine) </t>
  </si>
  <si>
    <t xml:space="preserve">Leased Rate (US $) per month) </t>
  </si>
  <si>
    <t>-</t>
  </si>
  <si>
    <t>Leased Rate (US $/Montth) 10 years include interest</t>
  </si>
  <si>
    <t>Max Take-off Weight (MTOW) (kg)</t>
  </si>
  <si>
    <t>MTOW (kg.)</t>
  </si>
  <si>
    <t>Empty Weight (OEW) (kg)</t>
  </si>
  <si>
    <t>OEW (kg.)</t>
  </si>
  <si>
    <t>Max Zero Fuel weight (MZFW) (kg)</t>
  </si>
  <si>
    <t>MLW (kg.)</t>
  </si>
  <si>
    <t>Maximum Fuel Capacity(litres)</t>
  </si>
  <si>
    <t>Max. Payload (kg.)</t>
  </si>
  <si>
    <t>Cruising Speed (Km/h)</t>
  </si>
  <si>
    <t>Design range (km.)</t>
  </si>
  <si>
    <t>Seat Capacity</t>
  </si>
  <si>
    <t>Range at mixed class passenger capacity (km)</t>
  </si>
  <si>
    <t>85% max cruise speed yang dipake</t>
  </si>
  <si>
    <t>Take-off Thrust (Kg)</t>
  </si>
  <si>
    <t>Maximum Speed (kts)</t>
  </si>
  <si>
    <t>Area of wing (m2)</t>
  </si>
  <si>
    <t>Fuel ccnsumption (kg/h)</t>
  </si>
  <si>
    <t>Max Payload (ton)</t>
  </si>
  <si>
    <t>Max Range (km)</t>
  </si>
  <si>
    <t>Weight factor for navigation en route</t>
  </si>
  <si>
    <t>Block Time (hr.)</t>
  </si>
  <si>
    <t xml:space="preserve"> BH = Distance/Cruise Speed + 0.5</t>
  </si>
  <si>
    <t>Unit Rate per tahun 2019 ($)</t>
  </si>
  <si>
    <t>Block Fuel (kg.)</t>
  </si>
  <si>
    <t>Charge Terminal Navigation (Include all)</t>
  </si>
  <si>
    <t>Fuel Consumption (FC) (kg/hr)</t>
  </si>
  <si>
    <t>Taxi Fuel for MTOW &gt; 100000 KG</t>
  </si>
  <si>
    <t>Maximum daily utilisation (block hour)</t>
  </si>
  <si>
    <t>Density(kg/gal)</t>
  </si>
  <si>
    <t>Fuel Price( USD/Gal)</t>
  </si>
  <si>
    <t>Active control system  (YES/NO)</t>
  </si>
  <si>
    <t>YES</t>
  </si>
  <si>
    <t>Take Off Distance</t>
  </si>
  <si>
    <t>2770 m</t>
  </si>
  <si>
    <t>Direct Maintenance Cost (US $/Block Hour) [1]</t>
  </si>
  <si>
    <t>Tupolev</t>
  </si>
  <si>
    <t>Maintenance Overhead (US$/Block
 Hour)</t>
  </si>
  <si>
    <t>Tupolev Tu-204-120</t>
  </si>
  <si>
    <t>Rolls-Royce RB211-535E4B</t>
  </si>
  <si>
    <t>punya A321 juga</t>
  </si>
  <si>
    <t>GE CF6-80C2F</t>
  </si>
  <si>
    <t>Airplane Price (US $) [New, 2019]</t>
  </si>
  <si>
    <t xml:space="preserve">Airplane Price (US $) </t>
  </si>
  <si>
    <t>assume lebih mahal dikit dari 737bcf</t>
  </si>
  <si>
    <t>age: 5 years old</t>
  </si>
  <si>
    <t>Fuel deterioration rate (% per year)</t>
  </si>
  <si>
    <t>range 87-121 kN, ambil median = 104 kN</t>
  </si>
  <si>
    <t>punya A321, wingspannya sama</t>
  </si>
  <si>
    <t>Taxi Fuel for MTOW &lt; 100000 KG</t>
  </si>
  <si>
    <t>TO distance (m)</t>
  </si>
  <si>
    <t>Airplane Price (US $)</t>
  </si>
  <si>
    <t>ARROUND</t>
  </si>
  <si>
    <t>gallo</t>
  </si>
  <si>
    <t>DHC8 Q300</t>
  </si>
  <si>
    <t>Pratt &amp; Whitney Canada PW100</t>
  </si>
  <si>
    <t>Airplane Price (US $) [Preowned]</t>
  </si>
  <si>
    <t>NO</t>
  </si>
  <si>
    <t>Total Investment</t>
  </si>
  <si>
    <t>Parameter</t>
  </si>
  <si>
    <t>Aircraft Type</t>
  </si>
  <si>
    <t>PMT per 6 bulan</t>
  </si>
  <si>
    <t>Boeing 767-300F</t>
  </si>
  <si>
    <t>First Delivery</t>
  </si>
  <si>
    <t>Price @Engine</t>
  </si>
  <si>
    <t>Average airplane price in 2017</t>
  </si>
  <si>
    <t>Airplane Price (US $) (Average Price) in 2017</t>
  </si>
  <si>
    <t>Aircraft Age</t>
  </si>
  <si>
    <t>Maintenance Index</t>
  </si>
  <si>
    <t>Dry lease ($/month) ALP/12</t>
  </si>
  <si>
    <t>Dry lease per month (ALP/12)</t>
  </si>
  <si>
    <t>PMT (every 6 months)</t>
  </si>
  <si>
    <t>MTOW (kg)</t>
  </si>
  <si>
    <t>OEW (kg)</t>
  </si>
  <si>
    <t>MLW (kg)</t>
  </si>
  <si>
    <t>Maximum Gross Payload (kg)</t>
  </si>
  <si>
    <t>Design maximum range (km)</t>
  </si>
  <si>
    <t xml:space="preserve">Average cruising speed (km/h) </t>
  </si>
  <si>
    <t>Fuel consumption (kg/h)</t>
  </si>
  <si>
    <t>Direct Maintenance Cost / Block Hour (Indexed)</t>
  </si>
  <si>
    <t>Maintenance Overhead / Block Hour (Indexed)</t>
  </si>
  <si>
    <t>Minimum Take-off Distance (m)</t>
  </si>
  <si>
    <t>CEF1990</t>
  </si>
  <si>
    <t>MILPAY</t>
  </si>
  <si>
    <t>GWPAY</t>
  </si>
  <si>
    <t>biaya lain2 flight crew</t>
  </si>
  <si>
    <t>Maintenance Index tergantung umur pesawat</t>
  </si>
  <si>
    <t>Umur Pesawat</t>
  </si>
  <si>
    <t>No</t>
  </si>
  <si>
    <t>O-D</t>
  </si>
  <si>
    <t>Stage Length (Km)</t>
  </si>
  <si>
    <t xml:space="preserve">Block Time   </t>
  </si>
  <si>
    <t>PLM-SUB</t>
  </si>
  <si>
    <t>SUB-CGK</t>
  </si>
  <si>
    <t>CGK-PKY</t>
  </si>
  <si>
    <t>PKY-CGK</t>
  </si>
  <si>
    <t>CGK-PLM</t>
  </si>
  <si>
    <t>MDC-SRG</t>
  </si>
  <si>
    <t>SRG-KDI</t>
  </si>
  <si>
    <t>KDI-PNK</t>
  </si>
  <si>
    <t>PNK-MDC</t>
  </si>
  <si>
    <t>TTE-KNO</t>
  </si>
  <si>
    <t>KNO-PKU</t>
  </si>
  <si>
    <t>PKU-BDO</t>
  </si>
  <si>
    <t>BDO-TTE</t>
  </si>
  <si>
    <t>LOP-TIM</t>
  </si>
  <si>
    <t>TIM-AMQ</t>
  </si>
  <si>
    <t>AMQ-CGK</t>
  </si>
  <si>
    <t>CGK-LOP</t>
  </si>
  <si>
    <t>PNK-CGK</t>
  </si>
  <si>
    <t>AGE OF AIRCRAFT</t>
  </si>
  <si>
    <t>average block time</t>
  </si>
  <si>
    <t>rata rata</t>
  </si>
  <si>
    <t>route 1</t>
  </si>
  <si>
    <t xml:space="preserve">route 2 </t>
  </si>
  <si>
    <t>route 3</t>
  </si>
  <si>
    <t>route 4</t>
  </si>
  <si>
    <t>SRG-AMQ</t>
  </si>
  <si>
    <t>CGK-MDC</t>
  </si>
  <si>
    <t>BDO-UPG</t>
  </si>
  <si>
    <t>UPG-TTE</t>
  </si>
  <si>
    <t>TIM-UPG</t>
  </si>
  <si>
    <t>UPG-KDI</t>
  </si>
  <si>
    <t>PLM-SUB, SUB-CGK, CGKPKY, PKY-CGK, CGK-PLM</t>
  </si>
  <si>
    <t>MDC-SRG, SRG-AMQ, AMQ-CGK, CGK-MDC</t>
  </si>
  <si>
    <t>TTE-KNO, KNO-PKU, PKU-BDO, BDO-UPG, UPG-TTE</t>
  </si>
  <si>
    <t>LOP-TIM, TIM-UPG, UPG-KDI, KDI PNK, PNK-CGK, CGK-LOP</t>
  </si>
  <si>
    <t>JANGAN DIDELETE!</t>
  </si>
  <si>
    <t>PARKING FEE</t>
  </si>
  <si>
    <t>1 Rp = 0.00007</t>
  </si>
  <si>
    <t>Routes</t>
  </si>
  <si>
    <t>IATA CODE</t>
  </si>
  <si>
    <t>Fee (Rp/Ton)</t>
  </si>
  <si>
    <t>Fee (US $/ Ton)</t>
  </si>
  <si>
    <t>PLM</t>
  </si>
  <si>
    <t>Landing Fee Airbus A321P2F</t>
  </si>
  <si>
    <t>SUB</t>
  </si>
  <si>
    <t>Landing Fee Boeing 737-800BCF</t>
  </si>
  <si>
    <t>PKY</t>
  </si>
  <si>
    <t>Landing Fee Tupalov</t>
  </si>
  <si>
    <t>CGK</t>
  </si>
  <si>
    <t>Landing Fee Airbus A330-200F</t>
  </si>
  <si>
    <t>MDC</t>
  </si>
  <si>
    <t>Landing Fee Boeing 767-300BCF</t>
  </si>
  <si>
    <t>SRG</t>
  </si>
  <si>
    <t>AMQ</t>
  </si>
  <si>
    <t>TTE</t>
  </si>
  <si>
    <t>KNO</t>
  </si>
  <si>
    <t>BDO</t>
  </si>
  <si>
    <t>SWQ</t>
  </si>
  <si>
    <t>TIM</t>
  </si>
  <si>
    <t>KDI</t>
  </si>
  <si>
    <t>PNK</t>
  </si>
  <si>
    <t>UPG</t>
  </si>
  <si>
    <t>PKU</t>
  </si>
  <si>
    <t>LANDING FEE</t>
  </si>
  <si>
    <t>Fee &gt;100 Ton Fix(Rp/Ton)</t>
  </si>
  <si>
    <t>Fee 40-100 Ton Fix Rate(Rp/ Ton)</t>
  </si>
  <si>
    <t>Variable Cost (100Ton)</t>
  </si>
  <si>
    <t>Variable Cost Rp/ Ton(40-100)</t>
  </si>
  <si>
    <t>Airbus A320P2F(US$)</t>
  </si>
  <si>
    <t>Boeing 737-800BCF(US$)</t>
  </si>
  <si>
    <t>Tupalov (US$)</t>
  </si>
  <si>
    <t>Airbus  A321</t>
  </si>
  <si>
    <t>Boeing 737</t>
  </si>
  <si>
    <t>Tupalov</t>
  </si>
  <si>
    <t>A330</t>
  </si>
  <si>
    <t xml:space="preserve">SWQ </t>
  </si>
  <si>
    <t>*swq = lop</t>
  </si>
  <si>
    <t>*swq=lop</t>
  </si>
  <si>
    <t>*tim = bik</t>
  </si>
  <si>
    <t>*tte = amq</t>
  </si>
  <si>
    <t>INDEX</t>
  </si>
  <si>
    <t>multiplier to dollar</t>
  </si>
  <si>
    <t>Rotation</t>
  </si>
  <si>
    <t>AVERAGE DEMAND PER YEAR</t>
  </si>
  <si>
    <t>Avg Station Cost</t>
  </si>
  <si>
    <t>Airport</t>
  </si>
  <si>
    <t>Rp/Kg</t>
  </si>
  <si>
    <t>$/Kg</t>
  </si>
  <si>
    <t>origin</t>
  </si>
  <si>
    <t>$/kg</t>
  </si>
  <si>
    <t>LOP</t>
  </si>
  <si>
    <t>Aglis Total Tonnage</t>
  </si>
  <si>
    <t>X</t>
  </si>
  <si>
    <t>Y</t>
  </si>
  <si>
    <t>2022 Q3</t>
  </si>
  <si>
    <t>2023 Q3</t>
  </si>
  <si>
    <t>2024 Q3</t>
  </si>
  <si>
    <t>2025 Q3</t>
  </si>
  <si>
    <t>Load Factor</t>
  </si>
  <si>
    <t>A321 P2F &amp; B737-800 BCF Number of Aircraft</t>
  </si>
  <si>
    <t>Boeing 737-800BCF Number of Aircraft</t>
  </si>
  <si>
    <t>A330-200F &amp; B737-800F Number of Aircraft</t>
  </si>
  <si>
    <t>Airbus A321 P2F Number of Aircraft</t>
  </si>
  <si>
    <t>Freight Forwarder Capability (Tons/Day)</t>
  </si>
  <si>
    <t>Airbus A321 P2F</t>
  </si>
  <si>
    <t>YEAR</t>
  </si>
  <si>
    <t>KENA X2 karna kena max daily util</t>
  </si>
  <si>
    <t>JANGAN SAMPE 5 ATAU 7, MAX 4 AJA</t>
  </si>
  <si>
    <t>A330-200F</t>
  </si>
  <si>
    <t>Opperating Cost/ Trip</t>
  </si>
  <si>
    <t>No of Flight</t>
  </si>
  <si>
    <t>Total Operating Cost</t>
  </si>
  <si>
    <t>Load Factor/ Trip</t>
  </si>
  <si>
    <t>Revenue</t>
  </si>
  <si>
    <t>Net Income</t>
  </si>
  <si>
    <t>Price</t>
  </si>
  <si>
    <t>assume sama untuk semua tipe aircraft</t>
  </si>
  <si>
    <t>B767-300</t>
  </si>
  <si>
    <t>737-800</t>
  </si>
  <si>
    <t>A321P2F</t>
  </si>
  <si>
    <t>SUB-PKY</t>
  </si>
  <si>
    <t>KNO-BDO</t>
  </si>
  <si>
    <t>SWQ-TIM</t>
  </si>
  <si>
    <t>TIM-KDI</t>
  </si>
  <si>
    <t>LOP-SWQ</t>
  </si>
  <si>
    <t>PNK-SWQ</t>
  </si>
  <si>
    <t>Capacity</t>
  </si>
  <si>
    <t>B7B7-8</t>
  </si>
  <si>
    <t>Alternative routes for transit</t>
  </si>
  <si>
    <t>Demand</t>
  </si>
  <si>
    <t>Demand/No of flight</t>
  </si>
  <si>
    <t>Demand/365</t>
  </si>
  <si>
    <t>Potential Hub 1</t>
  </si>
  <si>
    <t>route 2</t>
  </si>
  <si>
    <t>DPS</t>
  </si>
  <si>
    <t>Cap</t>
  </si>
  <si>
    <t>before</t>
  </si>
  <si>
    <t>after</t>
  </si>
  <si>
    <t>Capasity</t>
  </si>
  <si>
    <t>No of flight</t>
  </si>
  <si>
    <t>PNK-LOP</t>
  </si>
  <si>
    <t>diubah</t>
  </si>
  <si>
    <t>COPAS DARI SHEETS AIRCRAFT CANDIDATE DATA</t>
  </si>
  <si>
    <t>Aircraft Maintenance Cost</t>
  </si>
  <si>
    <t>Component</t>
  </si>
  <si>
    <t>Labor</t>
  </si>
  <si>
    <t>Material</t>
  </si>
  <si>
    <t xml:space="preserve">Airbus A321 P2F </t>
  </si>
  <si>
    <t xml:space="preserve"> Boeing 737-800BCF</t>
  </si>
  <si>
    <t>Inspection</t>
  </si>
  <si>
    <t>Fungsi dari EOW &amp; T</t>
  </si>
  <si>
    <t xml:space="preserve">Direct Maintenance Cost (US$/Block Hour) </t>
  </si>
  <si>
    <t>Air Conditioning System</t>
  </si>
  <si>
    <t>Fix</t>
  </si>
  <si>
    <t>Auto Pilot</t>
  </si>
  <si>
    <t>Fungsi T</t>
  </si>
  <si>
    <t>Max Payload (Ton)</t>
  </si>
  <si>
    <t>Communication System</t>
  </si>
  <si>
    <t>Fungsi kapasitas tempat duduk (mixed class)</t>
  </si>
  <si>
    <t>Electrical System</t>
  </si>
  <si>
    <t>Furnishing</t>
  </si>
  <si>
    <t>Fire Protection</t>
  </si>
  <si>
    <t>Fungsi jumlah engine</t>
  </si>
  <si>
    <t>Flight Control</t>
  </si>
  <si>
    <t>Fuel System</t>
  </si>
  <si>
    <t>Fungsi T dan (MTOW - MZFW)</t>
  </si>
  <si>
    <t>Hydraulic Power</t>
  </si>
  <si>
    <t>Accumulated Time Since New (in year)</t>
  </si>
  <si>
    <t>Ice and Rain Protection</t>
  </si>
  <si>
    <t>Fungsi MTOW</t>
  </si>
  <si>
    <t>New</t>
  </si>
  <si>
    <t>Instruments</t>
  </si>
  <si>
    <t>Fungsi T dan OEW</t>
  </si>
  <si>
    <t>Maintenance index</t>
  </si>
  <si>
    <t>Landing Gear</t>
  </si>
  <si>
    <t>Lighting system</t>
  </si>
  <si>
    <t>Navigation System</t>
  </si>
  <si>
    <t>Oxygen System</t>
  </si>
  <si>
    <t>20% more eff than FC in same class (5000 lb/hr)</t>
  </si>
  <si>
    <t>Pneumatic</t>
  </si>
  <si>
    <t>Fungsi Takeoff thrust (kg) &amp; Number of engine</t>
  </si>
  <si>
    <t>Water and waste</t>
  </si>
  <si>
    <t>Airborne APU</t>
  </si>
  <si>
    <t xml:space="preserve">Structure </t>
  </si>
  <si>
    <t>Fungsi OEW</t>
  </si>
  <si>
    <t xml:space="preserve">Doors </t>
  </si>
  <si>
    <t>Fuselage</t>
  </si>
  <si>
    <t>Engine Nacelles</t>
  </si>
  <si>
    <t>Wings</t>
  </si>
  <si>
    <t>Fungsi luas sayap</t>
  </si>
  <si>
    <t>Stabilizer</t>
  </si>
  <si>
    <t>Windows</t>
  </si>
  <si>
    <t>Total</t>
  </si>
  <si>
    <t>$/ BH</t>
  </si>
  <si>
    <t>Harga 1976</t>
  </si>
  <si>
    <t>Harga 2021</t>
  </si>
  <si>
    <t xml:space="preserve">Active control system </t>
  </si>
  <si>
    <t>Airframe Labor Cost</t>
  </si>
  <si>
    <t>T1</t>
  </si>
  <si>
    <t>Airframe Material Cost</t>
  </si>
  <si>
    <t>T3</t>
  </si>
  <si>
    <t>T8</t>
  </si>
  <si>
    <t>T9 (c.g c system)</t>
  </si>
  <si>
    <t>T12</t>
  </si>
  <si>
    <t>Engine Labor Cost</t>
  </si>
  <si>
    <t>T15</t>
  </si>
  <si>
    <t>Engine Material Cost</t>
  </si>
  <si>
    <t>Total Labor Cost</t>
  </si>
  <si>
    <t>Total Material Cost</t>
  </si>
  <si>
    <t>Direct Maintenance Cost</t>
  </si>
  <si>
    <t>Overhead Maintenance Cost</t>
  </si>
  <si>
    <t>dikali 2.1 karena airline kecil</t>
  </si>
  <si>
    <t>Total Maintenance Cost</t>
  </si>
  <si>
    <t>Notes:</t>
  </si>
  <si>
    <t xml:space="preserve"> Harga Overhead Maintenance Cost adalah 190% dari Total Labor Cost</t>
  </si>
  <si>
    <t>Direct Maintenance Cost = Total Labor Cost + Total Material Cost</t>
  </si>
  <si>
    <t xml:space="preserve"> Total Maintenance Cost = Direct Maintenance Cost + Overhead Maintenance Cost</t>
  </si>
  <si>
    <t>GROUND HANDLING COST BLM</t>
  </si>
  <si>
    <t>Tuploev</t>
  </si>
  <si>
    <t>Boeing 737-800</t>
  </si>
  <si>
    <t>5 years</t>
  </si>
  <si>
    <t>assume tupolev</t>
  </si>
  <si>
    <t>Stage Length (km)</t>
  </si>
  <si>
    <t>Block time</t>
  </si>
  <si>
    <t>Block fuel</t>
  </si>
  <si>
    <t>Revenue Payload</t>
  </si>
  <si>
    <t>ganti jdi revenue payload!</t>
  </si>
  <si>
    <t>Annual Utilization per rotation</t>
  </si>
  <si>
    <t>percentage</t>
  </si>
  <si>
    <t>value</t>
  </si>
  <si>
    <t>legend</t>
  </si>
  <si>
    <t>No of Flight per Rotation</t>
  </si>
  <si>
    <t>Flight Crew</t>
  </si>
  <si>
    <t>Flight Crew Each Trip</t>
  </si>
  <si>
    <t>Flight Crew Cost</t>
  </si>
  <si>
    <t>Direct Maintenance</t>
  </si>
  <si>
    <t>Ground Handling</t>
  </si>
  <si>
    <t>Navigation En Route</t>
  </si>
  <si>
    <t>DIRECT COST  ($)</t>
  </si>
  <si>
    <t>Landing Fees</t>
  </si>
  <si>
    <t>Charge Terminal Navigation (FIS aja)</t>
  </si>
  <si>
    <t>Parking Fees</t>
  </si>
  <si>
    <t xml:space="preserve">ASSUME UDH 5 TAUN </t>
  </si>
  <si>
    <t>include deterioratiom</t>
  </si>
  <si>
    <t xml:space="preserve">Terminal Navigation </t>
  </si>
  <si>
    <t>cari yang buat cargo</t>
  </si>
  <si>
    <t>biaya lain2 flight crew per block hour</t>
  </si>
  <si>
    <t>OTHER INDIRECT COST  ($)</t>
  </si>
  <si>
    <t>Direct Maintenance Cost (US $/Block Hour) indexed</t>
  </si>
  <si>
    <t>General Admission (Airplane)</t>
  </si>
  <si>
    <t>General Admission Airplane</t>
  </si>
  <si>
    <t>Maintenance Overhead (US$/Block indexed
 Hour)</t>
  </si>
  <si>
    <t>GPE maintenance &amp; Overhead</t>
  </si>
  <si>
    <t>GPE Maintenance &amp; Overhead</t>
  </si>
  <si>
    <t>GPE Depreciation &amp; Amortization</t>
  </si>
  <si>
    <t>Interest / year</t>
  </si>
  <si>
    <t>Lease cost / year</t>
  </si>
  <si>
    <t>Maintenance Overhead</t>
  </si>
  <si>
    <t>Insurance/year</t>
  </si>
  <si>
    <t>Assume Rp.750,- per kg for all</t>
  </si>
  <si>
    <t>Crew &amp; Technician Accomodation Cost</t>
  </si>
  <si>
    <t>Warehouse lease</t>
  </si>
  <si>
    <t>OWNERSHIP COST ($)</t>
  </si>
  <si>
    <t>Interest</t>
  </si>
  <si>
    <t>Lease</t>
  </si>
  <si>
    <t>Lease / tahun</t>
  </si>
  <si>
    <t>TOTAL</t>
  </si>
  <si>
    <t>PMT rate</t>
  </si>
  <si>
    <t>(1-C48)*(1/8.5%)</t>
  </si>
  <si>
    <t>Total Operating Cost / Trip (S)</t>
  </si>
  <si>
    <t xml:space="preserve">Total Operating Cost / Trip </t>
  </si>
  <si>
    <t>Total Operating Cost / Block hour (S)</t>
  </si>
  <si>
    <t>Total Operating Cost / Block hour</t>
  </si>
  <si>
    <t>Operating Cost / Trip Max payload</t>
  </si>
  <si>
    <t>Operating Cost / BH  Max payload</t>
  </si>
  <si>
    <t>sebelahh 1</t>
  </si>
  <si>
    <t>Operating Cost / Trip Max Range</t>
  </si>
  <si>
    <t>Average Annual Utilization</t>
  </si>
  <si>
    <t>bawah</t>
  </si>
  <si>
    <t>Operating Cost / BH Max Range</t>
  </si>
  <si>
    <t>rot1</t>
  </si>
  <si>
    <t>rot2</t>
  </si>
  <si>
    <t>rot3</t>
  </si>
  <si>
    <t>rot4</t>
  </si>
  <si>
    <t>Mirip kyk yield</t>
  </si>
  <si>
    <t>Operating Cost / Max Payload  Max range</t>
  </si>
  <si>
    <t>bunga per 6 bulan</t>
  </si>
  <si>
    <t xml:space="preserve">$/Ton Km </t>
  </si>
  <si>
    <t>Operating Cost / BH Max Payload  Max range</t>
  </si>
  <si>
    <t>ATTACHMENT B:</t>
  </si>
  <si>
    <t>COST AND FINANCIAL FACTORS</t>
  </si>
  <si>
    <t>Cost Factors</t>
  </si>
  <si>
    <t>Fuel price</t>
  </si>
  <si>
    <t>US$ per US gallon</t>
  </si>
  <si>
    <t>https://ycharts.com/indicators/gulf_coast_jet_fuel_spot_price</t>
  </si>
  <si>
    <t>a330</t>
  </si>
  <si>
    <t>Pilot or Co-pilot cost per year (Average in Indonesia)</t>
  </si>
  <si>
    <t>US$ per year per pilot or co-pilot</t>
  </si>
  <si>
    <t>http://www.salaryexplorer.com/salary-survey.php?loc=101&amp;loctype=1&amp;job=80&amp;jobtype=3</t>
  </si>
  <si>
    <t>per block hour per person</t>
  </si>
  <si>
    <t>737-800BCF</t>
  </si>
  <si>
    <t>Other cost (US$ per Trip):</t>
  </si>
  <si>
    <t>FF Cost</t>
  </si>
  <si>
    <t>rp per kg</t>
  </si>
  <si>
    <t>MASIH SAMA KAYAK TU</t>
  </si>
  <si>
    <t>$/Ton H</t>
  </si>
  <si>
    <t>Navigation Charges</t>
  </si>
  <si>
    <t>US$ per (Block hour * SQRT(MTOW))</t>
  </si>
  <si>
    <t>RANK</t>
  </si>
  <si>
    <t>table yang isi nya per palette juga dilakuin</t>
  </si>
  <si>
    <t>Ground Handling Cost</t>
  </si>
  <si>
    <t>US$ per kg based on russian data calibrated based on ratio in landing fee</t>
  </si>
  <si>
    <t>$/Ton</t>
  </si>
  <si>
    <t>S/km H</t>
  </si>
  <si>
    <t>taro di separate sheet</t>
  </si>
  <si>
    <t>- Airplane</t>
  </si>
  <si>
    <t>US$ per metric ton MTOW</t>
  </si>
  <si>
    <t>Fare/km</t>
  </si>
  <si>
    <t>Selisih per trip</t>
  </si>
  <si>
    <t>$ per lton</t>
  </si>
  <si>
    <t>Selisih per BH</t>
  </si>
  <si>
    <t>$ per ton</t>
  </si>
  <si>
    <t>Maintenance Index for 5 year old</t>
  </si>
  <si>
    <t>persen terhadap 737-800 (%) per trip</t>
  </si>
  <si>
    <t>persen terhadap 737-800 (%) pper BH</t>
  </si>
  <si>
    <t>Reservation &amp; sales</t>
  </si>
  <si>
    <t>US$ per passenger</t>
  </si>
  <si>
    <t>Sales commissions</t>
  </si>
  <si>
    <t>Advertising &amp; publicity</t>
  </si>
  <si>
    <t>US$ per revenue passenger miles</t>
  </si>
  <si>
    <t>S/km</t>
  </si>
  <si>
    <t>Insurance Cost (1 year) (A321F)</t>
  </si>
  <si>
    <t>Lease Cost</t>
  </si>
  <si>
    <t>General &amp; Administration - airplane related (annual)</t>
  </si>
  <si>
    <t>US $ per nautical miles + 980 US$ per metric ton MTOW</t>
  </si>
  <si>
    <t>Station costs</t>
  </si>
  <si>
    <t>US $ per revenue passenger miles</t>
  </si>
  <si>
    <t>Warehouse lease per year (CGK)</t>
  </si>
  <si>
    <t>Annual utilization (block hour)</t>
  </si>
  <si>
    <t>Spares</t>
  </si>
  <si>
    <t>of the Aircraft Price</t>
  </si>
  <si>
    <t>Depreciation narrow body (years)</t>
  </si>
  <si>
    <t>Financial (loan) period</t>
  </si>
  <si>
    <t>years</t>
  </si>
  <si>
    <t>Airframe insurance</t>
  </si>
  <si>
    <t>of the Aircraft Price per year</t>
  </si>
  <si>
    <t>Inflation rate</t>
  </si>
  <si>
    <t>per year</t>
  </si>
  <si>
    <t>Airframe Investment Rate</t>
  </si>
  <si>
    <t>Bare engine investment rate</t>
  </si>
  <si>
    <t>Route Revenue</t>
  </si>
  <si>
    <t>Residual Value</t>
  </si>
  <si>
    <t>Depreciation wide body (years)</t>
  </si>
  <si>
    <t xml:space="preserve">         Cost Contribution 1</t>
  </si>
  <si>
    <t>lease rate</t>
  </si>
  <si>
    <t>assume 1.2%</t>
  </si>
  <si>
    <t>Direct traffic cost</t>
  </si>
  <si>
    <t>Lease period</t>
  </si>
  <si>
    <t>Direct flight cost</t>
  </si>
  <si>
    <t>debt ratio i</t>
  </si>
  <si>
    <t>Contribution Margin 1</t>
  </si>
  <si>
    <t>crew stay cost ($) / year</t>
  </si>
  <si>
    <t>Station costs $/ kg</t>
  </si>
  <si>
    <t xml:space="preserve">         Cost Contribution 2</t>
  </si>
  <si>
    <t>Indirect Cost</t>
  </si>
  <si>
    <t>Contribution Margin 2</t>
  </si>
  <si>
    <t xml:space="preserve">         Cost Contribution 3</t>
  </si>
  <si>
    <t>Fleet costs</t>
  </si>
  <si>
    <t>Contribution Margin 3</t>
  </si>
  <si>
    <t xml:space="preserve">         Contribution Margin 3 + Overhead cost</t>
  </si>
  <si>
    <t>Route Result</t>
  </si>
  <si>
    <t>Rotation Result</t>
  </si>
  <si>
    <t>Ownership Cost</t>
  </si>
  <si>
    <t>Direct Cost</t>
  </si>
  <si>
    <t>ROUTES</t>
  </si>
  <si>
    <t>BOEING 737-800BCF</t>
  </si>
  <si>
    <t>AIRBUS A321 P2F</t>
  </si>
  <si>
    <t>SELISIH</t>
  </si>
  <si>
    <t>average demand per route</t>
  </si>
  <si>
    <t>average station cost per route</t>
  </si>
  <si>
    <t xml:space="preserve">                    Flight Crew Cost (increase by 1.5% per year)</t>
  </si>
  <si>
    <t xml:space="preserve">                    Fuel Cost (increase by 1% per year) </t>
  </si>
  <si>
    <t xml:space="preserve">                    Maintenance Cost</t>
  </si>
  <si>
    <t>Other Operating Cost (increase by 1.5% per year)</t>
  </si>
  <si>
    <t>Depreciation Cost</t>
  </si>
  <si>
    <t>Indirect Cost (increase 1.5% per year)</t>
  </si>
  <si>
    <t>Fleet Cost</t>
  </si>
  <si>
    <t>SUMMARY</t>
  </si>
  <si>
    <t>AVERAGE IN 10 YEARS</t>
  </si>
  <si>
    <t xml:space="preserve">Aglis Total Tonnage, limitor FF </t>
  </si>
  <si>
    <t>usd to idr</t>
  </si>
  <si>
    <t>ratio earned by airlines</t>
  </si>
  <si>
    <t>Airbus A321 P2F no of aircraft</t>
  </si>
  <si>
    <t>B767</t>
  </si>
  <si>
    <t>Price per Kilogram</t>
  </si>
  <si>
    <t>KALO NO OF AIRCRAFT BERUBAH TINGGAL DIGANTI ASAL FORMATNYA SAMA</t>
  </si>
  <si>
    <t>COST / TRIP</t>
  </si>
  <si>
    <t>Aglis's Price</t>
  </si>
  <si>
    <t>Lion Air</t>
  </si>
  <si>
    <t>aglis rupiah</t>
  </si>
  <si>
    <t>CGK-TTE</t>
  </si>
  <si>
    <t>PKU-CGK</t>
  </si>
  <si>
    <t xml:space="preserve">Percentage yang airline dapat </t>
  </si>
  <si>
    <t>year</t>
  </si>
  <si>
    <t>freq/year rotation1</t>
  </si>
  <si>
    <t>freq/year rotation2</t>
  </si>
  <si>
    <t>freq/year rotation3</t>
  </si>
  <si>
    <t>freq/year rotation4</t>
  </si>
  <si>
    <t>QUARTAL REVENUE</t>
  </si>
  <si>
    <t>TOTAL COST</t>
  </si>
  <si>
    <t>PROFIT</t>
  </si>
  <si>
    <t>ditambahin lease deposit</t>
  </si>
  <si>
    <t>REVENUE AIRBUS A321 P2F</t>
  </si>
  <si>
    <t>Total Revenue per year</t>
  </si>
  <si>
    <t>Aglis Total Cost Based on No of Aircraft (Airbus A321P2F)</t>
  </si>
  <si>
    <t>Total Cost per year</t>
  </si>
  <si>
    <t>Total Profit per year</t>
  </si>
  <si>
    <t>Assume Target Revenue = 110% * Average Cost</t>
  </si>
  <si>
    <t>Aglis Profit Airbus A321P2F</t>
  </si>
  <si>
    <t xml:space="preserve">Revenue Cargo Space (Max Payload - Pallet Weight ) </t>
  </si>
  <si>
    <t>AVERAGE PROFIT/ YEAR (2022)</t>
  </si>
  <si>
    <t>AVERAGE PROFIT/ YEAR (2023)</t>
  </si>
  <si>
    <t>AVERAGE PROFIT/ YEAR (2024)</t>
  </si>
  <si>
    <t>AVERAGE PROFIT/ YEAR (2025)</t>
  </si>
  <si>
    <t>AVERAGE PROFIT/ YEAR (2026)</t>
  </si>
  <si>
    <t>SUM 5YEAR</t>
  </si>
  <si>
    <t>TOTAL 5 YEAR</t>
  </si>
  <si>
    <t>Payload (Tons)</t>
  </si>
  <si>
    <t>Target Revenue / year (2022)</t>
  </si>
  <si>
    <t>Target Revenue / year (2023)</t>
  </si>
  <si>
    <t>Target Revenue / year (2024)</t>
  </si>
  <si>
    <t>Target Revenue / year (2025)</t>
  </si>
  <si>
    <t>Target Revenue / year (2026)</t>
  </si>
  <si>
    <t>Aibus A321 P2F</t>
  </si>
  <si>
    <t>Boeing 737-8 BCF</t>
  </si>
  <si>
    <t>B737-800</t>
  </si>
  <si>
    <t>Airbus A330</t>
  </si>
  <si>
    <t>PER YEAR</t>
  </si>
  <si>
    <t>/ ROTATION PER YEAR</t>
  </si>
  <si>
    <t>QUARTAL</t>
  </si>
  <si>
    <t>TOTAL REVENUE / QUARTER</t>
  </si>
  <si>
    <t>TOTAL COST / QUARTER</t>
  </si>
  <si>
    <t>Cost / rotation</t>
  </si>
  <si>
    <t>per tahun</t>
  </si>
  <si>
    <t>Marketing cost/tahun/OD</t>
  </si>
  <si>
    <t>NPM</t>
  </si>
  <si>
    <t>Rotation 1</t>
  </si>
  <si>
    <t>ROI</t>
  </si>
  <si>
    <t>10  year sum</t>
  </si>
  <si>
    <t>quarter</t>
  </si>
  <si>
    <t>PROFIT / ROTATION</t>
  </si>
  <si>
    <t>5 YEAR PROFIT</t>
  </si>
  <si>
    <t>TOTAL PROFIT / QUARTER</t>
  </si>
  <si>
    <t>B737BCF</t>
  </si>
  <si>
    <t>REVENUE BOEING 737-8 BCF</t>
  </si>
  <si>
    <t>Aglis Total Cost Based on No of Aircraft (B737-8 BCF)</t>
  </si>
  <si>
    <t>Total Daily Profit per year</t>
  </si>
  <si>
    <t>Aglis Profit Airbus B737BCF</t>
  </si>
  <si>
    <t xml:space="preserve"> Revenue / year (2022)</t>
  </si>
  <si>
    <t>Revenue / year (2023)</t>
  </si>
  <si>
    <t>Revenue / year (2024)</t>
  </si>
  <si>
    <t xml:space="preserve"> Revenue / year (2025)</t>
  </si>
  <si>
    <t>Revenue / year (2026)</t>
  </si>
  <si>
    <t>Rotation 2</t>
  </si>
  <si>
    <t>NPV</t>
  </si>
  <si>
    <t>Rotation 3</t>
  </si>
  <si>
    <t>5 years profit</t>
  </si>
  <si>
    <t>REVENUE A330</t>
  </si>
  <si>
    <t>Aglis Total Cost Based on No of Aircraft (A330</t>
  </si>
  <si>
    <t>Aglis Profit Airbus A330</t>
  </si>
  <si>
    <t>S</t>
  </si>
  <si>
    <t>AVG demand</t>
  </si>
  <si>
    <t>REVENUE B767</t>
  </si>
  <si>
    <t>Aglis Total Cost Based on No of Aircraft B767</t>
  </si>
  <si>
    <t>Aglis Profit B767</t>
  </si>
  <si>
    <t>Revenie</t>
  </si>
  <si>
    <t>Operating Cost</t>
  </si>
  <si>
    <t>Profit</t>
  </si>
  <si>
    <t>BEDA DENGAN CASHFLOW KARNA GA INCLUDE INCREASING PER YEAR DAN LEASE DEPOSIT AND REPAINTING</t>
  </si>
  <si>
    <t>(Revenue - Total Cost) per Rotation (2023)</t>
  </si>
  <si>
    <t>Boeing B737-800 BCF</t>
  </si>
  <si>
    <t>Boeing B767-300F</t>
  </si>
  <si>
    <t>PER ROTATION</t>
  </si>
  <si>
    <t>ALL ROTATION PER YEAR</t>
  </si>
  <si>
    <t>(Revenue - Total Cost) per Rotation (2024)</t>
  </si>
  <si>
    <t>PROFIT PER YEAR</t>
  </si>
  <si>
    <t>10 YEAR TOTAL</t>
  </si>
  <si>
    <t>(Revenue - Total Cost) per Rotation (2025)</t>
  </si>
  <si>
    <t>(Revenue - Total Cost) per Rotation (2026)</t>
  </si>
  <si>
    <t>(Revenue - Total Cost) per Rotation (2027)</t>
  </si>
  <si>
    <t>(Revenue - Total Cost) per Rotation (2028)</t>
  </si>
  <si>
    <t>(Revenue - Total Cost) per Rotation (2029)</t>
  </si>
  <si>
    <t>(Revenue - Total Cost) per Rotation (2030)</t>
  </si>
  <si>
    <t>(Revenue - Total Cost) per Rotation (2031)</t>
  </si>
  <si>
    <t>(Revenue - Total Cost) per Rotation (2032)</t>
  </si>
  <si>
    <t>Umur =3 tahun di 2022</t>
  </si>
  <si>
    <t>Current Values Airbus A321 P2F</t>
  </si>
  <si>
    <t>Year</t>
  </si>
  <si>
    <t xml:space="preserve">Number of flight per year </t>
  </si>
  <si>
    <t>Current Values</t>
  </si>
  <si>
    <t>Present Values</t>
  </si>
  <si>
    <t>No of aircraft</t>
  </si>
  <si>
    <t>5 year</t>
  </si>
  <si>
    <t>No of flight crew (Include backup)</t>
  </si>
  <si>
    <t xml:space="preserve">Inclue backup crew tiapp rotasi 1 </t>
  </si>
  <si>
    <t>10 year</t>
  </si>
  <si>
    <t>CASH OUT</t>
  </si>
  <si>
    <t>Lease Deposit (25% lease cost)</t>
  </si>
  <si>
    <t xml:space="preserve">Repaint Cost </t>
  </si>
  <si>
    <t xml:space="preserve">                    Lease Cost</t>
  </si>
  <si>
    <t>Current Values ($)</t>
  </si>
  <si>
    <t xml:space="preserve">                    Insurance (decrease by 7% per year)</t>
  </si>
  <si>
    <t>Present Values ($)</t>
  </si>
  <si>
    <t>Operation Cost</t>
  </si>
  <si>
    <t>ROI Current Values (%)</t>
  </si>
  <si>
    <t>ROI Present Values (%)</t>
  </si>
  <si>
    <t>Tax (1.8% Revenue)</t>
  </si>
  <si>
    <t>Total Cash Flow Out</t>
  </si>
  <si>
    <t xml:space="preserve">CASH IN </t>
  </si>
  <si>
    <t>Net Revenue</t>
  </si>
  <si>
    <t xml:space="preserve">Lease Deposit Return (Every 10 years) </t>
  </si>
  <si>
    <t>Total Cash Flow In</t>
  </si>
  <si>
    <t>Total Cash Flow</t>
  </si>
  <si>
    <t>Total Cash Flow in 5 years</t>
  </si>
  <si>
    <t>Total Cash Flow in 10 Years</t>
  </si>
  <si>
    <t>Disc rate</t>
  </si>
  <si>
    <t>NPV @10 years</t>
  </si>
  <si>
    <t>Cost (Million)</t>
  </si>
  <si>
    <t>Revenue (Million)</t>
  </si>
  <si>
    <t>IRR</t>
  </si>
  <si>
    <t>Discount Rate</t>
  </si>
  <si>
    <t>Present Values Airbus A321 P2F</t>
  </si>
  <si>
    <t>Number of flight per year</t>
  </si>
  <si>
    <t>No of flight crew</t>
  </si>
  <si>
    <t xml:space="preserve">Revenue </t>
  </si>
  <si>
    <t xml:space="preserve">* Assume umur pesawat ketika pertama kali disewa selalu 3 tahun. </t>
  </si>
  <si>
    <t>first &amp; second aircraft</t>
  </si>
  <si>
    <t>third aircraft</t>
  </si>
  <si>
    <t>fourth</t>
  </si>
  <si>
    <t>total maintenance cost per year</t>
  </si>
  <si>
    <t>Route Profitability on First Year</t>
  </si>
  <si>
    <t>Rotation 4</t>
  </si>
  <si>
    <t>$</t>
  </si>
  <si>
    <t>%</t>
  </si>
  <si>
    <t>Net Revenues</t>
  </si>
  <si>
    <t>Total Direct Cost</t>
  </si>
  <si>
    <t>CM 1</t>
  </si>
  <si>
    <t>Total Indirect Cost</t>
  </si>
  <si>
    <t>CM 2</t>
  </si>
  <si>
    <t>Total Fleet Cost</t>
  </si>
  <si>
    <t>CM 3</t>
  </si>
  <si>
    <t>365-opportunity lost from maintenance</t>
  </si>
  <si>
    <t>Total Blocktime Hour</t>
  </si>
  <si>
    <t>no of flight* rotation BH</t>
  </si>
  <si>
    <t>ATK</t>
  </si>
  <si>
    <t>No of flight * Total tonage of 1 aircraft * Total rotation Km</t>
  </si>
  <si>
    <t>Average Daily utilization</t>
  </si>
  <si>
    <t>Rotation BH</t>
  </si>
  <si>
    <t>Revenue/ATK</t>
  </si>
  <si>
    <t>Direct cost/BH</t>
  </si>
  <si>
    <t>Indirect Cost/BH</t>
  </si>
  <si>
    <t>Fleet cost /BH</t>
  </si>
  <si>
    <t>Total cost/BH</t>
  </si>
  <si>
    <t>Rotation 1 Profitabilitty</t>
  </si>
  <si>
    <t>CM1</t>
  </si>
  <si>
    <t>CM2</t>
  </si>
  <si>
    <t>CM3</t>
  </si>
  <si>
    <t>Crew Accomodation Cost</t>
  </si>
  <si>
    <t>Total Annual Blocktime Hour</t>
  </si>
  <si>
    <t>Rotation 2 Profitabilitty</t>
  </si>
  <si>
    <t xml:space="preserve"> Annual Blocktime Hour</t>
  </si>
  <si>
    <t xml:space="preserve"> Daily utilization</t>
  </si>
  <si>
    <t>Rotation 3 Profitabilitty</t>
  </si>
  <si>
    <t>Rotation 4 Profitabilitty</t>
  </si>
  <si>
    <t>Maintenance List</t>
  </si>
  <si>
    <t>Limitor</t>
  </si>
  <si>
    <t>Maintenance Period</t>
  </si>
  <si>
    <t>perlu berapa bulan untuk 1 kali maintenance</t>
  </si>
  <si>
    <t>berapa tahun sekali</t>
  </si>
  <si>
    <t>A Check</t>
  </si>
  <si>
    <t>FH</t>
  </si>
  <si>
    <t>day</t>
  </si>
  <si>
    <t>Daily utilization</t>
  </si>
  <si>
    <t>A check</t>
  </si>
  <si>
    <t>B check</t>
  </si>
  <si>
    <t>C check period</t>
  </si>
  <si>
    <t>D check period</t>
  </si>
  <si>
    <t>D check every (years_</t>
  </si>
  <si>
    <t>B Check</t>
  </si>
  <si>
    <t>C check</t>
  </si>
  <si>
    <t>D check</t>
  </si>
  <si>
    <t>Number of Maintenance /Year</t>
  </si>
  <si>
    <t>Number of opportunity Lost / Year</t>
  </si>
  <si>
    <t xml:space="preserve">C check </t>
  </si>
  <si>
    <t xml:space="preserve">D check </t>
  </si>
  <si>
    <t xml:space="preserve"> Opportunity lost because of AB (day)</t>
  </si>
  <si>
    <t>net frequency / year</t>
  </si>
  <si>
    <t>tahun ke</t>
  </si>
  <si>
    <t xml:space="preserve">bulan ke </t>
  </si>
  <si>
    <t>hari ke</t>
  </si>
  <si>
    <t>Jan</t>
  </si>
  <si>
    <t>Feb</t>
  </si>
  <si>
    <t>Mar</t>
  </si>
  <si>
    <t>Apr</t>
  </si>
  <si>
    <t>May</t>
  </si>
  <si>
    <t>Jun</t>
  </si>
  <si>
    <t>Jul</t>
  </si>
  <si>
    <t>Aug</t>
  </si>
  <si>
    <t>Sep</t>
  </si>
  <si>
    <t>Oct</t>
  </si>
  <si>
    <t>Nov</t>
  </si>
  <si>
    <t>Dec</t>
  </si>
  <si>
    <t>Opp Los due C &amp; D (Rotation 1)</t>
  </si>
  <si>
    <t>Opp Los due C &amp; D (Rotation 2)</t>
  </si>
  <si>
    <t>Opp Los due C &amp; D (Rotation 3)</t>
  </si>
  <si>
    <t>Opp Los due C &amp; D (Rotation 4)</t>
  </si>
  <si>
    <t>Opp Loss due to A &amp; B check (Rotation 1)</t>
  </si>
  <si>
    <t>Opp Loss due to A &amp; B check (Rotation 2)</t>
  </si>
  <si>
    <t>Opp Loss due to A &amp; B check (Rotation 3)</t>
  </si>
  <si>
    <t>Opp Loss due to A &amp; B check (Rotation 4)</t>
  </si>
  <si>
    <t>Freq per year (Rotation 1)</t>
  </si>
  <si>
    <t>Freq per year (Rotation 2)</t>
  </si>
  <si>
    <t>Freq per year (Rotation 3)</t>
  </si>
  <si>
    <t>Freq per year (Rotation 4)</t>
  </si>
  <si>
    <t>Op Loss For all Rotatiom</t>
  </si>
  <si>
    <t>Total Frequency per year</t>
  </si>
  <si>
    <t>opportunity loss (days)</t>
  </si>
  <si>
    <t>rotation1</t>
  </si>
  <si>
    <t>rotation2</t>
  </si>
  <si>
    <t>rotation3</t>
  </si>
  <si>
    <t>rotation4</t>
  </si>
  <si>
    <t>A&amp;B check</t>
  </si>
  <si>
    <t>C check start</t>
  </si>
  <si>
    <t>Route 1</t>
  </si>
  <si>
    <t>C check end</t>
  </si>
  <si>
    <t>Route 2</t>
  </si>
  <si>
    <t>D check start</t>
  </si>
  <si>
    <t>Route 3</t>
  </si>
  <si>
    <t>D check end</t>
  </si>
  <si>
    <t>Route 4</t>
  </si>
  <si>
    <t>C&amp;D Check</t>
  </si>
  <si>
    <t>rotasi</t>
  </si>
  <si>
    <t xml:space="preserve">butuh waktu </t>
  </si>
  <si>
    <t>21 hari</t>
  </si>
  <si>
    <t>Total (days)</t>
  </si>
  <si>
    <t>3 hari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</si>
</sst>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164" formatCode="&quot;$&quot;#,##0.00"/>
    <numFmt numFmtId="165" formatCode="#,##0.000"/>
    <numFmt numFmtId="166" formatCode="0.000"/>
    <numFmt numFmtId="167" formatCode="#,##0.0000"/>
    <numFmt numFmtId="168" formatCode="&quot;$&quot;#,##0"/>
    <numFmt numFmtId="169" formatCode="&quot;$&quot;#,##0.0"/>
    <numFmt numFmtId="170" formatCode="&quot;$&quot;#,##0.000"/>
    <numFmt numFmtId="171" formatCode="mmm\-yyyy"/>
    <numFmt numFmtId="172" formatCode="#,##0&quot;$&quot;"/>
    <numFmt numFmtId="173" formatCode="#,##0.00&quot;$&quot;"/>
    <numFmt numFmtId="174" formatCode="_([$$-409]* #,##0.00_);_([$$-409]* \(#,##0.00\);_([$$-409]* &quot;-&quot;??_);_(@_)"/>
    <numFmt numFmtId="175" formatCode="0.0%"/>
    <numFmt numFmtId="176" formatCode="_(&quot;$&quot;* #,##0_);_(&quot;$&quot;* \(#,##0\);_(&quot;$&quot;* &quot;-&quot;??_);_(@_)"/>
    <numFmt numFmtId="177" formatCode="#,##0.0"/>
    <numFmt numFmtId="178" formatCode="&quot;$&quot;#,##0.000_);\(&quot;$&quot;#,##0.000\)"/>
    <numFmt numFmtId="179" formatCode="0.0"/>
  </numFmts>
  <fonts count="59">
    <font>
      <sz val="11"/>
      <color theme="1"/>
      <name val="Calibri"/>
      <family val="2"/>
      <scheme val="minor"/>
    </font>
    <font>
      <sz val="10"/>
      <color theme="1"/>
      <name val="Arial"/>
      <family val="2"/>
    </font>
    <font>
      <sz val="10"/>
      <color theme="1"/>
      <name val="Tahoma"/>
      <family val="2"/>
    </font>
    <font>
      <i/>
      <sz val="10"/>
      <color theme="1"/>
      <name val="Tahoma"/>
      <family val="2"/>
    </font>
    <font>
      <b/>
      <i/>
      <sz val="10"/>
      <color theme="1"/>
      <name val="Tahoma"/>
      <family val="2"/>
    </font>
    <font>
      <sz val="11"/>
      <color rgb="FF000000"/>
      <name val="Calibri"/>
      <family val="2"/>
      <scheme val="minor"/>
    </font>
    <font>
      <u/>
      <sz val="11"/>
      <color theme="10"/>
      <name val="Calibri"/>
      <family val="2"/>
      <scheme val="minor"/>
    </font>
    <font>
      <sz val="10"/>
      <color rgb="FF000000"/>
      <name val="Tahoma"/>
      <family val="2"/>
    </font>
    <font>
      <sz val="8"/>
      <name val="Calibri"/>
      <family val="2"/>
      <scheme val="minor"/>
    </font>
    <font>
      <b/>
      <sz val="10"/>
      <color theme="1"/>
      <name val="Tahoma"/>
      <family val="2"/>
    </font>
    <font>
      <sz val="10"/>
      <name val="Tahoma"/>
      <family val="2"/>
    </font>
    <font>
      <u/>
      <sz val="10"/>
      <color theme="10"/>
      <name val="Tahoma"/>
      <family val="2"/>
    </font>
    <font>
      <sz val="10"/>
      <color rgb="FF3C3B3F"/>
      <name val="Tahoma"/>
      <family val="2"/>
    </font>
    <font>
      <b/>
      <sz val="11"/>
      <color rgb="FF000000"/>
      <name val="Calibri"/>
      <family val="2"/>
      <scheme val="minor"/>
    </font>
    <font>
      <b/>
      <sz val="10"/>
      <color rgb="FF000000"/>
      <name val="Arial"/>
      <family val="2"/>
    </font>
    <font>
      <sz val="10"/>
      <color rgb="FF000000"/>
      <name val="Arial"/>
      <family val="2"/>
    </font>
    <font>
      <sz val="10"/>
      <color rgb="FF000000"/>
      <name val="Arial Black"/>
      <family val="2"/>
    </font>
    <font>
      <b/>
      <sz val="11"/>
      <color rgb="FFFF0000"/>
      <name val="Calibri"/>
      <family val="2"/>
      <scheme val="minor"/>
    </font>
    <font>
      <b/>
      <sz val="10"/>
      <color theme="1"/>
      <name val="Arial"/>
      <family val="2"/>
    </font>
    <font>
      <sz val="10"/>
      <name val="Arial"/>
      <family val="2"/>
    </font>
    <font>
      <sz val="11"/>
      <color rgb="FF000000"/>
      <name val="Arial"/>
      <family val="2"/>
    </font>
    <font>
      <u/>
      <sz val="10"/>
      <color rgb="FF0000FF"/>
      <name val="Arial"/>
      <family val="2"/>
    </font>
    <font>
      <sz val="10"/>
      <color rgb="FF000000"/>
      <name val="Roboto"/>
    </font>
    <font>
      <i/>
      <sz val="10"/>
      <color theme="1"/>
      <name val="Arial"/>
      <family val="2"/>
    </font>
    <font>
      <sz val="16"/>
      <color theme="1"/>
      <name val="Calibri"/>
      <family val="2"/>
      <scheme val="minor"/>
    </font>
    <font>
      <sz val="18"/>
      <color theme="1"/>
      <name val="Calibri"/>
      <family val="2"/>
      <scheme val="minor"/>
    </font>
    <font>
      <sz val="10"/>
      <color theme="1"/>
      <name val="Calibri"/>
      <family val="2"/>
      <scheme val="minor"/>
    </font>
    <font>
      <b/>
      <sz val="11"/>
      <color theme="1"/>
      <name val="Calibri"/>
      <family val="2"/>
      <scheme val="minor"/>
    </font>
    <font>
      <sz val="10"/>
      <color theme="1"/>
      <name val="Arial Black"/>
      <family val="2"/>
    </font>
    <font>
      <b/>
      <sz val="9"/>
      <color rgb="FF212529"/>
      <name val="Trebuchet MS"/>
      <family val="2"/>
    </font>
    <font>
      <sz val="11"/>
      <color rgb="FFFF0000"/>
      <name val="Calibri"/>
      <family val="2"/>
      <scheme val="minor"/>
    </font>
    <font>
      <sz val="11"/>
      <color theme="1"/>
      <name val="Calibri"/>
      <family val="2"/>
      <scheme val="minor"/>
    </font>
    <font>
      <sz val="11"/>
      <color rgb="FF444444"/>
      <name val="Calibri"/>
      <family val="2"/>
      <charset val="1"/>
    </font>
    <font>
      <sz val="11"/>
      <color rgb="FF444444"/>
      <name val="Calibri"/>
      <family val="2"/>
    </font>
    <font>
      <sz val="11"/>
      <color rgb="FF0070C0"/>
      <name val="Calibri"/>
      <family val="2"/>
      <scheme val="minor"/>
    </font>
    <font>
      <b/>
      <i/>
      <sz val="9"/>
      <color rgb="FF000000"/>
      <name val="&quot;Liberation Sans Narrow&quot;"/>
    </font>
    <font>
      <sz val="9"/>
      <color rgb="FF000000"/>
      <name val="&quot;Liberation Sans Narrow&quot;"/>
    </font>
    <font>
      <b/>
      <sz val="9"/>
      <color rgb="FF000000"/>
      <name val="&quot;Liberation Sans Narrow&quot;"/>
    </font>
    <font>
      <sz val="17"/>
      <color theme="1"/>
      <name val="Arial"/>
      <family val="2"/>
    </font>
    <font>
      <b/>
      <sz val="10"/>
      <color rgb="FF000000"/>
      <name val="Tahoma"/>
      <family val="2"/>
    </font>
    <font>
      <sz val="10"/>
      <color rgb="FF3C4043"/>
      <name val="Arial"/>
      <family val="2"/>
    </font>
    <font>
      <b/>
      <sz val="10"/>
      <color rgb="FFF0EED6"/>
      <name val="Tahoma"/>
      <family val="2"/>
    </font>
    <font>
      <b/>
      <sz val="14"/>
      <color rgb="FFF0EED6"/>
      <name val="Tahoma"/>
      <family val="2"/>
    </font>
    <font>
      <b/>
      <i/>
      <sz val="10"/>
      <color rgb="FFF0EED6"/>
      <name val="Tahoma"/>
      <family val="2"/>
    </font>
    <font>
      <b/>
      <sz val="11"/>
      <color theme="0"/>
      <name val="Calibri"/>
      <family val="2"/>
      <scheme val="minor"/>
    </font>
    <font>
      <sz val="9"/>
      <color rgb="FF000000"/>
      <name val="Arial"/>
      <family val="2"/>
    </font>
    <font>
      <sz val="10"/>
      <color rgb="FF000000"/>
      <name val="&quot;Liberation Sans Narrow&quot;"/>
    </font>
    <font>
      <sz val="14"/>
      <color rgb="FFFF0000"/>
      <name val="Calibri"/>
      <family val="2"/>
      <scheme val="minor"/>
    </font>
    <font>
      <sz val="11"/>
      <color theme="1"/>
      <name val="Bahnschrift"/>
      <family val="2"/>
    </font>
    <font>
      <sz val="14"/>
      <color theme="1"/>
      <name val="Calibri"/>
      <family val="2"/>
      <scheme val="minor"/>
    </font>
    <font>
      <sz val="12"/>
      <color theme="1"/>
      <name val="Calibri"/>
      <family val="2"/>
      <scheme val="minor"/>
    </font>
    <font>
      <b/>
      <sz val="11"/>
      <color rgb="FF921229"/>
      <name val="Calibri"/>
      <family val="2"/>
      <scheme val="minor"/>
    </font>
    <font>
      <sz val="14"/>
      <color theme="1"/>
      <name val="Bahnschrift"/>
      <family val="2"/>
    </font>
    <font>
      <sz val="8"/>
      <color rgb="FF454545"/>
      <name val="Calibri Light"/>
      <family val="2"/>
      <scheme val="major"/>
    </font>
    <font>
      <b/>
      <i/>
      <sz val="11"/>
      <color rgb="FF000000"/>
      <name val="Arial"/>
      <family val="2"/>
    </font>
    <font>
      <b/>
      <sz val="11"/>
      <color rgb="FF000000"/>
      <name val="Arial"/>
      <family val="2"/>
    </font>
    <font>
      <sz val="10"/>
      <color rgb="FFFF0000"/>
      <name val="Arial"/>
      <family val="2"/>
    </font>
    <font>
      <sz val="11"/>
      <name val="Calibri"/>
      <family val="2"/>
      <scheme val="minor"/>
    </font>
    <font>
      <b/>
      <sz val="14"/>
      <color rgb="FFFF0000"/>
      <name val="Tahoma"/>
      <family val="2"/>
    </font>
  </fonts>
  <fills count="57">
    <fill>
      <patternFill patternType="none"/>
    </fill>
    <fill>
      <patternFill patternType="gray125"/>
    </fill>
    <fill>
      <patternFill patternType="solid">
        <fgColor rgb="FFFFFF00"/>
        <bgColor indexed="64"/>
      </patternFill>
    </fill>
    <fill>
      <patternFill patternType="solid">
        <fgColor rgb="FFFFFFFF"/>
        <bgColor rgb="FFFFFFFF"/>
      </patternFill>
    </fill>
    <fill>
      <patternFill patternType="solid">
        <fgColor rgb="FFEAD1DC"/>
        <bgColor rgb="FFEAD1DC"/>
      </patternFill>
    </fill>
    <fill>
      <patternFill patternType="solid">
        <fgColor rgb="FFF4CCCC"/>
        <bgColor rgb="FFF4CCCC"/>
      </patternFill>
    </fill>
    <fill>
      <patternFill patternType="solid">
        <fgColor theme="7"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rgb="FFFFF2CC"/>
        <bgColor rgb="FF000000"/>
      </patternFill>
    </fill>
    <fill>
      <patternFill patternType="solid">
        <fgColor rgb="FFDDEBF7"/>
        <bgColor rgb="FF000000"/>
      </patternFill>
    </fill>
    <fill>
      <patternFill patternType="solid">
        <fgColor rgb="FFE2EFDA"/>
        <bgColor rgb="FF000000"/>
      </patternFill>
    </fill>
    <fill>
      <patternFill patternType="solid">
        <fgColor rgb="FFEFEFEF"/>
        <bgColor rgb="FFEFEFEF"/>
      </patternFill>
    </fill>
    <fill>
      <patternFill patternType="solid">
        <fgColor rgb="FFD9EAD3"/>
        <bgColor rgb="FFD9EAD3"/>
      </patternFill>
    </fill>
    <fill>
      <patternFill patternType="solid">
        <fgColor theme="7" tint="0.79998168889431442"/>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1"/>
        <bgColor indexed="64"/>
      </patternFill>
    </fill>
    <fill>
      <patternFill patternType="solid">
        <fgColor rgb="FFFFF2CC"/>
        <bgColor rgb="FFFFF2CC"/>
      </patternFill>
    </fill>
    <fill>
      <patternFill patternType="solid">
        <fgColor rgb="FFC9DAF8"/>
        <bgColor rgb="FFC9DAF8"/>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FF00"/>
        <bgColor rgb="FFEFEFEF"/>
      </patternFill>
    </fill>
    <fill>
      <patternFill patternType="solid">
        <fgColor rgb="FFFFFF00"/>
        <bgColor rgb="FFD9EAD3"/>
      </patternFill>
    </fill>
    <fill>
      <patternFill patternType="solid">
        <fgColor rgb="FFFF00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6" tint="0.59999389629810485"/>
        <bgColor indexed="64"/>
      </patternFill>
    </fill>
    <fill>
      <patternFill patternType="solid">
        <fgColor rgb="FFFFC000"/>
        <bgColor indexed="64"/>
      </patternFill>
    </fill>
    <fill>
      <patternFill patternType="solid">
        <fgColor rgb="FFDDEBF7"/>
        <bgColor indexed="64"/>
      </patternFill>
    </fill>
    <fill>
      <patternFill patternType="solid">
        <fgColor rgb="FFE2EFDA"/>
        <bgColor indexed="64"/>
      </patternFill>
    </fill>
    <fill>
      <patternFill patternType="solid">
        <fgColor rgb="FF000000"/>
        <bgColor indexed="64"/>
      </patternFill>
    </fill>
    <fill>
      <patternFill patternType="solid">
        <fgColor theme="0" tint="-0.14999847407452621"/>
        <bgColor indexed="64"/>
      </patternFill>
    </fill>
    <fill>
      <patternFill patternType="solid">
        <fgColor theme="0"/>
        <bgColor indexed="64"/>
      </patternFill>
    </fill>
    <fill>
      <patternFill patternType="solid">
        <fgColor rgb="FFB6D7A8"/>
        <bgColor rgb="FFB6D7A8"/>
      </patternFill>
    </fill>
    <fill>
      <patternFill patternType="solid">
        <fgColor rgb="FFA4C2F4"/>
        <bgColor rgb="FFA4C2F4"/>
      </patternFill>
    </fill>
    <fill>
      <patternFill patternType="solid">
        <fgColor rgb="FFD5A6BD"/>
        <bgColor rgb="FFD5A6BD"/>
      </patternFill>
    </fill>
    <fill>
      <patternFill patternType="solid">
        <fgColor rgb="FF00FFFF"/>
        <bgColor rgb="FF00FFFF"/>
      </patternFill>
    </fill>
    <fill>
      <patternFill patternType="solid">
        <fgColor rgb="FF132E57"/>
        <bgColor indexed="64"/>
      </patternFill>
    </fill>
    <fill>
      <patternFill patternType="solid">
        <fgColor rgb="FF921229"/>
        <bgColor indexed="64"/>
      </patternFill>
    </fill>
    <fill>
      <patternFill patternType="solid">
        <fgColor rgb="FFF0EED6"/>
        <bgColor indexed="64"/>
      </patternFill>
    </fill>
    <fill>
      <patternFill patternType="solid">
        <fgColor rgb="FF002060"/>
        <bgColor indexed="64"/>
      </patternFill>
    </fill>
    <fill>
      <patternFill patternType="solid">
        <fgColor rgb="FFFFFFFF"/>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rgb="FFA9D08E"/>
        <bgColor indexed="64"/>
      </patternFill>
    </fill>
    <fill>
      <patternFill patternType="solid">
        <fgColor theme="1"/>
        <bgColor rgb="FF000000"/>
      </patternFill>
    </fill>
    <fill>
      <patternFill patternType="solid">
        <fgColor theme="7" tint="-0.249977111117893"/>
        <bgColor indexed="64"/>
      </patternFill>
    </fill>
    <fill>
      <patternFill patternType="solid">
        <fgColor theme="5"/>
        <bgColor indexed="64"/>
      </patternFill>
    </fill>
  </fills>
  <borders count="188">
    <border>
      <left/>
      <right/>
      <top/>
      <bottom/>
      <diagonal/>
    </border>
    <border>
      <left style="thin">
        <color rgb="FF000000"/>
      </left>
      <right style="thick">
        <color rgb="FF000000"/>
      </right>
      <top style="thin">
        <color rgb="FF000000"/>
      </top>
      <bottom style="thin">
        <color rgb="FF000000"/>
      </bottom>
      <diagonal/>
    </border>
    <border>
      <left style="thin">
        <color rgb="FF000000"/>
      </left>
      <right style="thick">
        <color rgb="FF000000"/>
      </right>
      <top style="thin">
        <color rgb="FF000000"/>
      </top>
      <bottom style="thick">
        <color rgb="FF000000"/>
      </bottom>
      <diagonal/>
    </border>
    <border>
      <left style="thick">
        <color rgb="FF000000"/>
      </left>
      <right style="thin">
        <color rgb="FF000000"/>
      </right>
      <top/>
      <bottom style="thin">
        <color rgb="FF000000"/>
      </bottom>
      <diagonal/>
    </border>
    <border>
      <left/>
      <right style="thin">
        <color rgb="FF000000"/>
      </right>
      <top/>
      <bottom style="thin">
        <color rgb="FF000000"/>
      </bottom>
      <diagonal/>
    </border>
    <border>
      <left/>
      <right style="thick">
        <color rgb="FF000000"/>
      </right>
      <top/>
      <bottom style="thin">
        <color rgb="FF000000"/>
      </bottom>
      <diagonal/>
    </border>
    <border>
      <left style="thick">
        <color rgb="FF000000"/>
      </left>
      <right style="thin">
        <color rgb="FF000000"/>
      </right>
      <top/>
      <bottom style="thick">
        <color rgb="FF000000"/>
      </bottom>
      <diagonal/>
    </border>
    <border>
      <left/>
      <right style="thick">
        <color rgb="FF000000"/>
      </right>
      <top/>
      <bottom style="thick">
        <color rgb="FF000000"/>
      </bottom>
      <diagonal/>
    </border>
    <border>
      <left style="thin">
        <color rgb="FF000000"/>
      </left>
      <right style="thin">
        <color rgb="FF000000"/>
      </right>
      <top/>
      <bottom style="thin">
        <color rgb="FF000000"/>
      </bottom>
      <diagonal/>
    </border>
    <border>
      <left style="thick">
        <color rgb="FF000000"/>
      </left>
      <right style="thin">
        <color rgb="FF000000"/>
      </right>
      <top style="thin">
        <color rgb="FF000000"/>
      </top>
      <bottom style="thick">
        <color rgb="FF000000"/>
      </bottom>
      <diagonal/>
    </border>
    <border>
      <left/>
      <right/>
      <top/>
      <bottom style="thin">
        <color rgb="FF000000"/>
      </bottom>
      <diagonal/>
    </border>
    <border>
      <left style="thick">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ck">
        <color rgb="FF000000"/>
      </right>
      <top style="thin">
        <color rgb="FF000000"/>
      </top>
      <bottom style="thin">
        <color rgb="FF000000"/>
      </bottom>
      <diagonal/>
    </border>
    <border>
      <left/>
      <right style="thick">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ck">
        <color rgb="FF000000"/>
      </top>
      <bottom style="thin">
        <color rgb="FF000000"/>
      </bottom>
      <diagonal/>
    </border>
    <border>
      <left style="thin">
        <color rgb="FF000000"/>
      </left>
      <right style="thick">
        <color rgb="FF000000"/>
      </right>
      <top style="thick">
        <color rgb="FF000000"/>
      </top>
      <bottom style="thin">
        <color rgb="FF000000"/>
      </bottom>
      <diagonal/>
    </border>
    <border>
      <left style="thick">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medium">
        <color rgb="FF000000"/>
      </bottom>
      <diagonal/>
    </border>
    <border>
      <left style="medium">
        <color rgb="FF000000"/>
      </left>
      <right/>
      <top/>
      <bottom/>
      <diagonal/>
    </border>
    <border>
      <left style="thin">
        <color rgb="FF000000"/>
      </left>
      <right style="thin">
        <color rgb="FF000000"/>
      </right>
      <top style="thin">
        <color rgb="FF000000"/>
      </top>
      <bottom/>
      <diagonal/>
    </border>
    <border>
      <left/>
      <right style="medium">
        <color rgb="FF000000"/>
      </right>
      <top style="medium">
        <color rgb="FF000000"/>
      </top>
      <bottom style="medium">
        <color rgb="FF000000"/>
      </bottom>
      <diagonal/>
    </border>
    <border>
      <left style="medium">
        <color indexed="64"/>
      </left>
      <right/>
      <top style="medium">
        <color indexed="64"/>
      </top>
      <bottom style="thick">
        <color rgb="FF000000"/>
      </bottom>
      <diagonal/>
    </border>
    <border>
      <left/>
      <right/>
      <top style="medium">
        <color indexed="64"/>
      </top>
      <bottom style="thick">
        <color rgb="FF000000"/>
      </bottom>
      <diagonal/>
    </border>
    <border>
      <left/>
      <right style="medium">
        <color indexed="64"/>
      </right>
      <top style="medium">
        <color indexed="64"/>
      </top>
      <bottom style="thick">
        <color rgb="FF000000"/>
      </bottom>
      <diagonal/>
    </border>
    <border>
      <left style="medium">
        <color indexed="64"/>
      </left>
      <right style="thin">
        <color rgb="FF000000"/>
      </right>
      <top/>
      <bottom style="thin">
        <color rgb="FF000000"/>
      </bottom>
      <diagonal/>
    </border>
    <border>
      <left style="thin">
        <color rgb="FF000000"/>
      </left>
      <right style="medium">
        <color indexed="64"/>
      </right>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rgb="FF000000"/>
      </top>
      <bottom style="medium">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rgb="FF000000"/>
      </left>
      <right/>
      <top/>
      <bottom/>
      <diagonal/>
    </border>
    <border>
      <left/>
      <right style="thin">
        <color rgb="FF000000"/>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right style="thin">
        <color rgb="FF000000"/>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rgb="FF000000"/>
      </top>
      <bottom style="thin">
        <color rgb="FF000000"/>
      </bottom>
      <diagonal/>
    </border>
    <border>
      <left style="thin">
        <color rgb="FF000000"/>
      </left>
      <right style="thin">
        <color rgb="FF000000"/>
      </right>
      <top/>
      <bottom/>
      <diagonal/>
    </border>
    <border>
      <left style="medium">
        <color indexed="64"/>
      </left>
      <right style="medium">
        <color indexed="64"/>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indexed="64"/>
      </left>
      <right/>
      <top/>
      <bottom style="thin">
        <color rgb="FF000000"/>
      </bottom>
      <diagonal/>
    </border>
    <border>
      <left style="medium">
        <color indexed="64"/>
      </left>
      <right style="thin">
        <color rgb="FF000000"/>
      </right>
      <top style="medium">
        <color indexed="64"/>
      </top>
      <bottom style="medium">
        <color indexed="64"/>
      </bottom>
      <diagonal/>
    </border>
    <border>
      <left/>
      <right style="thick">
        <color rgb="FF000000"/>
      </right>
      <top style="medium">
        <color indexed="64"/>
      </top>
      <bottom style="medium">
        <color indexed="64"/>
      </bottom>
      <diagonal/>
    </border>
    <border>
      <left/>
      <right style="thin">
        <color rgb="FF000000"/>
      </right>
      <top style="medium">
        <color indexed="64"/>
      </top>
      <bottom style="medium">
        <color indexed="64"/>
      </bottom>
      <diagonal/>
    </border>
    <border>
      <left style="thin">
        <color indexed="64"/>
      </left>
      <right style="thin">
        <color indexed="64"/>
      </right>
      <top/>
      <bottom/>
      <diagonal/>
    </border>
    <border>
      <left/>
      <right/>
      <top style="thin">
        <color theme="4" tint="0.39997558519241921"/>
      </top>
      <bottom style="thin">
        <color theme="4" tint="0.39997558519241921"/>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indexed="64"/>
      </left>
      <right style="thin">
        <color rgb="FF000000"/>
      </right>
      <top style="medium">
        <color indexed="64"/>
      </top>
      <bottom style="thin">
        <color rgb="FF000000"/>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rgb="FF000000"/>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top style="medium">
        <color rgb="FF000000"/>
      </top>
      <bottom/>
      <diagonal/>
    </border>
    <border>
      <left style="medium">
        <color rgb="FF000000"/>
      </left>
      <right style="thin">
        <color indexed="64"/>
      </right>
      <top style="thin">
        <color indexed="64"/>
      </top>
      <bottom style="thin">
        <color indexed="64"/>
      </bottom>
      <diagonal/>
    </border>
    <border>
      <left style="medium">
        <color rgb="FF000000"/>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right/>
      <top/>
      <bottom style="medium">
        <color rgb="FF000000"/>
      </bottom>
      <diagonal/>
    </border>
    <border>
      <left style="medium">
        <color rgb="FF000000"/>
      </left>
      <right style="thin">
        <color indexed="64"/>
      </right>
      <top style="thin">
        <color indexed="64"/>
      </top>
      <bottom/>
      <diagonal/>
    </border>
    <border>
      <left/>
      <right style="thin">
        <color indexed="64"/>
      </right>
      <top/>
      <bottom/>
      <diagonal/>
    </border>
    <border>
      <left style="thin">
        <color indexed="64"/>
      </left>
      <right/>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style="thin">
        <color rgb="FF000000"/>
      </left>
      <right style="thick">
        <color rgb="FF000000"/>
      </right>
      <top/>
      <bottom style="thin">
        <color rgb="FF000000"/>
      </bottom>
      <diagonal/>
    </border>
    <border>
      <left style="thin">
        <color rgb="FF000000"/>
      </left>
      <right style="thin">
        <color rgb="FF000000"/>
      </right>
      <top style="thin">
        <color rgb="FF000000"/>
      </top>
      <bottom style="thick">
        <color rgb="FF000000"/>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top style="thin">
        <color rgb="FF000000"/>
      </top>
      <bottom/>
      <diagonal/>
    </border>
    <border>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rgb="FF000000"/>
      </left>
      <right/>
      <top style="medium">
        <color rgb="FF000000"/>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indexed="64"/>
      </bottom>
      <diagonal/>
    </border>
    <border>
      <left/>
      <right style="medium">
        <color rgb="FF000000"/>
      </right>
      <top/>
      <bottom style="medium">
        <color indexed="64"/>
      </bottom>
      <diagonal/>
    </border>
    <border>
      <left style="medium">
        <color rgb="FF000000"/>
      </left>
      <right style="thin">
        <color indexed="64"/>
      </right>
      <top/>
      <bottom style="thin">
        <color indexed="64"/>
      </bottom>
      <diagonal/>
    </border>
    <border>
      <left style="thin">
        <color indexed="64"/>
      </left>
      <right style="medium">
        <color rgb="FF000000"/>
      </right>
      <top/>
      <bottom style="thin">
        <color indexed="64"/>
      </bottom>
      <diagonal/>
    </border>
    <border>
      <left style="thin">
        <color indexed="64"/>
      </left>
      <right style="medium">
        <color rgb="FF000000"/>
      </right>
      <top style="thin">
        <color indexed="64"/>
      </top>
      <bottom style="thin">
        <color indexed="64"/>
      </bottom>
      <diagonal/>
    </border>
    <border>
      <left/>
      <right style="medium">
        <color rgb="FF000000"/>
      </right>
      <top style="thin">
        <color indexed="64"/>
      </top>
      <bottom style="thin">
        <color indexed="64"/>
      </bottom>
      <diagonal/>
    </border>
    <border>
      <left style="medium">
        <color rgb="FF000000"/>
      </left>
      <right/>
      <top style="medium">
        <color indexed="64"/>
      </top>
      <bottom style="medium">
        <color indexed="64"/>
      </bottom>
      <diagonal/>
    </border>
    <border>
      <left/>
      <right style="medium">
        <color rgb="FF000000"/>
      </right>
      <top style="medium">
        <color indexed="64"/>
      </top>
      <bottom style="medium">
        <color indexed="64"/>
      </bottom>
      <diagonal/>
    </border>
    <border>
      <left style="thin">
        <color indexed="64"/>
      </left>
      <right style="medium">
        <color rgb="FF000000"/>
      </right>
      <top style="thin">
        <color indexed="64"/>
      </top>
      <bottom/>
      <diagonal/>
    </border>
    <border>
      <left style="thin">
        <color indexed="64"/>
      </left>
      <right style="medium">
        <color rgb="FF000000"/>
      </right>
      <top style="thin">
        <color indexed="64"/>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style="thin">
        <color indexed="64"/>
      </left>
      <right style="medium">
        <color rgb="FF000000"/>
      </right>
      <top style="medium">
        <color rgb="FF000000"/>
      </top>
      <bottom style="thin">
        <color indexed="64"/>
      </bottom>
      <diagonal/>
    </border>
    <border>
      <left style="medium">
        <color rgb="FF000000"/>
      </left>
      <right style="thin">
        <color rgb="FF000000"/>
      </right>
      <top style="thin">
        <color rgb="FF000000"/>
      </top>
      <bottom/>
      <diagonal/>
    </border>
    <border>
      <left style="thin">
        <color indexed="64"/>
      </left>
      <right/>
      <top style="thin">
        <color indexed="64"/>
      </top>
      <bottom style="medium">
        <color rgb="FF000000"/>
      </bottom>
      <diagonal/>
    </border>
    <border>
      <left/>
      <right style="medium">
        <color indexed="64"/>
      </right>
      <top style="thin">
        <color indexed="64"/>
      </top>
      <bottom/>
      <diagonal/>
    </border>
    <border>
      <left style="medium">
        <color rgb="FF000000"/>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medium">
        <color indexed="64"/>
      </right>
      <top style="thin">
        <color indexed="64"/>
      </top>
      <bottom/>
      <diagonal/>
    </border>
    <border>
      <left/>
      <right/>
      <top style="thin">
        <color theme="4"/>
      </top>
      <bottom style="double">
        <color theme="4"/>
      </bottom>
      <diagonal/>
    </border>
    <border>
      <left/>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medium">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top style="thin">
        <color indexed="64"/>
      </top>
      <bottom style="thin">
        <color indexed="64"/>
      </bottom>
      <diagonal/>
    </border>
    <border>
      <left style="medium">
        <color rgb="FF000000"/>
      </left>
      <right/>
      <top style="thin">
        <color indexed="64"/>
      </top>
      <bottom/>
      <diagonal/>
    </border>
    <border>
      <left style="thin">
        <color indexed="64"/>
      </left>
      <right/>
      <top style="thin">
        <color rgb="FF000000"/>
      </top>
      <bottom/>
      <diagonal/>
    </border>
    <border>
      <left/>
      <right style="thin">
        <color indexed="64"/>
      </right>
      <top style="thin">
        <color rgb="FF000000"/>
      </top>
      <bottom/>
      <diagonal/>
    </border>
  </borders>
  <cellStyleXfs count="6">
    <xf numFmtId="0" fontId="0" fillId="0" borderId="0"/>
    <xf numFmtId="0" fontId="6" fillId="0" borderId="0" applyNumberFormat="0" applyFill="0" applyBorder="0" applyAlignment="0" applyProtection="0"/>
    <xf numFmtId="0" fontId="5" fillId="0" borderId="0"/>
    <xf numFmtId="9" fontId="31" fillId="0" borderId="0" applyFont="0" applyFill="0" applyBorder="0" applyAlignment="0" applyProtection="0"/>
    <xf numFmtId="0" fontId="27" fillId="0" borderId="175" applyNumberFormat="0" applyFill="0" applyAlignment="0" applyProtection="0"/>
    <xf numFmtId="44" fontId="31" fillId="0" borderId="0" applyFont="0" applyFill="0" applyBorder="0" applyAlignment="0" applyProtection="0"/>
  </cellStyleXfs>
  <cellXfs count="1924">
    <xf numFmtId="0" fontId="0" fillId="0" borderId="0" xfId="0"/>
    <xf numFmtId="0" fontId="2" fillId="0" borderId="3" xfId="0" applyFont="1" applyBorder="1" applyAlignment="1">
      <alignment vertical="top"/>
    </xf>
    <xf numFmtId="0" fontId="3" fillId="0" borderId="0" xfId="0" applyFont="1" applyAlignment="1">
      <alignment horizontal="center" vertical="top"/>
    </xf>
    <xf numFmtId="0" fontId="3" fillId="0" borderId="17" xfId="0" applyFont="1" applyBorder="1" applyAlignment="1">
      <alignment horizontal="center" vertical="top"/>
    </xf>
    <xf numFmtId="0" fontId="3" fillId="0" borderId="15" xfId="0" applyFont="1" applyBorder="1" applyAlignment="1">
      <alignment horizontal="center" vertical="top"/>
    </xf>
    <xf numFmtId="0" fontId="3" fillId="0" borderId="9" xfId="0" applyFont="1" applyBorder="1" applyAlignment="1">
      <alignment horizontal="center" vertical="top"/>
    </xf>
    <xf numFmtId="0" fontId="3" fillId="0" borderId="17" xfId="0" applyFont="1" applyBorder="1" applyAlignment="1">
      <alignment vertical="top"/>
    </xf>
    <xf numFmtId="0" fontId="3" fillId="0" borderId="3" xfId="0" applyFont="1" applyBorder="1" applyAlignment="1">
      <alignment vertical="top"/>
    </xf>
    <xf numFmtId="0" fontId="3" fillId="0" borderId="6" xfId="0" applyFont="1" applyBorder="1" applyAlignment="1">
      <alignment vertical="top"/>
    </xf>
    <xf numFmtId="0" fontId="2" fillId="0" borderId="0" xfId="0" applyFont="1" applyAlignment="1">
      <alignment horizontal="center" vertical="top"/>
    </xf>
    <xf numFmtId="0" fontId="7" fillId="0" borderId="0" xfId="0" applyFont="1" applyAlignment="1">
      <alignment horizontal="center" vertical="top"/>
    </xf>
    <xf numFmtId="0" fontId="2" fillId="0" borderId="0" xfId="0" applyFont="1" applyAlignment="1">
      <alignment horizontal="center" vertical="top" wrapText="1"/>
    </xf>
    <xf numFmtId="0" fontId="2" fillId="0" borderId="22" xfId="0" applyFont="1" applyBorder="1" applyAlignment="1">
      <alignment horizontal="center" vertical="top"/>
    </xf>
    <xf numFmtId="0" fontId="2" fillId="0" borderId="0" xfId="0" applyFont="1" applyAlignment="1">
      <alignment vertical="center"/>
    </xf>
    <xf numFmtId="0" fontId="2" fillId="0" borderId="16" xfId="0" applyFont="1" applyBorder="1" applyAlignment="1">
      <alignment horizontal="center" vertical="top"/>
    </xf>
    <xf numFmtId="3" fontId="2" fillId="0" borderId="4" xfId="0" applyNumberFormat="1" applyFont="1" applyBorder="1" applyAlignment="1">
      <alignment horizontal="center" vertical="top"/>
    </xf>
    <xf numFmtId="3" fontId="2" fillId="0" borderId="12" xfId="0" applyNumberFormat="1" applyFont="1" applyBorder="1" applyAlignment="1">
      <alignment horizontal="center" vertical="top"/>
    </xf>
    <xf numFmtId="165" fontId="2" fillId="0" borderId="4" xfId="0" applyNumberFormat="1" applyFont="1" applyBorder="1" applyAlignment="1">
      <alignment horizontal="center" vertical="top"/>
    </xf>
    <xf numFmtId="0" fontId="0" fillId="0" borderId="45" xfId="0" applyBorder="1" applyAlignment="1">
      <alignment horizontal="center"/>
    </xf>
    <xf numFmtId="0" fontId="0" fillId="0" borderId="50" xfId="0" applyBorder="1" applyAlignment="1">
      <alignment horizontal="center" wrapText="1"/>
    </xf>
    <xf numFmtId="0" fontId="7" fillId="0" borderId="0" xfId="0" applyFont="1" applyAlignment="1">
      <alignment vertical="center"/>
    </xf>
    <xf numFmtId="0" fontId="9" fillId="0" borderId="0" xfId="0" applyFont="1"/>
    <xf numFmtId="0" fontId="2" fillId="0" borderId="0" xfId="0" applyFont="1"/>
    <xf numFmtId="0" fontId="2" fillId="0" borderId="4" xfId="0" applyFont="1" applyBorder="1" applyAlignment="1">
      <alignment horizontal="center" vertical="top"/>
    </xf>
    <xf numFmtId="0" fontId="2" fillId="0" borderId="5" xfId="0" applyFont="1" applyBorder="1" applyAlignment="1">
      <alignment horizontal="center" vertical="top"/>
    </xf>
    <xf numFmtId="3" fontId="2" fillId="2" borderId="4" xfId="0" applyNumberFormat="1" applyFont="1" applyFill="1" applyBorder="1" applyAlignment="1">
      <alignment horizontal="center" vertical="top"/>
    </xf>
    <xf numFmtId="3" fontId="10" fillId="0" borderId="37" xfId="0" applyNumberFormat="1" applyFont="1" applyBorder="1" applyAlignment="1">
      <alignment horizontal="center"/>
    </xf>
    <xf numFmtId="0" fontId="7" fillId="0" borderId="0" xfId="0" applyFont="1"/>
    <xf numFmtId="0" fontId="9" fillId="0" borderId="0" xfId="0" applyFont="1" applyAlignment="1">
      <alignment horizontal="center"/>
    </xf>
    <xf numFmtId="0" fontId="2" fillId="0" borderId="0" xfId="0" applyFont="1" applyAlignment="1">
      <alignment horizontal="center"/>
    </xf>
    <xf numFmtId="0" fontId="3" fillId="0" borderId="0" xfId="0" applyFont="1"/>
    <xf numFmtId="0" fontId="11" fillId="0" borderId="0" xfId="1" applyFont="1"/>
    <xf numFmtId="0" fontId="11" fillId="0" borderId="0" xfId="1" applyFont="1" applyFill="1" applyBorder="1" applyAlignment="1">
      <alignment horizontal="center" vertical="top"/>
    </xf>
    <xf numFmtId="3" fontId="7" fillId="0" borderId="16" xfId="0" applyNumberFormat="1" applyFont="1" applyBorder="1" applyAlignment="1">
      <alignment horizontal="center"/>
    </xf>
    <xf numFmtId="3" fontId="10" fillId="0" borderId="20" xfId="0" applyNumberFormat="1" applyFont="1" applyBorder="1" applyAlignment="1">
      <alignment horizontal="center"/>
    </xf>
    <xf numFmtId="3" fontId="12" fillId="0" borderId="21" xfId="0" applyNumberFormat="1" applyFont="1" applyBorder="1" applyAlignment="1">
      <alignment horizontal="center"/>
    </xf>
    <xf numFmtId="0" fontId="4" fillId="0" borderId="0" xfId="0" applyFont="1" applyAlignment="1">
      <alignment horizontal="center"/>
    </xf>
    <xf numFmtId="0" fontId="4" fillId="0" borderId="28" xfId="0" applyFont="1" applyBorder="1" applyAlignment="1">
      <alignment vertical="top"/>
    </xf>
    <xf numFmtId="0" fontId="4" fillId="0" borderId="8" xfId="0" applyFont="1" applyBorder="1" applyAlignment="1">
      <alignment horizontal="center" vertical="top"/>
    </xf>
    <xf numFmtId="0" fontId="4" fillId="0" borderId="29" xfId="0" applyFont="1" applyBorder="1" applyAlignment="1">
      <alignment horizontal="center" vertical="top"/>
    </xf>
    <xf numFmtId="0" fontId="2" fillId="0" borderId="30" xfId="0" applyFont="1" applyBorder="1" applyAlignment="1">
      <alignment vertical="top"/>
    </xf>
    <xf numFmtId="0" fontId="2" fillId="0" borderId="31" xfId="0" applyFont="1" applyBorder="1" applyAlignment="1">
      <alignment horizontal="center" vertical="top"/>
    </xf>
    <xf numFmtId="0" fontId="4" fillId="0" borderId="30" xfId="0" applyFont="1" applyBorder="1" applyAlignment="1">
      <alignment vertical="top"/>
    </xf>
    <xf numFmtId="0" fontId="9" fillId="0" borderId="16" xfId="0" applyFont="1" applyBorder="1" applyAlignment="1">
      <alignment horizontal="center" vertical="top"/>
    </xf>
    <xf numFmtId="0" fontId="9" fillId="0" borderId="31" xfId="0" applyFont="1" applyBorder="1" applyAlignment="1">
      <alignment horizontal="center" vertical="top"/>
    </xf>
    <xf numFmtId="0" fontId="2" fillId="0" borderId="32" xfId="0" applyFont="1" applyBorder="1" applyAlignment="1">
      <alignment vertical="top"/>
    </xf>
    <xf numFmtId="0" fontId="2" fillId="0" borderId="33" xfId="0" applyFont="1" applyBorder="1" applyAlignment="1">
      <alignment horizontal="center" vertical="top"/>
    </xf>
    <xf numFmtId="0" fontId="2" fillId="0" borderId="18" xfId="0" applyFont="1" applyBorder="1" applyAlignment="1">
      <alignment horizontal="center" vertical="top"/>
    </xf>
    <xf numFmtId="3" fontId="2" fillId="0" borderId="1" xfId="0" applyNumberFormat="1" applyFont="1" applyBorder="1" applyAlignment="1">
      <alignment horizontal="center" vertical="top"/>
    </xf>
    <xf numFmtId="0" fontId="2" fillId="0" borderId="1" xfId="0" applyFont="1" applyBorder="1" applyAlignment="1">
      <alignment horizontal="center" vertical="top"/>
    </xf>
    <xf numFmtId="0" fontId="7" fillId="3" borderId="1" xfId="0" applyFont="1" applyFill="1" applyBorder="1" applyAlignment="1">
      <alignment horizontal="center"/>
    </xf>
    <xf numFmtId="0" fontId="2" fillId="0" borderId="2" xfId="0" applyFont="1" applyBorder="1" applyAlignment="1">
      <alignment horizontal="center" vertical="top"/>
    </xf>
    <xf numFmtId="0" fontId="2" fillId="0" borderId="14" xfId="0" applyFont="1" applyBorder="1" applyAlignment="1">
      <alignment horizontal="center" vertical="top"/>
    </xf>
    <xf numFmtId="9" fontId="2" fillId="0" borderId="5" xfId="0" applyNumberFormat="1" applyFont="1" applyBorder="1" applyAlignment="1">
      <alignment horizontal="center" vertical="top"/>
    </xf>
    <xf numFmtId="10" fontId="2" fillId="0" borderId="5" xfId="0" applyNumberFormat="1" applyFont="1" applyBorder="1" applyAlignment="1">
      <alignment horizontal="center" vertical="top"/>
    </xf>
    <xf numFmtId="9" fontId="2" fillId="0" borderId="7" xfId="0" applyNumberFormat="1" applyFont="1" applyBorder="1" applyAlignment="1">
      <alignment horizontal="center" vertical="top"/>
    </xf>
    <xf numFmtId="0" fontId="10" fillId="0" borderId="0" xfId="0" applyFont="1"/>
    <xf numFmtId="0" fontId="5" fillId="0" borderId="0" xfId="0" applyFont="1"/>
    <xf numFmtId="0" fontId="0" fillId="0" borderId="0" xfId="0" applyAlignment="1">
      <alignment horizontal="center"/>
    </xf>
    <xf numFmtId="0" fontId="0" fillId="0" borderId="55" xfId="0" applyBorder="1" applyAlignment="1">
      <alignment horizontal="center"/>
    </xf>
    <xf numFmtId="0" fontId="0" fillId="0" borderId="35" xfId="0" applyBorder="1" applyAlignment="1">
      <alignment horizontal="center"/>
    </xf>
    <xf numFmtId="0" fontId="0" fillId="0" borderId="56" xfId="0" applyBorder="1" applyAlignment="1">
      <alignment horizontal="center"/>
    </xf>
    <xf numFmtId="0" fontId="0" fillId="0" borderId="57" xfId="0" applyBorder="1" applyAlignment="1">
      <alignment horizontal="center"/>
    </xf>
    <xf numFmtId="0" fontId="5" fillId="0" borderId="20" xfId="0" applyFont="1" applyBorder="1" applyAlignment="1">
      <alignment horizontal="center"/>
    </xf>
    <xf numFmtId="0" fontId="0" fillId="0" borderId="61" xfId="0" applyBorder="1" applyAlignment="1">
      <alignment horizontal="center"/>
    </xf>
    <xf numFmtId="0" fontId="0" fillId="0" borderId="58" xfId="0" applyBorder="1" applyAlignment="1">
      <alignment horizontal="center"/>
    </xf>
    <xf numFmtId="0" fontId="0" fillId="0" borderId="62" xfId="0" applyBorder="1" applyAlignment="1">
      <alignment horizontal="center"/>
    </xf>
    <xf numFmtId="0" fontId="14" fillId="16" borderId="8" xfId="0" applyFont="1" applyFill="1" applyBorder="1"/>
    <xf numFmtId="0" fontId="14" fillId="17" borderId="16" xfId="0" applyFont="1" applyFill="1" applyBorder="1"/>
    <xf numFmtId="0" fontId="15" fillId="17" borderId="16" xfId="0" applyFont="1" applyFill="1" applyBorder="1" applyAlignment="1">
      <alignment horizontal="center"/>
    </xf>
    <xf numFmtId="0" fontId="14" fillId="16" borderId="16" xfId="0" applyFont="1" applyFill="1" applyBorder="1"/>
    <xf numFmtId="0" fontId="15" fillId="16" borderId="16" xfId="0" applyFont="1" applyFill="1" applyBorder="1" applyAlignment="1">
      <alignment horizontal="center"/>
    </xf>
    <xf numFmtId="0" fontId="14" fillId="0" borderId="16" xfId="0" applyFont="1" applyBorder="1"/>
    <xf numFmtId="0" fontId="14" fillId="0" borderId="16" xfId="0" applyFont="1" applyBorder="1" applyAlignment="1">
      <alignment horizontal="center"/>
    </xf>
    <xf numFmtId="0" fontId="14" fillId="17" borderId="16" xfId="0" applyFont="1" applyFill="1" applyBorder="1" applyAlignment="1">
      <alignment horizontal="center"/>
    </xf>
    <xf numFmtId="0" fontId="14" fillId="0" borderId="23" xfId="0" applyFont="1" applyBorder="1"/>
    <xf numFmtId="0" fontId="16" fillId="0" borderId="16" xfId="0" applyFont="1" applyBorder="1"/>
    <xf numFmtId="0" fontId="5" fillId="0" borderId="16" xfId="0" applyFont="1" applyBorder="1" applyAlignment="1">
      <alignment horizontal="center"/>
    </xf>
    <xf numFmtId="3" fontId="15" fillId="17" borderId="16" xfId="0" applyNumberFormat="1" applyFont="1" applyFill="1" applyBorder="1" applyAlignment="1">
      <alignment horizontal="center"/>
    </xf>
    <xf numFmtId="3" fontId="15" fillId="16" borderId="16" xfId="0" applyNumberFormat="1" applyFont="1" applyFill="1" applyBorder="1" applyAlignment="1">
      <alignment horizontal="center"/>
    </xf>
    <xf numFmtId="4" fontId="15" fillId="17" borderId="16" xfId="0" applyNumberFormat="1" applyFont="1" applyFill="1" applyBorder="1" applyAlignment="1">
      <alignment horizontal="center"/>
    </xf>
    <xf numFmtId="4" fontId="0" fillId="0" borderId="0" xfId="0" applyNumberFormat="1" applyAlignment="1">
      <alignment horizontal="center"/>
    </xf>
    <xf numFmtId="0" fontId="0" fillId="0" borderId="63" xfId="0" applyBorder="1" applyAlignment="1">
      <alignment horizontal="center"/>
    </xf>
    <xf numFmtId="0" fontId="0" fillId="18" borderId="55" xfId="0" applyFill="1" applyBorder="1" applyAlignment="1">
      <alignment horizontal="center"/>
    </xf>
    <xf numFmtId="0" fontId="0" fillId="18" borderId="35" xfId="0" applyFill="1" applyBorder="1" applyAlignment="1">
      <alignment horizontal="center"/>
    </xf>
    <xf numFmtId="2" fontId="0" fillId="18" borderId="35" xfId="0" applyNumberFormat="1" applyFill="1" applyBorder="1" applyAlignment="1">
      <alignment horizontal="center"/>
    </xf>
    <xf numFmtId="0" fontId="0" fillId="18" borderId="57" xfId="0" applyFill="1" applyBorder="1" applyAlignment="1">
      <alignment horizontal="center"/>
    </xf>
    <xf numFmtId="0" fontId="0" fillId="18" borderId="20" xfId="0" applyFill="1" applyBorder="1" applyAlignment="1">
      <alignment horizontal="center"/>
    </xf>
    <xf numFmtId="2" fontId="0" fillId="18" borderId="20" xfId="0" applyNumberFormat="1" applyFill="1" applyBorder="1" applyAlignment="1">
      <alignment horizontal="center"/>
    </xf>
    <xf numFmtId="0" fontId="2" fillId="0" borderId="53" xfId="0" applyFont="1" applyBorder="1" applyAlignment="1">
      <alignment horizontal="center" vertical="top"/>
    </xf>
    <xf numFmtId="164" fontId="0" fillId="0" borderId="20" xfId="0" applyNumberFormat="1" applyBorder="1" applyAlignment="1">
      <alignment horizontal="center"/>
    </xf>
    <xf numFmtId="0" fontId="17" fillId="0" borderId="0" xfId="0" applyFont="1"/>
    <xf numFmtId="168" fontId="0" fillId="0" borderId="0" xfId="0" applyNumberFormat="1"/>
    <xf numFmtId="0" fontId="0" fillId="21" borderId="0" xfId="0" applyFill="1"/>
    <xf numFmtId="0" fontId="5" fillId="0" borderId="0" xfId="0" applyFont="1" applyAlignment="1">
      <alignment vertical="center"/>
    </xf>
    <xf numFmtId="0" fontId="7" fillId="0" borderId="0" xfId="2" applyFont="1" applyAlignment="1">
      <alignment horizontal="center"/>
    </xf>
    <xf numFmtId="0" fontId="2" fillId="0" borderId="28" xfId="0" applyFont="1" applyBorder="1" applyAlignment="1">
      <alignment vertical="top"/>
    </xf>
    <xf numFmtId="0" fontId="2" fillId="0" borderId="28" xfId="0" applyFont="1" applyBorder="1" applyAlignment="1">
      <alignment vertical="top" wrapText="1"/>
    </xf>
    <xf numFmtId="0" fontId="2" fillId="0" borderId="28" xfId="0" applyFont="1" applyBorder="1" applyAlignment="1">
      <alignment horizontal="right" vertical="top"/>
    </xf>
    <xf numFmtId="0" fontId="2" fillId="0" borderId="91" xfId="0" applyFont="1" applyBorder="1" applyAlignment="1">
      <alignment vertical="top"/>
    </xf>
    <xf numFmtId="0" fontId="2" fillId="0" borderId="92" xfId="0" applyFont="1" applyBorder="1" applyAlignment="1">
      <alignment vertical="top"/>
    </xf>
    <xf numFmtId="3" fontId="2" fillId="0" borderId="93" xfId="0" applyNumberFormat="1" applyFont="1" applyBorder="1" applyAlignment="1">
      <alignment horizontal="center" vertical="top"/>
    </xf>
    <xf numFmtId="3" fontId="2" fillId="0" borderId="48" xfId="0" applyNumberFormat="1" applyFont="1" applyBorder="1" applyAlignment="1">
      <alignment horizontal="center" vertical="top"/>
    </xf>
    <xf numFmtId="0" fontId="0" fillId="0" borderId="65" xfId="0" applyBorder="1" applyAlignment="1">
      <alignment horizontal="center"/>
    </xf>
    <xf numFmtId="0" fontId="0" fillId="0" borderId="66" xfId="0" applyBorder="1" applyAlignment="1">
      <alignment horizontal="center"/>
    </xf>
    <xf numFmtId="0" fontId="0" fillId="0" borderId="68" xfId="0" applyBorder="1" applyAlignment="1">
      <alignment horizontal="center"/>
    </xf>
    <xf numFmtId="2" fontId="5" fillId="0" borderId="0" xfId="0" applyNumberFormat="1" applyFont="1" applyAlignment="1">
      <alignment horizontal="center"/>
    </xf>
    <xf numFmtId="164" fontId="0" fillId="0" borderId="57" xfId="0" applyNumberFormat="1" applyBorder="1" applyAlignment="1">
      <alignment horizontal="center" vertical="center"/>
    </xf>
    <xf numFmtId="164" fontId="0" fillId="0" borderId="61" xfId="0" applyNumberFormat="1" applyBorder="1" applyAlignment="1">
      <alignment horizontal="center" vertical="center"/>
    </xf>
    <xf numFmtId="164" fontId="0" fillId="0" borderId="55" xfId="0" applyNumberFormat="1" applyBorder="1" applyAlignment="1">
      <alignment horizontal="center" vertical="center"/>
    </xf>
    <xf numFmtId="164" fontId="0" fillId="0" borderId="94" xfId="0" applyNumberFormat="1" applyBorder="1" applyAlignment="1">
      <alignment horizontal="center" vertical="center"/>
    </xf>
    <xf numFmtId="164" fontId="0" fillId="0" borderId="0" xfId="0" applyNumberFormat="1" applyAlignment="1">
      <alignment vertical="center"/>
    </xf>
    <xf numFmtId="164" fontId="0" fillId="0" borderId="81" xfId="0" applyNumberFormat="1" applyBorder="1" applyAlignment="1">
      <alignment horizontal="center" vertical="center"/>
    </xf>
    <xf numFmtId="0" fontId="5" fillId="0" borderId="44" xfId="0" applyFont="1" applyBorder="1"/>
    <xf numFmtId="0" fontId="5" fillId="0" borderId="45" xfId="0" applyFont="1" applyBorder="1"/>
    <xf numFmtId="164" fontId="0" fillId="0" borderId="65" xfId="0" applyNumberFormat="1" applyBorder="1" applyAlignment="1">
      <alignment horizontal="center" vertical="center"/>
    </xf>
    <xf numFmtId="0" fontId="18" fillId="22" borderId="16" xfId="0" applyFont="1" applyFill="1" applyBorder="1" applyAlignment="1">
      <alignment horizontal="left" vertical="center" wrapText="1"/>
    </xf>
    <xf numFmtId="0" fontId="20" fillId="3" borderId="0" xfId="0" applyFont="1" applyFill="1" applyAlignment="1">
      <alignment horizontal="left" vertical="center" wrapText="1"/>
    </xf>
    <xf numFmtId="0" fontId="6" fillId="0" borderId="16" xfId="1" applyBorder="1" applyAlignment="1">
      <alignment vertical="center" wrapText="1"/>
    </xf>
    <xf numFmtId="0" fontId="21" fillId="0" borderId="16" xfId="0" applyFont="1" applyBorder="1" applyAlignment="1">
      <alignment vertical="center" wrapText="1"/>
    </xf>
    <xf numFmtId="0" fontId="22" fillId="3" borderId="0" xfId="0" applyFont="1" applyFill="1" applyAlignment="1">
      <alignment wrapText="1"/>
    </xf>
    <xf numFmtId="0" fontId="6" fillId="2" borderId="16" xfId="1" applyFill="1" applyBorder="1" applyAlignment="1">
      <alignment vertical="center" wrapText="1"/>
    </xf>
    <xf numFmtId="0" fontId="0" fillId="2" borderId="16" xfId="0" applyFill="1" applyBorder="1" applyAlignment="1">
      <alignment horizontal="left" vertical="center" wrapText="1"/>
    </xf>
    <xf numFmtId="0" fontId="22" fillId="2" borderId="0" xfId="0" applyFont="1" applyFill="1" applyAlignment="1">
      <alignment horizontal="left" vertical="center" wrapText="1"/>
    </xf>
    <xf numFmtId="0" fontId="22" fillId="3" borderId="16" xfId="0" applyFont="1" applyFill="1" applyBorder="1" applyAlignment="1">
      <alignment horizontal="left" vertical="center" wrapText="1"/>
    </xf>
    <xf numFmtId="0" fontId="5" fillId="0" borderId="0" xfId="0" applyFont="1" applyAlignment="1">
      <alignment horizontal="center"/>
    </xf>
    <xf numFmtId="0" fontId="5" fillId="0" borderId="45" xfId="0" applyFont="1" applyBorder="1" applyAlignment="1">
      <alignment horizontal="center"/>
    </xf>
    <xf numFmtId="168" fontId="5" fillId="0" borderId="0" xfId="0" applyNumberFormat="1" applyFont="1" applyAlignment="1">
      <alignment horizontal="center"/>
    </xf>
    <xf numFmtId="168" fontId="0" fillId="0" borderId="0" xfId="0" applyNumberFormat="1" applyAlignment="1">
      <alignment horizontal="center"/>
    </xf>
    <xf numFmtId="164" fontId="0" fillId="0" borderId="0" xfId="0" applyNumberFormat="1" applyAlignment="1">
      <alignment horizontal="center"/>
    </xf>
    <xf numFmtId="164" fontId="0" fillId="0" borderId="45" xfId="0" applyNumberFormat="1" applyBorder="1" applyAlignment="1">
      <alignment horizontal="center"/>
    </xf>
    <xf numFmtId="168" fontId="0" fillId="0" borderId="47" xfId="0" applyNumberFormat="1" applyBorder="1" applyAlignment="1">
      <alignment horizontal="center"/>
    </xf>
    <xf numFmtId="168" fontId="0" fillId="0" borderId="48" xfId="0" applyNumberFormat="1" applyBorder="1" applyAlignment="1">
      <alignment horizontal="center"/>
    </xf>
    <xf numFmtId="0" fontId="5" fillId="0" borderId="0" xfId="0" applyFont="1" applyAlignment="1">
      <alignment horizontal="center" vertical="center"/>
    </xf>
    <xf numFmtId="164" fontId="5" fillId="0" borderId="0" xfId="0" applyNumberFormat="1" applyFont="1" applyAlignment="1">
      <alignment horizontal="center" vertical="center"/>
    </xf>
    <xf numFmtId="164" fontId="0" fillId="0" borderId="0" xfId="0" applyNumberFormat="1"/>
    <xf numFmtId="0" fontId="0" fillId="0" borderId="44" xfId="0" applyBorder="1"/>
    <xf numFmtId="0" fontId="0" fillId="0" borderId="45" xfId="0" applyBorder="1"/>
    <xf numFmtId="164" fontId="0" fillId="0" borderId="47" xfId="0" applyNumberFormat="1" applyBorder="1"/>
    <xf numFmtId="0" fontId="0" fillId="0" borderId="46" xfId="0" applyBorder="1"/>
    <xf numFmtId="0" fontId="0" fillId="0" borderId="47" xfId="0" applyBorder="1"/>
    <xf numFmtId="0" fontId="1" fillId="0" borderId="16" xfId="0" applyFont="1" applyBorder="1" applyAlignment="1">
      <alignment vertical="center" wrapText="1"/>
    </xf>
    <xf numFmtId="0" fontId="1" fillId="0" borderId="16" xfId="0" applyFont="1" applyBorder="1" applyAlignment="1">
      <alignment horizontal="left" vertical="center" wrapText="1"/>
    </xf>
    <xf numFmtId="0" fontId="1" fillId="0" borderId="97" xfId="0" applyFont="1" applyBorder="1" applyAlignment="1">
      <alignment vertical="center" wrapText="1"/>
    </xf>
    <xf numFmtId="0" fontId="1" fillId="2" borderId="16" xfId="0" applyFont="1" applyFill="1" applyBorder="1" applyAlignment="1">
      <alignment vertical="center" wrapText="1"/>
    </xf>
    <xf numFmtId="0" fontId="1" fillId="0" borderId="16" xfId="0" applyFont="1" applyBorder="1" applyAlignment="1">
      <alignment horizontal="center" vertical="center" wrapText="1"/>
    </xf>
    <xf numFmtId="0" fontId="15" fillId="3" borderId="16" xfId="0" applyFont="1" applyFill="1" applyBorder="1" applyAlignment="1">
      <alignment horizontal="left" wrapText="1"/>
    </xf>
    <xf numFmtId="0" fontId="25" fillId="0" borderId="0" xfId="0" applyFont="1" applyAlignment="1">
      <alignment vertical="center"/>
    </xf>
    <xf numFmtId="0" fontId="26" fillId="0" borderId="0" xfId="0" applyFont="1" applyAlignment="1">
      <alignment vertical="center"/>
    </xf>
    <xf numFmtId="0" fontId="0" fillId="6" borderId="56" xfId="0" applyFill="1" applyBorder="1" applyAlignment="1">
      <alignment horizontal="center"/>
    </xf>
    <xf numFmtId="0" fontId="0" fillId="6" borderId="58" xfId="0" applyFill="1" applyBorder="1" applyAlignment="1">
      <alignment horizontal="center"/>
    </xf>
    <xf numFmtId="0" fontId="0" fillId="6" borderId="63" xfId="0" applyFill="1" applyBorder="1" applyAlignment="1">
      <alignment horizontal="center"/>
    </xf>
    <xf numFmtId="0" fontId="18" fillId="16" borderId="8" xfId="0" applyFont="1" applyFill="1" applyBorder="1"/>
    <xf numFmtId="0" fontId="18" fillId="16" borderId="8" xfId="0" applyFont="1" applyFill="1" applyBorder="1" applyAlignment="1">
      <alignment horizontal="center"/>
    </xf>
    <xf numFmtId="0" fontId="18" fillId="17" borderId="16" xfId="0" applyFont="1" applyFill="1" applyBorder="1"/>
    <xf numFmtId="0" fontId="18" fillId="16" borderId="16" xfId="0" applyFont="1" applyFill="1" applyBorder="1"/>
    <xf numFmtId="0" fontId="18" fillId="16" borderId="16" xfId="0" applyFont="1" applyFill="1" applyBorder="1" applyAlignment="1">
      <alignment horizontal="center" wrapText="1"/>
    </xf>
    <xf numFmtId="0" fontId="18" fillId="0" borderId="16" xfId="0" applyFont="1" applyBorder="1"/>
    <xf numFmtId="0" fontId="18" fillId="0" borderId="16" xfId="0" applyFont="1" applyBorder="1" applyAlignment="1">
      <alignment horizontal="center"/>
    </xf>
    <xf numFmtId="0" fontId="18" fillId="17" borderId="16" xfId="0" applyFont="1" applyFill="1" applyBorder="1" applyAlignment="1">
      <alignment horizontal="center"/>
    </xf>
    <xf numFmtId="0" fontId="18" fillId="16" borderId="16" xfId="0" applyFont="1" applyFill="1" applyBorder="1" applyAlignment="1">
      <alignment horizontal="center"/>
    </xf>
    <xf numFmtId="0" fontId="18" fillId="0" borderId="16" xfId="0" applyFont="1" applyBorder="1" applyAlignment="1">
      <alignment horizontal="left"/>
    </xf>
    <xf numFmtId="0" fontId="18" fillId="0" borderId="23" xfId="0" applyFont="1" applyBorder="1" applyAlignment="1">
      <alignment horizontal="left"/>
    </xf>
    <xf numFmtId="0" fontId="28" fillId="0" borderId="16" xfId="0" applyFont="1" applyBorder="1"/>
    <xf numFmtId="0" fontId="0" fillId="0" borderId="16" xfId="0" applyBorder="1" applyAlignment="1">
      <alignment horizontal="center"/>
    </xf>
    <xf numFmtId="0" fontId="29" fillId="0" borderId="0" xfId="0" applyFont="1"/>
    <xf numFmtId="0" fontId="14" fillId="26" borderId="8" xfId="0" applyFont="1" applyFill="1" applyBorder="1"/>
    <xf numFmtId="0" fontId="14" fillId="26" borderId="8" xfId="0" applyFont="1" applyFill="1" applyBorder="1" applyAlignment="1">
      <alignment horizontal="center"/>
    </xf>
    <xf numFmtId="0" fontId="14" fillId="27" borderId="16" xfId="0" applyFont="1" applyFill="1" applyBorder="1"/>
    <xf numFmtId="0" fontId="14" fillId="26" borderId="16" xfId="0" applyFont="1" applyFill="1" applyBorder="1"/>
    <xf numFmtId="0" fontId="14" fillId="26" borderId="16" xfId="0" applyFont="1" applyFill="1" applyBorder="1" applyAlignment="1">
      <alignment horizontal="center" wrapText="1"/>
    </xf>
    <xf numFmtId="0" fontId="14" fillId="2" borderId="16" xfId="0" applyFont="1" applyFill="1" applyBorder="1"/>
    <xf numFmtId="0" fontId="14" fillId="2" borderId="16" xfId="0" applyFont="1" applyFill="1" applyBorder="1" applyAlignment="1">
      <alignment horizontal="center"/>
    </xf>
    <xf numFmtId="0" fontId="14" fillId="27" borderId="16" xfId="0" applyFont="1" applyFill="1" applyBorder="1" applyAlignment="1">
      <alignment horizontal="center"/>
    </xf>
    <xf numFmtId="0" fontId="14" fillId="2" borderId="16" xfId="0" applyFont="1" applyFill="1" applyBorder="1" applyAlignment="1">
      <alignment horizontal="left"/>
    </xf>
    <xf numFmtId="0" fontId="14" fillId="2" borderId="23" xfId="0" applyFont="1" applyFill="1" applyBorder="1" applyAlignment="1">
      <alignment horizontal="left"/>
    </xf>
    <xf numFmtId="0" fontId="16" fillId="2" borderId="16" xfId="0" applyFont="1" applyFill="1" applyBorder="1"/>
    <xf numFmtId="0" fontId="5" fillId="2" borderId="16" xfId="0" applyFont="1" applyFill="1" applyBorder="1" applyAlignment="1">
      <alignment horizontal="center"/>
    </xf>
    <xf numFmtId="0" fontId="14" fillId="26" borderId="16" xfId="0" applyFont="1" applyFill="1" applyBorder="1" applyAlignment="1">
      <alignment horizontal="center"/>
    </xf>
    <xf numFmtId="0" fontId="0" fillId="0" borderId="99" xfId="0" applyBorder="1" applyAlignment="1">
      <alignment horizontal="center"/>
    </xf>
    <xf numFmtId="0" fontId="0" fillId="0" borderId="100" xfId="0" applyBorder="1" applyAlignment="1">
      <alignment horizontal="center"/>
    </xf>
    <xf numFmtId="0" fontId="0" fillId="0" borderId="101" xfId="0" applyBorder="1" applyAlignment="1">
      <alignment horizontal="center"/>
    </xf>
    <xf numFmtId="0" fontId="0" fillId="0" borderId="102" xfId="0" applyBorder="1" applyAlignment="1">
      <alignment horizontal="center"/>
    </xf>
    <xf numFmtId="0" fontId="0" fillId="0" borderId="103" xfId="0" applyBorder="1" applyAlignment="1">
      <alignment horizontal="center"/>
    </xf>
    <xf numFmtId="0" fontId="0" fillId="0" borderId="104" xfId="0" applyBorder="1" applyAlignment="1">
      <alignment horizontal="center"/>
    </xf>
    <xf numFmtId="0" fontId="0" fillId="0" borderId="105" xfId="0" applyBorder="1" applyAlignment="1">
      <alignment horizontal="center"/>
    </xf>
    <xf numFmtId="0" fontId="0" fillId="0" borderId="106" xfId="0" applyBorder="1" applyAlignment="1">
      <alignment horizontal="center"/>
    </xf>
    <xf numFmtId="0" fontId="0" fillId="0" borderId="21" xfId="0" applyBorder="1" applyAlignment="1">
      <alignment horizontal="center"/>
    </xf>
    <xf numFmtId="0" fontId="0" fillId="0" borderId="107" xfId="0" applyBorder="1" applyAlignment="1">
      <alignment horizontal="center"/>
    </xf>
    <xf numFmtId="0" fontId="18" fillId="5" borderId="16" xfId="0" applyFont="1" applyFill="1" applyBorder="1" applyAlignment="1">
      <alignment horizontal="center"/>
    </xf>
    <xf numFmtId="0" fontId="18" fillId="0" borderId="23" xfId="0" applyFont="1" applyBorder="1"/>
    <xf numFmtId="170" fontId="18" fillId="0" borderId="16" xfId="0" applyNumberFormat="1" applyFont="1" applyBorder="1"/>
    <xf numFmtId="0" fontId="2" fillId="0" borderId="20" xfId="0" applyFont="1" applyBorder="1" applyAlignment="1">
      <alignment horizontal="center" vertical="top"/>
    </xf>
    <xf numFmtId="0" fontId="18" fillId="0" borderId="0" xfId="0" applyFont="1"/>
    <xf numFmtId="0" fontId="18" fillId="0" borderId="0" xfId="0" applyFont="1" applyAlignment="1">
      <alignment horizontal="center"/>
    </xf>
    <xf numFmtId="0" fontId="18" fillId="0" borderId="0" xfId="0" applyFont="1" applyAlignment="1">
      <alignment horizontal="center" wrapText="1"/>
    </xf>
    <xf numFmtId="0" fontId="14" fillId="0" borderId="0" xfId="0" applyFont="1"/>
    <xf numFmtId="0" fontId="18" fillId="0" borderId="0" xfId="0" applyFont="1" applyAlignment="1">
      <alignment horizontal="left"/>
    </xf>
    <xf numFmtId="0" fontId="28" fillId="0" borderId="0" xfId="0" applyFont="1"/>
    <xf numFmtId="0" fontId="0" fillId="0" borderId="42" xfId="0" applyBorder="1"/>
    <xf numFmtId="0" fontId="0" fillId="0" borderId="43" xfId="0" applyBorder="1"/>
    <xf numFmtId="0" fontId="0" fillId="0" borderId="66" xfId="0" applyBorder="1" applyAlignment="1">
      <alignment horizontal="center" vertical="center"/>
    </xf>
    <xf numFmtId="0" fontId="0" fillId="29" borderId="57" xfId="0" applyFill="1" applyBorder="1" applyAlignment="1">
      <alignment horizontal="center"/>
    </xf>
    <xf numFmtId="0" fontId="5" fillId="29" borderId="20" xfId="0" applyFont="1" applyFill="1" applyBorder="1" applyAlignment="1">
      <alignment horizontal="center"/>
    </xf>
    <xf numFmtId="2" fontId="0" fillId="29" borderId="20" xfId="0" applyNumberFormat="1" applyFill="1" applyBorder="1" applyAlignment="1">
      <alignment horizontal="center"/>
    </xf>
    <xf numFmtId="4" fontId="0" fillId="18" borderId="35" xfId="0" applyNumberFormat="1" applyFill="1" applyBorder="1" applyAlignment="1">
      <alignment horizontal="center"/>
    </xf>
    <xf numFmtId="0" fontId="4" fillId="0" borderId="0" xfId="0" applyFont="1" applyAlignment="1">
      <alignment vertical="top"/>
    </xf>
    <xf numFmtId="0" fontId="4" fillId="0" borderId="0" xfId="0" applyFont="1" applyAlignment="1">
      <alignment horizontal="center" vertical="top"/>
    </xf>
    <xf numFmtId="0" fontId="2" fillId="0" borderId="0" xfId="0" applyFont="1" applyAlignment="1">
      <alignment vertical="top"/>
    </xf>
    <xf numFmtId="0" fontId="9" fillId="0" borderId="0" xfId="0" applyFont="1" applyAlignment="1">
      <alignment horizontal="center" vertical="top"/>
    </xf>
    <xf numFmtId="0" fontId="4" fillId="0" borderId="0" xfId="0" applyFont="1"/>
    <xf numFmtId="3" fontId="2" fillId="0" borderId="0" xfId="0" applyNumberFormat="1" applyFont="1" applyAlignment="1">
      <alignment horizontal="center" vertical="top"/>
    </xf>
    <xf numFmtId="4" fontId="10" fillId="0" borderId="0" xfId="0" applyNumberFormat="1" applyFont="1" applyAlignment="1">
      <alignment horizontal="center"/>
    </xf>
    <xf numFmtId="3" fontId="2" fillId="2" borderId="0" xfId="0" applyNumberFormat="1" applyFont="1" applyFill="1" applyAlignment="1">
      <alignment horizontal="center" vertical="top"/>
    </xf>
    <xf numFmtId="3" fontId="10" fillId="0" borderId="0" xfId="0" applyNumberFormat="1" applyFont="1" applyAlignment="1">
      <alignment horizontal="center"/>
    </xf>
    <xf numFmtId="165" fontId="2" fillId="0" borderId="0" xfId="0" applyNumberFormat="1" applyFont="1" applyAlignment="1">
      <alignment horizontal="center" vertical="top"/>
    </xf>
    <xf numFmtId="169" fontId="2" fillId="0" borderId="0" xfId="0" applyNumberFormat="1" applyFont="1" applyAlignment="1">
      <alignment horizontal="center" vertical="top"/>
    </xf>
    <xf numFmtId="164" fontId="2" fillId="0" borderId="0" xfId="0" applyNumberFormat="1" applyFont="1" applyAlignment="1">
      <alignment horizontal="center" vertical="top"/>
    </xf>
    <xf numFmtId="3" fontId="2" fillId="0" borderId="10" xfId="0" applyNumberFormat="1" applyFont="1" applyBorder="1" applyAlignment="1">
      <alignment horizontal="center" vertical="top"/>
    </xf>
    <xf numFmtId="3" fontId="2" fillId="0" borderId="47" xfId="0" applyNumberFormat="1" applyFont="1" applyBorder="1" applyAlignment="1">
      <alignment horizontal="center" vertical="top"/>
    </xf>
    <xf numFmtId="0" fontId="2" fillId="0" borderId="10" xfId="0" applyFont="1" applyBorder="1" applyAlignment="1">
      <alignment horizontal="center" vertical="top"/>
    </xf>
    <xf numFmtId="3" fontId="2" fillId="2" borderId="10" xfId="0" applyNumberFormat="1" applyFont="1" applyFill="1" applyBorder="1" applyAlignment="1">
      <alignment horizontal="center" vertical="top"/>
    </xf>
    <xf numFmtId="165" fontId="2" fillId="0" borderId="10" xfId="0" applyNumberFormat="1" applyFont="1" applyBorder="1" applyAlignment="1">
      <alignment horizontal="center" vertical="top"/>
    </xf>
    <xf numFmtId="3" fontId="2" fillId="0" borderId="96" xfId="0" applyNumberFormat="1" applyFont="1" applyBorder="1" applyAlignment="1">
      <alignment horizontal="center" vertical="top"/>
    </xf>
    <xf numFmtId="3" fontId="10" fillId="0" borderId="71" xfId="0" applyNumberFormat="1" applyFont="1" applyBorder="1" applyAlignment="1">
      <alignment horizontal="center" vertical="center" wrapText="1"/>
    </xf>
    <xf numFmtId="3" fontId="10" fillId="0" borderId="71" xfId="0" applyNumberFormat="1" applyFont="1" applyBorder="1" applyAlignment="1">
      <alignment horizontal="center"/>
    </xf>
    <xf numFmtId="4" fontId="2" fillId="0" borderId="10" xfId="0" applyNumberFormat="1" applyFont="1" applyBorder="1" applyAlignment="1">
      <alignment horizontal="center" vertical="top"/>
    </xf>
    <xf numFmtId="3" fontId="2" fillId="0" borderId="20" xfId="0" applyNumberFormat="1" applyFont="1" applyBorder="1" applyAlignment="1">
      <alignment horizontal="center" vertical="top"/>
    </xf>
    <xf numFmtId="4" fontId="10" fillId="0" borderId="20" xfId="0" applyNumberFormat="1" applyFont="1" applyBorder="1" applyAlignment="1">
      <alignment horizontal="center"/>
    </xf>
    <xf numFmtId="165" fontId="2" fillId="0" borderId="20" xfId="0" applyNumberFormat="1" applyFont="1" applyBorder="1" applyAlignment="1">
      <alignment horizontal="center" vertical="top"/>
    </xf>
    <xf numFmtId="0" fontId="2" fillId="0" borderId="108" xfId="0" applyFont="1" applyBorder="1" applyAlignment="1">
      <alignment vertical="top"/>
    </xf>
    <xf numFmtId="3" fontId="2" fillId="2" borderId="77" xfId="0" applyNumberFormat="1" applyFont="1" applyFill="1" applyBorder="1" applyAlignment="1">
      <alignment horizontal="center" vertical="top"/>
    </xf>
    <xf numFmtId="3" fontId="2" fillId="0" borderId="35" xfId="0" applyNumberFormat="1" applyFont="1" applyBorder="1" applyAlignment="1">
      <alignment horizontal="center" vertical="top"/>
    </xf>
    <xf numFmtId="0" fontId="2" fillId="0" borderId="35" xfId="0" applyFont="1" applyBorder="1" applyAlignment="1">
      <alignment horizontal="center" vertical="top"/>
    </xf>
    <xf numFmtId="0" fontId="2" fillId="0" borderId="109" xfId="0" applyFont="1" applyBorder="1" applyAlignment="1">
      <alignment vertical="top"/>
    </xf>
    <xf numFmtId="0" fontId="2" fillId="0" borderId="110" xfId="0" applyFont="1" applyBorder="1" applyAlignment="1">
      <alignment horizontal="center" vertical="top"/>
    </xf>
    <xf numFmtId="0" fontId="2" fillId="0" borderId="111" xfId="0" applyFont="1" applyBorder="1" applyAlignment="1">
      <alignment horizontal="center" vertical="top"/>
    </xf>
    <xf numFmtId="0" fontId="2" fillId="0" borderId="34" xfId="0" applyFont="1" applyBorder="1" applyAlignment="1">
      <alignment horizontal="center" vertical="top"/>
    </xf>
    <xf numFmtId="0" fontId="2" fillId="0" borderId="56" xfId="0" applyFont="1" applyBorder="1" applyAlignment="1">
      <alignment horizontal="center" vertical="top"/>
    </xf>
    <xf numFmtId="0" fontId="2" fillId="0" borderId="58" xfId="0" applyFont="1" applyBorder="1" applyAlignment="1">
      <alignment horizontal="center" vertical="top"/>
    </xf>
    <xf numFmtId="3" fontId="2" fillId="0" borderId="58" xfId="0" applyNumberFormat="1" applyFont="1" applyBorder="1" applyAlignment="1">
      <alignment horizontal="center" vertical="top"/>
    </xf>
    <xf numFmtId="4" fontId="10" fillId="0" borderId="58" xfId="0" applyNumberFormat="1" applyFont="1" applyBorder="1" applyAlignment="1">
      <alignment horizontal="center"/>
    </xf>
    <xf numFmtId="3" fontId="2" fillId="2" borderId="45" xfId="0" applyNumberFormat="1" applyFont="1" applyFill="1" applyBorder="1" applyAlignment="1">
      <alignment horizontal="center" vertical="top"/>
    </xf>
    <xf numFmtId="3" fontId="2" fillId="0" borderId="56" xfId="0" applyNumberFormat="1" applyFont="1" applyBorder="1" applyAlignment="1">
      <alignment horizontal="center" vertical="top"/>
    </xf>
    <xf numFmtId="3" fontId="10" fillId="0" borderId="58" xfId="0" applyNumberFormat="1" applyFont="1" applyBorder="1" applyAlignment="1">
      <alignment horizontal="center"/>
    </xf>
    <xf numFmtId="165" fontId="2" fillId="0" borderId="58" xfId="0" applyNumberFormat="1" applyFont="1" applyBorder="1" applyAlignment="1">
      <alignment horizontal="center" vertical="top"/>
    </xf>
    <xf numFmtId="0" fontId="2" fillId="0" borderId="47" xfId="0" applyFont="1" applyBorder="1" applyAlignment="1">
      <alignment vertical="center"/>
    </xf>
    <xf numFmtId="166" fontId="2" fillId="0" borderId="0" xfId="0" applyNumberFormat="1" applyFont="1" applyAlignment="1">
      <alignment horizontal="center"/>
    </xf>
    <xf numFmtId="0" fontId="2" fillId="2" borderId="0" xfId="0" applyFont="1" applyFill="1"/>
    <xf numFmtId="0" fontId="0" fillId="2" borderId="68" xfId="0" applyFill="1" applyBorder="1" applyAlignment="1">
      <alignment horizontal="center"/>
    </xf>
    <xf numFmtId="0" fontId="2" fillId="6" borderId="0" xfId="0" applyFont="1" applyFill="1"/>
    <xf numFmtId="9" fontId="2" fillId="0" borderId="0" xfId="3" applyFont="1"/>
    <xf numFmtId="0" fontId="0" fillId="2" borderId="49" xfId="0" applyFill="1" applyBorder="1"/>
    <xf numFmtId="0" fontId="0" fillId="2" borderId="34" xfId="0" applyFill="1" applyBorder="1"/>
    <xf numFmtId="0" fontId="5" fillId="0" borderId="47" xfId="0" applyFont="1" applyBorder="1"/>
    <xf numFmtId="0" fontId="5" fillId="0" borderId="71" xfId="0" applyFont="1" applyBorder="1" applyAlignment="1">
      <alignment horizontal="center"/>
    </xf>
    <xf numFmtId="4" fontId="0" fillId="0" borderId="20" xfId="0" applyNumberFormat="1" applyBorder="1" applyAlignment="1">
      <alignment horizontal="center"/>
    </xf>
    <xf numFmtId="4" fontId="0" fillId="0" borderId="71" xfId="0" applyNumberFormat="1" applyBorder="1" applyAlignment="1">
      <alignment horizontal="center"/>
    </xf>
    <xf numFmtId="4" fontId="0" fillId="0" borderId="0" xfId="0" applyNumberFormat="1"/>
    <xf numFmtId="0" fontId="0" fillId="0" borderId="112" xfId="0" applyBorder="1" applyAlignment="1">
      <alignment horizontal="center"/>
    </xf>
    <xf numFmtId="174" fontId="0" fillId="0" borderId="20" xfId="0" applyNumberFormat="1" applyBorder="1" applyAlignment="1">
      <alignment horizontal="center"/>
    </xf>
    <xf numFmtId="10" fontId="33" fillId="0" borderId="16" xfId="0" applyNumberFormat="1" applyFont="1" applyBorder="1"/>
    <xf numFmtId="175" fontId="33" fillId="0" borderId="16" xfId="3" applyNumberFormat="1" applyFont="1" applyBorder="1"/>
    <xf numFmtId="175" fontId="0" fillId="0" borderId="71" xfId="3" applyNumberFormat="1" applyFont="1" applyBorder="1" applyAlignment="1">
      <alignment horizontal="center"/>
    </xf>
    <xf numFmtId="0" fontId="0" fillId="0" borderId="72" xfId="0" applyBorder="1" applyAlignment="1">
      <alignment horizontal="center"/>
    </xf>
    <xf numFmtId="0" fontId="5" fillId="0" borderId="36" xfId="0" applyFont="1" applyBorder="1" applyAlignment="1">
      <alignment horizontal="center"/>
    </xf>
    <xf numFmtId="0" fontId="5" fillId="0" borderId="44" xfId="0" applyFont="1" applyBorder="1" applyAlignment="1">
      <alignment horizontal="center"/>
    </xf>
    <xf numFmtId="0" fontId="0" fillId="31" borderId="113" xfId="0" applyFill="1" applyBorder="1"/>
    <xf numFmtId="0" fontId="0" fillId="25" borderId="0" xfId="0" applyFill="1"/>
    <xf numFmtId="2" fontId="0" fillId="0" borderId="41" xfId="0" applyNumberFormat="1" applyBorder="1"/>
    <xf numFmtId="2" fontId="0" fillId="0" borderId="42" xfId="0" applyNumberFormat="1" applyBorder="1"/>
    <xf numFmtId="2" fontId="0" fillId="0" borderId="46" xfId="0" applyNumberFormat="1" applyBorder="1"/>
    <xf numFmtId="2" fontId="0" fillId="0" borderId="47" xfId="0" applyNumberFormat="1" applyBorder="1"/>
    <xf numFmtId="2" fontId="5" fillId="0" borderId="47" xfId="0" applyNumberFormat="1" applyFont="1" applyBorder="1"/>
    <xf numFmtId="2" fontId="5" fillId="0" borderId="0" xfId="0" applyNumberFormat="1" applyFont="1"/>
    <xf numFmtId="2" fontId="0" fillId="0" borderId="0" xfId="0" applyNumberFormat="1"/>
    <xf numFmtId="2" fontId="0" fillId="0" borderId="44" xfId="0" applyNumberFormat="1" applyBorder="1"/>
    <xf numFmtId="2" fontId="5" fillId="0" borderId="0" xfId="0" applyNumberFormat="1" applyFont="1" applyAlignment="1">
      <alignment horizontal="center" vertical="center"/>
    </xf>
    <xf numFmtId="2" fontId="0" fillId="0" borderId="20" xfId="0" applyNumberFormat="1" applyBorder="1" applyAlignment="1">
      <alignment horizontal="center"/>
    </xf>
    <xf numFmtId="0" fontId="5" fillId="0" borderId="16" xfId="0" applyFont="1" applyBorder="1" applyAlignment="1">
      <alignment horizontal="left"/>
    </xf>
    <xf numFmtId="0" fontId="0" fillId="2" borderId="16" xfId="0" applyFill="1" applyBorder="1" applyAlignment="1">
      <alignment horizontal="left"/>
    </xf>
    <xf numFmtId="0" fontId="5" fillId="2" borderId="16" xfId="0" applyFont="1" applyFill="1" applyBorder="1" applyAlignment="1">
      <alignment horizontal="left"/>
    </xf>
    <xf numFmtId="0" fontId="0" fillId="0" borderId="16" xfId="0" applyBorder="1"/>
    <xf numFmtId="0" fontId="0" fillId="0" borderId="114" xfId="0" applyBorder="1"/>
    <xf numFmtId="0" fontId="5" fillId="0" borderId="115" xfId="0" applyFont="1" applyBorder="1" applyAlignment="1">
      <alignment horizontal="left"/>
    </xf>
    <xf numFmtId="0" fontId="0" fillId="2" borderId="115" xfId="0" applyFill="1" applyBorder="1" applyAlignment="1">
      <alignment horizontal="left"/>
    </xf>
    <xf numFmtId="0" fontId="0" fillId="0" borderId="116" xfId="0" applyBorder="1"/>
    <xf numFmtId="0" fontId="0" fillId="0" borderId="104" xfId="0" applyBorder="1"/>
    <xf numFmtId="0" fontId="0" fillId="0" borderId="105" xfId="0" applyBorder="1"/>
    <xf numFmtId="0" fontId="0" fillId="0" borderId="106" xfId="0" applyBorder="1"/>
    <xf numFmtId="0" fontId="5" fillId="0" borderId="21" xfId="0" applyFont="1" applyBorder="1" applyAlignment="1">
      <alignment horizontal="left"/>
    </xf>
    <xf numFmtId="0" fontId="0" fillId="2" borderId="21" xfId="0" applyFill="1" applyBorder="1" applyAlignment="1">
      <alignment horizontal="left"/>
    </xf>
    <xf numFmtId="0" fontId="5" fillId="2" borderId="21" xfId="0" applyFont="1" applyFill="1" applyBorder="1" applyAlignment="1">
      <alignment horizontal="left"/>
    </xf>
    <xf numFmtId="0" fontId="0" fillId="2" borderId="107" xfId="0" applyFill="1" applyBorder="1" applyAlignment="1">
      <alignment horizontal="left"/>
    </xf>
    <xf numFmtId="0" fontId="27" fillId="0" borderId="0" xfId="0" applyFont="1"/>
    <xf numFmtId="0" fontId="34" fillId="0" borderId="0" xfId="0" applyFont="1"/>
    <xf numFmtId="2" fontId="0" fillId="0" borderId="0" xfId="0" applyNumberFormat="1" applyAlignment="1">
      <alignment horizontal="center"/>
    </xf>
    <xf numFmtId="0" fontId="0" fillId="0" borderId="20" xfId="0" applyBorder="1"/>
    <xf numFmtId="0" fontId="27" fillId="0" borderId="20" xfId="0" applyFont="1" applyBorder="1"/>
    <xf numFmtId="1" fontId="0" fillId="18" borderId="69" xfId="0" applyNumberFormat="1" applyFill="1" applyBorder="1" applyAlignment="1">
      <alignment horizontal="center"/>
    </xf>
    <xf numFmtId="0" fontId="0" fillId="0" borderId="20" xfId="0" applyBorder="1" applyAlignment="1">
      <alignment horizontal="center"/>
    </xf>
    <xf numFmtId="1" fontId="0" fillId="18" borderId="20" xfId="0" applyNumberFormat="1" applyFill="1" applyBorder="1" applyAlignment="1">
      <alignment horizontal="center"/>
    </xf>
    <xf numFmtId="0" fontId="0" fillId="8" borderId="57" xfId="0" applyFill="1" applyBorder="1" applyAlignment="1">
      <alignment horizontal="center"/>
    </xf>
    <xf numFmtId="0" fontId="0" fillId="8" borderId="20" xfId="0" applyFill="1" applyBorder="1" applyAlignment="1">
      <alignment horizontal="center"/>
    </xf>
    <xf numFmtId="2" fontId="0" fillId="8" borderId="20" xfId="0" applyNumberFormat="1" applyFill="1" applyBorder="1" applyAlignment="1">
      <alignment horizontal="center"/>
    </xf>
    <xf numFmtId="0" fontId="5" fillId="8" borderId="20" xfId="0" applyFont="1" applyFill="1" applyBorder="1" applyAlignment="1">
      <alignment horizontal="center"/>
    </xf>
    <xf numFmtId="1" fontId="5" fillId="29" borderId="20" xfId="0" applyNumberFormat="1" applyFont="1" applyFill="1" applyBorder="1" applyAlignment="1">
      <alignment horizontal="center"/>
    </xf>
    <xf numFmtId="0" fontId="5" fillId="32" borderId="20" xfId="0" applyFont="1" applyFill="1" applyBorder="1" applyAlignment="1">
      <alignment horizontal="center"/>
    </xf>
    <xf numFmtId="0" fontId="0" fillId="32" borderId="20" xfId="0" applyFill="1" applyBorder="1" applyAlignment="1">
      <alignment horizontal="center"/>
    </xf>
    <xf numFmtId="0" fontId="5" fillId="32" borderId="62" xfId="0" applyFont="1" applyFill="1" applyBorder="1" applyAlignment="1">
      <alignment horizontal="center"/>
    </xf>
    <xf numFmtId="4" fontId="2" fillId="0" borderId="20" xfId="0" applyNumberFormat="1" applyFont="1" applyBorder="1" applyAlignment="1">
      <alignment horizontal="center" vertical="top"/>
    </xf>
    <xf numFmtId="2" fontId="7" fillId="0" borderId="20" xfId="0" applyNumberFormat="1" applyFont="1" applyBorder="1" applyAlignment="1">
      <alignment horizontal="center" vertical="top"/>
    </xf>
    <xf numFmtId="2" fontId="2" fillId="0" borderId="20" xfId="0" applyNumberFormat="1" applyFont="1" applyBorder="1" applyAlignment="1">
      <alignment horizontal="center" vertical="top"/>
    </xf>
    <xf numFmtId="2" fontId="5" fillId="0" borderId="20" xfId="0" applyNumberFormat="1" applyFont="1" applyBorder="1" applyAlignment="1">
      <alignment horizontal="center"/>
    </xf>
    <xf numFmtId="168" fontId="0" fillId="0" borderId="42" xfId="0" applyNumberFormat="1" applyBorder="1" applyAlignment="1">
      <alignment horizontal="center"/>
    </xf>
    <xf numFmtId="0" fontId="0" fillId="0" borderId="0" xfId="0" applyAlignment="1">
      <alignment horizontal="center" wrapText="1"/>
    </xf>
    <xf numFmtId="0" fontId="0" fillId="0" borderId="44" xfId="0" applyBorder="1" applyAlignment="1">
      <alignment horizontal="center"/>
    </xf>
    <xf numFmtId="0" fontId="5" fillId="0" borderId="16" xfId="0" applyFont="1" applyBorder="1"/>
    <xf numFmtId="0" fontId="5" fillId="0" borderId="119" xfId="0" applyFont="1" applyBorder="1"/>
    <xf numFmtId="0" fontId="5" fillId="0" borderId="123" xfId="0" applyFont="1" applyBorder="1"/>
    <xf numFmtId="0" fontId="5" fillId="0" borderId="30" xfId="0" applyFont="1" applyBorder="1"/>
    <xf numFmtId="0" fontId="0" fillId="0" borderId="78" xfId="0" applyBorder="1" applyAlignment="1">
      <alignment horizontal="center"/>
    </xf>
    <xf numFmtId="0" fontId="0" fillId="0" borderId="89" xfId="0" applyBorder="1" applyAlignment="1">
      <alignment horizontal="center"/>
    </xf>
    <xf numFmtId="0" fontId="0" fillId="0" borderId="90" xfId="0" applyBorder="1" applyAlignment="1">
      <alignment horizontal="center"/>
    </xf>
    <xf numFmtId="0" fontId="0" fillId="0" borderId="88" xfId="0" applyBorder="1" applyAlignment="1">
      <alignment horizontal="center"/>
    </xf>
    <xf numFmtId="0" fontId="5" fillId="0" borderId="59" xfId="0" applyFont="1" applyBorder="1" applyAlignment="1">
      <alignment horizontal="center"/>
    </xf>
    <xf numFmtId="0" fontId="5" fillId="0" borderId="60" xfId="0" applyFont="1" applyBorder="1" applyAlignment="1">
      <alignment horizontal="center"/>
    </xf>
    <xf numFmtId="2" fontId="5" fillId="21" borderId="57" xfId="0" applyNumberFormat="1" applyFont="1" applyFill="1" applyBorder="1" applyAlignment="1">
      <alignment horizontal="center"/>
    </xf>
    <xf numFmtId="2" fontId="5" fillId="21" borderId="20" xfId="0" applyNumberFormat="1" applyFont="1" applyFill="1" applyBorder="1" applyAlignment="1">
      <alignment horizontal="center"/>
    </xf>
    <xf numFmtId="2" fontId="5" fillId="21" borderId="61" xfId="0" applyNumberFormat="1" applyFont="1" applyFill="1" applyBorder="1" applyAlignment="1">
      <alignment horizontal="center"/>
    </xf>
    <xf numFmtId="2" fontId="5" fillId="21" borderId="58" xfId="0" applyNumberFormat="1" applyFont="1" applyFill="1" applyBorder="1" applyAlignment="1">
      <alignment horizontal="center"/>
    </xf>
    <xf numFmtId="2" fontId="5" fillId="21" borderId="62" xfId="0" applyNumberFormat="1" applyFont="1" applyFill="1" applyBorder="1" applyAlignment="1">
      <alignment horizontal="center"/>
    </xf>
    <xf numFmtId="2" fontId="5" fillId="21" borderId="63" xfId="0" applyNumberFormat="1" applyFont="1" applyFill="1" applyBorder="1" applyAlignment="1">
      <alignment horizontal="center"/>
    </xf>
    <xf numFmtId="0" fontId="5" fillId="35" borderId="16" xfId="0" applyFont="1" applyFill="1" applyBorder="1" applyAlignment="1">
      <alignment horizontal="center"/>
    </xf>
    <xf numFmtId="0" fontId="0" fillId="35" borderId="16" xfId="0" applyFill="1" applyBorder="1" applyAlignment="1">
      <alignment horizontal="center"/>
    </xf>
    <xf numFmtId="1" fontId="0" fillId="0" borderId="20" xfId="0" applyNumberFormat="1" applyBorder="1" applyAlignment="1">
      <alignment horizontal="center"/>
    </xf>
    <xf numFmtId="0" fontId="0" fillId="0" borderId="50" xfId="0" applyBorder="1" applyAlignment="1">
      <alignment horizontal="center"/>
    </xf>
    <xf numFmtId="0" fontId="30" fillId="0" borderId="0" xfId="0" applyFont="1" applyAlignment="1">
      <alignment horizontal="center"/>
    </xf>
    <xf numFmtId="0" fontId="0" fillId="0" borderId="0" xfId="0" applyAlignment="1">
      <alignment horizontal="center" vertical="center"/>
    </xf>
    <xf numFmtId="0" fontId="2" fillId="7" borderId="0" xfId="0" applyFont="1" applyFill="1" applyAlignment="1">
      <alignment horizontal="center" vertical="center"/>
    </xf>
    <xf numFmtId="0" fontId="0" fillId="6" borderId="68" xfId="0" applyFill="1" applyBorder="1" applyAlignment="1">
      <alignment horizontal="center"/>
    </xf>
    <xf numFmtId="0" fontId="0" fillId="34" borderId="16" xfId="0" applyFill="1" applyBorder="1" applyAlignment="1">
      <alignment horizontal="center"/>
    </xf>
    <xf numFmtId="2" fontId="0" fillId="0" borderId="42" xfId="0" applyNumberFormat="1" applyBorder="1" applyAlignment="1">
      <alignment horizontal="center"/>
    </xf>
    <xf numFmtId="168" fontId="5" fillId="0" borderId="127" xfId="0" applyNumberFormat="1" applyFont="1" applyBorder="1" applyAlignment="1">
      <alignment horizontal="center"/>
    </xf>
    <xf numFmtId="0" fontId="27" fillId="0" borderId="0" xfId="0" applyFont="1" applyAlignment="1">
      <alignment horizontal="center"/>
    </xf>
    <xf numFmtId="1" fontId="0" fillId="0" borderId="0" xfId="0" applyNumberFormat="1"/>
    <xf numFmtId="175" fontId="0" fillId="0" borderId="0" xfId="3" applyNumberFormat="1" applyFont="1"/>
    <xf numFmtId="175" fontId="0" fillId="0" borderId="0" xfId="0" applyNumberFormat="1"/>
    <xf numFmtId="0" fontId="0" fillId="0" borderId="62" xfId="0" applyBorder="1" applyAlignment="1">
      <alignment horizontal="center" vertical="center"/>
    </xf>
    <xf numFmtId="0" fontId="0" fillId="0" borderId="63" xfId="0" applyBorder="1" applyAlignment="1">
      <alignment horizontal="center" vertical="center"/>
    </xf>
    <xf numFmtId="9" fontId="0" fillId="0" borderId="0" xfId="0" applyNumberFormat="1"/>
    <xf numFmtId="0" fontId="0" fillId="12" borderId="0" xfId="0" applyFill="1"/>
    <xf numFmtId="164" fontId="0" fillId="12" borderId="0" xfId="0" applyNumberFormat="1" applyFill="1"/>
    <xf numFmtId="8" fontId="0" fillId="12" borderId="0" xfId="0" applyNumberFormat="1" applyFill="1"/>
    <xf numFmtId="0" fontId="0" fillId="0" borderId="0" xfId="0" applyAlignment="1">
      <alignment vertical="center"/>
    </xf>
    <xf numFmtId="169" fontId="0" fillId="0" borderId="35" xfId="0" applyNumberFormat="1" applyBorder="1" applyAlignment="1">
      <alignment horizontal="center"/>
    </xf>
    <xf numFmtId="169" fontId="0" fillId="0" borderId="20" xfId="0" applyNumberFormat="1" applyBorder="1" applyAlignment="1">
      <alignment horizontal="center"/>
    </xf>
    <xf numFmtId="169" fontId="0" fillId="0" borderId="58" xfId="0" applyNumberFormat="1" applyBorder="1" applyAlignment="1">
      <alignment horizontal="center"/>
    </xf>
    <xf numFmtId="169" fontId="0" fillId="0" borderId="62" xfId="0" applyNumberFormat="1" applyBorder="1" applyAlignment="1">
      <alignment horizontal="center"/>
    </xf>
    <xf numFmtId="169" fontId="0" fillId="0" borderId="63" xfId="0" applyNumberFormat="1" applyBorder="1" applyAlignment="1">
      <alignment horizontal="center"/>
    </xf>
    <xf numFmtId="169" fontId="0" fillId="29" borderId="56" xfId="0" applyNumberFormat="1" applyFill="1" applyBorder="1" applyAlignment="1">
      <alignment horizontal="center"/>
    </xf>
    <xf numFmtId="169" fontId="0" fillId="29" borderId="20" xfId="0" applyNumberFormat="1" applyFill="1" applyBorder="1" applyAlignment="1">
      <alignment horizontal="center"/>
    </xf>
    <xf numFmtId="169" fontId="0" fillId="29" borderId="58" xfId="0" applyNumberFormat="1" applyFill="1" applyBorder="1" applyAlignment="1">
      <alignment horizontal="center"/>
    </xf>
    <xf numFmtId="169" fontId="0" fillId="29" borderId="62" xfId="0" applyNumberFormat="1" applyFill="1" applyBorder="1" applyAlignment="1">
      <alignment horizontal="center"/>
    </xf>
    <xf numFmtId="0" fontId="10" fillId="0" borderId="3" xfId="0" applyFont="1" applyBorder="1"/>
    <xf numFmtId="0" fontId="1" fillId="0" borderId="16" xfId="0" applyFont="1" applyBorder="1" applyAlignment="1">
      <alignment horizontal="center"/>
    </xf>
    <xf numFmtId="170" fontId="1" fillId="0" borderId="16" xfId="0" applyNumberFormat="1" applyFont="1" applyBorder="1" applyAlignment="1">
      <alignment horizontal="center"/>
    </xf>
    <xf numFmtId="0" fontId="0" fillId="0" borderId="34" xfId="0" applyBorder="1" applyAlignment="1">
      <alignment horizontal="center" vertical="center"/>
    </xf>
    <xf numFmtId="0" fontId="0" fillId="0" borderId="81" xfId="0" applyBorder="1" applyAlignment="1">
      <alignment horizontal="center" vertical="center"/>
    </xf>
    <xf numFmtId="0" fontId="0" fillId="0" borderId="137" xfId="0" applyBorder="1" applyAlignment="1">
      <alignment horizontal="center" vertical="center"/>
    </xf>
    <xf numFmtId="0" fontId="0" fillId="0" borderId="138" xfId="0" applyBorder="1" applyAlignment="1">
      <alignment horizontal="center"/>
    </xf>
    <xf numFmtId="0" fontId="0" fillId="0" borderId="137" xfId="0" applyBorder="1" applyAlignment="1">
      <alignment horizontal="center"/>
    </xf>
    <xf numFmtId="0" fontId="0" fillId="9" borderId="20" xfId="0" applyFill="1" applyBorder="1" applyAlignment="1">
      <alignment horizontal="center"/>
    </xf>
    <xf numFmtId="3" fontId="3" fillId="0" borderId="10" xfId="0" applyNumberFormat="1" applyFont="1" applyBorder="1" applyAlignment="1">
      <alignment vertical="top"/>
    </xf>
    <xf numFmtId="165" fontId="2" fillId="0" borderId="77" xfId="0" applyNumberFormat="1" applyFont="1" applyBorder="1" applyAlignment="1">
      <alignment horizontal="center" vertical="top"/>
    </xf>
    <xf numFmtId="0" fontId="35" fillId="0" borderId="3" xfId="0" applyFont="1" applyBorder="1" applyAlignment="1">
      <alignment vertical="top"/>
    </xf>
    <xf numFmtId="0" fontId="35" fillId="0" borderId="8" xfId="0" applyFont="1" applyBorder="1" applyAlignment="1">
      <alignment horizontal="center" vertical="top"/>
    </xf>
    <xf numFmtId="0" fontId="35" fillId="0" borderId="141" xfId="0" applyFont="1" applyBorder="1" applyAlignment="1">
      <alignment horizontal="center" vertical="top"/>
    </xf>
    <xf numFmtId="0" fontId="36" fillId="0" borderId="15" xfId="0" applyFont="1" applyBorder="1" applyAlignment="1">
      <alignment vertical="top"/>
    </xf>
    <xf numFmtId="0" fontId="36" fillId="0" borderId="16" xfId="0" applyFont="1" applyBorder="1" applyAlignment="1">
      <alignment horizontal="center" vertical="top"/>
    </xf>
    <xf numFmtId="0" fontId="36" fillId="0" borderId="1" xfId="0" applyFont="1" applyBorder="1" applyAlignment="1">
      <alignment horizontal="center" vertical="top"/>
    </xf>
    <xf numFmtId="0" fontId="35" fillId="0" borderId="15" xfId="0" applyFont="1" applyBorder="1" applyAlignment="1">
      <alignment vertical="top"/>
    </xf>
    <xf numFmtId="0" fontId="37" fillId="0" borderId="16" xfId="0" applyFont="1" applyBorder="1" applyAlignment="1">
      <alignment horizontal="center" vertical="top"/>
    </xf>
    <xf numFmtId="0" fontId="37" fillId="0" borderId="1" xfId="0" applyFont="1" applyBorder="1" applyAlignment="1">
      <alignment horizontal="center" vertical="top"/>
    </xf>
    <xf numFmtId="0" fontId="36" fillId="0" borderId="9" xfId="0" applyFont="1" applyBorder="1" applyAlignment="1">
      <alignment vertical="top"/>
    </xf>
    <xf numFmtId="0" fontId="36" fillId="0" borderId="142" xfId="0" applyFont="1" applyBorder="1" applyAlignment="1">
      <alignment horizontal="center" vertical="top"/>
    </xf>
    <xf numFmtId="0" fontId="36" fillId="0" borderId="2" xfId="0" applyFont="1" applyBorder="1" applyAlignment="1">
      <alignment horizontal="center" vertical="top"/>
    </xf>
    <xf numFmtId="0" fontId="2" fillId="24" borderId="108" xfId="0" applyFont="1" applyFill="1" applyBorder="1" applyAlignment="1">
      <alignment vertical="top"/>
    </xf>
    <xf numFmtId="0" fontId="2" fillId="24" borderId="20" xfId="0" applyFont="1" applyFill="1" applyBorder="1" applyAlignment="1">
      <alignment horizontal="center" vertical="top"/>
    </xf>
    <xf numFmtId="0" fontId="2" fillId="24" borderId="28" xfId="0" applyFont="1" applyFill="1" applyBorder="1" applyAlignment="1">
      <alignment horizontal="left" vertical="top"/>
    </xf>
    <xf numFmtId="3" fontId="2" fillId="24" borderId="4" xfId="0" applyNumberFormat="1" applyFont="1" applyFill="1" applyBorder="1" applyAlignment="1">
      <alignment horizontal="center" vertical="top"/>
    </xf>
    <xf numFmtId="3" fontId="2" fillId="24" borderId="20" xfId="0" applyNumberFormat="1" applyFont="1" applyFill="1" applyBorder="1" applyAlignment="1">
      <alignment horizontal="center" vertical="top"/>
    </xf>
    <xf numFmtId="3" fontId="2" fillId="24" borderId="58" xfId="0" applyNumberFormat="1" applyFont="1" applyFill="1" applyBorder="1" applyAlignment="1">
      <alignment horizontal="center" vertical="top"/>
    </xf>
    <xf numFmtId="0" fontId="10" fillId="0" borderId="20" xfId="0" applyFont="1" applyBorder="1" applyAlignment="1">
      <alignment horizontal="center"/>
    </xf>
    <xf numFmtId="9" fontId="10" fillId="0" borderId="20" xfId="0" applyNumberFormat="1" applyFont="1" applyBorder="1" applyAlignment="1">
      <alignment horizontal="center"/>
    </xf>
    <xf numFmtId="9" fontId="2" fillId="0" borderId="20" xfId="0" applyNumberFormat="1" applyFont="1" applyBorder="1" applyAlignment="1">
      <alignment horizontal="center" vertical="top"/>
    </xf>
    <xf numFmtId="0" fontId="2" fillId="0" borderId="108" xfId="0" applyFont="1" applyBorder="1" applyAlignment="1">
      <alignment horizontal="left" vertical="top"/>
    </xf>
    <xf numFmtId="3" fontId="2" fillId="0" borderId="20" xfId="0" applyNumberFormat="1" applyFont="1" applyBorder="1" applyAlignment="1">
      <alignment horizontal="center"/>
    </xf>
    <xf numFmtId="9" fontId="3" fillId="0" borderId="20" xfId="0" applyNumberFormat="1" applyFont="1" applyBorder="1" applyAlignment="1">
      <alignment horizontal="center" vertical="top"/>
    </xf>
    <xf numFmtId="9" fontId="4" fillId="0" borderId="0" xfId="0" applyNumberFormat="1" applyFont="1" applyAlignment="1">
      <alignment horizontal="center"/>
    </xf>
    <xf numFmtId="0" fontId="2" fillId="21" borderId="28" xfId="0" applyFont="1" applyFill="1" applyBorder="1" applyAlignment="1">
      <alignment horizontal="center" vertical="top"/>
    </xf>
    <xf numFmtId="0" fontId="2" fillId="21" borderId="8" xfId="0" applyFont="1" applyFill="1" applyBorder="1" applyAlignment="1">
      <alignment horizontal="center" vertical="top"/>
    </xf>
    <xf numFmtId="0" fontId="2" fillId="21" borderId="8" xfId="0" applyFont="1" applyFill="1" applyBorder="1" applyAlignment="1">
      <alignment horizontal="center"/>
    </xf>
    <xf numFmtId="0" fontId="2" fillId="21" borderId="38" xfId="0" applyFont="1" applyFill="1" applyBorder="1" applyAlignment="1">
      <alignment horizontal="center" vertical="top"/>
    </xf>
    <xf numFmtId="0" fontId="2" fillId="21" borderId="35" xfId="0" applyFont="1" applyFill="1" applyBorder="1" applyAlignment="1">
      <alignment horizontal="center" vertical="top"/>
    </xf>
    <xf numFmtId="0" fontId="2" fillId="21" borderId="35" xfId="0" applyFont="1" applyFill="1" applyBorder="1" applyAlignment="1">
      <alignment horizontal="center"/>
    </xf>
    <xf numFmtId="0" fontId="2" fillId="21" borderId="56" xfId="0" applyFont="1" applyFill="1" applyBorder="1" applyAlignment="1">
      <alignment horizontal="center"/>
    </xf>
    <xf numFmtId="0" fontId="2" fillId="21" borderId="30" xfId="0" applyFont="1" applyFill="1" applyBorder="1" applyAlignment="1">
      <alignment horizontal="center" vertical="top"/>
    </xf>
    <xf numFmtId="2" fontId="2" fillId="21" borderId="16" xfId="0" applyNumberFormat="1" applyFont="1" applyFill="1" applyBorder="1" applyAlignment="1">
      <alignment horizontal="center" vertical="top"/>
    </xf>
    <xf numFmtId="2" fontId="2" fillId="21" borderId="16" xfId="0" applyNumberFormat="1" applyFont="1" applyFill="1" applyBorder="1" applyAlignment="1">
      <alignment horizontal="center"/>
    </xf>
    <xf numFmtId="2" fontId="2" fillId="21" borderId="37" xfId="0" applyNumberFormat="1" applyFont="1" applyFill="1" applyBorder="1" applyAlignment="1">
      <alignment horizontal="center" vertical="top"/>
    </xf>
    <xf numFmtId="2" fontId="2" fillId="21" borderId="20" xfId="0" applyNumberFormat="1" applyFont="1" applyFill="1" applyBorder="1" applyAlignment="1">
      <alignment horizontal="center" vertical="top"/>
    </xf>
    <xf numFmtId="2" fontId="2" fillId="21" borderId="20" xfId="0" applyNumberFormat="1" applyFont="1" applyFill="1" applyBorder="1" applyAlignment="1">
      <alignment horizontal="center"/>
    </xf>
    <xf numFmtId="2" fontId="2" fillId="21" borderId="58" xfId="0" applyNumberFormat="1" applyFont="1" applyFill="1" applyBorder="1" applyAlignment="1">
      <alignment horizontal="center"/>
    </xf>
    <xf numFmtId="0" fontId="2" fillId="21" borderId="30" xfId="0" applyFont="1" applyFill="1" applyBorder="1" applyAlignment="1">
      <alignment horizontal="center"/>
    </xf>
    <xf numFmtId="2" fontId="2" fillId="21" borderId="37" xfId="0" applyNumberFormat="1" applyFont="1" applyFill="1" applyBorder="1" applyAlignment="1">
      <alignment horizontal="center"/>
    </xf>
    <xf numFmtId="2" fontId="2" fillId="21" borderId="36" xfId="0" applyNumberFormat="1" applyFont="1" applyFill="1" applyBorder="1" applyAlignment="1">
      <alignment horizontal="center"/>
    </xf>
    <xf numFmtId="0" fontId="2" fillId="21" borderId="44" xfId="0" applyFont="1" applyFill="1" applyBorder="1"/>
    <xf numFmtId="0" fontId="10" fillId="21" borderId="0" xfId="0" applyFont="1" applyFill="1"/>
    <xf numFmtId="0" fontId="2" fillId="21" borderId="0" xfId="0" applyFont="1" applyFill="1" applyAlignment="1">
      <alignment horizontal="center"/>
    </xf>
    <xf numFmtId="0" fontId="2" fillId="21" borderId="0" xfId="0" applyFont="1" applyFill="1"/>
    <xf numFmtId="0" fontId="2" fillId="21" borderId="0" xfId="0" applyFont="1" applyFill="1" applyAlignment="1">
      <alignment horizontal="center" vertical="top"/>
    </xf>
    <xf numFmtId="0" fontId="2" fillId="21" borderId="84" xfId="0" applyFont="1" applyFill="1" applyBorder="1" applyAlignment="1">
      <alignment horizontal="center" vertical="top"/>
    </xf>
    <xf numFmtId="0" fontId="2" fillId="21" borderId="45" xfId="0" applyFont="1" applyFill="1" applyBorder="1"/>
    <xf numFmtId="0" fontId="2" fillId="21" borderId="44" xfId="0" applyFont="1" applyFill="1" applyBorder="1" applyAlignment="1">
      <alignment horizontal="center"/>
    </xf>
    <xf numFmtId="0" fontId="2" fillId="21" borderId="51" xfId="0" applyFont="1" applyFill="1" applyBorder="1" applyAlignment="1">
      <alignment horizontal="center"/>
    </xf>
    <xf numFmtId="0" fontId="2" fillId="21" borderId="24" xfId="0" applyFont="1" applyFill="1" applyBorder="1" applyAlignment="1">
      <alignment horizontal="center"/>
    </xf>
    <xf numFmtId="167" fontId="2" fillId="21" borderId="28" xfId="0" applyNumberFormat="1" applyFont="1" applyFill="1" applyBorder="1" applyAlignment="1">
      <alignment horizontal="center"/>
    </xf>
    <xf numFmtId="167" fontId="2" fillId="21" borderId="8" xfId="0" applyNumberFormat="1" applyFont="1" applyFill="1" applyBorder="1" applyAlignment="1">
      <alignment horizontal="center"/>
    </xf>
    <xf numFmtId="167" fontId="2" fillId="21" borderId="38" xfId="0" applyNumberFormat="1" applyFont="1" applyFill="1" applyBorder="1" applyAlignment="1">
      <alignment horizontal="center"/>
    </xf>
    <xf numFmtId="167" fontId="2" fillId="21" borderId="35" xfId="0" applyNumberFormat="1" applyFont="1" applyFill="1" applyBorder="1" applyAlignment="1">
      <alignment horizontal="center"/>
    </xf>
    <xf numFmtId="167" fontId="2" fillId="21" borderId="56" xfId="0" applyNumberFormat="1" applyFont="1" applyFill="1" applyBorder="1" applyAlignment="1">
      <alignment horizontal="center"/>
    </xf>
    <xf numFmtId="167" fontId="2" fillId="21" borderId="30" xfId="0" applyNumberFormat="1" applyFont="1" applyFill="1" applyBorder="1" applyAlignment="1">
      <alignment horizontal="center"/>
    </xf>
    <xf numFmtId="167" fontId="2" fillId="21" borderId="16" xfId="0" applyNumberFormat="1" applyFont="1" applyFill="1" applyBorder="1" applyAlignment="1">
      <alignment horizontal="center"/>
    </xf>
    <xf numFmtId="167" fontId="2" fillId="21" borderId="37" xfId="0" applyNumberFormat="1" applyFont="1" applyFill="1" applyBorder="1" applyAlignment="1">
      <alignment horizontal="center"/>
    </xf>
    <xf numFmtId="167" fontId="2" fillId="21" borderId="20" xfId="0" applyNumberFormat="1" applyFont="1" applyFill="1" applyBorder="1" applyAlignment="1">
      <alignment horizontal="center"/>
    </xf>
    <xf numFmtId="167" fontId="2" fillId="21" borderId="58" xfId="0" applyNumberFormat="1" applyFont="1" applyFill="1" applyBorder="1" applyAlignment="1">
      <alignment horizontal="center"/>
    </xf>
    <xf numFmtId="167" fontId="2" fillId="21" borderId="52" xfId="0" applyNumberFormat="1" applyFont="1" applyFill="1" applyBorder="1" applyAlignment="1">
      <alignment horizontal="center"/>
    </xf>
    <xf numFmtId="167" fontId="2" fillId="21" borderId="23" xfId="0" applyNumberFormat="1" applyFont="1" applyFill="1" applyBorder="1" applyAlignment="1">
      <alignment horizontal="center"/>
    </xf>
    <xf numFmtId="167" fontId="2" fillId="21" borderId="31" xfId="0" applyNumberFormat="1" applyFont="1" applyFill="1" applyBorder="1" applyAlignment="1">
      <alignment horizontal="center"/>
    </xf>
    <xf numFmtId="167" fontId="2" fillId="21" borderId="16" xfId="0" applyNumberFormat="1" applyFont="1" applyFill="1" applyBorder="1"/>
    <xf numFmtId="167" fontId="2" fillId="21" borderId="37" xfId="0" applyNumberFormat="1" applyFont="1" applyFill="1" applyBorder="1"/>
    <xf numFmtId="167" fontId="2" fillId="21" borderId="20" xfId="0" applyNumberFormat="1" applyFont="1" applyFill="1" applyBorder="1"/>
    <xf numFmtId="167" fontId="2" fillId="21" borderId="58" xfId="0" applyNumberFormat="1" applyFont="1" applyFill="1" applyBorder="1"/>
    <xf numFmtId="167" fontId="2" fillId="21" borderId="50" xfId="0" applyNumberFormat="1" applyFont="1" applyFill="1" applyBorder="1" applyAlignment="1">
      <alignment horizontal="center"/>
    </xf>
    <xf numFmtId="167" fontId="2" fillId="21" borderId="39" xfId="0" applyNumberFormat="1" applyFont="1" applyFill="1" applyBorder="1" applyAlignment="1">
      <alignment horizontal="center"/>
    </xf>
    <xf numFmtId="167" fontId="2" fillId="21" borderId="36" xfId="0" applyNumberFormat="1" applyFont="1" applyFill="1" applyBorder="1" applyAlignment="1">
      <alignment horizontal="center"/>
    </xf>
    <xf numFmtId="167" fontId="2" fillId="21" borderId="60" xfId="0" applyNumberFormat="1" applyFont="1" applyFill="1" applyBorder="1" applyAlignment="1">
      <alignment horizontal="center"/>
    </xf>
    <xf numFmtId="0" fontId="2" fillId="21" borderId="28" xfId="0" applyFont="1" applyFill="1" applyBorder="1" applyAlignment="1">
      <alignment horizontal="center"/>
    </xf>
    <xf numFmtId="166" fontId="2" fillId="21" borderId="8" xfId="0" applyNumberFormat="1" applyFont="1" applyFill="1" applyBorder="1" applyAlignment="1">
      <alignment horizontal="center"/>
    </xf>
    <xf numFmtId="166" fontId="2" fillId="21" borderId="38" xfId="0" applyNumberFormat="1" applyFont="1" applyFill="1" applyBorder="1" applyAlignment="1">
      <alignment horizontal="center"/>
    </xf>
    <xf numFmtId="166" fontId="2" fillId="21" borderId="35" xfId="0" applyNumberFormat="1" applyFont="1" applyFill="1" applyBorder="1" applyAlignment="1">
      <alignment horizontal="center"/>
    </xf>
    <xf numFmtId="166" fontId="2" fillId="21" borderId="56" xfId="0" applyNumberFormat="1" applyFont="1" applyFill="1" applyBorder="1" applyAlignment="1">
      <alignment horizontal="center"/>
    </xf>
    <xf numFmtId="0" fontId="2" fillId="21" borderId="32" xfId="0" applyFont="1" applyFill="1" applyBorder="1" applyAlignment="1">
      <alignment horizontal="center"/>
    </xf>
    <xf numFmtId="166" fontId="2" fillId="21" borderId="33" xfId="0" applyNumberFormat="1" applyFont="1" applyFill="1" applyBorder="1" applyAlignment="1">
      <alignment horizontal="center"/>
    </xf>
    <xf numFmtId="166" fontId="2" fillId="21" borderId="54" xfId="0" applyNumberFormat="1" applyFont="1" applyFill="1" applyBorder="1" applyAlignment="1">
      <alignment horizontal="center"/>
    </xf>
    <xf numFmtId="166" fontId="2" fillId="21" borderId="62" xfId="0" applyNumberFormat="1" applyFont="1" applyFill="1" applyBorder="1" applyAlignment="1">
      <alignment horizontal="center"/>
    </xf>
    <xf numFmtId="166" fontId="2" fillId="21" borderId="63" xfId="0" applyNumberFormat="1" applyFont="1" applyFill="1" applyBorder="1" applyAlignment="1">
      <alignment horizontal="center"/>
    </xf>
    <xf numFmtId="10" fontId="2" fillId="0" borderId="0" xfId="0" applyNumberFormat="1" applyFont="1"/>
    <xf numFmtId="10" fontId="2" fillId="0" borderId="0" xfId="0" applyNumberFormat="1" applyFont="1" applyAlignment="1">
      <alignment horizontal="center"/>
    </xf>
    <xf numFmtId="4" fontId="2" fillId="0" borderId="0" xfId="0" applyNumberFormat="1" applyFont="1" applyAlignment="1">
      <alignment horizontal="center" vertical="top"/>
    </xf>
    <xf numFmtId="3" fontId="2" fillId="21" borderId="20" xfId="0" applyNumberFormat="1" applyFont="1" applyFill="1" applyBorder="1" applyAlignment="1">
      <alignment horizontal="center" vertical="top"/>
    </xf>
    <xf numFmtId="3" fontId="10" fillId="0" borderId="20" xfId="0" applyNumberFormat="1" applyFont="1" applyBorder="1" applyAlignment="1">
      <alignment horizontal="center" vertical="top"/>
    </xf>
    <xf numFmtId="168" fontId="2" fillId="0" borderId="0" xfId="0" applyNumberFormat="1" applyFont="1" applyAlignment="1">
      <alignment horizontal="center" vertical="center"/>
    </xf>
    <xf numFmtId="164" fontId="4" fillId="0" borderId="0" xfId="0" applyNumberFormat="1" applyFont="1" applyAlignment="1">
      <alignment horizontal="center" vertical="top"/>
    </xf>
    <xf numFmtId="0" fontId="38" fillId="0" borderId="0" xfId="0" applyFont="1"/>
    <xf numFmtId="164" fontId="4" fillId="0" borderId="0" xfId="0" applyNumberFormat="1" applyFont="1" applyAlignment="1">
      <alignment horizontal="center"/>
    </xf>
    <xf numFmtId="164" fontId="3" fillId="0" borderId="0" xfId="0" applyNumberFormat="1" applyFont="1"/>
    <xf numFmtId="168" fontId="2" fillId="0" borderId="47" xfId="0" applyNumberFormat="1" applyFont="1" applyBorder="1" applyAlignment="1">
      <alignment horizontal="center" vertical="center"/>
    </xf>
    <xf numFmtId="164" fontId="2" fillId="0" borderId="20" xfId="0" applyNumberFormat="1" applyFont="1" applyBorder="1" applyAlignment="1">
      <alignment horizontal="center"/>
    </xf>
    <xf numFmtId="0" fontId="2" fillId="0" borderId="108" xfId="0" applyFont="1" applyBorder="1" applyAlignment="1">
      <alignment vertical="top" wrapText="1"/>
    </xf>
    <xf numFmtId="3" fontId="2" fillId="0" borderId="36" xfId="0" applyNumberFormat="1" applyFont="1" applyBorder="1" applyAlignment="1">
      <alignment horizontal="center" vertical="top"/>
    </xf>
    <xf numFmtId="3" fontId="2" fillId="0" borderId="60" xfId="0" applyNumberFormat="1" applyFont="1" applyBorder="1" applyAlignment="1">
      <alignment horizontal="center" vertical="top"/>
    </xf>
    <xf numFmtId="3" fontId="7" fillId="0" borderId="20" xfId="0" applyNumberFormat="1" applyFont="1" applyBorder="1" applyAlignment="1">
      <alignment horizontal="center"/>
    </xf>
    <xf numFmtId="3" fontId="32" fillId="0" borderId="20" xfId="0" applyNumberFormat="1" applyFont="1" applyBorder="1" applyAlignment="1">
      <alignment horizontal="center"/>
    </xf>
    <xf numFmtId="3" fontId="10" fillId="0" borderId="20" xfId="0" applyNumberFormat="1" applyFont="1" applyBorder="1" applyAlignment="1">
      <alignment horizontal="center" vertical="center" wrapText="1"/>
    </xf>
    <xf numFmtId="3" fontId="12" fillId="0" borderId="20" xfId="0" applyNumberFormat="1" applyFont="1" applyBorder="1" applyAlignment="1">
      <alignment horizontal="center"/>
    </xf>
    <xf numFmtId="0" fontId="3" fillId="0" borderId="19" xfId="0" applyFont="1" applyBorder="1" applyAlignment="1">
      <alignment vertical="top"/>
    </xf>
    <xf numFmtId="0" fontId="0" fillId="0" borderId="44" xfId="0" applyBorder="1" applyAlignment="1">
      <alignment vertical="center"/>
    </xf>
    <xf numFmtId="0" fontId="2" fillId="33" borderId="108" xfId="0" applyFont="1" applyFill="1" applyBorder="1" applyAlignment="1">
      <alignment vertical="top"/>
    </xf>
    <xf numFmtId="3" fontId="7" fillId="33" borderId="20" xfId="0" applyNumberFormat="1" applyFont="1" applyFill="1" applyBorder="1" applyAlignment="1">
      <alignment horizontal="center"/>
    </xf>
    <xf numFmtId="3" fontId="10" fillId="33" borderId="20" xfId="0" applyNumberFormat="1" applyFont="1" applyFill="1" applyBorder="1" applyAlignment="1">
      <alignment horizontal="center"/>
    </xf>
    <xf numFmtId="3" fontId="2" fillId="33" borderId="20" xfId="0" applyNumberFormat="1" applyFont="1" applyFill="1" applyBorder="1" applyAlignment="1">
      <alignment horizontal="center" vertical="top"/>
    </xf>
    <xf numFmtId="0" fontId="2" fillId="21" borderId="20" xfId="0" applyFont="1" applyFill="1" applyBorder="1" applyAlignment="1">
      <alignment horizontal="center" vertical="top"/>
    </xf>
    <xf numFmtId="3" fontId="2" fillId="21" borderId="36" xfId="0" applyNumberFormat="1" applyFont="1" applyFill="1" applyBorder="1" applyAlignment="1">
      <alignment horizontal="center" vertical="top"/>
    </xf>
    <xf numFmtId="3" fontId="10" fillId="21" borderId="20" xfId="0" applyNumberFormat="1" applyFont="1" applyFill="1" applyBorder="1" applyAlignment="1">
      <alignment horizontal="center" vertical="top"/>
    </xf>
    <xf numFmtId="4" fontId="10" fillId="21" borderId="20" xfId="0" applyNumberFormat="1" applyFont="1" applyFill="1" applyBorder="1" applyAlignment="1">
      <alignment horizontal="center"/>
    </xf>
    <xf numFmtId="0" fontId="2" fillId="21" borderId="4" xfId="0" applyFont="1" applyFill="1" applyBorder="1" applyAlignment="1">
      <alignment horizontal="center" vertical="top"/>
    </xf>
    <xf numFmtId="165" fontId="2" fillId="21" borderId="10" xfId="0" applyNumberFormat="1" applyFont="1" applyFill="1" applyBorder="1" applyAlignment="1">
      <alignment horizontal="center" vertical="top"/>
    </xf>
    <xf numFmtId="3" fontId="2" fillId="21" borderId="10" xfId="0" applyNumberFormat="1" applyFont="1" applyFill="1" applyBorder="1" applyAlignment="1">
      <alignment horizontal="center" vertical="top"/>
    </xf>
    <xf numFmtId="3" fontId="2" fillId="21" borderId="96" xfId="0" applyNumberFormat="1" applyFont="1" applyFill="1" applyBorder="1" applyAlignment="1">
      <alignment horizontal="center" vertical="top"/>
    </xf>
    <xf numFmtId="3" fontId="2" fillId="21" borderId="47" xfId="0" applyNumberFormat="1" applyFont="1" applyFill="1" applyBorder="1" applyAlignment="1">
      <alignment horizontal="center" vertical="top"/>
    </xf>
    <xf numFmtId="0" fontId="0" fillId="0" borderId="144" xfId="0" applyBorder="1" applyAlignment="1">
      <alignment horizontal="center"/>
    </xf>
    <xf numFmtId="0" fontId="0" fillId="0" borderId="145" xfId="0" applyBorder="1" applyAlignment="1">
      <alignment horizontal="center"/>
    </xf>
    <xf numFmtId="0" fontId="0" fillId="0" borderId="143" xfId="0" applyBorder="1" applyAlignment="1">
      <alignment horizontal="center"/>
    </xf>
    <xf numFmtId="168" fontId="0" fillId="0" borderId="90" xfId="0" applyNumberFormat="1" applyBorder="1" applyAlignment="1">
      <alignment horizontal="center"/>
    </xf>
    <xf numFmtId="164" fontId="0" fillId="0" borderId="90" xfId="0" applyNumberFormat="1" applyBorder="1" applyAlignment="1">
      <alignment horizontal="center"/>
    </xf>
    <xf numFmtId="2" fontId="0" fillId="0" borderId="90" xfId="0" applyNumberFormat="1" applyBorder="1" applyAlignment="1">
      <alignment horizontal="center"/>
    </xf>
    <xf numFmtId="3" fontId="0" fillId="0" borderId="90" xfId="0" applyNumberFormat="1" applyBorder="1" applyAlignment="1">
      <alignment horizontal="center"/>
    </xf>
    <xf numFmtId="1" fontId="0" fillId="0" borderId="90" xfId="0" applyNumberFormat="1" applyBorder="1" applyAlignment="1">
      <alignment horizontal="center"/>
    </xf>
    <xf numFmtId="4" fontId="0" fillId="0" borderId="90" xfId="0" applyNumberFormat="1" applyBorder="1" applyAlignment="1">
      <alignment horizontal="center"/>
    </xf>
    <xf numFmtId="0" fontId="5" fillId="0" borderId="64" xfId="0" applyFont="1" applyBorder="1" applyAlignment="1">
      <alignment horizontal="center"/>
    </xf>
    <xf numFmtId="0" fontId="5" fillId="0" borderId="58" xfId="0" applyFont="1" applyBorder="1" applyAlignment="1">
      <alignment horizontal="center"/>
    </xf>
    <xf numFmtId="0" fontId="5" fillId="35" borderId="58" xfId="0" applyFont="1" applyFill="1" applyBorder="1" applyAlignment="1">
      <alignment horizontal="center"/>
    </xf>
    <xf numFmtId="0" fontId="0" fillId="35" borderId="58" xfId="0" applyFill="1" applyBorder="1" applyAlignment="1">
      <alignment horizontal="center"/>
    </xf>
    <xf numFmtId="0" fontId="0" fillId="35" borderId="63" xfId="0" applyFill="1" applyBorder="1" applyAlignment="1">
      <alignment horizontal="center"/>
    </xf>
    <xf numFmtId="0" fontId="0" fillId="0" borderId="81" xfId="0" applyBorder="1" applyAlignment="1">
      <alignment horizontal="center"/>
    </xf>
    <xf numFmtId="0" fontId="0" fillId="0" borderId="75" xfId="0"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0" fontId="0" fillId="0" borderId="41" xfId="0" applyBorder="1" applyAlignment="1">
      <alignment vertical="center"/>
    </xf>
    <xf numFmtId="0" fontId="0" fillId="0" borderId="42" xfId="0" applyBorder="1" applyAlignment="1">
      <alignment vertical="center"/>
    </xf>
    <xf numFmtId="0" fontId="0" fillId="0" borderId="78" xfId="0" applyBorder="1" applyAlignment="1">
      <alignment vertical="center"/>
    </xf>
    <xf numFmtId="0" fontId="0" fillId="0" borderId="78" xfId="0" applyBorder="1" applyAlignment="1">
      <alignment horizontal="center" vertical="center"/>
    </xf>
    <xf numFmtId="169" fontId="0" fillId="0" borderId="0" xfId="0" applyNumberFormat="1" applyAlignment="1">
      <alignment vertical="center"/>
    </xf>
    <xf numFmtId="0" fontId="0" fillId="19" borderId="16" xfId="0" applyFill="1" applyBorder="1" applyAlignment="1">
      <alignment horizontal="left"/>
    </xf>
    <xf numFmtId="2" fontId="0" fillId="19" borderId="0" xfId="0" applyNumberFormat="1" applyFill="1" applyAlignment="1">
      <alignment horizontal="center"/>
    </xf>
    <xf numFmtId="4" fontId="1" fillId="0" borderId="16" xfId="0" applyNumberFormat="1" applyFont="1" applyBorder="1" applyAlignment="1">
      <alignment horizontal="left" vertical="center" wrapText="1"/>
    </xf>
    <xf numFmtId="0" fontId="1" fillId="0" borderId="16" xfId="0" applyFont="1" applyBorder="1" applyAlignment="1">
      <alignment horizontal="left" vertical="center"/>
    </xf>
    <xf numFmtId="0" fontId="1" fillId="0" borderId="0" xfId="0" applyFont="1" applyAlignment="1">
      <alignment horizontal="left" vertical="center"/>
    </xf>
    <xf numFmtId="0" fontId="1" fillId="0" borderId="0" xfId="0" applyFont="1" applyAlignment="1">
      <alignment vertical="center"/>
    </xf>
    <xf numFmtId="0" fontId="1" fillId="2" borderId="16" xfId="0" applyFont="1" applyFill="1" applyBorder="1" applyAlignment="1">
      <alignment horizontal="left" vertical="center" wrapText="1"/>
    </xf>
    <xf numFmtId="0" fontId="1" fillId="0" borderId="23" xfId="0" applyFont="1" applyBorder="1" applyAlignment="1">
      <alignment horizontal="center" vertical="center" wrapText="1"/>
    </xf>
    <xf numFmtId="0" fontId="1" fillId="0" borderId="23" xfId="0" applyFont="1" applyBorder="1" applyAlignment="1">
      <alignment vertical="center" wrapText="1"/>
    </xf>
    <xf numFmtId="0" fontId="1" fillId="0" borderId="23" xfId="0" applyFont="1" applyBorder="1" applyAlignment="1">
      <alignment horizontal="left" vertical="center" wrapText="1"/>
    </xf>
    <xf numFmtId="0" fontId="1" fillId="2" borderId="16" xfId="0" applyFont="1" applyFill="1" applyBorder="1" applyAlignment="1">
      <alignment horizontal="center" vertical="center" wrapText="1"/>
    </xf>
    <xf numFmtId="0" fontId="14" fillId="16" borderId="8" xfId="0" applyFont="1" applyFill="1" applyBorder="1" applyAlignment="1">
      <alignment horizontal="center"/>
    </xf>
    <xf numFmtId="0" fontId="15" fillId="27" borderId="16" xfId="0" applyFont="1" applyFill="1" applyBorder="1" applyAlignment="1">
      <alignment horizontal="center"/>
    </xf>
    <xf numFmtId="0" fontId="1" fillId="17" borderId="16" xfId="0" applyFont="1" applyFill="1" applyBorder="1" applyAlignment="1">
      <alignment horizontal="center"/>
    </xf>
    <xf numFmtId="0" fontId="15" fillId="26" borderId="16" xfId="0" applyFont="1" applyFill="1" applyBorder="1" applyAlignment="1">
      <alignment horizontal="center"/>
    </xf>
    <xf numFmtId="0" fontId="1" fillId="16" borderId="16" xfId="0" applyFont="1" applyFill="1" applyBorder="1" applyAlignment="1">
      <alignment horizontal="center"/>
    </xf>
    <xf numFmtId="8" fontId="15" fillId="17" borderId="16" xfId="0" applyNumberFormat="1" applyFont="1" applyFill="1" applyBorder="1" applyAlignment="1">
      <alignment horizontal="center"/>
    </xf>
    <xf numFmtId="8" fontId="15" fillId="27" borderId="16" xfId="0" applyNumberFormat="1" applyFont="1" applyFill="1" applyBorder="1" applyAlignment="1">
      <alignment horizontal="center"/>
    </xf>
    <xf numFmtId="164" fontId="1" fillId="17" borderId="16" xfId="0" applyNumberFormat="1" applyFont="1" applyFill="1" applyBorder="1" applyAlignment="1">
      <alignment horizontal="center"/>
    </xf>
    <xf numFmtId="0" fontId="14" fillId="16" borderId="16" xfId="0" applyFont="1" applyFill="1" applyBorder="1" applyAlignment="1">
      <alignment horizontal="center" wrapText="1"/>
    </xf>
    <xf numFmtId="0" fontId="15" fillId="17" borderId="16" xfId="0" applyFont="1" applyFill="1" applyBorder="1" applyAlignment="1">
      <alignment horizontal="center" vertical="center"/>
    </xf>
    <xf numFmtId="0" fontId="15" fillId="27" borderId="16" xfId="0" applyFont="1" applyFill="1" applyBorder="1" applyAlignment="1">
      <alignment horizontal="center" vertical="center"/>
    </xf>
    <xf numFmtId="0" fontId="1" fillId="17" borderId="16" xfId="0" applyFont="1" applyFill="1" applyBorder="1" applyAlignment="1">
      <alignment horizontal="center" vertical="center"/>
    </xf>
    <xf numFmtId="0" fontId="14" fillId="16" borderId="16" xfId="0" applyFont="1" applyFill="1" applyBorder="1" applyAlignment="1">
      <alignment horizontal="center"/>
    </xf>
    <xf numFmtId="0" fontId="15" fillId="0" borderId="16" xfId="0" applyFont="1" applyBorder="1" applyAlignment="1">
      <alignment horizontal="center"/>
    </xf>
    <xf numFmtId="0" fontId="15" fillId="2" borderId="16" xfId="0" applyFont="1" applyFill="1" applyBorder="1" applyAlignment="1">
      <alignment horizontal="center"/>
    </xf>
    <xf numFmtId="0" fontId="15" fillId="0" borderId="23" xfId="0" applyFont="1" applyBorder="1" applyAlignment="1">
      <alignment horizontal="center"/>
    </xf>
    <xf numFmtId="0" fontId="15" fillId="2" borderId="23" xfId="0" applyFont="1" applyFill="1" applyBorder="1" applyAlignment="1">
      <alignment horizontal="center"/>
    </xf>
    <xf numFmtId="0" fontId="1" fillId="0" borderId="23" xfId="0" applyFont="1" applyBorder="1" applyAlignment="1">
      <alignment horizontal="center"/>
    </xf>
    <xf numFmtId="3" fontId="1" fillId="16" borderId="16" xfId="0" applyNumberFormat="1" applyFont="1" applyFill="1" applyBorder="1" applyAlignment="1">
      <alignment horizontal="center"/>
    </xf>
    <xf numFmtId="0" fontId="1" fillId="0" borderId="0" xfId="0" applyFont="1" applyAlignment="1">
      <alignment horizontal="center"/>
    </xf>
    <xf numFmtId="164" fontId="1" fillId="0" borderId="0" xfId="0" applyNumberFormat="1" applyFont="1" applyAlignment="1">
      <alignment horizontal="center"/>
    </xf>
    <xf numFmtId="0" fontId="15" fillId="0" borderId="0" xfId="0" applyFont="1" applyAlignment="1">
      <alignment horizontal="center"/>
    </xf>
    <xf numFmtId="0" fontId="1" fillId="0" borderId="0" xfId="0" applyFont="1" applyAlignment="1">
      <alignment horizontal="center" vertical="center"/>
    </xf>
    <xf numFmtId="0" fontId="1" fillId="28" borderId="16" xfId="0" applyFont="1" applyFill="1" applyBorder="1" applyAlignment="1">
      <alignment horizontal="center"/>
    </xf>
    <xf numFmtId="170" fontId="1" fillId="28" borderId="16" xfId="0" applyNumberFormat="1" applyFont="1" applyFill="1" applyBorder="1" applyAlignment="1">
      <alignment horizontal="center"/>
    </xf>
    <xf numFmtId="170" fontId="1" fillId="17" borderId="16" xfId="0" applyNumberFormat="1" applyFont="1" applyFill="1" applyBorder="1" applyAlignment="1">
      <alignment horizontal="center"/>
    </xf>
    <xf numFmtId="170" fontId="1" fillId="16" borderId="16" xfId="0" applyNumberFormat="1" applyFont="1" applyFill="1" applyBorder="1" applyAlignment="1">
      <alignment horizontal="center"/>
    </xf>
    <xf numFmtId="0" fontId="1" fillId="0" borderId="0" xfId="0" applyFont="1" applyAlignment="1">
      <alignment vertical="center" wrapText="1"/>
    </xf>
    <xf numFmtId="0" fontId="1" fillId="0" borderId="16" xfId="0" applyFont="1" applyBorder="1"/>
    <xf numFmtId="0" fontId="1" fillId="0" borderId="23" xfId="0" applyFont="1" applyBorder="1"/>
    <xf numFmtId="171" fontId="1" fillId="0" borderId="0" xfId="0" applyNumberFormat="1" applyFont="1"/>
    <xf numFmtId="0" fontId="1" fillId="0" borderId="0" xfId="0" applyFont="1"/>
    <xf numFmtId="170" fontId="1" fillId="0" borderId="16" xfId="0" applyNumberFormat="1" applyFont="1" applyBorder="1"/>
    <xf numFmtId="172" fontId="1" fillId="0" borderId="16" xfId="0" applyNumberFormat="1" applyFont="1" applyBorder="1" applyAlignment="1">
      <alignment horizontal="center"/>
    </xf>
    <xf numFmtId="173" fontId="1" fillId="0" borderId="16" xfId="0" applyNumberFormat="1" applyFont="1" applyBorder="1" applyAlignment="1">
      <alignment horizontal="center"/>
    </xf>
    <xf numFmtId="0" fontId="1" fillId="0" borderId="8" xfId="0" applyFont="1" applyBorder="1" applyAlignment="1">
      <alignment horizontal="center"/>
    </xf>
    <xf numFmtId="0" fontId="1" fillId="3" borderId="16" xfId="0" applyFont="1" applyFill="1" applyBorder="1"/>
    <xf numFmtId="0" fontId="1" fillId="0" borderId="0" xfId="0" applyFont="1" applyAlignment="1">
      <alignment wrapText="1"/>
    </xf>
    <xf numFmtId="164" fontId="2" fillId="0" borderId="0" xfId="0" applyNumberFormat="1" applyFont="1"/>
    <xf numFmtId="0" fontId="7" fillId="0" borderId="94" xfId="0" applyFont="1" applyBorder="1" applyAlignment="1">
      <alignment horizontal="center" vertical="top"/>
    </xf>
    <xf numFmtId="0" fontId="2" fillId="0" borderId="112" xfId="0" applyFont="1" applyBorder="1" applyAlignment="1">
      <alignment horizontal="center" vertical="top"/>
    </xf>
    <xf numFmtId="0" fontId="2" fillId="0" borderId="112" xfId="0" applyFont="1" applyBorder="1" applyAlignment="1">
      <alignment horizontal="center"/>
    </xf>
    <xf numFmtId="0" fontId="2" fillId="0" borderId="95" xfId="0" applyFont="1" applyBorder="1" applyAlignment="1">
      <alignment horizontal="center"/>
    </xf>
    <xf numFmtId="0" fontId="9" fillId="0" borderId="57" xfId="0" applyFont="1" applyBorder="1"/>
    <xf numFmtId="164" fontId="2" fillId="0" borderId="58" xfId="0" applyNumberFormat="1" applyFont="1" applyBorder="1" applyAlignment="1">
      <alignment horizontal="center"/>
    </xf>
    <xf numFmtId="0" fontId="2" fillId="0" borderId="57" xfId="0" applyFont="1" applyBorder="1"/>
    <xf numFmtId="0" fontId="2" fillId="0" borderId="57" xfId="0" applyFont="1" applyBorder="1" applyAlignment="1">
      <alignment horizontal="right"/>
    </xf>
    <xf numFmtId="0" fontId="9" fillId="0" borderId="61" xfId="0" applyFont="1" applyBorder="1"/>
    <xf numFmtId="0" fontId="26" fillId="0" borderId="43" xfId="0" applyFont="1" applyBorder="1" applyAlignment="1">
      <alignment horizontal="center" vertical="center"/>
    </xf>
    <xf numFmtId="167" fontId="2" fillId="0" borderId="0" xfId="0" applyNumberFormat="1" applyFont="1"/>
    <xf numFmtId="3" fontId="2" fillId="21" borderId="4" xfId="0" applyNumberFormat="1" applyFont="1" applyFill="1" applyBorder="1" applyAlignment="1">
      <alignment horizontal="center" vertical="top"/>
    </xf>
    <xf numFmtId="3" fontId="3" fillId="21" borderId="10" xfId="0" applyNumberFormat="1" applyFont="1" applyFill="1" applyBorder="1" applyAlignment="1">
      <alignment vertical="top"/>
    </xf>
    <xf numFmtId="0" fontId="5" fillId="0" borderId="31" xfId="0" applyFont="1" applyBorder="1" applyAlignment="1">
      <alignment horizontal="center"/>
    </xf>
    <xf numFmtId="0" fontId="26" fillId="0" borderId="82" xfId="0" applyFont="1" applyBorder="1" applyAlignment="1">
      <alignment horizontal="center" vertical="center"/>
    </xf>
    <xf numFmtId="164" fontId="26" fillId="0" borderId="20" xfId="0" applyNumberFormat="1" applyFont="1" applyBorder="1" applyAlignment="1">
      <alignment horizontal="center" vertical="center"/>
    </xf>
    <xf numFmtId="0" fontId="15" fillId="0" borderId="0" xfId="0" applyFont="1"/>
    <xf numFmtId="164" fontId="26" fillId="0" borderId="57" xfId="0" applyNumberFormat="1" applyFont="1" applyBorder="1" applyAlignment="1">
      <alignment horizontal="center" vertical="center"/>
    </xf>
    <xf numFmtId="164" fontId="26" fillId="0" borderId="58" xfId="0" applyNumberFormat="1" applyFont="1" applyBorder="1" applyAlignment="1">
      <alignment horizontal="center" vertical="center"/>
    </xf>
    <xf numFmtId="164" fontId="0" fillId="0" borderId="46" xfId="0" applyNumberFormat="1" applyBorder="1"/>
    <xf numFmtId="164" fontId="2" fillId="0" borderId="0" xfId="0" applyNumberFormat="1" applyFont="1" applyAlignment="1">
      <alignment horizontal="center"/>
    </xf>
    <xf numFmtId="168" fontId="15" fillId="0" borderId="0" xfId="0" applyNumberFormat="1" applyFont="1" applyAlignment="1">
      <alignment horizontal="center"/>
    </xf>
    <xf numFmtId="167" fontId="2" fillId="0" borderId="0" xfId="0" applyNumberFormat="1" applyFont="1" applyAlignment="1">
      <alignment horizontal="center"/>
    </xf>
    <xf numFmtId="164" fontId="0" fillId="0" borderId="0" xfId="0" applyNumberFormat="1" applyAlignment="1">
      <alignment horizontal="center" vertical="center"/>
    </xf>
    <xf numFmtId="168" fontId="40" fillId="3" borderId="35" xfId="0" applyNumberFormat="1" applyFont="1" applyFill="1" applyBorder="1" applyAlignment="1">
      <alignment horizontal="center"/>
    </xf>
    <xf numFmtId="2" fontId="2" fillId="0" borderId="20" xfId="0" applyNumberFormat="1" applyFont="1" applyBorder="1" applyAlignment="1">
      <alignment horizontal="center"/>
    </xf>
    <xf numFmtId="1" fontId="0" fillId="8" borderId="20" xfId="0" applyNumberFormat="1" applyFill="1" applyBorder="1" applyAlignment="1">
      <alignment horizontal="center"/>
    </xf>
    <xf numFmtId="2" fontId="0" fillId="20" borderId="20" xfId="0" applyNumberFormat="1" applyFill="1" applyBorder="1" applyAlignment="1">
      <alignment horizontal="center"/>
    </xf>
    <xf numFmtId="0" fontId="0" fillId="21" borderId="20" xfId="0" applyFill="1" applyBorder="1" applyAlignment="1">
      <alignment horizontal="center"/>
    </xf>
    <xf numFmtId="0" fontId="0" fillId="21" borderId="57" xfId="0" applyFill="1" applyBorder="1" applyAlignment="1">
      <alignment horizontal="center"/>
    </xf>
    <xf numFmtId="1" fontId="0" fillId="21" borderId="20" xfId="0" applyNumberFormat="1" applyFill="1" applyBorder="1" applyAlignment="1">
      <alignment horizontal="center"/>
    </xf>
    <xf numFmtId="2" fontId="0" fillId="21" borderId="20" xfId="0" applyNumberFormat="1" applyFill="1" applyBorder="1" applyAlignment="1">
      <alignment horizontal="center"/>
    </xf>
    <xf numFmtId="4" fontId="0" fillId="21" borderId="55" xfId="0" applyNumberFormat="1" applyFill="1" applyBorder="1" applyAlignment="1">
      <alignment horizontal="center"/>
    </xf>
    <xf numFmtId="4" fontId="0" fillId="21" borderId="35" xfId="0" applyNumberFormat="1" applyFill="1" applyBorder="1" applyAlignment="1">
      <alignment horizontal="center"/>
    </xf>
    <xf numFmtId="4" fontId="0" fillId="21" borderId="70" xfId="0" applyNumberFormat="1" applyFill="1" applyBorder="1" applyAlignment="1">
      <alignment horizontal="center"/>
    </xf>
    <xf numFmtId="4" fontId="0" fillId="21" borderId="56" xfId="0" applyNumberFormat="1" applyFill="1" applyBorder="1" applyAlignment="1">
      <alignment horizontal="center"/>
    </xf>
    <xf numFmtId="0" fontId="5" fillId="21" borderId="20" xfId="0" applyFont="1" applyFill="1" applyBorder="1" applyAlignment="1">
      <alignment horizontal="center"/>
    </xf>
    <xf numFmtId="0" fontId="0" fillId="21" borderId="59" xfId="0" applyFill="1" applyBorder="1" applyAlignment="1">
      <alignment horizontal="center"/>
    </xf>
    <xf numFmtId="0" fontId="5" fillId="21" borderId="36" xfId="0" applyFont="1" applyFill="1" applyBorder="1" applyAlignment="1">
      <alignment horizontal="center"/>
    </xf>
    <xf numFmtId="1" fontId="0" fillId="21" borderId="36" xfId="0" applyNumberFormat="1" applyFill="1" applyBorder="1" applyAlignment="1">
      <alignment horizontal="center"/>
    </xf>
    <xf numFmtId="2" fontId="0" fillId="21" borderId="36" xfId="0" applyNumberFormat="1" applyFill="1" applyBorder="1" applyAlignment="1">
      <alignment horizontal="center"/>
    </xf>
    <xf numFmtId="4" fontId="0" fillId="21" borderId="94" xfId="0" applyNumberFormat="1" applyFill="1" applyBorder="1" applyAlignment="1">
      <alignment horizontal="center"/>
    </xf>
    <xf numFmtId="4" fontId="0" fillId="21" borderId="112" xfId="0" applyNumberFormat="1" applyFill="1" applyBorder="1" applyAlignment="1">
      <alignment horizontal="center"/>
    </xf>
    <xf numFmtId="4" fontId="0" fillId="21" borderId="133" xfId="0" applyNumberFormat="1" applyFill="1" applyBorder="1" applyAlignment="1">
      <alignment horizontal="center"/>
    </xf>
    <xf numFmtId="4" fontId="0" fillId="21" borderId="95" xfId="0" applyNumberFormat="1" applyFill="1" applyBorder="1" applyAlignment="1">
      <alignment horizontal="center"/>
    </xf>
    <xf numFmtId="0" fontId="5" fillId="21" borderId="12" xfId="0" applyFont="1" applyFill="1" applyBorder="1" applyAlignment="1">
      <alignment vertical="center"/>
    </xf>
    <xf numFmtId="0" fontId="5" fillId="21" borderId="16" xfId="0" applyFont="1" applyFill="1" applyBorder="1" applyAlignment="1">
      <alignment horizontal="left"/>
    </xf>
    <xf numFmtId="0" fontId="0" fillId="21" borderId="16" xfId="0" applyFill="1" applyBorder="1" applyAlignment="1">
      <alignment horizontal="left"/>
    </xf>
    <xf numFmtId="0" fontId="0" fillId="18" borderId="66" xfId="0" applyFill="1" applyBorder="1" applyAlignment="1">
      <alignment horizontal="center"/>
    </xf>
    <xf numFmtId="0" fontId="0" fillId="18" borderId="67" xfId="0" applyFill="1" applyBorder="1" applyAlignment="1">
      <alignment horizontal="center"/>
    </xf>
    <xf numFmtId="0" fontId="0" fillId="18" borderId="70" xfId="0" applyFill="1" applyBorder="1" applyAlignment="1">
      <alignment horizontal="center"/>
    </xf>
    <xf numFmtId="2" fontId="2" fillId="0" borderId="0" xfId="0" applyNumberFormat="1" applyFont="1"/>
    <xf numFmtId="0" fontId="39" fillId="0" borderId="0" xfId="0" applyFont="1" applyAlignment="1">
      <alignment vertical="center"/>
    </xf>
    <xf numFmtId="2" fontId="2" fillId="0" borderId="0" xfId="0" applyNumberFormat="1" applyFont="1" applyAlignment="1">
      <alignment horizontal="center"/>
    </xf>
    <xf numFmtId="0" fontId="0" fillId="36" borderId="20" xfId="0" applyFill="1" applyBorder="1" applyAlignment="1">
      <alignment horizontal="center"/>
    </xf>
    <xf numFmtId="0" fontId="0" fillId="36" borderId="58" xfId="0" applyFill="1" applyBorder="1" applyAlignment="1">
      <alignment horizontal="center"/>
    </xf>
    <xf numFmtId="0" fontId="27" fillId="0" borderId="65" xfId="0" applyFont="1" applyBorder="1" applyAlignment="1">
      <alignment horizontal="center"/>
    </xf>
    <xf numFmtId="0" fontId="27" fillId="0" borderId="78" xfId="0" applyFont="1" applyBorder="1" applyAlignment="1">
      <alignment horizontal="center"/>
    </xf>
    <xf numFmtId="0" fontId="27" fillId="0" borderId="89" xfId="0" applyFont="1" applyBorder="1" applyAlignment="1">
      <alignment horizontal="center"/>
    </xf>
    <xf numFmtId="0" fontId="27" fillId="18" borderId="66" xfId="0" applyFont="1" applyFill="1" applyBorder="1" applyAlignment="1">
      <alignment horizontal="center"/>
    </xf>
    <xf numFmtId="2" fontId="5" fillId="0" borderId="57" xfId="0" applyNumberFormat="1" applyFont="1" applyBorder="1" applyAlignment="1">
      <alignment horizontal="center"/>
    </xf>
    <xf numFmtId="2" fontId="5" fillId="0" borderId="58" xfId="0" applyNumberFormat="1" applyFont="1" applyBorder="1" applyAlignment="1">
      <alignment horizontal="center"/>
    </xf>
    <xf numFmtId="2" fontId="5" fillId="0" borderId="61" xfId="0" applyNumberFormat="1" applyFont="1" applyBorder="1" applyAlignment="1">
      <alignment horizontal="center"/>
    </xf>
    <xf numFmtId="2" fontId="5" fillId="0" borderId="62" xfId="0" applyNumberFormat="1" applyFont="1" applyBorder="1" applyAlignment="1">
      <alignment horizontal="center"/>
    </xf>
    <xf numFmtId="2" fontId="5" fillId="0" borderId="63" xfId="0" applyNumberFormat="1" applyFont="1" applyBorder="1" applyAlignment="1">
      <alignment horizontal="center"/>
    </xf>
    <xf numFmtId="0" fontId="0" fillId="32" borderId="36" xfId="0" applyFill="1" applyBorder="1" applyAlignment="1">
      <alignment horizontal="center"/>
    </xf>
    <xf numFmtId="0" fontId="5" fillId="0" borderId="41" xfId="0" applyFont="1" applyBorder="1"/>
    <xf numFmtId="0" fontId="5" fillId="0" borderId="42" xfId="0" applyFont="1" applyBorder="1"/>
    <xf numFmtId="0" fontId="0" fillId="32" borderId="62" xfId="0" applyFill="1" applyBorder="1" applyAlignment="1">
      <alignment horizontal="center"/>
    </xf>
    <xf numFmtId="1" fontId="0" fillId="0" borderId="16" xfId="0" applyNumberFormat="1" applyBorder="1" applyAlignment="1">
      <alignment horizontal="center"/>
    </xf>
    <xf numFmtId="1" fontId="0" fillId="0" borderId="23" xfId="0" applyNumberFormat="1" applyBorder="1" applyAlignment="1">
      <alignment horizontal="center"/>
    </xf>
    <xf numFmtId="1" fontId="0" fillId="0" borderId="0" xfId="0" applyNumberFormat="1" applyAlignment="1">
      <alignment horizontal="center"/>
    </xf>
    <xf numFmtId="0" fontId="5" fillId="0" borderId="0" xfId="0" applyFont="1" applyAlignment="1">
      <alignment horizontal="left"/>
    </xf>
    <xf numFmtId="0" fontId="0" fillId="0" borderId="0" xfId="0" applyAlignment="1">
      <alignment horizontal="left"/>
    </xf>
    <xf numFmtId="0" fontId="0" fillId="34" borderId="30" xfId="0" applyFill="1" applyBorder="1" applyAlignment="1">
      <alignment horizontal="center"/>
    </xf>
    <xf numFmtId="0" fontId="0" fillId="34" borderId="31" xfId="0" applyFill="1" applyBorder="1" applyAlignment="1">
      <alignment horizontal="center"/>
    </xf>
    <xf numFmtId="2" fontId="0" fillId="21" borderId="42" xfId="0" applyNumberFormat="1" applyFill="1" applyBorder="1" applyAlignment="1">
      <alignment horizontal="center"/>
    </xf>
    <xf numFmtId="2" fontId="0" fillId="0" borderId="0" xfId="0" applyNumberFormat="1" applyAlignment="1">
      <alignment vertical="center"/>
    </xf>
    <xf numFmtId="0" fontId="9" fillId="0" borderId="35" xfId="0" applyFont="1" applyBorder="1" applyAlignment="1">
      <alignment horizontal="center" vertical="top"/>
    </xf>
    <xf numFmtId="0" fontId="9" fillId="0" borderId="35" xfId="0" applyFont="1" applyBorder="1" applyAlignment="1">
      <alignment horizontal="center"/>
    </xf>
    <xf numFmtId="2" fontId="0" fillId="21" borderId="42" xfId="0" applyNumberFormat="1" applyFill="1" applyBorder="1"/>
    <xf numFmtId="0" fontId="5" fillId="0" borderId="47" xfId="0" applyFont="1" applyBorder="1" applyAlignment="1">
      <alignment horizontal="center"/>
    </xf>
    <xf numFmtId="2" fontId="0" fillId="21" borderId="0" xfId="0" applyNumberFormat="1" applyFill="1"/>
    <xf numFmtId="0" fontId="39" fillId="0" borderId="158" xfId="0" applyFont="1" applyBorder="1" applyAlignment="1">
      <alignment horizontal="center" vertical="top"/>
    </xf>
    <xf numFmtId="0" fontId="9" fillId="0" borderId="159" xfId="0" applyFont="1" applyBorder="1" applyAlignment="1">
      <alignment horizontal="center"/>
    </xf>
    <xf numFmtId="0" fontId="7" fillId="0" borderId="128" xfId="0" applyFont="1" applyBorder="1" applyAlignment="1">
      <alignment horizontal="center" vertical="top"/>
    </xf>
    <xf numFmtId="0" fontId="7" fillId="0" borderId="22" xfId="0" applyFont="1" applyBorder="1" applyAlignment="1">
      <alignment horizontal="center" vertical="top"/>
    </xf>
    <xf numFmtId="0" fontId="2" fillId="0" borderId="155" xfId="0" applyFont="1" applyBorder="1" applyAlignment="1">
      <alignment horizontal="center"/>
    </xf>
    <xf numFmtId="1" fontId="0" fillId="21" borderId="16" xfId="0" applyNumberFormat="1" applyFill="1" applyBorder="1" applyAlignment="1">
      <alignment horizontal="center"/>
    </xf>
    <xf numFmtId="1" fontId="0" fillId="21" borderId="23" xfId="0" applyNumberFormat="1" applyFill="1" applyBorder="1" applyAlignment="1">
      <alignment horizontal="center"/>
    </xf>
    <xf numFmtId="0" fontId="5" fillId="0" borderId="76" xfId="0" applyFont="1" applyBorder="1" applyAlignment="1">
      <alignment vertical="center"/>
    </xf>
    <xf numFmtId="0" fontId="5" fillId="0" borderId="77" xfId="0" applyFont="1" applyBorder="1" applyAlignment="1">
      <alignment vertical="center"/>
    </xf>
    <xf numFmtId="0" fontId="5" fillId="0" borderId="38" xfId="0" applyFont="1" applyBorder="1" applyAlignment="1">
      <alignment vertical="center"/>
    </xf>
    <xf numFmtId="0" fontId="5" fillId="0" borderId="10" xfId="0" applyFont="1" applyBorder="1" applyAlignment="1">
      <alignment vertical="center"/>
    </xf>
    <xf numFmtId="0" fontId="5" fillId="0" borderId="4" xfId="0" applyFont="1" applyBorder="1" applyAlignment="1">
      <alignment vertical="center"/>
    </xf>
    <xf numFmtId="168" fontId="5" fillId="21" borderId="127" xfId="0" applyNumberFormat="1" applyFont="1" applyFill="1" applyBorder="1" applyAlignment="1">
      <alignment horizontal="center"/>
    </xf>
    <xf numFmtId="168" fontId="5" fillId="21" borderId="0" xfId="0" applyNumberFormat="1" applyFont="1" applyFill="1" applyAlignment="1">
      <alignment horizontal="center"/>
    </xf>
    <xf numFmtId="3" fontId="7" fillId="0" borderId="0" xfId="0" applyNumberFormat="1" applyFont="1" applyAlignment="1">
      <alignment horizontal="center"/>
    </xf>
    <xf numFmtId="167" fontId="9" fillId="0" borderId="0" xfId="0" applyNumberFormat="1" applyFont="1"/>
    <xf numFmtId="0" fontId="0" fillId="18" borderId="64" xfId="0" applyFill="1" applyBorder="1" applyAlignment="1">
      <alignment horizontal="center"/>
    </xf>
    <xf numFmtId="0" fontId="0" fillId="18" borderId="58" xfId="0" applyFill="1" applyBorder="1" applyAlignment="1">
      <alignment horizontal="center"/>
    </xf>
    <xf numFmtId="0" fontId="0" fillId="8" borderId="58" xfId="0" applyFill="1" applyBorder="1" applyAlignment="1">
      <alignment horizontal="center"/>
    </xf>
    <xf numFmtId="0" fontId="5" fillId="8" borderId="58" xfId="0" applyFont="1" applyFill="1" applyBorder="1" applyAlignment="1">
      <alignment horizontal="center"/>
    </xf>
    <xf numFmtId="0" fontId="5" fillId="29" borderId="58" xfId="0" applyFont="1" applyFill="1" applyBorder="1" applyAlignment="1">
      <alignment horizontal="center"/>
    </xf>
    <xf numFmtId="0" fontId="5" fillId="32" borderId="58" xfId="0" applyFont="1" applyFill="1" applyBorder="1" applyAlignment="1">
      <alignment horizontal="center"/>
    </xf>
    <xf numFmtId="0" fontId="0" fillId="32" borderId="58" xfId="0" applyFill="1" applyBorder="1" applyAlignment="1">
      <alignment horizontal="center"/>
    </xf>
    <xf numFmtId="0" fontId="0" fillId="32" borderId="63" xfId="0" applyFill="1" applyBorder="1" applyAlignment="1">
      <alignment horizontal="center"/>
    </xf>
    <xf numFmtId="0" fontId="0" fillId="6" borderId="64" xfId="0" applyFill="1" applyBorder="1" applyAlignment="1">
      <alignment horizontal="center"/>
    </xf>
    <xf numFmtId="0" fontId="5" fillId="37" borderId="58" xfId="0" applyFont="1" applyFill="1" applyBorder="1" applyAlignment="1">
      <alignment horizontal="center"/>
    </xf>
    <xf numFmtId="0" fontId="0" fillId="37" borderId="58" xfId="0" applyFill="1" applyBorder="1" applyAlignment="1">
      <alignment horizontal="center"/>
    </xf>
    <xf numFmtId="0" fontId="0" fillId="37" borderId="60" xfId="0" applyFill="1" applyBorder="1" applyAlignment="1">
      <alignment horizontal="center"/>
    </xf>
    <xf numFmtId="168" fontId="5" fillId="6" borderId="0" xfId="0" applyNumberFormat="1" applyFont="1" applyFill="1" applyAlignment="1">
      <alignment horizontal="center" vertical="center"/>
    </xf>
    <xf numFmtId="168" fontId="5" fillId="8" borderId="0" xfId="0" applyNumberFormat="1" applyFont="1" applyFill="1" applyAlignment="1">
      <alignment horizontal="center" vertical="center"/>
    </xf>
    <xf numFmtId="168" fontId="5" fillId="29" borderId="0" xfId="0" applyNumberFormat="1" applyFont="1" applyFill="1" applyAlignment="1">
      <alignment horizontal="center" vertical="center"/>
    </xf>
    <xf numFmtId="168" fontId="5" fillId="37" borderId="0" xfId="0" applyNumberFormat="1" applyFont="1" applyFill="1" applyAlignment="1">
      <alignment horizontal="center" vertical="center"/>
    </xf>
    <xf numFmtId="164" fontId="0" fillId="0" borderId="45" xfId="0" applyNumberFormat="1" applyBorder="1" applyAlignment="1">
      <alignment vertical="center"/>
    </xf>
    <xf numFmtId="164" fontId="0" fillId="0" borderId="133" xfId="0" applyNumberFormat="1" applyBorder="1" applyAlignment="1">
      <alignment vertical="center"/>
    </xf>
    <xf numFmtId="164" fontId="0" fillId="0" borderId="138" xfId="0" applyNumberFormat="1" applyBorder="1" applyAlignment="1">
      <alignment horizontal="center" vertical="center"/>
    </xf>
    <xf numFmtId="164" fontId="0" fillId="0" borderId="44" xfId="0" applyNumberFormat="1" applyBorder="1" applyAlignment="1">
      <alignment vertical="center"/>
    </xf>
    <xf numFmtId="0" fontId="5" fillId="0" borderId="49" xfId="0" applyFont="1" applyBorder="1"/>
    <xf numFmtId="0" fontId="5" fillId="0" borderId="50" xfId="0" applyFont="1" applyBorder="1"/>
    <xf numFmtId="9" fontId="5" fillId="0" borderId="34" xfId="0" applyNumberFormat="1" applyFont="1" applyBorder="1"/>
    <xf numFmtId="164" fontId="0" fillId="0" borderId="85" xfId="0" applyNumberFormat="1" applyBorder="1" applyAlignment="1">
      <alignment horizontal="center"/>
    </xf>
    <xf numFmtId="164" fontId="0" fillId="0" borderId="57" xfId="0" applyNumberFormat="1" applyBorder="1" applyAlignment="1">
      <alignment horizontal="center"/>
    </xf>
    <xf numFmtId="164" fontId="0" fillId="0" borderId="61" xfId="0" applyNumberFormat="1" applyBorder="1" applyAlignment="1">
      <alignment horizontal="center"/>
    </xf>
    <xf numFmtId="0" fontId="5" fillId="0" borderId="0" xfId="0" applyFont="1" applyAlignment="1">
      <alignment vertical="center" wrapText="1"/>
    </xf>
    <xf numFmtId="0" fontId="5" fillId="0" borderId="0" xfId="0" applyFont="1" applyAlignment="1">
      <alignment horizontal="center" vertical="center" wrapText="1"/>
    </xf>
    <xf numFmtId="168" fontId="2" fillId="0" borderId="0" xfId="0" applyNumberFormat="1" applyFont="1"/>
    <xf numFmtId="169" fontId="0" fillId="0" borderId="78" xfId="0" applyNumberFormat="1" applyBorder="1" applyAlignment="1">
      <alignment horizontal="center" vertical="center"/>
    </xf>
    <xf numFmtId="0" fontId="5" fillId="29" borderId="36" xfId="0" applyFont="1" applyFill="1" applyBorder="1" applyAlignment="1">
      <alignment horizontal="center"/>
    </xf>
    <xf numFmtId="0" fontId="5" fillId="8" borderId="36" xfId="0" applyFont="1" applyFill="1" applyBorder="1" applyAlignment="1">
      <alignment horizontal="center"/>
    </xf>
    <xf numFmtId="169" fontId="0" fillId="0" borderId="0" xfId="0" applyNumberFormat="1" applyAlignment="1">
      <alignment horizontal="center" vertical="center"/>
    </xf>
    <xf numFmtId="167" fontId="2" fillId="0" borderId="20" xfId="0" applyNumberFormat="1" applyFont="1" applyBorder="1" applyAlignment="1">
      <alignment horizontal="left"/>
    </xf>
    <xf numFmtId="0" fontId="2" fillId="0" borderId="20" xfId="0" applyFont="1" applyBorder="1" applyAlignment="1">
      <alignment horizontal="left"/>
    </xf>
    <xf numFmtId="176" fontId="0" fillId="0" borderId="20" xfId="0" applyNumberFormat="1" applyBorder="1"/>
    <xf numFmtId="176" fontId="27" fillId="0" borderId="175" xfId="4" applyNumberFormat="1"/>
    <xf numFmtId="175" fontId="0" fillId="0" borderId="20" xfId="3" applyNumberFormat="1" applyFont="1" applyBorder="1"/>
    <xf numFmtId="0" fontId="27" fillId="0" borderId="20" xfId="4" applyBorder="1" applyAlignment="1">
      <alignment horizontal="left"/>
    </xf>
    <xf numFmtId="0" fontId="45" fillId="0" borderId="20" xfId="0" applyFont="1" applyBorder="1" applyAlignment="1">
      <alignment horizontal="center" vertical="top"/>
    </xf>
    <xf numFmtId="0" fontId="15" fillId="0" borderId="20" xfId="0" applyFont="1" applyBorder="1" applyAlignment="1">
      <alignment horizontal="center" vertical="top"/>
    </xf>
    <xf numFmtId="0" fontId="15" fillId="0" borderId="58" xfId="0" applyFont="1" applyBorder="1" applyAlignment="1">
      <alignment horizontal="center" vertical="top"/>
    </xf>
    <xf numFmtId="0" fontId="15" fillId="0" borderId="36" xfId="0" applyFont="1" applyBorder="1" applyAlignment="1">
      <alignment horizontal="center" vertical="top"/>
    </xf>
    <xf numFmtId="0" fontId="15" fillId="0" borderId="60" xfId="0" applyFont="1" applyBorder="1" applyAlignment="1">
      <alignment horizontal="center" vertical="top"/>
    </xf>
    <xf numFmtId="0" fontId="15" fillId="0" borderId="35" xfId="0" applyFont="1" applyBorder="1" applyAlignment="1">
      <alignment horizontal="center"/>
    </xf>
    <xf numFmtId="0" fontId="0" fillId="46" borderId="0" xfId="0" applyFill="1"/>
    <xf numFmtId="0" fontId="44" fillId="46" borderId="0" xfId="0" applyFont="1" applyFill="1"/>
    <xf numFmtId="0" fontId="0" fillId="0" borderId="20" xfId="0" applyBorder="1" applyAlignment="1">
      <alignment horizontal="left"/>
    </xf>
    <xf numFmtId="0" fontId="0" fillId="8" borderId="20" xfId="0" applyFill="1" applyBorder="1"/>
    <xf numFmtId="0" fontId="0" fillId="12" borderId="20" xfId="0" applyFill="1" applyBorder="1"/>
    <xf numFmtId="0" fontId="0" fillId="7" borderId="20" xfId="0" applyFill="1" applyBorder="1"/>
    <xf numFmtId="0" fontId="0" fillId="18" borderId="20" xfId="0" applyFill="1" applyBorder="1"/>
    <xf numFmtId="0" fontId="0" fillId="30" borderId="20" xfId="0" applyFill="1" applyBorder="1"/>
    <xf numFmtId="3" fontId="0" fillId="0" borderId="0" xfId="0" applyNumberFormat="1"/>
    <xf numFmtId="0" fontId="27" fillId="47" borderId="0" xfId="0" applyFont="1" applyFill="1"/>
    <xf numFmtId="176" fontId="0" fillId="0" borderId="71" xfId="0" applyNumberFormat="1" applyBorder="1"/>
    <xf numFmtId="176" fontId="0" fillId="0" borderId="72" xfId="0" applyNumberFormat="1" applyBorder="1"/>
    <xf numFmtId="175" fontId="0" fillId="0" borderId="36" xfId="3" applyNumberFormat="1" applyFont="1" applyBorder="1"/>
    <xf numFmtId="175" fontId="0" fillId="0" borderId="35" xfId="3" applyNumberFormat="1" applyFont="1" applyBorder="1"/>
    <xf numFmtId="175" fontId="0" fillId="0" borderId="16" xfId="3" applyNumberFormat="1" applyFont="1" applyBorder="1"/>
    <xf numFmtId="0" fontId="0" fillId="0" borderId="36" xfId="0" applyBorder="1" applyAlignment="1">
      <alignment horizontal="left"/>
    </xf>
    <xf numFmtId="176" fontId="0" fillId="0" borderId="36" xfId="0" applyNumberFormat="1" applyBorder="1"/>
    <xf numFmtId="0" fontId="27" fillId="0" borderId="16" xfId="4" applyBorder="1" applyAlignment="1">
      <alignment horizontal="left"/>
    </xf>
    <xf numFmtId="176" fontId="27" fillId="0" borderId="16" xfId="4" applyNumberFormat="1" applyBorder="1"/>
    <xf numFmtId="175" fontId="27" fillId="0" borderId="16" xfId="4" applyNumberFormat="1" applyBorder="1"/>
    <xf numFmtId="167" fontId="2" fillId="0" borderId="35" xfId="0" applyNumberFormat="1" applyFont="1" applyBorder="1" applyAlignment="1">
      <alignment horizontal="left"/>
    </xf>
    <xf numFmtId="176" fontId="0" fillId="0" borderId="35" xfId="0" applyNumberFormat="1" applyBorder="1"/>
    <xf numFmtId="164" fontId="26" fillId="0" borderId="0" xfId="0" applyNumberFormat="1" applyFont="1" applyAlignment="1">
      <alignment vertical="center"/>
    </xf>
    <xf numFmtId="164" fontId="0" fillId="0" borderId="56" xfId="0" applyNumberFormat="1" applyBorder="1" applyAlignment="1">
      <alignment horizontal="center"/>
    </xf>
    <xf numFmtId="9" fontId="0" fillId="0" borderId="0" xfId="3" applyFont="1"/>
    <xf numFmtId="0" fontId="0" fillId="0" borderId="68" xfId="0" applyBorder="1" applyAlignment="1">
      <alignment horizontal="center" vertical="center"/>
    </xf>
    <xf numFmtId="0" fontId="0" fillId="0" borderId="36" xfId="0" applyBorder="1" applyAlignment="1">
      <alignment horizontal="center"/>
    </xf>
    <xf numFmtId="2" fontId="0" fillId="0" borderId="89" xfId="0" applyNumberFormat="1" applyBorder="1" applyAlignment="1">
      <alignment horizontal="center"/>
    </xf>
    <xf numFmtId="2" fontId="0" fillId="0" borderId="83" xfId="0" applyNumberFormat="1" applyBorder="1" applyAlignment="1">
      <alignment horizontal="center"/>
    </xf>
    <xf numFmtId="2" fontId="0" fillId="0" borderId="144" xfId="0" applyNumberFormat="1" applyBorder="1" applyAlignment="1">
      <alignment horizontal="center"/>
    </xf>
    <xf numFmtId="2" fontId="0" fillId="0" borderId="46" xfId="0" applyNumberFormat="1" applyBorder="1" applyAlignment="1">
      <alignment horizontal="center"/>
    </xf>
    <xf numFmtId="0" fontId="42" fillId="0" borderId="0" xfId="0" applyFont="1" applyAlignment="1">
      <alignment vertical="center"/>
    </xf>
    <xf numFmtId="0" fontId="2" fillId="0" borderId="22" xfId="0" applyFont="1" applyBorder="1" applyAlignment="1">
      <alignment horizontal="center"/>
    </xf>
    <xf numFmtId="167" fontId="2" fillId="0" borderId="158" xfId="0" applyNumberFormat="1" applyFont="1" applyBorder="1" applyAlignment="1">
      <alignment horizontal="center"/>
    </xf>
    <xf numFmtId="167" fontId="2" fillId="0" borderId="128" xfId="0" applyNumberFormat="1" applyFont="1" applyBorder="1" applyAlignment="1">
      <alignment horizontal="center"/>
    </xf>
    <xf numFmtId="167" fontId="2" fillId="0" borderId="132" xfId="0" applyNumberFormat="1" applyFont="1" applyBorder="1" applyAlignment="1">
      <alignment horizontal="center"/>
    </xf>
    <xf numFmtId="167" fontId="2" fillId="0" borderId="125" xfId="0" applyNumberFormat="1" applyFont="1" applyBorder="1" applyAlignment="1">
      <alignment horizontal="center"/>
    </xf>
    <xf numFmtId="0" fontId="2" fillId="0" borderId="158" xfId="0" applyFont="1" applyBorder="1" applyAlignment="1">
      <alignment horizontal="center"/>
    </xf>
    <xf numFmtId="0" fontId="2" fillId="0" borderId="129" xfId="0" applyFont="1" applyBorder="1" applyAlignment="1">
      <alignment horizontal="center"/>
    </xf>
    <xf numFmtId="0" fontId="15" fillId="0" borderId="16" xfId="0" applyFont="1" applyBorder="1"/>
    <xf numFmtId="0" fontId="15" fillId="0" borderId="23" xfId="0" applyFont="1" applyBorder="1"/>
    <xf numFmtId="0" fontId="15" fillId="0" borderId="56" xfId="0" applyFont="1" applyBorder="1" applyAlignment="1">
      <alignment horizontal="center"/>
    </xf>
    <xf numFmtId="168" fontId="15" fillId="0" borderId="20" xfId="0" applyNumberFormat="1" applyFont="1" applyBorder="1"/>
    <xf numFmtId="168" fontId="15" fillId="0" borderId="58" xfId="0" applyNumberFormat="1" applyFont="1" applyBorder="1"/>
    <xf numFmtId="168" fontId="15" fillId="0" borderId="20" xfId="0" applyNumberFormat="1" applyFont="1" applyBorder="1" applyAlignment="1">
      <alignment horizontal="center"/>
    </xf>
    <xf numFmtId="168" fontId="15" fillId="0" borderId="58" xfId="0" applyNumberFormat="1" applyFont="1" applyBorder="1" applyAlignment="1">
      <alignment horizontal="center"/>
    </xf>
    <xf numFmtId="168" fontId="15" fillId="0" borderId="36" xfId="0" applyNumberFormat="1" applyFont="1" applyBorder="1" applyAlignment="1">
      <alignment horizontal="center"/>
    </xf>
    <xf numFmtId="168" fontId="15" fillId="0" borderId="35" xfId="0" applyNumberFormat="1" applyFont="1" applyBorder="1" applyAlignment="1">
      <alignment horizontal="center"/>
    </xf>
    <xf numFmtId="168" fontId="15" fillId="0" borderId="56" xfId="0" applyNumberFormat="1" applyFont="1" applyBorder="1" applyAlignment="1">
      <alignment horizontal="center"/>
    </xf>
    <xf numFmtId="168" fontId="15" fillId="0" borderId="66" xfId="0" applyNumberFormat="1" applyFont="1" applyBorder="1" applyAlignment="1">
      <alignment horizontal="center" vertical="center"/>
    </xf>
    <xf numFmtId="168" fontId="15" fillId="0" borderId="68" xfId="0" applyNumberFormat="1" applyFont="1" applyBorder="1" applyAlignment="1">
      <alignment horizontal="center" vertical="center"/>
    </xf>
    <xf numFmtId="168" fontId="19" fillId="0" borderId="78" xfId="0" applyNumberFormat="1" applyFont="1" applyBorder="1" applyAlignment="1">
      <alignment horizontal="center" vertical="center"/>
    </xf>
    <xf numFmtId="168" fontId="15" fillId="0" borderId="160" xfId="0" applyNumberFormat="1" applyFont="1" applyBorder="1"/>
    <xf numFmtId="168" fontId="19" fillId="0" borderId="35" xfId="0" applyNumberFormat="1" applyFont="1" applyBorder="1" applyAlignment="1">
      <alignment horizontal="center"/>
    </xf>
    <xf numFmtId="168" fontId="19" fillId="0" borderId="56" xfId="0" applyNumberFormat="1" applyFont="1" applyBorder="1" applyAlignment="1">
      <alignment horizontal="center"/>
    </xf>
    <xf numFmtId="168" fontId="15" fillId="0" borderId="70" xfId="0" applyNumberFormat="1" applyFont="1" applyBorder="1" applyAlignment="1">
      <alignment horizontal="center"/>
    </xf>
    <xf numFmtId="168" fontId="15" fillId="0" borderId="74" xfId="0" applyNumberFormat="1" applyFont="1" applyBorder="1" applyAlignment="1">
      <alignment horizontal="center" vertical="center"/>
    </xf>
    <xf numFmtId="168" fontId="15" fillId="0" borderId="62" xfId="0" applyNumberFormat="1" applyFont="1" applyBorder="1" applyAlignment="1">
      <alignment horizontal="center" vertical="center"/>
    </xf>
    <xf numFmtId="168" fontId="15" fillId="0" borderId="63" xfId="0" applyNumberFormat="1" applyFont="1" applyBorder="1" applyAlignment="1">
      <alignment horizontal="center" vertical="center"/>
    </xf>
    <xf numFmtId="0" fontId="46" fillId="0" borderId="20" xfId="0" applyFont="1" applyBorder="1" applyAlignment="1">
      <alignment horizontal="center" vertical="top"/>
    </xf>
    <xf numFmtId="0" fontId="46" fillId="0" borderId="58" xfId="0" applyFont="1" applyBorder="1" applyAlignment="1">
      <alignment horizontal="center" vertical="top"/>
    </xf>
    <xf numFmtId="177" fontId="2" fillId="0" borderId="0" xfId="0" applyNumberFormat="1" applyFont="1" applyAlignment="1">
      <alignment horizontal="left"/>
    </xf>
    <xf numFmtId="10" fontId="2" fillId="0" borderId="0" xfId="3" applyNumberFormat="1" applyFont="1"/>
    <xf numFmtId="10" fontId="2" fillId="0" borderId="0" xfId="3" applyNumberFormat="1" applyFont="1" applyAlignment="1">
      <alignment horizontal="center"/>
    </xf>
    <xf numFmtId="9" fontId="14" fillId="0" borderId="0" xfId="3" applyFont="1"/>
    <xf numFmtId="0" fontId="2" fillId="0" borderId="0" xfId="0" applyFont="1" applyAlignment="1">
      <alignment horizontal="left"/>
    </xf>
    <xf numFmtId="0" fontId="7" fillId="0" borderId="36" xfId="0" applyFont="1" applyBorder="1" applyAlignment="1">
      <alignment horizontal="left"/>
    </xf>
    <xf numFmtId="164" fontId="50" fillId="0" borderId="0" xfId="0" applyNumberFormat="1" applyFont="1" applyAlignment="1">
      <alignment vertical="center"/>
    </xf>
    <xf numFmtId="0" fontId="49" fillId="0" borderId="0" xfId="0" applyFont="1" applyAlignment="1">
      <alignment vertical="center"/>
    </xf>
    <xf numFmtId="0" fontId="0" fillId="0" borderId="46" xfId="0" applyBorder="1" applyAlignment="1">
      <alignment vertical="center"/>
    </xf>
    <xf numFmtId="168" fontId="19" fillId="0" borderId="82" xfId="0" applyNumberFormat="1" applyFont="1" applyBorder="1" applyAlignment="1">
      <alignment horizontal="center" vertical="center"/>
    </xf>
    <xf numFmtId="0" fontId="15" fillId="0" borderId="171" xfId="0" applyFont="1" applyBorder="1" applyAlignment="1">
      <alignment horizontal="center" vertical="top"/>
    </xf>
    <xf numFmtId="168" fontId="19" fillId="0" borderId="45" xfId="0" applyNumberFormat="1" applyFont="1" applyBorder="1" applyAlignment="1">
      <alignment horizontal="center" vertical="center"/>
    </xf>
    <xf numFmtId="0" fontId="27" fillId="0" borderId="0" xfId="4" applyFill="1" applyBorder="1" applyAlignment="1">
      <alignment horizontal="left"/>
    </xf>
    <xf numFmtId="176" fontId="27" fillId="0" borderId="0" xfId="4" applyNumberFormat="1" applyFill="1" applyBorder="1"/>
    <xf numFmtId="0" fontId="2" fillId="0" borderId="16" xfId="0" applyFont="1" applyBorder="1" applyAlignment="1">
      <alignment horizontal="left"/>
    </xf>
    <xf numFmtId="0" fontId="0" fillId="0" borderId="16" xfId="0" applyBorder="1" applyAlignment="1">
      <alignment horizontal="left"/>
    </xf>
    <xf numFmtId="0" fontId="2" fillId="0" borderId="36" xfId="0" applyFont="1" applyBorder="1" applyAlignment="1">
      <alignment horizontal="left"/>
    </xf>
    <xf numFmtId="44" fontId="0" fillId="0" borderId="20" xfId="0" applyNumberFormat="1" applyBorder="1"/>
    <xf numFmtId="0" fontId="27" fillId="0" borderId="0" xfId="4" applyBorder="1" applyAlignment="1">
      <alignment horizontal="left"/>
    </xf>
    <xf numFmtId="2" fontId="0" fillId="0" borderId="16" xfId="0" applyNumberFormat="1" applyBorder="1"/>
    <xf numFmtId="0" fontId="7" fillId="0" borderId="114" xfId="0" applyFont="1" applyBorder="1" applyAlignment="1">
      <alignment horizontal="left"/>
    </xf>
    <xf numFmtId="0" fontId="7" fillId="0" borderId="104" xfId="0" applyFont="1" applyBorder="1" applyAlignment="1">
      <alignment horizontal="left"/>
    </xf>
    <xf numFmtId="0" fontId="2" fillId="0" borderId="104" xfId="0" applyFont="1" applyBorder="1" applyAlignment="1">
      <alignment horizontal="left"/>
    </xf>
    <xf numFmtId="0" fontId="7" fillId="0" borderId="106" xfId="0" applyFont="1" applyBorder="1" applyAlignment="1">
      <alignment horizontal="left"/>
    </xf>
    <xf numFmtId="44" fontId="27" fillId="0" borderId="20" xfId="0" applyNumberFormat="1" applyFont="1" applyBorder="1"/>
    <xf numFmtId="44" fontId="51" fillId="0" borderId="20" xfId="0" applyNumberFormat="1" applyFont="1" applyBorder="1"/>
    <xf numFmtId="0" fontId="7" fillId="0" borderId="114" xfId="0" applyFont="1" applyBorder="1" applyAlignment="1">
      <alignment horizontal="center" vertical="center"/>
    </xf>
    <xf numFmtId="0" fontId="7" fillId="0" borderId="104" xfId="0" applyFont="1" applyBorder="1" applyAlignment="1">
      <alignment horizontal="center" vertical="center"/>
    </xf>
    <xf numFmtId="0" fontId="2" fillId="0" borderId="104" xfId="0" applyFont="1" applyBorder="1" applyAlignment="1">
      <alignment horizontal="center" vertical="center"/>
    </xf>
    <xf numFmtId="0" fontId="0" fillId="0" borderId="104" xfId="0" applyBorder="1" applyAlignment="1">
      <alignment horizontal="center" vertical="center"/>
    </xf>
    <xf numFmtId="2" fontId="0" fillId="0" borderId="16" xfId="0" applyNumberFormat="1" applyBorder="1" applyAlignment="1">
      <alignment horizontal="center" vertical="center" wrapText="1"/>
    </xf>
    <xf numFmtId="0" fontId="7" fillId="0" borderId="106" xfId="0" applyFont="1" applyBorder="1" applyAlignment="1">
      <alignment horizontal="center" vertical="center"/>
    </xf>
    <xf numFmtId="0" fontId="27" fillId="0" borderId="16" xfId="0" applyFont="1" applyBorder="1" applyAlignment="1">
      <alignment horizontal="center" vertical="center"/>
    </xf>
    <xf numFmtId="0" fontId="5" fillId="13" borderId="0" xfId="0" applyFont="1" applyFill="1" applyAlignment="1">
      <alignment horizontal="center" vertical="center"/>
    </xf>
    <xf numFmtId="0" fontId="26" fillId="0" borderId="42" xfId="0" applyFont="1" applyBorder="1" applyAlignment="1">
      <alignment horizontal="center" vertical="center"/>
    </xf>
    <xf numFmtId="0" fontId="26" fillId="0" borderId="47" xfId="0" applyFont="1" applyBorder="1" applyAlignment="1">
      <alignment horizontal="center" vertical="center"/>
    </xf>
    <xf numFmtId="164" fontId="26" fillId="0" borderId="84" xfId="0" applyNumberFormat="1" applyFont="1" applyBorder="1" applyAlignment="1">
      <alignment horizontal="center" vertical="center"/>
    </xf>
    <xf numFmtId="2" fontId="0" fillId="0" borderId="16" xfId="0" applyNumberFormat="1" applyBorder="1" applyAlignment="1">
      <alignment horizontal="center" vertical="center"/>
    </xf>
    <xf numFmtId="2" fontId="0" fillId="0" borderId="105" xfId="0" applyNumberFormat="1" applyBorder="1" applyAlignment="1">
      <alignment horizontal="center" vertical="center"/>
    </xf>
    <xf numFmtId="0" fontId="0" fillId="0" borderId="16" xfId="0" applyBorder="1" applyAlignment="1">
      <alignment horizontal="center" vertical="center"/>
    </xf>
    <xf numFmtId="169" fontId="0" fillId="0" borderId="34" xfId="0" applyNumberFormat="1" applyBorder="1" applyAlignment="1">
      <alignment horizontal="center" vertical="center"/>
    </xf>
    <xf numFmtId="0" fontId="15" fillId="0" borderId="20" xfId="0" applyFont="1" applyBorder="1" applyAlignment="1">
      <alignment horizontal="center"/>
    </xf>
    <xf numFmtId="164" fontId="0" fillId="0" borderId="46" xfId="0" applyNumberFormat="1" applyBorder="1" applyAlignment="1">
      <alignment horizontal="center"/>
    </xf>
    <xf numFmtId="168" fontId="0" fillId="0" borderId="0" xfId="5" applyNumberFormat="1" applyFont="1"/>
    <xf numFmtId="1" fontId="15" fillId="0" borderId="35" xfId="0" applyNumberFormat="1" applyFont="1" applyBorder="1" applyAlignment="1">
      <alignment horizontal="center"/>
    </xf>
    <xf numFmtId="168" fontId="14" fillId="0" borderId="0" xfId="0" applyNumberFormat="1" applyFont="1"/>
    <xf numFmtId="164" fontId="2" fillId="33" borderId="35" xfId="0" applyNumberFormat="1" applyFont="1" applyFill="1" applyBorder="1" applyAlignment="1">
      <alignment horizontal="center"/>
    </xf>
    <xf numFmtId="164" fontId="2" fillId="33" borderId="20" xfId="0" applyNumberFormat="1" applyFont="1" applyFill="1" applyBorder="1" applyAlignment="1">
      <alignment horizontal="center"/>
    </xf>
    <xf numFmtId="164" fontId="2" fillId="33" borderId="36" xfId="0" applyNumberFormat="1" applyFont="1" applyFill="1" applyBorder="1" applyAlignment="1">
      <alignment horizontal="center"/>
    </xf>
    <xf numFmtId="3" fontId="2" fillId="33" borderId="20" xfId="0" applyNumberFormat="1" applyFont="1" applyFill="1" applyBorder="1" applyAlignment="1">
      <alignment horizontal="center"/>
    </xf>
    <xf numFmtId="164" fontId="2" fillId="33" borderId="126" xfId="0" applyNumberFormat="1" applyFont="1" applyFill="1" applyBorder="1" applyAlignment="1">
      <alignment horizontal="center"/>
    </xf>
    <xf numFmtId="164" fontId="2" fillId="33" borderId="130" xfId="0" applyNumberFormat="1" applyFont="1" applyFill="1" applyBorder="1" applyAlignment="1">
      <alignment horizontal="center"/>
    </xf>
    <xf numFmtId="164" fontId="2" fillId="18" borderId="35" xfId="0" applyNumberFormat="1" applyFont="1" applyFill="1" applyBorder="1" applyAlignment="1">
      <alignment horizontal="center"/>
    </xf>
    <xf numFmtId="164" fontId="2" fillId="18" borderId="20" xfId="0" applyNumberFormat="1" applyFont="1" applyFill="1" applyBorder="1" applyAlignment="1">
      <alignment horizontal="center"/>
    </xf>
    <xf numFmtId="3" fontId="2" fillId="18" borderId="20" xfId="0" applyNumberFormat="1" applyFont="1" applyFill="1" applyBorder="1" applyAlignment="1">
      <alignment horizontal="center"/>
    </xf>
    <xf numFmtId="164" fontId="2" fillId="18" borderId="126" xfId="0" applyNumberFormat="1" applyFont="1" applyFill="1" applyBorder="1" applyAlignment="1">
      <alignment horizontal="center"/>
    </xf>
    <xf numFmtId="164" fontId="2" fillId="18" borderId="130" xfId="0" applyNumberFormat="1" applyFont="1" applyFill="1" applyBorder="1" applyAlignment="1">
      <alignment horizontal="center"/>
    </xf>
    <xf numFmtId="164" fontId="2" fillId="45" borderId="35" xfId="0" applyNumberFormat="1" applyFont="1" applyFill="1" applyBorder="1" applyAlignment="1">
      <alignment horizontal="center"/>
    </xf>
    <xf numFmtId="164" fontId="2" fillId="45" borderId="159" xfId="0" applyNumberFormat="1" applyFont="1" applyFill="1" applyBorder="1" applyAlignment="1">
      <alignment horizontal="center"/>
    </xf>
    <xf numFmtId="164" fontId="2" fillId="45" borderId="20" xfId="0" applyNumberFormat="1" applyFont="1" applyFill="1" applyBorder="1" applyAlignment="1">
      <alignment horizontal="center"/>
    </xf>
    <xf numFmtId="164" fontId="2" fillId="45" borderId="160" xfId="0" applyNumberFormat="1" applyFont="1" applyFill="1" applyBorder="1" applyAlignment="1">
      <alignment horizontal="center"/>
    </xf>
    <xf numFmtId="3" fontId="2" fillId="45" borderId="20" xfId="0" applyNumberFormat="1" applyFont="1" applyFill="1" applyBorder="1" applyAlignment="1">
      <alignment horizontal="center"/>
    </xf>
    <xf numFmtId="164" fontId="2" fillId="45" borderId="126" xfId="0" applyNumberFormat="1" applyFont="1" applyFill="1" applyBorder="1" applyAlignment="1">
      <alignment horizontal="center"/>
    </xf>
    <xf numFmtId="164" fontId="2" fillId="45" borderId="168" xfId="0" applyNumberFormat="1" applyFont="1" applyFill="1" applyBorder="1" applyAlignment="1">
      <alignment horizontal="center"/>
    </xf>
    <xf numFmtId="164" fontId="2" fillId="45" borderId="130" xfId="0" applyNumberFormat="1" applyFont="1" applyFill="1" applyBorder="1" applyAlignment="1">
      <alignment horizontal="center"/>
    </xf>
    <xf numFmtId="164" fontId="2" fillId="45" borderId="165" xfId="0" applyNumberFormat="1" applyFont="1" applyFill="1" applyBorder="1" applyAlignment="1">
      <alignment horizontal="center"/>
    </xf>
    <xf numFmtId="0" fontId="39" fillId="21" borderId="158" xfId="0" applyFont="1" applyFill="1" applyBorder="1" applyAlignment="1">
      <alignment horizontal="center" vertical="top"/>
    </xf>
    <xf numFmtId="0" fontId="9" fillId="21" borderId="35" xfId="0" applyFont="1" applyFill="1" applyBorder="1" applyAlignment="1">
      <alignment horizontal="center" vertical="top"/>
    </xf>
    <xf numFmtId="0" fontId="9" fillId="21" borderId="35" xfId="0" applyFont="1" applyFill="1" applyBorder="1" applyAlignment="1">
      <alignment horizontal="center"/>
    </xf>
    <xf numFmtId="0" fontId="9" fillId="21" borderId="159" xfId="0" applyFont="1" applyFill="1" applyBorder="1" applyAlignment="1">
      <alignment horizontal="center"/>
    </xf>
    <xf numFmtId="4" fontId="7" fillId="21" borderId="20" xfId="0" applyNumberFormat="1" applyFont="1" applyFill="1" applyBorder="1" applyAlignment="1">
      <alignment horizontal="center" vertical="top"/>
    </xf>
    <xf numFmtId="4" fontId="2" fillId="21" borderId="20" xfId="0" applyNumberFormat="1" applyFont="1" applyFill="1" applyBorder="1" applyAlignment="1">
      <alignment horizontal="center" vertical="top"/>
    </xf>
    <xf numFmtId="2" fontId="2" fillId="21" borderId="160" xfId="0" applyNumberFormat="1" applyFont="1" applyFill="1" applyBorder="1" applyAlignment="1">
      <alignment horizontal="center"/>
    </xf>
    <xf numFmtId="2" fontId="7" fillId="21" borderId="20" xfId="0" applyNumberFormat="1" applyFont="1" applyFill="1" applyBorder="1" applyAlignment="1">
      <alignment horizontal="center" vertical="top"/>
    </xf>
    <xf numFmtId="0" fontId="2" fillId="21" borderId="155" xfId="0" applyFont="1" applyFill="1" applyBorder="1"/>
    <xf numFmtId="0" fontId="7" fillId="21" borderId="34" xfId="0" applyFont="1" applyFill="1" applyBorder="1" applyAlignment="1">
      <alignment horizontal="center" vertical="top"/>
    </xf>
    <xf numFmtId="0" fontId="7" fillId="21" borderId="0" xfId="0" applyFont="1" applyFill="1" applyAlignment="1">
      <alignment horizontal="center" vertical="top"/>
    </xf>
    <xf numFmtId="167" fontId="2" fillId="21" borderId="158" xfId="0" applyNumberFormat="1" applyFont="1" applyFill="1" applyBorder="1" applyAlignment="1">
      <alignment horizontal="center"/>
    </xf>
    <xf numFmtId="167" fontId="2" fillId="21" borderId="104" xfId="0" applyNumberFormat="1" applyFont="1" applyFill="1" applyBorder="1" applyAlignment="1">
      <alignment horizontal="center"/>
    </xf>
    <xf numFmtId="3" fontId="2" fillId="21" borderId="20" xfId="0" applyNumberFormat="1" applyFont="1" applyFill="1" applyBorder="1" applyAlignment="1">
      <alignment horizontal="center"/>
    </xf>
    <xf numFmtId="167" fontId="2" fillId="21" borderId="128" xfId="0" applyNumberFormat="1" applyFont="1" applyFill="1" applyBorder="1" applyAlignment="1">
      <alignment horizontal="center"/>
    </xf>
    <xf numFmtId="167" fontId="2" fillId="21" borderId="169" xfId="0" applyNumberFormat="1" applyFont="1" applyFill="1" applyBorder="1" applyAlignment="1">
      <alignment horizontal="center"/>
    </xf>
    <xf numFmtId="167" fontId="10" fillId="21" borderId="128" xfId="0" applyNumberFormat="1" applyFont="1" applyFill="1" applyBorder="1" applyAlignment="1">
      <alignment horizontal="center"/>
    </xf>
    <xf numFmtId="0" fontId="2" fillId="21" borderId="158" xfId="0" applyFont="1" applyFill="1" applyBorder="1" applyAlignment="1">
      <alignment horizontal="center"/>
    </xf>
    <xf numFmtId="0" fontId="2" fillId="21" borderId="129" xfId="0" applyFont="1" applyFill="1" applyBorder="1" applyAlignment="1">
      <alignment horizontal="center"/>
    </xf>
    <xf numFmtId="167" fontId="10" fillId="0" borderId="128" xfId="0" applyNumberFormat="1" applyFont="1" applyBorder="1" applyAlignment="1">
      <alignment horizontal="center"/>
    </xf>
    <xf numFmtId="0" fontId="26" fillId="21" borderId="82" xfId="0" applyFont="1" applyFill="1" applyBorder="1" applyAlignment="1">
      <alignment horizontal="center" vertical="center"/>
    </xf>
    <xf numFmtId="164" fontId="26" fillId="21" borderId="57" xfId="0" applyNumberFormat="1" applyFont="1" applyFill="1" applyBorder="1" applyAlignment="1">
      <alignment horizontal="center" vertical="center"/>
    </xf>
    <xf numFmtId="164" fontId="26" fillId="21" borderId="20" xfId="0" applyNumberFormat="1" applyFont="1" applyFill="1" applyBorder="1" applyAlignment="1">
      <alignment horizontal="center" vertical="center"/>
    </xf>
    <xf numFmtId="164" fontId="26" fillId="21" borderId="58" xfId="0" applyNumberFormat="1" applyFont="1" applyFill="1" applyBorder="1" applyAlignment="1">
      <alignment horizontal="center" vertical="center"/>
    </xf>
    <xf numFmtId="0" fontId="26" fillId="21" borderId="57" xfId="0" applyFont="1" applyFill="1" applyBorder="1" applyAlignment="1">
      <alignment horizontal="center" vertical="center"/>
    </xf>
    <xf numFmtId="0" fontId="26" fillId="21" borderId="20" xfId="0" applyFont="1" applyFill="1" applyBorder="1" applyAlignment="1">
      <alignment horizontal="center" vertical="center"/>
    </xf>
    <xf numFmtId="0" fontId="25" fillId="21" borderId="57" xfId="0" applyFont="1" applyFill="1" applyBorder="1" applyAlignment="1">
      <alignment horizontal="center" vertical="center"/>
    </xf>
    <xf numFmtId="0" fontId="25" fillId="21" borderId="20" xfId="0" applyFont="1" applyFill="1" applyBorder="1" applyAlignment="1">
      <alignment horizontal="center" vertical="center"/>
    </xf>
    <xf numFmtId="0" fontId="25" fillId="21" borderId="61" xfId="0" applyFont="1" applyFill="1" applyBorder="1" applyAlignment="1">
      <alignment horizontal="center" vertical="center"/>
    </xf>
    <xf numFmtId="0" fontId="25" fillId="21" borderId="62" xfId="0" applyFont="1" applyFill="1" applyBorder="1" applyAlignment="1">
      <alignment horizontal="center" vertical="center"/>
    </xf>
    <xf numFmtId="164" fontId="26" fillId="21" borderId="62" xfId="0" applyNumberFormat="1" applyFont="1" applyFill="1" applyBorder="1" applyAlignment="1">
      <alignment horizontal="center" vertical="center"/>
    </xf>
    <xf numFmtId="0" fontId="39" fillId="21" borderId="0" xfId="0" applyFont="1" applyFill="1" applyAlignment="1">
      <alignment vertical="center"/>
    </xf>
    <xf numFmtId="0" fontId="42" fillId="21" borderId="0" xfId="0" applyFont="1" applyFill="1" applyAlignment="1">
      <alignment vertical="center"/>
    </xf>
    <xf numFmtId="0" fontId="7" fillId="21" borderId="158" xfId="0" applyFont="1" applyFill="1" applyBorder="1" applyAlignment="1">
      <alignment horizontal="center" vertical="top"/>
    </xf>
    <xf numFmtId="0" fontId="2" fillId="21" borderId="69" xfId="0" applyFont="1" applyFill="1" applyBorder="1" applyAlignment="1">
      <alignment horizontal="center" vertical="top"/>
    </xf>
    <xf numFmtId="0" fontId="2" fillId="21" borderId="69" xfId="0" applyFont="1" applyFill="1" applyBorder="1" applyAlignment="1">
      <alignment horizontal="center"/>
    </xf>
    <xf numFmtId="0" fontId="2" fillId="21" borderId="159" xfId="0" applyFont="1" applyFill="1" applyBorder="1" applyAlignment="1">
      <alignment horizontal="center"/>
    </xf>
    <xf numFmtId="0" fontId="9" fillId="21" borderId="69" xfId="0" applyFont="1" applyFill="1" applyBorder="1" applyAlignment="1">
      <alignment horizontal="center" vertical="top"/>
    </xf>
    <xf numFmtId="0" fontId="9" fillId="21" borderId="69" xfId="0" applyFont="1" applyFill="1" applyBorder="1" applyAlignment="1">
      <alignment horizontal="center"/>
    </xf>
    <xf numFmtId="0" fontId="7" fillId="21" borderId="128" xfId="0" applyFont="1" applyFill="1" applyBorder="1" applyAlignment="1">
      <alignment horizontal="center" vertical="top"/>
    </xf>
    <xf numFmtId="4" fontId="2" fillId="21" borderId="71" xfId="0" applyNumberFormat="1" applyFont="1" applyFill="1" applyBorder="1" applyAlignment="1">
      <alignment horizontal="center" vertical="top"/>
    </xf>
    <xf numFmtId="2" fontId="2" fillId="21" borderId="71" xfId="0" applyNumberFormat="1" applyFont="1" applyFill="1" applyBorder="1" applyAlignment="1">
      <alignment horizontal="center"/>
    </xf>
    <xf numFmtId="2" fontId="2" fillId="21" borderId="0" xfId="0" applyNumberFormat="1" applyFont="1" applyFill="1" applyAlignment="1">
      <alignment horizontal="center"/>
    </xf>
    <xf numFmtId="0" fontId="2" fillId="21" borderId="20" xfId="0" applyFont="1" applyFill="1" applyBorder="1" applyAlignment="1">
      <alignment horizontal="center"/>
    </xf>
    <xf numFmtId="0" fontId="2" fillId="21" borderId="160" xfId="0" applyFont="1" applyFill="1" applyBorder="1" applyAlignment="1">
      <alignment horizontal="center"/>
    </xf>
    <xf numFmtId="2" fontId="2" fillId="21" borderId="71" xfId="0" applyNumberFormat="1" applyFont="1" applyFill="1" applyBorder="1" applyAlignment="1">
      <alignment horizontal="center" vertical="top"/>
    </xf>
    <xf numFmtId="4" fontId="7" fillId="21" borderId="71" xfId="0" applyNumberFormat="1" applyFont="1" applyFill="1" applyBorder="1" applyAlignment="1">
      <alignment horizontal="center" vertical="top"/>
    </xf>
    <xf numFmtId="0" fontId="7" fillId="21" borderId="22" xfId="0" applyFont="1" applyFill="1" applyBorder="1" applyAlignment="1">
      <alignment horizontal="center" vertical="top"/>
    </xf>
    <xf numFmtId="0" fontId="2" fillId="21" borderId="155" xfId="0" applyFont="1" applyFill="1" applyBorder="1" applyAlignment="1">
      <alignment horizontal="center"/>
    </xf>
    <xf numFmtId="0" fontId="7" fillId="21" borderId="162" xfId="0" applyFont="1" applyFill="1" applyBorder="1" applyAlignment="1">
      <alignment horizontal="center" vertical="top"/>
    </xf>
    <xf numFmtId="0" fontId="2" fillId="21" borderId="22" xfId="0" applyFont="1" applyFill="1" applyBorder="1"/>
    <xf numFmtId="167" fontId="2" fillId="21" borderId="159" xfId="0" applyNumberFormat="1" applyFont="1" applyFill="1" applyBorder="1" applyAlignment="1">
      <alignment horizontal="center"/>
    </xf>
    <xf numFmtId="167" fontId="2" fillId="21" borderId="0" xfId="0" applyNumberFormat="1" applyFont="1" applyFill="1" applyAlignment="1">
      <alignment horizontal="center"/>
    </xf>
    <xf numFmtId="167" fontId="2" fillId="21" borderId="160" xfId="0" applyNumberFormat="1" applyFont="1" applyFill="1" applyBorder="1" applyAlignment="1">
      <alignment horizontal="center"/>
    </xf>
    <xf numFmtId="167" fontId="2" fillId="21" borderId="71" xfId="0" applyNumberFormat="1" applyFont="1" applyFill="1" applyBorder="1" applyAlignment="1">
      <alignment horizontal="center"/>
    </xf>
    <xf numFmtId="167" fontId="2" fillId="21" borderId="79" xfId="0" applyNumberFormat="1" applyFont="1" applyFill="1" applyBorder="1" applyAlignment="1">
      <alignment horizontal="center"/>
    </xf>
    <xf numFmtId="167" fontId="2" fillId="21" borderId="164" xfId="0" applyNumberFormat="1" applyFont="1" applyFill="1" applyBorder="1" applyAlignment="1">
      <alignment horizontal="center"/>
    </xf>
    <xf numFmtId="167" fontId="2" fillId="21" borderId="0" xfId="0" applyNumberFormat="1" applyFont="1" applyFill="1"/>
    <xf numFmtId="167" fontId="9" fillId="21" borderId="0" xfId="0" applyNumberFormat="1" applyFont="1" applyFill="1"/>
    <xf numFmtId="167" fontId="2" fillId="21" borderId="69" xfId="0" applyNumberFormat="1" applyFont="1" applyFill="1" applyBorder="1" applyAlignment="1">
      <alignment horizontal="center"/>
    </xf>
    <xf numFmtId="0" fontId="2" fillId="21" borderId="71" xfId="0" applyFont="1" applyFill="1" applyBorder="1" applyAlignment="1">
      <alignment horizontal="center"/>
    </xf>
    <xf numFmtId="164" fontId="2" fillId="21" borderId="35" xfId="0" applyNumberFormat="1" applyFont="1" applyFill="1" applyBorder="1" applyAlignment="1">
      <alignment horizontal="center"/>
    </xf>
    <xf numFmtId="164" fontId="2" fillId="21" borderId="0" xfId="0" applyNumberFormat="1" applyFont="1" applyFill="1" applyAlignment="1">
      <alignment horizontal="center"/>
    </xf>
    <xf numFmtId="164" fontId="2" fillId="21" borderId="20" xfId="0" applyNumberFormat="1" applyFont="1" applyFill="1" applyBorder="1" applyAlignment="1">
      <alignment horizontal="center"/>
    </xf>
    <xf numFmtId="0" fontId="2" fillId="21" borderId="20" xfId="0" applyFont="1" applyFill="1" applyBorder="1"/>
    <xf numFmtId="2" fontId="2" fillId="21" borderId="35" xfId="0" applyNumberFormat="1" applyFont="1" applyFill="1" applyBorder="1" applyAlignment="1">
      <alignment horizontal="center"/>
    </xf>
    <xf numFmtId="0" fontId="2" fillId="21" borderId="132" xfId="0" applyFont="1" applyFill="1" applyBorder="1" applyAlignment="1">
      <alignment horizontal="center"/>
    </xf>
    <xf numFmtId="166" fontId="2" fillId="21" borderId="0" xfId="0" applyNumberFormat="1" applyFont="1" applyFill="1" applyAlignment="1">
      <alignment horizontal="center"/>
    </xf>
    <xf numFmtId="166" fontId="2" fillId="21" borderId="130" xfId="0" applyNumberFormat="1" applyFont="1" applyFill="1" applyBorder="1" applyAlignment="1">
      <alignment horizontal="center"/>
    </xf>
    <xf numFmtId="166" fontId="2" fillId="21" borderId="170" xfId="0" applyNumberFormat="1" applyFont="1" applyFill="1" applyBorder="1" applyAlignment="1">
      <alignment horizontal="center"/>
    </xf>
    <xf numFmtId="166" fontId="2" fillId="21" borderId="165" xfId="0" applyNumberFormat="1" applyFont="1" applyFill="1" applyBorder="1" applyAlignment="1">
      <alignment horizontal="center"/>
    </xf>
    <xf numFmtId="0" fontId="4" fillId="21" borderId="0" xfId="0" applyFont="1" applyFill="1" applyAlignment="1">
      <alignment horizontal="center"/>
    </xf>
    <xf numFmtId="0" fontId="4" fillId="21" borderId="0" xfId="0" applyFont="1" applyFill="1" applyAlignment="1">
      <alignment horizontal="center" vertical="top"/>
    </xf>
    <xf numFmtId="0" fontId="27" fillId="0" borderId="16" xfId="4" applyFill="1" applyBorder="1" applyAlignment="1">
      <alignment horizontal="left"/>
    </xf>
    <xf numFmtId="176" fontId="27" fillId="0" borderId="35" xfId="0" applyNumberFormat="1" applyFont="1" applyBorder="1"/>
    <xf numFmtId="0" fontId="0" fillId="10" borderId="42" xfId="0" applyFill="1" applyBorder="1" applyAlignment="1">
      <alignment horizontal="center"/>
    </xf>
    <xf numFmtId="0" fontId="5" fillId="10" borderId="42" xfId="0" applyFont="1" applyFill="1" applyBorder="1" applyAlignment="1">
      <alignment horizontal="center"/>
    </xf>
    <xf numFmtId="2" fontId="0" fillId="0" borderId="105" xfId="0" applyNumberFormat="1" applyBorder="1"/>
    <xf numFmtId="44" fontId="0" fillId="0" borderId="16" xfId="0" applyNumberFormat="1" applyBorder="1"/>
    <xf numFmtId="1" fontId="0" fillId="0" borderId="36" xfId="0" applyNumberFormat="1" applyBorder="1" applyAlignment="1">
      <alignment horizontal="center"/>
    </xf>
    <xf numFmtId="44" fontId="0" fillId="0" borderId="16" xfId="0" applyNumberFormat="1" applyBorder="1" applyAlignment="1">
      <alignment horizontal="center" vertical="center"/>
    </xf>
    <xf numFmtId="0" fontId="27" fillId="0" borderId="16" xfId="0" applyFont="1" applyBorder="1"/>
    <xf numFmtId="44" fontId="27" fillId="0" borderId="16" xfId="0" applyNumberFormat="1" applyFont="1" applyBorder="1" applyAlignment="1">
      <alignment horizontal="center" vertical="center"/>
    </xf>
    <xf numFmtId="44" fontId="27" fillId="0" borderId="16" xfId="0" applyNumberFormat="1" applyFont="1" applyBorder="1"/>
    <xf numFmtId="44" fontId="51" fillId="0" borderId="16" xfId="0" applyNumberFormat="1" applyFont="1" applyBorder="1" applyAlignment="1">
      <alignment horizontal="center" vertical="center"/>
    </xf>
    <xf numFmtId="2" fontId="0" fillId="0" borderId="16" xfId="4" applyNumberFormat="1" applyFont="1" applyBorder="1" applyAlignment="1">
      <alignment horizontal="center" vertical="center"/>
    </xf>
    <xf numFmtId="0" fontId="7" fillId="0" borderId="16" xfId="0" applyFont="1" applyBorder="1" applyAlignment="1">
      <alignment horizontal="left"/>
    </xf>
    <xf numFmtId="0" fontId="26" fillId="0" borderId="0" xfId="0" applyFont="1" applyAlignment="1">
      <alignment horizontal="center" vertical="center"/>
    </xf>
    <xf numFmtId="164" fontId="26" fillId="0" borderId="0" xfId="0" applyNumberFormat="1" applyFont="1" applyAlignment="1">
      <alignment horizontal="center" vertical="center"/>
    </xf>
    <xf numFmtId="164" fontId="26" fillId="0" borderId="176" xfId="0" applyNumberFormat="1" applyFont="1" applyBorder="1" applyAlignment="1">
      <alignment horizontal="center" vertical="center"/>
    </xf>
    <xf numFmtId="164" fontId="26" fillId="0" borderId="150" xfId="0" applyNumberFormat="1" applyFont="1" applyBorder="1" applyAlignment="1">
      <alignment horizontal="center" vertical="center"/>
    </xf>
    <xf numFmtId="0" fontId="49" fillId="0" borderId="0" xfId="0" applyFont="1" applyAlignment="1">
      <alignment horizontal="center" vertical="center"/>
    </xf>
    <xf numFmtId="0" fontId="51" fillId="0" borderId="16" xfId="0" applyFont="1" applyBorder="1" applyAlignment="1">
      <alignment horizontal="center" vertical="center"/>
    </xf>
    <xf numFmtId="164" fontId="5" fillId="0" borderId="44" xfId="0" applyNumberFormat="1" applyFont="1" applyBorder="1" applyAlignment="1">
      <alignment horizontal="center" vertical="center"/>
    </xf>
    <xf numFmtId="164" fontId="5" fillId="0" borderId="45" xfId="0" applyNumberFormat="1" applyFont="1" applyBorder="1" applyAlignment="1">
      <alignment horizontal="center" vertical="center"/>
    </xf>
    <xf numFmtId="164" fontId="0" fillId="0" borderId="44" xfId="0" applyNumberFormat="1" applyBorder="1"/>
    <xf numFmtId="164" fontId="0" fillId="0" borderId="45" xfId="0" applyNumberFormat="1" applyBorder="1"/>
    <xf numFmtId="0" fontId="0" fillId="18" borderId="145" xfId="0" applyFill="1" applyBorder="1" applyAlignment="1">
      <alignment horizontal="center"/>
    </xf>
    <xf numFmtId="0" fontId="0" fillId="8" borderId="145" xfId="0" applyFill="1" applyBorder="1" applyAlignment="1">
      <alignment horizontal="center"/>
    </xf>
    <xf numFmtId="0" fontId="5" fillId="8" borderId="145" xfId="0" applyFont="1" applyFill="1" applyBorder="1" applyAlignment="1">
      <alignment horizontal="center"/>
    </xf>
    <xf numFmtId="0" fontId="5" fillId="29" borderId="145" xfId="0" applyFont="1" applyFill="1" applyBorder="1" applyAlignment="1">
      <alignment horizontal="center"/>
    </xf>
    <xf numFmtId="0" fontId="5" fillId="32" borderId="145" xfId="0" applyFont="1" applyFill="1" applyBorder="1" applyAlignment="1">
      <alignment horizontal="center"/>
    </xf>
    <xf numFmtId="0" fontId="0" fillId="32" borderId="145" xfId="0" applyFill="1" applyBorder="1" applyAlignment="1">
      <alignment horizontal="center"/>
    </xf>
    <xf numFmtId="0" fontId="0" fillId="32" borderId="143" xfId="0" applyFill="1" applyBorder="1" applyAlignment="1">
      <alignment horizontal="center"/>
    </xf>
    <xf numFmtId="169" fontId="0" fillId="0" borderId="137" xfId="0" applyNumberFormat="1" applyBorder="1" applyAlignment="1">
      <alignment horizontal="center" vertical="center"/>
    </xf>
    <xf numFmtId="169" fontId="0" fillId="0" borderId="75" xfId="0" applyNumberFormat="1" applyBorder="1" applyAlignment="1">
      <alignment horizontal="center" vertical="center"/>
    </xf>
    <xf numFmtId="0" fontId="0" fillId="36" borderId="41" xfId="0" applyFill="1" applyBorder="1" applyAlignment="1">
      <alignment vertical="center"/>
    </xf>
    <xf numFmtId="0" fontId="0" fillId="36" borderId="42" xfId="0" applyFill="1" applyBorder="1" applyAlignment="1">
      <alignment vertical="center"/>
    </xf>
    <xf numFmtId="0" fontId="0" fillId="36" borderId="78" xfId="0" applyFill="1" applyBorder="1" applyAlignment="1">
      <alignment vertical="center"/>
    </xf>
    <xf numFmtId="0" fontId="0" fillId="36" borderId="78" xfId="0" applyFill="1" applyBorder="1" applyAlignment="1">
      <alignment horizontal="center" vertical="center"/>
    </xf>
    <xf numFmtId="0" fontId="0" fillId="36" borderId="34" xfId="0" applyFill="1" applyBorder="1" applyAlignment="1">
      <alignment horizontal="center" vertical="center"/>
    </xf>
    <xf numFmtId="0" fontId="5" fillId="36" borderId="20" xfId="0" applyFont="1" applyFill="1" applyBorder="1" applyAlignment="1">
      <alignment horizontal="center"/>
    </xf>
    <xf numFmtId="0" fontId="0" fillId="36" borderId="36" xfId="0" applyFill="1" applyBorder="1" applyAlignment="1">
      <alignment horizontal="center"/>
    </xf>
    <xf numFmtId="169" fontId="0" fillId="36" borderId="34" xfId="0" applyNumberFormat="1" applyFill="1" applyBorder="1" applyAlignment="1">
      <alignment horizontal="center" vertical="center"/>
    </xf>
    <xf numFmtId="169" fontId="0" fillId="36" borderId="78" xfId="0" applyNumberFormat="1" applyFill="1" applyBorder="1" applyAlignment="1">
      <alignment horizontal="center" vertical="center"/>
    </xf>
    <xf numFmtId="164" fontId="0" fillId="0" borderId="44" xfId="0" applyNumberFormat="1" applyBorder="1" applyAlignment="1">
      <alignment horizontal="center"/>
    </xf>
    <xf numFmtId="9" fontId="5" fillId="0" borderId="0" xfId="3" applyFont="1" applyAlignment="1">
      <alignment horizontal="center"/>
    </xf>
    <xf numFmtId="0" fontId="52" fillId="0" borderId="68" xfId="0" applyFont="1" applyBorder="1" applyAlignment="1">
      <alignment horizontal="center"/>
    </xf>
    <xf numFmtId="0" fontId="52" fillId="0" borderId="67" xfId="0" applyFont="1" applyBorder="1" applyAlignment="1">
      <alignment horizontal="center"/>
    </xf>
    <xf numFmtId="0" fontId="52" fillId="0" borderId="78" xfId="0" applyFont="1" applyBorder="1" applyAlignment="1">
      <alignment horizontal="center"/>
    </xf>
    <xf numFmtId="0" fontId="52" fillId="0" borderId="89" xfId="0" applyFont="1" applyBorder="1" applyAlignment="1">
      <alignment horizontal="center"/>
    </xf>
    <xf numFmtId="0" fontId="52" fillId="0" borderId="90" xfId="0" applyFont="1" applyBorder="1" applyAlignment="1">
      <alignment horizontal="center"/>
    </xf>
    <xf numFmtId="0" fontId="52" fillId="0" borderId="88" xfId="0" applyFont="1" applyBorder="1" applyAlignment="1">
      <alignment horizontal="center"/>
    </xf>
    <xf numFmtId="2" fontId="52" fillId="0" borderId="72" xfId="0" applyNumberFormat="1" applyFont="1" applyBorder="1" applyAlignment="1">
      <alignment horizontal="center"/>
    </xf>
    <xf numFmtId="3" fontId="52" fillId="0" borderId="70" xfId="0" applyNumberFormat="1" applyFont="1" applyBorder="1" applyAlignment="1">
      <alignment horizontal="center"/>
    </xf>
    <xf numFmtId="3" fontId="52" fillId="0" borderId="72" xfId="0" applyNumberFormat="1" applyFont="1" applyBorder="1" applyAlignment="1">
      <alignment horizontal="center"/>
    </xf>
    <xf numFmtId="3" fontId="52" fillId="0" borderId="58" xfId="0" applyNumberFormat="1" applyFont="1" applyBorder="1" applyAlignment="1">
      <alignment horizontal="center"/>
    </xf>
    <xf numFmtId="2" fontId="52" fillId="0" borderId="58" xfId="0" applyNumberFormat="1" applyFont="1" applyBorder="1" applyAlignment="1">
      <alignment horizontal="center"/>
    </xf>
    <xf numFmtId="2" fontId="52" fillId="0" borderId="63" xfId="0" applyNumberFormat="1" applyFont="1" applyBorder="1" applyAlignment="1">
      <alignment horizontal="center"/>
    </xf>
    <xf numFmtId="3" fontId="52" fillId="0" borderId="56" xfId="0" applyNumberFormat="1" applyFont="1" applyBorder="1" applyAlignment="1">
      <alignment horizontal="center"/>
    </xf>
    <xf numFmtId="2" fontId="52" fillId="0" borderId="74" xfId="0" applyNumberFormat="1" applyFont="1" applyBorder="1" applyAlignment="1">
      <alignment horizontal="center"/>
    </xf>
    <xf numFmtId="8" fontId="5" fillId="0" borderId="0" xfId="0" applyNumberFormat="1" applyFont="1"/>
    <xf numFmtId="168" fontId="40" fillId="3" borderId="20" xfId="0" applyNumberFormat="1" applyFont="1" applyFill="1" applyBorder="1" applyAlignment="1">
      <alignment horizontal="center"/>
    </xf>
    <xf numFmtId="168" fontId="19" fillId="0" borderId="20" xfId="0" applyNumberFormat="1" applyFont="1" applyBorder="1" applyAlignment="1">
      <alignment horizontal="center"/>
    </xf>
    <xf numFmtId="168" fontId="19" fillId="0" borderId="58" xfId="0" applyNumberFormat="1" applyFont="1" applyBorder="1" applyAlignment="1">
      <alignment horizontal="center"/>
    </xf>
    <xf numFmtId="168" fontId="15" fillId="0" borderId="148" xfId="0" applyNumberFormat="1" applyFont="1" applyBorder="1" applyAlignment="1">
      <alignment horizontal="center"/>
    </xf>
    <xf numFmtId="175" fontId="0" fillId="0" borderId="0" xfId="3" applyNumberFormat="1" applyFont="1" applyAlignment="1">
      <alignment vertical="center"/>
    </xf>
    <xf numFmtId="168" fontId="15" fillId="0" borderId="112" xfId="0" applyNumberFormat="1" applyFont="1" applyBorder="1" applyAlignment="1">
      <alignment horizontal="center"/>
    </xf>
    <xf numFmtId="168" fontId="15" fillId="0" borderId="95" xfId="0" applyNumberFormat="1" applyFont="1" applyBorder="1" applyAlignment="1">
      <alignment horizontal="center"/>
    </xf>
    <xf numFmtId="168" fontId="15" fillId="0" borderId="133" xfId="0" applyNumberFormat="1" applyFont="1" applyBorder="1" applyAlignment="1">
      <alignment horizontal="center"/>
    </xf>
    <xf numFmtId="168" fontId="15" fillId="0" borderId="45" xfId="0" applyNumberFormat="1" applyFont="1" applyBorder="1" applyAlignment="1">
      <alignment horizontal="center"/>
    </xf>
    <xf numFmtId="168" fontId="15" fillId="0" borderId="121" xfId="0" applyNumberFormat="1" applyFont="1" applyBorder="1" applyAlignment="1">
      <alignment horizontal="center" vertical="center"/>
    </xf>
    <xf numFmtId="168" fontId="15" fillId="0" borderId="122" xfId="0" applyNumberFormat="1" applyFont="1" applyBorder="1" applyAlignment="1">
      <alignment horizontal="center" vertical="center"/>
    </xf>
    <xf numFmtId="168" fontId="15" fillId="0" borderId="178" xfId="0" applyNumberFormat="1" applyFont="1" applyBorder="1" applyAlignment="1">
      <alignment horizontal="center" vertical="center"/>
    </xf>
    <xf numFmtId="168" fontId="15" fillId="0" borderId="86" xfId="0" applyNumberFormat="1" applyFont="1" applyBorder="1" applyAlignment="1">
      <alignment horizontal="center" vertical="center"/>
    </xf>
    <xf numFmtId="168" fontId="15" fillId="0" borderId="64" xfId="0" applyNumberFormat="1" applyFont="1" applyBorder="1" applyAlignment="1">
      <alignment horizontal="center" vertical="center"/>
    </xf>
    <xf numFmtId="164" fontId="15" fillId="0" borderId="112" xfId="0" applyNumberFormat="1" applyFont="1" applyBorder="1" applyAlignment="1">
      <alignment horizontal="center"/>
    </xf>
    <xf numFmtId="8" fontId="5" fillId="0" borderId="0" xfId="0" applyNumberFormat="1" applyFont="1" applyAlignment="1">
      <alignment horizontal="center"/>
    </xf>
    <xf numFmtId="10" fontId="15" fillId="0" borderId="178" xfId="3" applyNumberFormat="1" applyFont="1" applyBorder="1" applyAlignment="1">
      <alignment horizontal="center" vertical="center"/>
    </xf>
    <xf numFmtId="10" fontId="15" fillId="0" borderId="86" xfId="3" applyNumberFormat="1" applyFont="1" applyBorder="1" applyAlignment="1">
      <alignment horizontal="center" vertical="center"/>
    </xf>
    <xf numFmtId="10" fontId="15" fillId="0" borderId="64" xfId="3" applyNumberFormat="1" applyFont="1" applyBorder="1" applyAlignment="1">
      <alignment horizontal="center" vertical="center"/>
    </xf>
    <xf numFmtId="10" fontId="15" fillId="0" borderId="74" xfId="3" applyNumberFormat="1" applyFont="1" applyBorder="1" applyAlignment="1">
      <alignment horizontal="center"/>
    </xf>
    <xf numFmtId="10" fontId="15" fillId="0" borderId="62" xfId="3" applyNumberFormat="1" applyFont="1" applyBorder="1" applyAlignment="1">
      <alignment horizontal="center"/>
    </xf>
    <xf numFmtId="10" fontId="15" fillId="0" borderId="63" xfId="3" applyNumberFormat="1" applyFont="1" applyBorder="1" applyAlignment="1">
      <alignment horizontal="center"/>
    </xf>
    <xf numFmtId="10" fontId="15" fillId="0" borderId="0" xfId="3" applyNumberFormat="1" applyFont="1" applyBorder="1" applyAlignment="1">
      <alignment horizontal="center"/>
    </xf>
    <xf numFmtId="0" fontId="53" fillId="0" borderId="0" xfId="0" applyFont="1" applyAlignment="1">
      <alignment horizontal="center"/>
    </xf>
    <xf numFmtId="10" fontId="0" fillId="0" borderId="0" xfId="0" applyNumberFormat="1"/>
    <xf numFmtId="0" fontId="7" fillId="0" borderId="0" xfId="0" applyFont="1" applyAlignment="1">
      <alignment horizontal="left"/>
    </xf>
    <xf numFmtId="2" fontId="0" fillId="0" borderId="0" xfId="0" applyNumberFormat="1" applyAlignment="1">
      <alignment horizontal="center" vertical="center"/>
    </xf>
    <xf numFmtId="167" fontId="2" fillId="0" borderId="158" xfId="0" applyNumberFormat="1" applyFont="1" applyBorder="1" applyAlignment="1">
      <alignment horizontal="left"/>
    </xf>
    <xf numFmtId="167" fontId="2" fillId="0" borderId="128" xfId="0" applyNumberFormat="1" applyFont="1" applyBorder="1" applyAlignment="1">
      <alignment horizontal="left"/>
    </xf>
    <xf numFmtId="167" fontId="10" fillId="0" borderId="128" xfId="0" applyNumberFormat="1" applyFont="1" applyBorder="1" applyAlignment="1">
      <alignment horizontal="left"/>
    </xf>
    <xf numFmtId="0" fontId="2" fillId="0" borderId="132" xfId="0" applyFont="1" applyBorder="1" applyAlignment="1">
      <alignment horizontal="left"/>
    </xf>
    <xf numFmtId="2" fontId="0" fillId="0" borderId="16" xfId="0" applyNumberFormat="1" applyBorder="1" applyAlignment="1">
      <alignment horizontal="center"/>
    </xf>
    <xf numFmtId="44" fontId="0" fillId="0" borderId="0" xfId="0" applyNumberFormat="1"/>
    <xf numFmtId="176" fontId="0" fillId="0" borderId="0" xfId="0" applyNumberFormat="1"/>
    <xf numFmtId="44" fontId="0" fillId="0" borderId="105" xfId="0" applyNumberFormat="1" applyBorder="1"/>
    <xf numFmtId="174" fontId="0" fillId="0" borderId="16" xfId="0" applyNumberFormat="1" applyBorder="1"/>
    <xf numFmtId="167" fontId="2" fillId="0" borderId="71" xfId="0" applyNumberFormat="1" applyFont="1" applyBorder="1" applyAlignment="1">
      <alignment horizontal="left"/>
    </xf>
    <xf numFmtId="167" fontId="2" fillId="0" borderId="184" xfId="0" applyNumberFormat="1" applyFont="1" applyBorder="1" applyAlignment="1">
      <alignment horizontal="left"/>
    </xf>
    <xf numFmtId="0" fontId="2" fillId="0" borderId="185" xfId="0" applyFont="1" applyBorder="1" applyAlignment="1">
      <alignment horizontal="left"/>
    </xf>
    <xf numFmtId="0" fontId="0" fillId="0" borderId="71" xfId="0" applyBorder="1" applyAlignment="1">
      <alignment horizontal="left"/>
    </xf>
    <xf numFmtId="44" fontId="27" fillId="0" borderId="36" xfId="0" applyNumberFormat="1" applyFont="1" applyBorder="1"/>
    <xf numFmtId="44" fontId="27" fillId="0" borderId="35" xfId="0" applyNumberFormat="1" applyFont="1" applyBorder="1"/>
    <xf numFmtId="44" fontId="51" fillId="0" borderId="35" xfId="0" applyNumberFormat="1" applyFont="1" applyBorder="1"/>
    <xf numFmtId="44" fontId="13" fillId="0" borderId="20" xfId="0" applyNumberFormat="1" applyFont="1" applyBorder="1"/>
    <xf numFmtId="0" fontId="0" fillId="30" borderId="16" xfId="0" applyFill="1" applyBorder="1"/>
    <xf numFmtId="0" fontId="0" fillId="7" borderId="16" xfId="0" applyFill="1" applyBorder="1"/>
    <xf numFmtId="0" fontId="0" fillId="18" borderId="16" xfId="0" applyFill="1" applyBorder="1"/>
    <xf numFmtId="0" fontId="0" fillId="8" borderId="16" xfId="0" applyFill="1" applyBorder="1"/>
    <xf numFmtId="0" fontId="0" fillId="12" borderId="16" xfId="0" applyFill="1" applyBorder="1"/>
    <xf numFmtId="167" fontId="2" fillId="0" borderId="16" xfId="0" applyNumberFormat="1" applyFont="1" applyBorder="1" applyAlignment="1">
      <alignment horizontal="left"/>
    </xf>
    <xf numFmtId="44" fontId="51" fillId="0" borderId="16" xfId="0" applyNumberFormat="1" applyFont="1" applyBorder="1"/>
    <xf numFmtId="44" fontId="13" fillId="0" borderId="16" xfId="0" applyNumberFormat="1" applyFont="1" applyBorder="1"/>
    <xf numFmtId="44" fontId="13" fillId="0" borderId="16" xfId="0" applyNumberFormat="1" applyFont="1" applyBorder="1" applyAlignment="1">
      <alignment horizontal="center" vertical="center"/>
    </xf>
    <xf numFmtId="174" fontId="0" fillId="0" borderId="16" xfId="0" applyNumberFormat="1" applyBorder="1" applyAlignment="1">
      <alignment horizontal="center" vertical="center"/>
    </xf>
    <xf numFmtId="0" fontId="44" fillId="46" borderId="16" xfId="0" applyFont="1" applyFill="1" applyBorder="1"/>
    <xf numFmtId="0" fontId="0" fillId="46" borderId="16" xfId="0" applyFill="1" applyBorder="1"/>
    <xf numFmtId="0" fontId="0" fillId="30" borderId="16" xfId="0" applyFill="1" applyBorder="1" applyAlignment="1">
      <alignment vertical="center"/>
    </xf>
    <xf numFmtId="0" fontId="0" fillId="7" borderId="16" xfId="0" applyFill="1" applyBorder="1" applyAlignment="1">
      <alignment vertical="center"/>
    </xf>
    <xf numFmtId="0" fontId="0" fillId="18" borderId="16" xfId="0" applyFill="1" applyBorder="1" applyAlignment="1">
      <alignment vertical="center"/>
    </xf>
    <xf numFmtId="0" fontId="0" fillId="8" borderId="16" xfId="0" applyFill="1" applyBorder="1" applyAlignment="1">
      <alignment vertical="center"/>
    </xf>
    <xf numFmtId="0" fontId="0" fillId="12" borderId="16" xfId="0" applyFill="1" applyBorder="1" applyAlignment="1">
      <alignment vertical="center"/>
    </xf>
    <xf numFmtId="0" fontId="7" fillId="0" borderId="16" xfId="0" applyFont="1" applyBorder="1" applyAlignment="1">
      <alignment vertical="center"/>
    </xf>
    <xf numFmtId="0" fontId="0" fillId="30" borderId="16" xfId="0" applyFill="1" applyBorder="1" applyAlignment="1">
      <alignment horizontal="center"/>
    </xf>
    <xf numFmtId="0" fontId="0" fillId="7" borderId="16" xfId="0" applyFill="1" applyBorder="1" applyAlignment="1">
      <alignment horizontal="center"/>
    </xf>
    <xf numFmtId="0" fontId="0" fillId="18" borderId="16" xfId="0" applyFill="1" applyBorder="1" applyAlignment="1">
      <alignment horizontal="center"/>
    </xf>
    <xf numFmtId="0" fontId="0" fillId="8" borderId="16" xfId="0" applyFill="1" applyBorder="1" applyAlignment="1">
      <alignment horizontal="center"/>
    </xf>
    <xf numFmtId="0" fontId="0" fillId="12" borderId="16" xfId="0" applyFill="1" applyBorder="1" applyAlignment="1">
      <alignment horizontal="center"/>
    </xf>
    <xf numFmtId="178" fontId="0" fillId="0" borderId="16" xfId="5" applyNumberFormat="1" applyFont="1" applyBorder="1" applyAlignment="1">
      <alignment horizontal="center"/>
    </xf>
    <xf numFmtId="0" fontId="0" fillId="0" borderId="134" xfId="0" applyBorder="1" applyAlignment="1">
      <alignment horizontal="center" vertical="center"/>
    </xf>
    <xf numFmtId="168" fontId="15" fillId="0" borderId="66" xfId="0" applyNumberFormat="1" applyFont="1" applyBorder="1" applyAlignment="1">
      <alignment horizontal="center"/>
    </xf>
    <xf numFmtId="1" fontId="15" fillId="0" borderId="20" xfId="0" applyNumberFormat="1" applyFont="1" applyBorder="1" applyAlignment="1">
      <alignment horizontal="center"/>
    </xf>
    <xf numFmtId="0" fontId="2" fillId="0" borderId="128" xfId="0" applyFont="1" applyBorder="1" applyAlignment="1">
      <alignment horizontal="center"/>
    </xf>
    <xf numFmtId="167" fontId="2" fillId="0" borderId="129" xfId="0" applyNumberFormat="1" applyFont="1" applyBorder="1" applyAlignment="1">
      <alignment horizontal="center"/>
    </xf>
    <xf numFmtId="0" fontId="26" fillId="21" borderId="41" xfId="0" applyFont="1" applyFill="1" applyBorder="1" applyAlignment="1">
      <alignment horizontal="center" vertical="center"/>
    </xf>
    <xf numFmtId="0" fontId="26" fillId="21" borderId="42" xfId="0" applyFont="1" applyFill="1" applyBorder="1" applyAlignment="1">
      <alignment horizontal="center" vertical="center"/>
    </xf>
    <xf numFmtId="0" fontId="26" fillId="21" borderId="43" xfId="0" applyFont="1" applyFill="1" applyBorder="1" applyAlignment="1">
      <alignment horizontal="center" vertical="center"/>
    </xf>
    <xf numFmtId="0" fontId="26" fillId="21" borderId="47" xfId="0" applyFont="1" applyFill="1" applyBorder="1" applyAlignment="1">
      <alignment horizontal="center" vertical="center"/>
    </xf>
    <xf numFmtId="0" fontId="0" fillId="25" borderId="20" xfId="0" applyFill="1" applyBorder="1"/>
    <xf numFmtId="0" fontId="0" fillId="25" borderId="72" xfId="0" applyFill="1" applyBorder="1"/>
    <xf numFmtId="0" fontId="0" fillId="0" borderId="72" xfId="0" applyBorder="1"/>
    <xf numFmtId="0" fontId="0" fillId="0" borderId="57" xfId="0" applyBorder="1"/>
    <xf numFmtId="0" fontId="0" fillId="0" borderId="58" xfId="0" applyBorder="1"/>
    <xf numFmtId="0" fontId="0" fillId="0" borderId="61" xfId="0" applyBorder="1"/>
    <xf numFmtId="0" fontId="0" fillId="0" borderId="62" xfId="0" applyBorder="1"/>
    <xf numFmtId="0" fontId="0" fillId="25" borderId="62" xfId="0" applyFill="1" applyBorder="1"/>
    <xf numFmtId="0" fontId="0" fillId="0" borderId="63" xfId="0" applyBorder="1"/>
    <xf numFmtId="0" fontId="0" fillId="50" borderId="0" xfId="0" applyFill="1"/>
    <xf numFmtId="0" fontId="0" fillId="51" borderId="0" xfId="0" applyFill="1"/>
    <xf numFmtId="0" fontId="0" fillId="28" borderId="0" xfId="0" applyFill="1"/>
    <xf numFmtId="0" fontId="0" fillId="52" borderId="20" xfId="0" applyFill="1" applyBorder="1"/>
    <xf numFmtId="0" fontId="0" fillId="25" borderId="58" xfId="0" applyFill="1" applyBorder="1"/>
    <xf numFmtId="0" fontId="0" fillId="53" borderId="20" xfId="0" applyFill="1" applyBorder="1"/>
    <xf numFmtId="0" fontId="0" fillId="28" borderId="20" xfId="0" applyFill="1" applyBorder="1"/>
    <xf numFmtId="0" fontId="0" fillId="0" borderId="36" xfId="0" applyBorder="1"/>
    <xf numFmtId="0" fontId="0" fillId="25" borderId="36" xfId="0" applyFill="1" applyBorder="1"/>
    <xf numFmtId="0" fontId="0" fillId="0" borderId="60" xfId="0" applyBorder="1"/>
    <xf numFmtId="0" fontId="0" fillId="0" borderId="71" xfId="0" applyBorder="1"/>
    <xf numFmtId="0" fontId="0" fillId="0" borderId="151" xfId="0" applyBorder="1"/>
    <xf numFmtId="0" fontId="0" fillId="0" borderId="112" xfId="0" applyBorder="1" applyAlignment="1">
      <alignment horizontal="center" vertical="center"/>
    </xf>
    <xf numFmtId="0" fontId="0" fillId="0" borderId="89" xfId="0" applyBorder="1" applyAlignment="1">
      <alignment horizontal="center" vertical="center"/>
    </xf>
    <xf numFmtId="0" fontId="0" fillId="30" borderId="71" xfId="0" applyFill="1" applyBorder="1"/>
    <xf numFmtId="0" fontId="0" fillId="0" borderId="79" xfId="0" applyBorder="1"/>
    <xf numFmtId="0" fontId="0" fillId="7" borderId="35" xfId="0" applyFill="1" applyBorder="1"/>
    <xf numFmtId="0" fontId="0" fillId="6" borderId="177" xfId="0" applyFill="1" applyBorder="1"/>
    <xf numFmtId="0" fontId="0" fillId="0" borderId="145" xfId="0" applyBorder="1"/>
    <xf numFmtId="0" fontId="0" fillId="30" borderId="145" xfId="0" applyFill="1" applyBorder="1"/>
    <xf numFmtId="0" fontId="0" fillId="0" borderId="143" xfId="0" applyBorder="1"/>
    <xf numFmtId="0" fontId="0" fillId="6" borderId="69" xfId="0" applyFill="1" applyBorder="1"/>
    <xf numFmtId="0" fontId="0" fillId="0" borderId="82" xfId="0" applyBorder="1"/>
    <xf numFmtId="0" fontId="0" fillId="0" borderId="98" xfId="0" applyBorder="1"/>
    <xf numFmtId="0" fontId="0" fillId="0" borderId="90" xfId="0" applyBorder="1"/>
    <xf numFmtId="0" fontId="0" fillId="0" borderId="88" xfId="0" applyBorder="1"/>
    <xf numFmtId="1" fontId="2" fillId="0" borderId="20" xfId="0" applyNumberFormat="1" applyFont="1" applyBorder="1" applyAlignment="1">
      <alignment horizontal="center"/>
    </xf>
    <xf numFmtId="1" fontId="2" fillId="0" borderId="160" xfId="0" applyNumberFormat="1" applyFont="1" applyBorder="1" applyAlignment="1">
      <alignment horizontal="center"/>
    </xf>
    <xf numFmtId="2" fontId="2" fillId="0" borderId="160" xfId="0" applyNumberFormat="1" applyFont="1" applyBorder="1" applyAlignment="1">
      <alignment horizontal="center"/>
    </xf>
    <xf numFmtId="9" fontId="5" fillId="0" borderId="0" xfId="0" applyNumberFormat="1" applyFont="1"/>
    <xf numFmtId="168" fontId="26" fillId="0" borderId="20" xfId="0" applyNumberFormat="1" applyFont="1" applyBorder="1" applyAlignment="1">
      <alignment horizontal="center" vertical="center"/>
    </xf>
    <xf numFmtId="168" fontId="26" fillId="0" borderId="0" xfId="0" applyNumberFormat="1" applyFont="1" applyAlignment="1">
      <alignment horizontal="center" vertical="center"/>
    </xf>
    <xf numFmtId="168" fontId="26" fillId="0" borderId="0" xfId="0" applyNumberFormat="1" applyFont="1" applyAlignment="1">
      <alignment vertical="center"/>
    </xf>
    <xf numFmtId="168" fontId="0" fillId="0" borderId="61" xfId="0" applyNumberFormat="1" applyBorder="1"/>
    <xf numFmtId="168" fontId="0" fillId="0" borderId="62" xfId="0" applyNumberFormat="1" applyBorder="1"/>
    <xf numFmtId="168" fontId="5" fillId="0" borderId="0" xfId="0" applyNumberFormat="1" applyFont="1" applyAlignment="1">
      <alignment horizontal="center" vertical="center"/>
    </xf>
    <xf numFmtId="0" fontId="0" fillId="0" borderId="121" xfId="0" applyBorder="1" applyAlignment="1">
      <alignment horizontal="center" vertical="center"/>
    </xf>
    <xf numFmtId="0" fontId="0" fillId="0" borderId="121" xfId="0" applyBorder="1" applyAlignment="1">
      <alignment horizontal="center"/>
    </xf>
    <xf numFmtId="2" fontId="0" fillId="21" borderId="177" xfId="0" applyNumberFormat="1" applyFill="1" applyBorder="1" applyAlignment="1">
      <alignment horizontal="center"/>
    </xf>
    <xf numFmtId="2" fontId="0" fillId="21" borderId="145" xfId="0" applyNumberFormat="1" applyFill="1" applyBorder="1" applyAlignment="1">
      <alignment horizontal="center"/>
    </xf>
    <xf numFmtId="2" fontId="0" fillId="21" borderId="143" xfId="0" applyNumberFormat="1" applyFill="1" applyBorder="1" applyAlignment="1">
      <alignment horizontal="center"/>
    </xf>
    <xf numFmtId="0" fontId="0" fillId="18" borderId="71" xfId="0" applyFill="1" applyBorder="1" applyAlignment="1">
      <alignment horizontal="center"/>
    </xf>
    <xf numFmtId="0" fontId="0" fillId="8" borderId="71" xfId="0" applyFill="1" applyBorder="1" applyAlignment="1">
      <alignment horizontal="center"/>
    </xf>
    <xf numFmtId="0" fontId="5" fillId="8" borderId="71" xfId="0" applyFont="1" applyFill="1" applyBorder="1" applyAlignment="1">
      <alignment horizontal="center"/>
    </xf>
    <xf numFmtId="0" fontId="5" fillId="29" borderId="71" xfId="0" applyFont="1" applyFill="1" applyBorder="1" applyAlignment="1">
      <alignment horizontal="center"/>
    </xf>
    <xf numFmtId="0" fontId="5" fillId="32" borderId="71" xfId="0" applyFont="1" applyFill="1" applyBorder="1" applyAlignment="1">
      <alignment horizontal="center"/>
    </xf>
    <xf numFmtId="0" fontId="0" fillId="32" borderId="71" xfId="0" applyFill="1" applyBorder="1" applyAlignment="1">
      <alignment horizontal="center"/>
    </xf>
    <xf numFmtId="0" fontId="0" fillId="32" borderId="73" xfId="0" applyFill="1" applyBorder="1" applyAlignment="1">
      <alignment horizontal="center"/>
    </xf>
    <xf numFmtId="2" fontId="0" fillId="21" borderId="62" xfId="0" applyNumberFormat="1" applyFill="1" applyBorder="1" applyAlignment="1">
      <alignment horizontal="center"/>
    </xf>
    <xf numFmtId="164" fontId="0" fillId="0" borderId="43" xfId="0" applyNumberFormat="1" applyBorder="1"/>
    <xf numFmtId="0" fontId="0" fillId="21" borderId="0" xfId="0" applyFill="1" applyAlignment="1">
      <alignment horizontal="center"/>
    </xf>
    <xf numFmtId="4" fontId="0" fillId="21" borderId="0" xfId="0" applyNumberFormat="1" applyFill="1" applyAlignment="1">
      <alignment horizontal="center"/>
    </xf>
    <xf numFmtId="168" fontId="0" fillId="21" borderId="0" xfId="0" applyNumberFormat="1" applyFill="1" applyAlignment="1">
      <alignment horizontal="center"/>
    </xf>
    <xf numFmtId="168" fontId="0" fillId="0" borderId="20" xfId="0" applyNumberFormat="1" applyBorder="1" applyAlignment="1">
      <alignment horizontal="center"/>
    </xf>
    <xf numFmtId="168" fontId="0" fillId="21" borderId="20" xfId="0" applyNumberFormat="1" applyFill="1" applyBorder="1" applyAlignment="1">
      <alignment horizontal="center"/>
    </xf>
    <xf numFmtId="168" fontId="0" fillId="0" borderId="57" xfId="0" applyNumberFormat="1" applyBorder="1" applyAlignment="1">
      <alignment horizontal="center"/>
    </xf>
    <xf numFmtId="168" fontId="0" fillId="0" borderId="58" xfId="0" applyNumberFormat="1" applyBorder="1" applyAlignment="1">
      <alignment horizontal="center"/>
    </xf>
    <xf numFmtId="168" fontId="0" fillId="21" borderId="57" xfId="0" applyNumberFormat="1" applyFill="1" applyBorder="1" applyAlignment="1">
      <alignment horizontal="center"/>
    </xf>
    <xf numFmtId="168" fontId="0" fillId="21" borderId="61" xfId="0" applyNumberFormat="1" applyFill="1" applyBorder="1" applyAlignment="1">
      <alignment horizontal="center"/>
    </xf>
    <xf numFmtId="168" fontId="0" fillId="21" borderId="62" xfId="0" applyNumberFormat="1" applyFill="1" applyBorder="1" applyAlignment="1">
      <alignment horizontal="center"/>
    </xf>
    <xf numFmtId="168" fontId="0" fillId="0" borderId="62" xfId="0" applyNumberFormat="1" applyBorder="1" applyAlignment="1">
      <alignment horizontal="center"/>
    </xf>
    <xf numFmtId="168" fontId="0" fillId="0" borderId="63" xfId="0" applyNumberFormat="1" applyBorder="1" applyAlignment="1">
      <alignment horizontal="center"/>
    </xf>
    <xf numFmtId="168" fontId="0" fillId="0" borderId="55" xfId="0" applyNumberFormat="1" applyBorder="1" applyAlignment="1">
      <alignment horizontal="center"/>
    </xf>
    <xf numFmtId="168" fontId="0" fillId="0" borderId="35" xfId="0" applyNumberFormat="1" applyBorder="1" applyAlignment="1">
      <alignment horizontal="center"/>
    </xf>
    <xf numFmtId="168" fontId="0" fillId="0" borderId="56" xfId="0" applyNumberFormat="1" applyBorder="1" applyAlignment="1">
      <alignment horizontal="center"/>
    </xf>
    <xf numFmtId="1" fontId="1" fillId="0" borderId="0" xfId="0" applyNumberFormat="1" applyFont="1" applyAlignment="1">
      <alignment horizontal="center"/>
    </xf>
    <xf numFmtId="1" fontId="1" fillId="0" borderId="0" xfId="0" applyNumberFormat="1" applyFont="1" applyAlignment="1">
      <alignment horizontal="center" vertical="top"/>
    </xf>
    <xf numFmtId="0" fontId="10" fillId="0" borderId="0" xfId="0" applyFont="1" applyAlignment="1">
      <alignment horizontal="center"/>
    </xf>
    <xf numFmtId="167" fontId="2" fillId="12" borderId="128" xfId="0" applyNumberFormat="1" applyFont="1" applyFill="1" applyBorder="1" applyAlignment="1">
      <alignment horizontal="center"/>
    </xf>
    <xf numFmtId="0" fontId="2" fillId="12" borderId="132" xfId="0" applyFont="1" applyFill="1" applyBorder="1" applyAlignment="1">
      <alignment horizontal="center"/>
    </xf>
    <xf numFmtId="168" fontId="0" fillId="0" borderId="144" xfId="0" applyNumberFormat="1" applyBorder="1" applyAlignment="1">
      <alignment horizontal="center"/>
    </xf>
    <xf numFmtId="168" fontId="0" fillId="0" borderId="145" xfId="0" applyNumberFormat="1" applyBorder="1" applyAlignment="1">
      <alignment horizontal="center"/>
    </xf>
    <xf numFmtId="168" fontId="0" fillId="0" borderId="143" xfId="0" applyNumberFormat="1" applyBorder="1" applyAlignment="1">
      <alignment horizontal="center"/>
    </xf>
    <xf numFmtId="168" fontId="0" fillId="0" borderId="177" xfId="0" applyNumberFormat="1" applyBorder="1" applyAlignment="1">
      <alignment horizontal="center"/>
    </xf>
    <xf numFmtId="168" fontId="0" fillId="21" borderId="177" xfId="0" applyNumberFormat="1" applyFill="1" applyBorder="1" applyAlignment="1">
      <alignment horizontal="center"/>
    </xf>
    <xf numFmtId="168" fontId="0" fillId="21" borderId="145" xfId="0" applyNumberFormat="1" applyFill="1" applyBorder="1" applyAlignment="1">
      <alignment horizontal="center"/>
    </xf>
    <xf numFmtId="168" fontId="0" fillId="21" borderId="143" xfId="0" applyNumberFormat="1" applyFill="1" applyBorder="1" applyAlignment="1">
      <alignment horizontal="center"/>
    </xf>
    <xf numFmtId="168" fontId="0" fillId="21" borderId="80" xfId="0" applyNumberFormat="1" applyFill="1" applyBorder="1" applyAlignment="1">
      <alignment horizontal="center"/>
    </xf>
    <xf numFmtId="168" fontId="0" fillId="21" borderId="71" xfId="0" applyNumberFormat="1" applyFill="1" applyBorder="1" applyAlignment="1">
      <alignment horizontal="center"/>
    </xf>
    <xf numFmtId="168" fontId="0" fillId="21" borderId="73" xfId="0" applyNumberFormat="1" applyFill="1" applyBorder="1" applyAlignment="1">
      <alignment horizontal="center"/>
    </xf>
    <xf numFmtId="0" fontId="0" fillId="0" borderId="122" xfId="0" applyBorder="1" applyAlignment="1">
      <alignment horizontal="center"/>
    </xf>
    <xf numFmtId="0" fontId="0" fillId="0" borderId="84" xfId="0" applyBorder="1"/>
    <xf numFmtId="1" fontId="4" fillId="0" borderId="0" xfId="0" applyNumberFormat="1" applyFont="1" applyAlignment="1">
      <alignment horizontal="center" vertical="top"/>
    </xf>
    <xf numFmtId="164" fontId="0" fillId="0" borderId="98" xfId="0" applyNumberFormat="1" applyBorder="1" applyAlignment="1">
      <alignment horizontal="center"/>
    </xf>
    <xf numFmtId="9" fontId="31" fillId="0" borderId="20" xfId="3" applyFont="1" applyBorder="1" applyAlignment="1">
      <alignment vertical="center"/>
    </xf>
    <xf numFmtId="0" fontId="0" fillId="0" borderId="20" xfId="0" applyBorder="1" applyAlignment="1">
      <alignment horizontal="center" vertical="center"/>
    </xf>
    <xf numFmtId="0" fontId="0" fillId="21" borderId="44" xfId="0" applyFill="1" applyBorder="1" applyAlignment="1">
      <alignment horizontal="center"/>
    </xf>
    <xf numFmtId="168" fontId="0" fillId="21" borderId="45" xfId="0" applyNumberFormat="1" applyFill="1" applyBorder="1" applyAlignment="1">
      <alignment horizontal="center"/>
    </xf>
    <xf numFmtId="168" fontId="0" fillId="21" borderId="0" xfId="0" applyNumberFormat="1" applyFill="1"/>
    <xf numFmtId="0" fontId="0" fillId="21" borderId="44" xfId="0" applyFill="1" applyBorder="1"/>
    <xf numFmtId="0" fontId="0" fillId="21" borderId="45" xfId="0" applyFill="1" applyBorder="1"/>
    <xf numFmtId="0" fontId="25" fillId="21" borderId="0" xfId="0" applyFont="1" applyFill="1" applyAlignment="1">
      <alignment vertical="center"/>
    </xf>
    <xf numFmtId="164" fontId="25" fillId="21" borderId="0" xfId="0" applyNumberFormat="1" applyFont="1" applyFill="1" applyAlignment="1">
      <alignment vertical="center"/>
    </xf>
    <xf numFmtId="164" fontId="0" fillId="21" borderId="0" xfId="0" applyNumberFormat="1" applyFill="1"/>
    <xf numFmtId="8" fontId="0" fillId="21" borderId="0" xfId="0" applyNumberFormat="1" applyFill="1"/>
    <xf numFmtId="164" fontId="0" fillId="21" borderId="46" xfId="0" applyNumberFormat="1" applyFill="1" applyBorder="1"/>
    <xf numFmtId="164" fontId="0" fillId="21" borderId="47" xfId="0" applyNumberFormat="1" applyFill="1" applyBorder="1"/>
    <xf numFmtId="0" fontId="0" fillId="21" borderId="46" xfId="0" applyFill="1" applyBorder="1" applyAlignment="1">
      <alignment horizontal="center"/>
    </xf>
    <xf numFmtId="0" fontId="0" fillId="21" borderId="47" xfId="0" applyFill="1" applyBorder="1" applyAlignment="1">
      <alignment horizontal="center"/>
    </xf>
    <xf numFmtId="0" fontId="0" fillId="21" borderId="48" xfId="0" applyFill="1" applyBorder="1" applyAlignment="1">
      <alignment horizontal="center"/>
    </xf>
    <xf numFmtId="0" fontId="0" fillId="21" borderId="42" xfId="0" applyFill="1" applyBorder="1" applyAlignment="1">
      <alignment horizontal="center"/>
    </xf>
    <xf numFmtId="0" fontId="26" fillId="21" borderId="0" xfId="0" applyFont="1" applyFill="1" applyAlignment="1">
      <alignment horizontal="center" vertical="center"/>
    </xf>
    <xf numFmtId="0" fontId="5" fillId="21" borderId="42" xfId="0" applyFont="1" applyFill="1" applyBorder="1" applyAlignment="1">
      <alignment horizontal="center"/>
    </xf>
    <xf numFmtId="0" fontId="5" fillId="21" borderId="44" xfId="0" applyFont="1" applyFill="1" applyBorder="1" applyAlignment="1">
      <alignment horizontal="center"/>
    </xf>
    <xf numFmtId="0" fontId="5" fillId="21" borderId="0" xfId="0" applyFont="1" applyFill="1" applyAlignment="1">
      <alignment horizontal="center"/>
    </xf>
    <xf numFmtId="0" fontId="5" fillId="54" borderId="0" xfId="0" applyFont="1" applyFill="1" applyAlignment="1">
      <alignment horizontal="center" vertical="center"/>
    </xf>
    <xf numFmtId="0" fontId="5" fillId="21" borderId="44" xfId="0" applyFont="1" applyFill="1" applyBorder="1"/>
    <xf numFmtId="0" fontId="5" fillId="21" borderId="0" xfId="0" applyFont="1" applyFill="1"/>
    <xf numFmtId="0" fontId="5" fillId="21" borderId="45" xfId="0" applyFont="1" applyFill="1" applyBorder="1" applyAlignment="1">
      <alignment horizontal="center"/>
    </xf>
    <xf numFmtId="0" fontId="5" fillId="21" borderId="45" xfId="0" applyFont="1" applyFill="1" applyBorder="1"/>
    <xf numFmtId="0" fontId="26" fillId="21" borderId="78" xfId="0" applyFont="1" applyFill="1" applyBorder="1" applyAlignment="1">
      <alignment horizontal="center" vertical="center"/>
    </xf>
    <xf numFmtId="0" fontId="26" fillId="21" borderId="0" xfId="0" applyFont="1" applyFill="1" applyAlignment="1">
      <alignment vertical="center"/>
    </xf>
    <xf numFmtId="0" fontId="27" fillId="21" borderId="0" xfId="0" applyFont="1" applyFill="1"/>
    <xf numFmtId="164" fontId="26" fillId="21" borderId="0" xfId="0" applyNumberFormat="1" applyFont="1" applyFill="1" applyAlignment="1">
      <alignment horizontal="center" vertical="center"/>
    </xf>
    <xf numFmtId="164" fontId="5" fillId="21" borderId="0" xfId="0" applyNumberFormat="1" applyFont="1" applyFill="1" applyAlignment="1">
      <alignment horizontal="center" vertical="center"/>
    </xf>
    <xf numFmtId="164" fontId="26" fillId="21" borderId="150" xfId="0" applyNumberFormat="1" applyFont="1" applyFill="1" applyBorder="1" applyAlignment="1">
      <alignment horizontal="center" vertical="center"/>
    </xf>
    <xf numFmtId="164" fontId="26" fillId="21" borderId="45" xfId="0" applyNumberFormat="1" applyFont="1" applyFill="1" applyBorder="1" applyAlignment="1">
      <alignment horizontal="center" vertical="center"/>
    </xf>
    <xf numFmtId="164" fontId="26" fillId="21" borderId="82" xfId="0" applyNumberFormat="1" applyFont="1" applyFill="1" applyBorder="1" applyAlignment="1">
      <alignment vertical="center"/>
    </xf>
    <xf numFmtId="0" fontId="0" fillId="21" borderId="64" xfId="0" applyFill="1" applyBorder="1" applyAlignment="1">
      <alignment horizontal="center"/>
    </xf>
    <xf numFmtId="164" fontId="0" fillId="21" borderId="55" xfId="0" applyNumberFormat="1" applyFill="1" applyBorder="1" applyAlignment="1">
      <alignment horizontal="center" vertical="center"/>
    </xf>
    <xf numFmtId="0" fontId="0" fillId="21" borderId="58" xfId="0" applyFill="1" applyBorder="1" applyAlignment="1">
      <alignment horizontal="center"/>
    </xf>
    <xf numFmtId="164" fontId="26" fillId="21" borderId="78" xfId="0" applyNumberFormat="1" applyFont="1" applyFill="1" applyBorder="1" applyAlignment="1">
      <alignment vertical="center"/>
    </xf>
    <xf numFmtId="164" fontId="0" fillId="21" borderId="94" xfId="0" applyNumberFormat="1" applyFill="1" applyBorder="1" applyAlignment="1">
      <alignment horizontal="center" vertical="center"/>
    </xf>
    <xf numFmtId="164" fontId="0" fillId="21" borderId="81" xfId="0" applyNumberFormat="1" applyFill="1" applyBorder="1" applyAlignment="1">
      <alignment horizontal="center" vertical="center"/>
    </xf>
    <xf numFmtId="164" fontId="26" fillId="21" borderId="98" xfId="0" applyNumberFormat="1" applyFont="1" applyFill="1" applyBorder="1" applyAlignment="1">
      <alignment vertical="center"/>
    </xf>
    <xf numFmtId="164" fontId="0" fillId="21" borderId="57" xfId="0" applyNumberFormat="1" applyFill="1" applyBorder="1" applyAlignment="1">
      <alignment horizontal="center" vertical="center"/>
    </xf>
    <xf numFmtId="164" fontId="0" fillId="21" borderId="65" xfId="0" applyNumberFormat="1" applyFill="1" applyBorder="1" applyAlignment="1">
      <alignment horizontal="center" vertical="center"/>
    </xf>
    <xf numFmtId="164" fontId="26" fillId="21" borderId="84" xfId="0" applyNumberFormat="1" applyFont="1" applyFill="1" applyBorder="1" applyAlignment="1">
      <alignment horizontal="center" vertical="center"/>
    </xf>
    <xf numFmtId="164" fontId="0" fillId="21" borderId="44" xfId="0" applyNumberFormat="1" applyFill="1" applyBorder="1" applyAlignment="1">
      <alignment vertical="center"/>
    </xf>
    <xf numFmtId="164" fontId="0" fillId="21" borderId="0" xfId="0" applyNumberFormat="1" applyFill="1" applyAlignment="1">
      <alignment vertical="center"/>
    </xf>
    <xf numFmtId="164" fontId="0" fillId="21" borderId="61" xfId="0" applyNumberFormat="1" applyFill="1" applyBorder="1" applyAlignment="1">
      <alignment horizontal="center" vertical="center"/>
    </xf>
    <xf numFmtId="0" fontId="5" fillId="21" borderId="58" xfId="0" applyFont="1" applyFill="1" applyBorder="1" applyAlignment="1">
      <alignment horizontal="center"/>
    </xf>
    <xf numFmtId="164" fontId="0" fillId="21" borderId="0" xfId="0" applyNumberFormat="1" applyFill="1" applyAlignment="1">
      <alignment horizontal="center" vertical="center"/>
    </xf>
    <xf numFmtId="164" fontId="0" fillId="21" borderId="45" xfId="0" applyNumberFormat="1" applyFill="1" applyBorder="1" applyAlignment="1">
      <alignment vertical="center"/>
    </xf>
    <xf numFmtId="164" fontId="26" fillId="21" borderId="83" xfId="0" applyNumberFormat="1" applyFont="1" applyFill="1" applyBorder="1" applyAlignment="1">
      <alignment vertical="center"/>
    </xf>
    <xf numFmtId="164" fontId="0" fillId="21" borderId="138" xfId="0" applyNumberFormat="1" applyFill="1" applyBorder="1" applyAlignment="1">
      <alignment horizontal="center" vertical="center"/>
    </xf>
    <xf numFmtId="0" fontId="0" fillId="21" borderId="36" xfId="0" applyFill="1" applyBorder="1" applyAlignment="1">
      <alignment horizontal="center"/>
    </xf>
    <xf numFmtId="0" fontId="0" fillId="21" borderId="60" xfId="0" applyFill="1" applyBorder="1" applyAlignment="1">
      <alignment horizontal="center"/>
    </xf>
    <xf numFmtId="164" fontId="0" fillId="21" borderId="133" xfId="0" applyNumberFormat="1" applyFill="1" applyBorder="1" applyAlignment="1">
      <alignment horizontal="center" vertical="center"/>
    </xf>
    <xf numFmtId="0" fontId="5" fillId="21" borderId="0" xfId="0" applyFont="1" applyFill="1" applyAlignment="1">
      <alignment vertical="center"/>
    </xf>
    <xf numFmtId="0" fontId="0" fillId="21" borderId="41" xfId="0" applyFill="1" applyBorder="1" applyAlignment="1">
      <alignment horizontal="center"/>
    </xf>
    <xf numFmtId="168" fontId="0" fillId="21" borderId="42" xfId="0" applyNumberFormat="1" applyFill="1" applyBorder="1" applyAlignment="1">
      <alignment horizontal="center"/>
    </xf>
    <xf numFmtId="164" fontId="0" fillId="21" borderId="0" xfId="0" applyNumberFormat="1" applyFill="1" applyAlignment="1">
      <alignment horizontal="center"/>
    </xf>
    <xf numFmtId="164" fontId="0" fillId="21" borderId="45" xfId="0" applyNumberFormat="1" applyFill="1" applyBorder="1" applyAlignment="1">
      <alignment horizontal="center"/>
    </xf>
    <xf numFmtId="168" fontId="0" fillId="21" borderId="47" xfId="0" applyNumberFormat="1" applyFill="1" applyBorder="1" applyAlignment="1">
      <alignment horizontal="center"/>
    </xf>
    <xf numFmtId="168" fontId="0" fillId="21" borderId="48" xfId="0" applyNumberFormat="1" applyFill="1" applyBorder="1" applyAlignment="1">
      <alignment horizontal="center"/>
    </xf>
    <xf numFmtId="0" fontId="0" fillId="21" borderId="45" xfId="0" applyFill="1" applyBorder="1" applyAlignment="1">
      <alignment horizontal="center"/>
    </xf>
    <xf numFmtId="164" fontId="0" fillId="0" borderId="48" xfId="0" applyNumberFormat="1" applyBorder="1"/>
    <xf numFmtId="168" fontId="5" fillId="21" borderId="0" xfId="0" applyNumberFormat="1" applyFont="1" applyFill="1" applyAlignment="1">
      <alignment horizontal="center" vertical="center"/>
    </xf>
    <xf numFmtId="0" fontId="14" fillId="0" borderId="0" xfId="0" applyFont="1" applyAlignment="1">
      <alignment horizontal="center"/>
    </xf>
    <xf numFmtId="0" fontId="41" fillId="44" borderId="162" xfId="0" applyFont="1" applyFill="1" applyBorder="1"/>
    <xf numFmtId="0" fontId="41" fillId="44" borderId="50" xfId="0" applyFont="1" applyFill="1" applyBorder="1"/>
    <xf numFmtId="0" fontId="41" fillId="44" borderId="163" xfId="0" applyFont="1" applyFill="1" applyBorder="1"/>
    <xf numFmtId="167" fontId="41" fillId="44" borderId="162" xfId="0" applyNumberFormat="1" applyFont="1" applyFill="1" applyBorder="1"/>
    <xf numFmtId="167" fontId="41" fillId="44" borderId="50" xfId="0" applyNumberFormat="1" applyFont="1" applyFill="1" applyBorder="1"/>
    <xf numFmtId="167" fontId="41" fillId="44" borderId="163" xfId="0" applyNumberFormat="1" applyFont="1" applyFill="1" applyBorder="1"/>
    <xf numFmtId="167" fontId="41" fillId="44" borderId="153" xfId="0" applyNumberFormat="1" applyFont="1" applyFill="1" applyBorder="1"/>
    <xf numFmtId="167" fontId="41" fillId="44" borderId="127" xfId="0" applyNumberFormat="1" applyFont="1" applyFill="1" applyBorder="1"/>
    <xf numFmtId="167" fontId="41" fillId="44" borderId="154" xfId="0" applyNumberFormat="1" applyFont="1" applyFill="1" applyBorder="1"/>
    <xf numFmtId="0" fontId="41" fillId="44" borderId="166" xfId="0" applyFont="1" applyFill="1" applyBorder="1"/>
    <xf numFmtId="0" fontId="41" fillId="44" borderId="131" xfId="0" applyFont="1" applyFill="1" applyBorder="1"/>
    <xf numFmtId="0" fontId="41" fillId="44" borderId="167" xfId="0" applyFont="1" applyFill="1" applyBorder="1"/>
    <xf numFmtId="1" fontId="1" fillId="8" borderId="0" xfId="0" applyNumberFormat="1" applyFont="1" applyFill="1" applyAlignment="1">
      <alignment horizontal="center"/>
    </xf>
    <xf numFmtId="3" fontId="0" fillId="0" borderId="0" xfId="0" applyNumberFormat="1" applyAlignment="1">
      <alignment horizontal="center"/>
    </xf>
    <xf numFmtId="0" fontId="0" fillId="0" borderId="55" xfId="0" applyBorder="1"/>
    <xf numFmtId="0" fontId="0" fillId="0" borderId="65" xfId="0" applyBorder="1"/>
    <xf numFmtId="0" fontId="47" fillId="0" borderId="0" xfId="0" applyFont="1" applyAlignment="1">
      <alignment vertical="center"/>
    </xf>
    <xf numFmtId="0" fontId="0" fillId="0" borderId="144" xfId="0" applyBorder="1" applyAlignment="1">
      <alignment horizontal="center" vertical="center"/>
    </xf>
    <xf numFmtId="0" fontId="0" fillId="0" borderId="94" xfId="0" applyBorder="1" applyAlignment="1">
      <alignment horizontal="center" vertical="center"/>
    </xf>
    <xf numFmtId="0" fontId="15" fillId="0" borderId="112" xfId="0" applyFont="1" applyBorder="1" applyAlignment="1">
      <alignment horizontal="center"/>
    </xf>
    <xf numFmtId="0" fontId="15" fillId="0" borderId="95" xfId="0" applyFont="1" applyBorder="1" applyAlignment="1">
      <alignment horizontal="center"/>
    </xf>
    <xf numFmtId="179" fontId="0" fillId="0" borderId="16" xfId="0" applyNumberFormat="1" applyBorder="1"/>
    <xf numFmtId="179" fontId="0" fillId="0" borderId="20" xfId="0" applyNumberFormat="1" applyBorder="1"/>
    <xf numFmtId="0" fontId="0" fillId="0" borderId="115" xfId="0" applyBorder="1"/>
    <xf numFmtId="2" fontId="0" fillId="0" borderId="115" xfId="0" applyNumberFormat="1" applyBorder="1"/>
    <xf numFmtId="2" fontId="0" fillId="0" borderId="115" xfId="0" applyNumberFormat="1" applyBorder="1" applyAlignment="1">
      <alignment vertical="center"/>
    </xf>
    <xf numFmtId="4" fontId="56" fillId="0" borderId="0" xfId="0" applyNumberFormat="1" applyFont="1"/>
    <xf numFmtId="0" fontId="2" fillId="12" borderId="128" xfId="0" applyFont="1" applyFill="1" applyBorder="1" applyAlignment="1">
      <alignment horizontal="center"/>
    </xf>
    <xf numFmtId="9" fontId="14" fillId="0" borderId="0" xfId="0" applyNumberFormat="1" applyFont="1" applyAlignment="1">
      <alignment horizontal="center"/>
    </xf>
    <xf numFmtId="168" fontId="15" fillId="0" borderId="0" xfId="3" applyNumberFormat="1" applyFont="1" applyBorder="1" applyAlignment="1">
      <alignment horizontal="center"/>
    </xf>
    <xf numFmtId="168" fontId="14" fillId="0" borderId="0" xfId="0" applyNumberFormat="1" applyFont="1" applyAlignment="1">
      <alignment horizontal="center"/>
    </xf>
    <xf numFmtId="168" fontId="15" fillId="0" borderId="60" xfId="0" applyNumberFormat="1" applyFont="1" applyBorder="1" applyAlignment="1">
      <alignment horizontal="center"/>
    </xf>
    <xf numFmtId="168" fontId="15" fillId="0" borderId="68" xfId="0" applyNumberFormat="1" applyFont="1" applyBorder="1" applyAlignment="1">
      <alignment horizontal="center"/>
    </xf>
    <xf numFmtId="1" fontId="15" fillId="0" borderId="56" xfId="0" applyNumberFormat="1" applyFont="1" applyBorder="1" applyAlignment="1">
      <alignment horizontal="center"/>
    </xf>
    <xf numFmtId="0" fontId="0" fillId="0" borderId="49" xfId="0" applyBorder="1" applyAlignment="1">
      <alignment horizontal="center"/>
    </xf>
    <xf numFmtId="0" fontId="0" fillId="0" borderId="34" xfId="0" applyBorder="1" applyAlignment="1">
      <alignment horizontal="center"/>
    </xf>
    <xf numFmtId="0" fontId="0" fillId="12" borderId="50" xfId="0" applyFill="1" applyBorder="1" applyAlignment="1">
      <alignment horizontal="center"/>
    </xf>
    <xf numFmtId="0" fontId="0" fillId="0" borderId="47" xfId="0" applyBorder="1" applyAlignment="1">
      <alignment horizontal="center"/>
    </xf>
    <xf numFmtId="0" fontId="0" fillId="0" borderId="46" xfId="0" applyBorder="1" applyAlignment="1">
      <alignment horizontal="center"/>
    </xf>
    <xf numFmtId="1" fontId="5" fillId="2" borderId="20" xfId="0" applyNumberFormat="1" applyFont="1" applyFill="1" applyBorder="1" applyAlignment="1">
      <alignment horizontal="center"/>
    </xf>
    <xf numFmtId="0" fontId="0" fillId="21" borderId="65" xfId="0" applyFill="1" applyBorder="1" applyAlignment="1">
      <alignment horizontal="center" vertical="center"/>
    </xf>
    <xf numFmtId="0" fontId="0" fillId="21" borderId="66" xfId="0" applyFill="1" applyBorder="1" applyAlignment="1">
      <alignment horizontal="center" vertical="center"/>
    </xf>
    <xf numFmtId="0" fontId="0" fillId="21" borderId="68" xfId="0" applyFill="1" applyBorder="1" applyAlignment="1">
      <alignment horizontal="center"/>
    </xf>
    <xf numFmtId="2" fontId="0" fillId="21" borderId="56" xfId="0" applyNumberFormat="1" applyFill="1" applyBorder="1" applyAlignment="1">
      <alignment horizontal="center"/>
    </xf>
    <xf numFmtId="1" fontId="7" fillId="0" borderId="20" xfId="0" applyNumberFormat="1" applyFont="1" applyBorder="1" applyAlignment="1">
      <alignment horizontal="center" vertical="top"/>
    </xf>
    <xf numFmtId="1" fontId="2" fillId="0" borderId="20" xfId="0" applyNumberFormat="1" applyFont="1" applyBorder="1" applyAlignment="1">
      <alignment horizontal="center" vertical="top"/>
    </xf>
    <xf numFmtId="164" fontId="7" fillId="0" borderId="0" xfId="0" applyNumberFormat="1" applyFont="1" applyAlignment="1">
      <alignment horizontal="center" vertical="top"/>
    </xf>
    <xf numFmtId="0" fontId="7" fillId="0" borderId="36" xfId="0" applyFont="1" applyBorder="1" applyAlignment="1">
      <alignment horizontal="center" vertical="top"/>
    </xf>
    <xf numFmtId="1" fontId="7" fillId="0" borderId="0" xfId="0" applyNumberFormat="1" applyFont="1" applyAlignment="1">
      <alignment vertical="top"/>
    </xf>
    <xf numFmtId="1" fontId="2" fillId="0" borderId="0" xfId="0" applyNumberFormat="1" applyFont="1"/>
    <xf numFmtId="0" fontId="57" fillId="0" borderId="0" xfId="0" applyFont="1"/>
    <xf numFmtId="0" fontId="27" fillId="12" borderId="66" xfId="0" applyFont="1" applyFill="1" applyBorder="1" applyAlignment="1">
      <alignment horizontal="center"/>
    </xf>
    <xf numFmtId="0" fontId="27" fillId="10" borderId="66" xfId="0" applyFont="1" applyFill="1" applyBorder="1" applyAlignment="1">
      <alignment horizontal="center"/>
    </xf>
    <xf numFmtId="0" fontId="0" fillId="12" borderId="66" xfId="0" applyFill="1" applyBorder="1" applyAlignment="1">
      <alignment horizontal="center"/>
    </xf>
    <xf numFmtId="0" fontId="0" fillId="10" borderId="66" xfId="0" applyFill="1" applyBorder="1" applyAlignment="1">
      <alignment horizontal="center"/>
    </xf>
    <xf numFmtId="0" fontId="0" fillId="12" borderId="35" xfId="0" applyFill="1" applyBorder="1" applyAlignment="1">
      <alignment horizontal="center"/>
    </xf>
    <xf numFmtId="0" fontId="0" fillId="10" borderId="35" xfId="0" applyFill="1" applyBorder="1" applyAlignment="1">
      <alignment horizontal="center"/>
    </xf>
    <xf numFmtId="0" fontId="27" fillId="21" borderId="90" xfId="0" applyFont="1" applyFill="1" applyBorder="1" applyAlignment="1">
      <alignment horizontal="center"/>
    </xf>
    <xf numFmtId="0" fontId="0" fillId="21" borderId="72" xfId="0" applyFill="1" applyBorder="1" applyAlignment="1">
      <alignment horizontal="center"/>
    </xf>
    <xf numFmtId="0" fontId="27" fillId="21" borderId="88" xfId="0" applyFont="1" applyFill="1" applyBorder="1" applyAlignment="1">
      <alignment horizontal="center"/>
    </xf>
    <xf numFmtId="0" fontId="0" fillId="21" borderId="74" xfId="0" applyFill="1" applyBorder="1" applyAlignment="1">
      <alignment horizontal="center"/>
    </xf>
    <xf numFmtId="0" fontId="0" fillId="21" borderId="62" xfId="0" applyFill="1" applyBorder="1" applyAlignment="1">
      <alignment horizontal="center"/>
    </xf>
    <xf numFmtId="168" fontId="15" fillId="0" borderId="137" xfId="0" applyNumberFormat="1" applyFont="1" applyBorder="1" applyAlignment="1">
      <alignment horizontal="center"/>
    </xf>
    <xf numFmtId="168" fontId="15" fillId="0" borderId="75" xfId="0" applyNumberFormat="1" applyFont="1" applyBorder="1" applyAlignment="1">
      <alignment horizontal="center"/>
    </xf>
    <xf numFmtId="10" fontId="15" fillId="0" borderId="134" xfId="3" applyNumberFormat="1" applyFont="1" applyFill="1" applyBorder="1" applyAlignment="1">
      <alignment horizontal="center" vertical="center"/>
    </xf>
    <xf numFmtId="177" fontId="0" fillId="0" borderId="0" xfId="0" applyNumberFormat="1" applyAlignment="1">
      <alignment horizontal="center"/>
    </xf>
    <xf numFmtId="177" fontId="0" fillId="0" borderId="45" xfId="0" applyNumberFormat="1" applyBorder="1" applyAlignment="1">
      <alignment horizontal="center"/>
    </xf>
    <xf numFmtId="177" fontId="0" fillId="0" borderId="20" xfId="0" applyNumberFormat="1" applyBorder="1"/>
    <xf numFmtId="177" fontId="0" fillId="0" borderId="36" xfId="0" applyNumberFormat="1" applyBorder="1"/>
    <xf numFmtId="2" fontId="0" fillId="0" borderId="20" xfId="0" applyNumberFormat="1" applyBorder="1"/>
    <xf numFmtId="0" fontId="0" fillId="2" borderId="0" xfId="0" applyFill="1"/>
    <xf numFmtId="0" fontId="48" fillId="2" borderId="20" xfId="0" applyFont="1" applyFill="1" applyBorder="1" applyAlignment="1">
      <alignment horizontal="center" vertical="center"/>
    </xf>
    <xf numFmtId="168" fontId="48" fillId="2" borderId="20" xfId="0" applyNumberFormat="1" applyFont="1" applyFill="1" applyBorder="1" applyAlignment="1">
      <alignment horizontal="center" vertical="center"/>
    </xf>
    <xf numFmtId="168" fontId="0" fillId="2" borderId="0" xfId="0" applyNumberFormat="1" applyFill="1"/>
    <xf numFmtId="0" fontId="0" fillId="0" borderId="65" xfId="0" applyBorder="1" applyAlignment="1">
      <alignment horizontal="center" vertical="center"/>
    </xf>
    <xf numFmtId="0" fontId="0" fillId="0" borderId="67" xfId="0" applyBorder="1" applyAlignment="1">
      <alignment horizontal="center"/>
    </xf>
    <xf numFmtId="2" fontId="0" fillId="0" borderId="55" xfId="0" applyNumberFormat="1" applyBorder="1" applyAlignment="1">
      <alignment horizontal="center"/>
    </xf>
    <xf numFmtId="2" fontId="0" fillId="0" borderId="35" xfId="0" applyNumberFormat="1" applyBorder="1" applyAlignment="1">
      <alignment horizontal="center"/>
    </xf>
    <xf numFmtId="2" fontId="0" fillId="0" borderId="70" xfId="0" applyNumberFormat="1" applyBorder="1" applyAlignment="1">
      <alignment horizontal="center"/>
    </xf>
    <xf numFmtId="4" fontId="0" fillId="0" borderId="70" xfId="0" applyNumberFormat="1" applyBorder="1" applyAlignment="1">
      <alignment horizontal="center"/>
    </xf>
    <xf numFmtId="0" fontId="27" fillId="0" borderId="90" xfId="0" applyFont="1" applyBorder="1" applyAlignment="1">
      <alignment horizontal="center"/>
    </xf>
    <xf numFmtId="0" fontId="18" fillId="23" borderId="37" xfId="0" applyFont="1" applyFill="1" applyBorder="1" applyAlignment="1">
      <alignment horizontal="center" vertical="center" wrapText="1"/>
    </xf>
    <xf numFmtId="0" fontId="1" fillId="0" borderId="23" xfId="0" applyFont="1" applyBorder="1" applyAlignment="1">
      <alignment horizontal="center" vertical="center" wrapText="1"/>
    </xf>
    <xf numFmtId="0" fontId="18" fillId="17" borderId="38" xfId="0" applyFont="1" applyFill="1" applyBorder="1" applyAlignment="1">
      <alignment horizontal="center" vertical="center" wrapText="1"/>
    </xf>
    <xf numFmtId="0" fontId="0" fillId="0" borderId="0" xfId="0" applyAlignment="1">
      <alignment horizontal="center"/>
    </xf>
    <xf numFmtId="0" fontId="27" fillId="0" borderId="16" xfId="0" applyFont="1" applyBorder="1" applyAlignment="1">
      <alignment horizontal="center" vertical="center"/>
    </xf>
    <xf numFmtId="0" fontId="27" fillId="0" borderId="0" xfId="0" applyFont="1" applyAlignment="1">
      <alignment horizontal="center" vertical="center"/>
    </xf>
    <xf numFmtId="0" fontId="13" fillId="0" borderId="39" xfId="0" applyFont="1" applyBorder="1" applyAlignment="1">
      <alignment horizontal="center" vertical="center"/>
    </xf>
    <xf numFmtId="0" fontId="13" fillId="0" borderId="40" xfId="0" applyFont="1" applyBorder="1" applyAlignment="1">
      <alignment horizontal="center" vertical="center"/>
    </xf>
    <xf numFmtId="0" fontId="13" fillId="0" borderId="76" xfId="0" applyFont="1" applyBorder="1" applyAlignment="1">
      <alignment horizontal="center" vertical="center"/>
    </xf>
    <xf numFmtId="0" fontId="13" fillId="0" borderId="77" xfId="0" applyFont="1" applyBorder="1" applyAlignment="1">
      <alignment horizontal="center" vertical="center"/>
    </xf>
    <xf numFmtId="0" fontId="13" fillId="0" borderId="38" xfId="0" applyFont="1" applyBorder="1" applyAlignment="1">
      <alignment horizontal="center" vertical="center"/>
    </xf>
    <xf numFmtId="0" fontId="13" fillId="0" borderId="4" xfId="0" applyFont="1" applyBorder="1" applyAlignment="1">
      <alignment horizontal="center" vertical="center"/>
    </xf>
    <xf numFmtId="0" fontId="13" fillId="2" borderId="39" xfId="0" applyFont="1" applyFill="1" applyBorder="1" applyAlignment="1">
      <alignment horizontal="center" vertical="center"/>
    </xf>
    <xf numFmtId="0" fontId="13" fillId="2" borderId="40" xfId="0" applyFont="1" applyFill="1" applyBorder="1" applyAlignment="1">
      <alignment horizontal="center" vertical="center"/>
    </xf>
    <xf numFmtId="0" fontId="13" fillId="2" borderId="76" xfId="0" applyFont="1" applyFill="1" applyBorder="1" applyAlignment="1">
      <alignment horizontal="center" vertical="center"/>
    </xf>
    <xf numFmtId="0" fontId="13" fillId="2" borderId="77" xfId="0" applyFont="1" applyFill="1" applyBorder="1" applyAlignment="1">
      <alignment horizontal="center" vertical="center"/>
    </xf>
    <xf numFmtId="0" fontId="13" fillId="2" borderId="38" xfId="0" applyFont="1" applyFill="1" applyBorder="1" applyAlignment="1">
      <alignment horizontal="center" vertical="center"/>
    </xf>
    <xf numFmtId="0" fontId="13" fillId="2" borderId="4" xfId="0" applyFont="1" applyFill="1" applyBorder="1" applyAlignment="1">
      <alignment horizontal="center" vertical="center"/>
    </xf>
    <xf numFmtId="169" fontId="2" fillId="2" borderId="20" xfId="0" applyNumberFormat="1" applyFont="1" applyFill="1" applyBorder="1" applyAlignment="1">
      <alignment horizontal="center" vertical="top"/>
    </xf>
    <xf numFmtId="169" fontId="2" fillId="2" borderId="58" xfId="0" applyNumberFormat="1" applyFont="1" applyFill="1" applyBorder="1" applyAlignment="1">
      <alignment horizontal="center" vertical="top"/>
    </xf>
    <xf numFmtId="164" fontId="2" fillId="2" borderId="20" xfId="0" applyNumberFormat="1" applyFont="1" applyFill="1" applyBorder="1" applyAlignment="1">
      <alignment horizontal="center" vertical="top"/>
    </xf>
    <xf numFmtId="164" fontId="2" fillId="2" borderId="58" xfId="0" applyNumberFormat="1" applyFont="1" applyFill="1" applyBorder="1" applyAlignment="1">
      <alignment horizontal="center" vertical="top"/>
    </xf>
    <xf numFmtId="3" fontId="2" fillId="0" borderId="10" xfId="0" applyNumberFormat="1" applyFont="1" applyBorder="1" applyAlignment="1">
      <alignment horizontal="center"/>
    </xf>
    <xf numFmtId="3" fontId="10" fillId="0" borderId="10" xfId="0" applyNumberFormat="1" applyFont="1" applyBorder="1" applyAlignment="1">
      <alignment horizontal="center"/>
    </xf>
    <xf numFmtId="3" fontId="3" fillId="0" borderId="10" xfId="0" applyNumberFormat="1" applyFont="1" applyBorder="1" applyAlignment="1">
      <alignment horizontal="center" vertical="top"/>
    </xf>
    <xf numFmtId="0" fontId="0" fillId="0" borderId="85" xfId="0" applyBorder="1" applyAlignment="1">
      <alignment horizontal="center" vertical="center"/>
    </xf>
    <xf numFmtId="0" fontId="0" fillId="0" borderId="143" xfId="0" applyBorder="1" applyAlignment="1">
      <alignment horizontal="center" vertical="center"/>
    </xf>
    <xf numFmtId="0" fontId="0" fillId="0" borderId="121" xfId="0" applyBorder="1" applyAlignment="1">
      <alignment horizontal="center" wrapText="1"/>
    </xf>
    <xf numFmtId="0" fontId="0" fillId="0" borderId="122" xfId="0" applyBorder="1" applyAlignment="1">
      <alignment horizontal="center" wrapText="1"/>
    </xf>
    <xf numFmtId="0" fontId="5" fillId="0" borderId="12" xfId="0" applyFont="1" applyBorder="1" applyAlignment="1">
      <alignment horizontal="center" vertical="center"/>
    </xf>
    <xf numFmtId="0" fontId="0" fillId="0" borderId="20" xfId="0" applyBorder="1" applyAlignment="1">
      <alignment horizontal="center" vertical="center"/>
    </xf>
    <xf numFmtId="0" fontId="0" fillId="24" borderId="20" xfId="0" applyFill="1"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34" xfId="0" applyBorder="1" applyAlignment="1">
      <alignment horizontal="center"/>
    </xf>
    <xf numFmtId="0" fontId="0" fillId="0" borderId="82" xfId="0" applyBorder="1" applyAlignment="1">
      <alignment horizontal="center" vertical="center"/>
    </xf>
    <xf numFmtId="0" fontId="0" fillId="0" borderId="83" xfId="0" applyBorder="1" applyAlignment="1">
      <alignment horizontal="center" vertical="center"/>
    </xf>
    <xf numFmtId="0" fontId="0" fillId="0" borderId="41" xfId="0" applyBorder="1" applyAlignment="1">
      <alignment horizontal="center" vertical="center"/>
    </xf>
    <xf numFmtId="0" fontId="0" fillId="0" borderId="46" xfId="0" applyBorder="1" applyAlignment="1">
      <alignment horizontal="center" vertical="center"/>
    </xf>
    <xf numFmtId="0" fontId="0" fillId="0" borderId="86" xfId="0" applyBorder="1" applyAlignment="1">
      <alignment horizontal="center" vertical="center"/>
    </xf>
    <xf numFmtId="0" fontId="0" fillId="0" borderId="64" xfId="0"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63" xfId="0" applyBorder="1" applyAlignment="1">
      <alignment horizontal="center" vertical="center"/>
    </xf>
    <xf numFmtId="0" fontId="30" fillId="0" borderId="0" xfId="0" applyFont="1" applyAlignment="1">
      <alignment horizontal="center"/>
    </xf>
    <xf numFmtId="0" fontId="0" fillId="0" borderId="44" xfId="0" applyBorder="1" applyAlignment="1">
      <alignment horizontal="center" vertical="center"/>
    </xf>
    <xf numFmtId="0" fontId="0" fillId="0" borderId="0" xfId="0" applyAlignment="1">
      <alignment horizontal="center" vertical="center"/>
    </xf>
    <xf numFmtId="0" fontId="0" fillId="0" borderId="47" xfId="0" applyBorder="1" applyAlignment="1">
      <alignment horizontal="center" vertical="center"/>
    </xf>
    <xf numFmtId="0" fontId="0" fillId="0" borderId="57" xfId="0" applyBorder="1" applyAlignment="1">
      <alignment horizontal="center" vertical="center"/>
    </xf>
    <xf numFmtId="0" fontId="0" fillId="0" borderId="65" xfId="0" applyBorder="1" applyAlignment="1">
      <alignment horizontal="center"/>
    </xf>
    <xf numFmtId="0" fontId="0" fillId="0" borderId="66" xfId="0" applyBorder="1" applyAlignment="1">
      <alignment horizontal="center"/>
    </xf>
    <xf numFmtId="0" fontId="0" fillId="0" borderId="68" xfId="0" applyBorder="1" applyAlignment="1">
      <alignment horizontal="center"/>
    </xf>
    <xf numFmtId="0" fontId="0" fillId="0" borderId="16" xfId="0" applyBorder="1" applyAlignment="1">
      <alignment horizontal="center" vertical="center"/>
    </xf>
    <xf numFmtId="0" fontId="0" fillId="0" borderId="39" xfId="0" applyBorder="1" applyAlignment="1">
      <alignment horizontal="center" vertical="center"/>
    </xf>
    <xf numFmtId="0" fontId="0" fillId="0" borderId="149" xfId="0" applyBorder="1" applyAlignment="1">
      <alignment horizontal="center" vertical="center"/>
    </xf>
    <xf numFmtId="0" fontId="0" fillId="0" borderId="40" xfId="0" applyBorder="1" applyAlignment="1">
      <alignment horizontal="center" vertical="center"/>
    </xf>
    <xf numFmtId="0" fontId="0" fillId="0" borderId="38" xfId="0" applyBorder="1" applyAlignment="1">
      <alignment horizontal="center" vertical="center"/>
    </xf>
    <xf numFmtId="0" fontId="0" fillId="0" borderId="10" xfId="0" applyBorder="1" applyAlignment="1">
      <alignment horizontal="center" vertical="center"/>
    </xf>
    <xf numFmtId="0" fontId="0" fillId="0" borderId="4" xfId="0" applyBorder="1" applyAlignment="1">
      <alignment horizontal="center" vertical="center"/>
    </xf>
    <xf numFmtId="164" fontId="0" fillId="0" borderId="177" xfId="0" applyNumberFormat="1" applyBorder="1" applyAlignment="1">
      <alignment horizontal="center" vertical="center"/>
    </xf>
    <xf numFmtId="164" fontId="0" fillId="0" borderId="143" xfId="0" applyNumberFormat="1" applyBorder="1" applyAlignment="1">
      <alignment horizontal="center" vertical="center"/>
    </xf>
    <xf numFmtId="0" fontId="0" fillId="0" borderId="87" xfId="0" applyBorder="1" applyAlignment="1">
      <alignment horizontal="center" vertical="center"/>
    </xf>
    <xf numFmtId="0" fontId="0" fillId="0" borderId="88" xfId="0" applyBorder="1" applyAlignment="1">
      <alignment horizontal="center" vertical="center"/>
    </xf>
    <xf numFmtId="164" fontId="0" fillId="0" borderId="49" xfId="0" applyNumberFormat="1" applyBorder="1" applyAlignment="1">
      <alignment horizontal="center"/>
    </xf>
    <xf numFmtId="164" fontId="0" fillId="0" borderId="50" xfId="0" applyNumberFormat="1" applyBorder="1" applyAlignment="1">
      <alignment horizontal="center"/>
    </xf>
    <xf numFmtId="164" fontId="0" fillId="0" borderId="34" xfId="0" applyNumberFormat="1" applyBorder="1" applyAlignment="1">
      <alignment horizontal="center"/>
    </xf>
    <xf numFmtId="0" fontId="0" fillId="0" borderId="58" xfId="0" applyBorder="1" applyAlignment="1">
      <alignment horizontal="center" vertical="center"/>
    </xf>
    <xf numFmtId="0" fontId="5" fillId="35" borderId="57" xfId="0" applyFont="1" applyFill="1" applyBorder="1" applyAlignment="1">
      <alignment horizontal="center" vertical="center"/>
    </xf>
    <xf numFmtId="0" fontId="5" fillId="35" borderId="61" xfId="0" applyFont="1" applyFill="1" applyBorder="1" applyAlignment="1">
      <alignment horizontal="center" vertical="center"/>
    </xf>
    <xf numFmtId="0" fontId="5" fillId="0" borderId="57" xfId="0" applyFont="1" applyBorder="1" applyAlignment="1">
      <alignment horizontal="center" vertical="center"/>
    </xf>
    <xf numFmtId="0" fontId="5" fillId="0" borderId="85" xfId="0" applyFont="1" applyBorder="1" applyAlignment="1">
      <alignment horizontal="center" vertical="center"/>
    </xf>
    <xf numFmtId="0" fontId="0" fillId="0" borderId="121" xfId="0" applyBorder="1" applyAlignment="1">
      <alignment horizontal="center" vertical="center"/>
    </xf>
    <xf numFmtId="0" fontId="0" fillId="0" borderId="112" xfId="0" applyBorder="1" applyAlignment="1">
      <alignment horizontal="center" vertical="center"/>
    </xf>
    <xf numFmtId="0" fontId="0" fillId="0" borderId="35" xfId="0" applyBorder="1" applyAlignment="1">
      <alignment horizontal="center" vertic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2" fontId="0" fillId="0" borderId="41" xfId="0" applyNumberFormat="1" applyBorder="1" applyAlignment="1">
      <alignment horizontal="center"/>
    </xf>
    <xf numFmtId="2" fontId="0" fillId="0" borderId="42" xfId="0" applyNumberFormat="1" applyBorder="1" applyAlignment="1">
      <alignment horizontal="center"/>
    </xf>
    <xf numFmtId="2" fontId="0" fillId="0" borderId="43" xfId="0" applyNumberFormat="1" applyBorder="1" applyAlignment="1">
      <alignment horizontal="center"/>
    </xf>
    <xf numFmtId="2" fontId="5" fillId="13" borderId="0" xfId="0" applyNumberFormat="1" applyFont="1" applyFill="1" applyAlignment="1">
      <alignment horizontal="center"/>
    </xf>
    <xf numFmtId="0" fontId="0" fillId="34" borderId="16" xfId="0" applyFill="1" applyBorder="1" applyAlignment="1">
      <alignment horizontal="center"/>
    </xf>
    <xf numFmtId="0" fontId="5" fillId="0" borderId="0" xfId="0" applyFont="1" applyAlignment="1">
      <alignment horizontal="center"/>
    </xf>
    <xf numFmtId="0" fontId="5" fillId="13" borderId="85" xfId="0" applyFont="1" applyFill="1" applyBorder="1" applyAlignment="1">
      <alignment horizontal="center"/>
    </xf>
    <xf numFmtId="0" fontId="5" fillId="13" borderId="86" xfId="0" applyFont="1" applyFill="1" applyBorder="1" applyAlignment="1">
      <alignment horizontal="center"/>
    </xf>
    <xf numFmtId="0" fontId="5" fillId="13" borderId="64" xfId="0" applyFont="1" applyFill="1" applyBorder="1" applyAlignment="1">
      <alignment horizontal="center"/>
    </xf>
    <xf numFmtId="0" fontId="5" fillId="14" borderId="85" xfId="0" applyFont="1" applyFill="1" applyBorder="1" applyAlignment="1">
      <alignment horizontal="center"/>
    </xf>
    <xf numFmtId="0" fontId="5" fillId="14" borderId="86" xfId="0" applyFont="1" applyFill="1" applyBorder="1" applyAlignment="1">
      <alignment horizontal="center"/>
    </xf>
    <xf numFmtId="0" fontId="5" fillId="14" borderId="64" xfId="0" applyFont="1" applyFill="1" applyBorder="1" applyAlignment="1">
      <alignment horizontal="center"/>
    </xf>
    <xf numFmtId="0" fontId="5" fillId="15" borderId="85" xfId="0" applyFont="1" applyFill="1" applyBorder="1" applyAlignment="1">
      <alignment horizontal="center"/>
    </xf>
    <xf numFmtId="0" fontId="5" fillId="15" borderId="86" xfId="0" applyFont="1" applyFill="1" applyBorder="1" applyAlignment="1">
      <alignment horizontal="center"/>
    </xf>
    <xf numFmtId="0" fontId="5" fillId="15" borderId="64" xfId="0" applyFont="1" applyFill="1" applyBorder="1" applyAlignment="1">
      <alignment horizontal="center"/>
    </xf>
    <xf numFmtId="0" fontId="5" fillId="13" borderId="85" xfId="0" applyFont="1" applyFill="1" applyBorder="1" applyAlignment="1">
      <alignment horizontal="center" vertical="center"/>
    </xf>
    <xf numFmtId="0" fontId="5" fillId="13" borderId="86" xfId="0" applyFont="1" applyFill="1" applyBorder="1" applyAlignment="1">
      <alignment horizontal="center" vertical="center"/>
    </xf>
    <xf numFmtId="0" fontId="5" fillId="13" borderId="64" xfId="0" applyFont="1" applyFill="1" applyBorder="1" applyAlignment="1">
      <alignment horizontal="center" vertical="center"/>
    </xf>
    <xf numFmtId="2" fontId="5" fillId="13" borderId="42" xfId="0" applyNumberFormat="1" applyFont="1" applyFill="1" applyBorder="1" applyAlignment="1">
      <alignment horizontal="center"/>
    </xf>
    <xf numFmtId="2" fontId="5" fillId="14" borderId="42" xfId="0" applyNumberFormat="1" applyFont="1" applyFill="1" applyBorder="1" applyAlignment="1">
      <alignment horizontal="center"/>
    </xf>
    <xf numFmtId="2" fontId="5" fillId="15" borderId="42" xfId="0" applyNumberFormat="1" applyFont="1" applyFill="1" applyBorder="1" applyAlignment="1">
      <alignment horizontal="center"/>
    </xf>
    <xf numFmtId="2" fontId="5" fillId="13" borderId="42" xfId="0" applyNumberFormat="1" applyFont="1" applyFill="1" applyBorder="1" applyAlignment="1">
      <alignment horizontal="center" vertical="center"/>
    </xf>
    <xf numFmtId="0" fontId="5" fillId="13" borderId="0" xfId="0" applyFont="1" applyFill="1" applyAlignment="1">
      <alignment horizontal="center"/>
    </xf>
    <xf numFmtId="0" fontId="5" fillId="14" borderId="0" xfId="0" applyFont="1" applyFill="1" applyAlignment="1">
      <alignment horizontal="center"/>
    </xf>
    <xf numFmtId="0" fontId="5" fillId="15" borderId="0" xfId="0" applyFont="1" applyFill="1" applyAlignment="1">
      <alignment horizontal="center"/>
    </xf>
    <xf numFmtId="0" fontId="5" fillId="13" borderId="0" xfId="0" applyFont="1" applyFill="1" applyAlignment="1">
      <alignment horizontal="center" vertical="center"/>
    </xf>
    <xf numFmtId="0" fontId="27" fillId="18" borderId="20" xfId="0" applyFont="1" applyFill="1" applyBorder="1" applyAlignment="1">
      <alignment horizontal="center"/>
    </xf>
    <xf numFmtId="0" fontId="0" fillId="0" borderId="117" xfId="0" applyBorder="1" applyAlignment="1">
      <alignment horizontal="center"/>
    </xf>
    <xf numFmtId="0" fontId="0" fillId="0" borderId="118" xfId="0" applyBorder="1" applyAlignment="1">
      <alignment horizontal="center"/>
    </xf>
    <xf numFmtId="0" fontId="0" fillId="0" borderId="24" xfId="0" applyBorder="1" applyAlignment="1">
      <alignment horizontal="center"/>
    </xf>
    <xf numFmtId="0" fontId="5" fillId="0" borderId="16" xfId="0" applyFont="1" applyBorder="1" applyAlignment="1">
      <alignment horizontal="center" vertical="center"/>
    </xf>
    <xf numFmtId="0" fontId="5" fillId="0" borderId="0" xfId="0" applyFont="1" applyAlignment="1">
      <alignment horizontal="center" vertical="center"/>
    </xf>
    <xf numFmtId="2" fontId="5" fillId="14" borderId="0" xfId="0" applyNumberFormat="1" applyFont="1" applyFill="1" applyAlignment="1">
      <alignment horizontal="center"/>
    </xf>
    <xf numFmtId="2" fontId="5" fillId="15" borderId="0" xfId="0" applyNumberFormat="1" applyFont="1" applyFill="1" applyAlignment="1">
      <alignment horizontal="center"/>
    </xf>
    <xf numFmtId="2" fontId="5" fillId="13" borderId="0" xfId="0" applyNumberFormat="1" applyFont="1" applyFill="1" applyAlignment="1">
      <alignment horizontal="center" vertical="center"/>
    </xf>
    <xf numFmtId="0" fontId="27" fillId="12" borderId="20" xfId="0" applyFont="1" applyFill="1" applyBorder="1" applyAlignment="1">
      <alignment horizontal="center"/>
    </xf>
    <xf numFmtId="0" fontId="27" fillId="12" borderId="71" xfId="0" applyFont="1" applyFill="1" applyBorder="1" applyAlignment="1">
      <alignment horizontal="center"/>
    </xf>
    <xf numFmtId="0" fontId="5" fillId="0" borderId="20" xfId="0" applyFont="1" applyBorder="1" applyAlignment="1">
      <alignment horizontal="center" vertical="center"/>
    </xf>
    <xf numFmtId="0" fontId="27" fillId="30" borderId="20" xfId="0" applyFont="1" applyFill="1" applyBorder="1" applyAlignment="1">
      <alignment horizontal="center"/>
    </xf>
    <xf numFmtId="0" fontId="0" fillId="0" borderId="43" xfId="0" applyBorder="1" applyAlignment="1">
      <alignment horizontal="center" vertical="center"/>
    </xf>
    <xf numFmtId="0" fontId="0" fillId="0" borderId="48" xfId="0" applyBorder="1" applyAlignment="1">
      <alignment horizontal="center" vertical="center"/>
    </xf>
    <xf numFmtId="0" fontId="0" fillId="0" borderId="59" xfId="0" applyBorder="1" applyAlignment="1">
      <alignment horizontal="center" vertical="center"/>
    </xf>
    <xf numFmtId="0" fontId="0" fillId="34" borderId="119" xfId="0" applyFill="1" applyBorder="1" applyAlignment="1">
      <alignment horizontal="center"/>
    </xf>
    <xf numFmtId="0" fontId="0" fillId="34" borderId="123" xfId="0" applyFill="1" applyBorder="1" applyAlignment="1">
      <alignment horizontal="center"/>
    </xf>
    <xf numFmtId="0" fontId="0" fillId="34" borderId="124" xfId="0" applyFill="1" applyBorder="1" applyAlignment="1">
      <alignment horizontal="center"/>
    </xf>
    <xf numFmtId="0" fontId="0" fillId="34" borderId="31" xfId="0" applyFill="1" applyBorder="1" applyAlignment="1">
      <alignment horizontal="center"/>
    </xf>
    <xf numFmtId="0" fontId="4" fillId="0" borderId="25" xfId="0" applyFont="1" applyBorder="1" applyAlignment="1">
      <alignment horizontal="center"/>
    </xf>
    <xf numFmtId="0" fontId="30" fillId="0" borderId="10" xfId="0" applyFont="1" applyBorder="1" applyAlignment="1">
      <alignment horizontal="center"/>
    </xf>
    <xf numFmtId="0" fontId="0" fillId="0" borderId="10" xfId="0" applyBorder="1" applyAlignment="1">
      <alignment horizontal="center"/>
    </xf>
    <xf numFmtId="0" fontId="18" fillId="17" borderId="37" xfId="0" applyFont="1" applyFill="1" applyBorder="1" applyAlignment="1">
      <alignment horizontal="center"/>
    </xf>
    <xf numFmtId="0" fontId="1" fillId="4" borderId="0" xfId="0" applyFont="1" applyFill="1" applyAlignment="1">
      <alignment horizontal="center"/>
    </xf>
    <xf numFmtId="0" fontId="4" fillId="0" borderId="0" xfId="0" applyFont="1" applyAlignment="1">
      <alignment horizontal="center"/>
    </xf>
    <xf numFmtId="167" fontId="9" fillId="21" borderId="49" xfId="0" applyNumberFormat="1" applyFont="1" applyFill="1" applyBorder="1" applyAlignment="1">
      <alignment horizontal="center"/>
    </xf>
    <xf numFmtId="167" fontId="9" fillId="21" borderId="50" xfId="0" applyNumberFormat="1" applyFont="1" applyFill="1" applyBorder="1" applyAlignment="1">
      <alignment horizontal="center"/>
    </xf>
    <xf numFmtId="167" fontId="9" fillId="21" borderId="34" xfId="0" applyNumberFormat="1" applyFont="1" applyFill="1" applyBorder="1" applyAlignment="1">
      <alignment horizontal="center"/>
    </xf>
    <xf numFmtId="1" fontId="7" fillId="0" borderId="71" xfId="0" applyNumberFormat="1" applyFont="1" applyBorder="1" applyAlignment="1">
      <alignment horizontal="center" vertical="top"/>
    </xf>
    <xf numFmtId="1" fontId="7" fillId="0" borderId="150" xfId="0" applyNumberFormat="1" applyFont="1" applyBorder="1" applyAlignment="1">
      <alignment horizontal="center" vertical="top"/>
    </xf>
    <xf numFmtId="1" fontId="7" fillId="0" borderId="72" xfId="0" applyNumberFormat="1" applyFont="1" applyBorder="1" applyAlignment="1">
      <alignment horizontal="center" vertical="top"/>
    </xf>
    <xf numFmtId="1" fontId="2" fillId="0" borderId="71" xfId="0" applyNumberFormat="1" applyFont="1" applyBorder="1" applyAlignment="1">
      <alignment horizontal="center"/>
    </xf>
    <xf numFmtId="1" fontId="2" fillId="0" borderId="150" xfId="0" applyNumberFormat="1" applyFont="1" applyBorder="1" applyAlignment="1">
      <alignment horizontal="center"/>
    </xf>
    <xf numFmtId="1" fontId="2" fillId="0" borderId="72" xfId="0" applyNumberFormat="1" applyFont="1" applyBorder="1" applyAlignment="1">
      <alignment horizontal="center"/>
    </xf>
    <xf numFmtId="0" fontId="9" fillId="21" borderId="49" xfId="0" applyFont="1" applyFill="1" applyBorder="1" applyAlignment="1">
      <alignment horizontal="center"/>
    </xf>
    <xf numFmtId="0" fontId="9" fillId="21" borderId="50" xfId="0" applyFont="1" applyFill="1" applyBorder="1" applyAlignment="1">
      <alignment horizontal="center"/>
    </xf>
    <xf numFmtId="0" fontId="9" fillId="21" borderId="34" xfId="0" applyFont="1" applyFill="1" applyBorder="1" applyAlignment="1">
      <alignment horizontal="center"/>
    </xf>
    <xf numFmtId="0" fontId="35" fillId="0" borderId="139" xfId="0" applyFont="1" applyBorder="1" applyAlignment="1">
      <alignment horizontal="center"/>
    </xf>
    <xf numFmtId="0" fontId="35" fillId="0" borderId="140" xfId="0" applyFont="1" applyBorder="1" applyAlignment="1">
      <alignment horizontal="center"/>
    </xf>
    <xf numFmtId="0" fontId="2" fillId="0" borderId="76" xfId="0" applyFont="1" applyBorder="1" applyAlignment="1">
      <alignment horizontal="center" vertical="top"/>
    </xf>
    <xf numFmtId="0" fontId="2" fillId="0" borderId="0" xfId="0" applyFont="1" applyAlignment="1">
      <alignment horizontal="center" vertical="top"/>
    </xf>
    <xf numFmtId="0" fontId="2" fillId="0" borderId="45" xfId="0" applyFont="1" applyBorder="1" applyAlignment="1">
      <alignment horizontal="center" vertical="top"/>
    </xf>
    <xf numFmtId="0" fontId="4" fillId="0" borderId="11" xfId="0" applyFont="1" applyBorder="1" applyAlignment="1">
      <alignment horizontal="center" vertical="top"/>
    </xf>
    <xf numFmtId="0" fontId="2" fillId="7" borderId="0" xfId="0" applyFont="1" applyFill="1" applyAlignment="1">
      <alignment horizontal="center" vertical="center"/>
    </xf>
    <xf numFmtId="0" fontId="2" fillId="0" borderId="0" xfId="0" applyFont="1" applyAlignment="1">
      <alignment horizontal="center"/>
    </xf>
    <xf numFmtId="167" fontId="41" fillId="21" borderId="162" xfId="0" applyNumberFormat="1" applyFont="1" applyFill="1" applyBorder="1" applyAlignment="1">
      <alignment horizontal="center"/>
    </xf>
    <xf numFmtId="167" fontId="41" fillId="21" borderId="50" xfId="0" applyNumberFormat="1" applyFont="1" applyFill="1" applyBorder="1" applyAlignment="1">
      <alignment horizontal="center"/>
    </xf>
    <xf numFmtId="167" fontId="41" fillId="21" borderId="163" xfId="0" applyNumberFormat="1" applyFont="1" applyFill="1" applyBorder="1" applyAlignment="1">
      <alignment horizontal="center"/>
    </xf>
    <xf numFmtId="167" fontId="41" fillId="21" borderId="172" xfId="0" applyNumberFormat="1" applyFont="1" applyFill="1" applyBorder="1" applyAlignment="1">
      <alignment horizontal="center"/>
    </xf>
    <xf numFmtId="167" fontId="41" fillId="21" borderId="135" xfId="0" applyNumberFormat="1" applyFont="1" applyFill="1" applyBorder="1" applyAlignment="1">
      <alignment horizontal="center"/>
    </xf>
    <xf numFmtId="167" fontId="41" fillId="21" borderId="173" xfId="0" applyNumberFormat="1" applyFont="1" applyFill="1" applyBorder="1" applyAlignment="1">
      <alignment horizontal="center"/>
    </xf>
    <xf numFmtId="0" fontId="43" fillId="21" borderId="162" xfId="0" applyFont="1" applyFill="1" applyBorder="1" applyAlignment="1">
      <alignment horizontal="center"/>
    </xf>
    <xf numFmtId="0" fontId="43" fillId="21" borderId="50" xfId="0" applyFont="1" applyFill="1" applyBorder="1" applyAlignment="1">
      <alignment horizontal="center"/>
    </xf>
    <xf numFmtId="0" fontId="43" fillId="21" borderId="163" xfId="0" applyFont="1" applyFill="1" applyBorder="1" applyAlignment="1">
      <alignment horizontal="center"/>
    </xf>
    <xf numFmtId="2" fontId="2" fillId="21" borderId="71" xfId="0" applyNumberFormat="1" applyFont="1" applyFill="1" applyBorder="1" applyAlignment="1">
      <alignment horizontal="center"/>
    </xf>
    <xf numFmtId="2" fontId="2" fillId="21" borderId="150" xfId="0" applyNumberFormat="1" applyFont="1" applyFill="1" applyBorder="1" applyAlignment="1">
      <alignment horizontal="center"/>
    </xf>
    <xf numFmtId="2" fontId="2" fillId="21" borderId="72" xfId="0" applyNumberFormat="1" applyFont="1" applyFill="1" applyBorder="1" applyAlignment="1">
      <alignment horizontal="center"/>
    </xf>
    <xf numFmtId="0" fontId="7" fillId="21" borderId="20" xfId="0" applyFont="1" applyFill="1" applyBorder="1" applyAlignment="1">
      <alignment horizontal="center" vertical="top"/>
    </xf>
    <xf numFmtId="2" fontId="2" fillId="21" borderId="20" xfId="0" applyNumberFormat="1" applyFont="1" applyFill="1" applyBorder="1" applyAlignment="1">
      <alignment horizontal="center"/>
    </xf>
    <xf numFmtId="0" fontId="2" fillId="21" borderId="71" xfId="0" applyFont="1" applyFill="1" applyBorder="1" applyAlignment="1">
      <alignment horizontal="center"/>
    </xf>
    <xf numFmtId="0" fontId="2" fillId="21" borderId="150" xfId="0" applyFont="1" applyFill="1" applyBorder="1" applyAlignment="1">
      <alignment horizontal="center"/>
    </xf>
    <xf numFmtId="0" fontId="2" fillId="21" borderId="72" xfId="0" applyFont="1" applyFill="1" applyBorder="1" applyAlignment="1">
      <alignment horizontal="center"/>
    </xf>
    <xf numFmtId="0" fontId="2" fillId="21" borderId="161" xfId="0" applyFont="1" applyFill="1" applyBorder="1" applyAlignment="1">
      <alignment horizontal="center"/>
    </xf>
    <xf numFmtId="0" fontId="41" fillId="21" borderId="162" xfId="0" applyFont="1" applyFill="1" applyBorder="1" applyAlignment="1">
      <alignment horizontal="center"/>
    </xf>
    <xf numFmtId="0" fontId="41" fillId="21" borderId="50" xfId="0" applyFont="1" applyFill="1" applyBorder="1" applyAlignment="1">
      <alignment horizontal="center"/>
    </xf>
    <xf numFmtId="0" fontId="41" fillId="21" borderId="163" xfId="0" applyFont="1" applyFill="1" applyBorder="1" applyAlignment="1">
      <alignment horizontal="center"/>
    </xf>
    <xf numFmtId="0" fontId="7" fillId="21" borderId="71" xfId="0" applyFont="1" applyFill="1" applyBorder="1" applyAlignment="1">
      <alignment horizontal="center" vertical="top"/>
    </xf>
    <xf numFmtId="0" fontId="7" fillId="21" borderId="150" xfId="0" applyFont="1" applyFill="1" applyBorder="1" applyAlignment="1">
      <alignment horizontal="center" vertical="top"/>
    </xf>
    <xf numFmtId="0" fontId="7" fillId="21" borderId="72" xfId="0" applyFont="1" applyFill="1" applyBorder="1" applyAlignment="1">
      <alignment horizontal="center" vertical="top"/>
    </xf>
    <xf numFmtId="1" fontId="2" fillId="0" borderId="161" xfId="0" applyNumberFormat="1" applyFont="1" applyBorder="1" applyAlignment="1">
      <alignment horizontal="center"/>
    </xf>
    <xf numFmtId="0" fontId="42" fillId="21" borderId="153" xfId="0" applyFont="1" applyFill="1" applyBorder="1" applyAlignment="1">
      <alignment horizontal="center" vertical="center"/>
    </xf>
    <xf numFmtId="0" fontId="42" fillId="21" borderId="127" xfId="0" applyFont="1" applyFill="1" applyBorder="1" applyAlignment="1">
      <alignment horizontal="center" vertical="center"/>
    </xf>
    <xf numFmtId="0" fontId="42" fillId="21" borderId="154" xfId="0" applyFont="1" applyFill="1" applyBorder="1" applyAlignment="1">
      <alignment horizontal="center" vertical="center"/>
    </xf>
    <xf numFmtId="0" fontId="42" fillId="21" borderId="22" xfId="0" applyFont="1" applyFill="1" applyBorder="1" applyAlignment="1">
      <alignment horizontal="center" vertical="center"/>
    </xf>
    <xf numFmtId="0" fontId="42" fillId="21" borderId="0" xfId="0" applyFont="1" applyFill="1" applyAlignment="1">
      <alignment horizontal="center" vertical="center"/>
    </xf>
    <xf numFmtId="0" fontId="42" fillId="21" borderId="155" xfId="0" applyFont="1" applyFill="1" applyBorder="1" applyAlignment="1">
      <alignment horizontal="center" vertical="center"/>
    </xf>
    <xf numFmtId="0" fontId="42" fillId="21" borderId="166" xfId="0" applyFont="1" applyFill="1" applyBorder="1" applyAlignment="1">
      <alignment horizontal="center" vertical="center"/>
    </xf>
    <xf numFmtId="0" fontId="42" fillId="21" borderId="131" xfId="0" applyFont="1" applyFill="1" applyBorder="1" applyAlignment="1">
      <alignment horizontal="center" vertical="center"/>
    </xf>
    <xf numFmtId="0" fontId="42" fillId="21" borderId="167" xfId="0" applyFont="1" applyFill="1" applyBorder="1" applyAlignment="1">
      <alignment horizontal="center" vertical="center"/>
    </xf>
    <xf numFmtId="0" fontId="2" fillId="21" borderId="0" xfId="0" applyFont="1" applyFill="1" applyAlignment="1">
      <alignment horizontal="center"/>
    </xf>
    <xf numFmtId="0" fontId="42" fillId="21" borderId="156" xfId="0" applyFont="1" applyFill="1" applyBorder="1" applyAlignment="1">
      <alignment horizontal="center" vertical="center"/>
    </xf>
    <xf numFmtId="0" fontId="42" fillId="21" borderId="47" xfId="0" applyFont="1" applyFill="1" applyBorder="1" applyAlignment="1">
      <alignment horizontal="center" vertical="center"/>
    </xf>
    <xf numFmtId="0" fontId="42" fillId="21" borderId="157" xfId="0" applyFont="1" applyFill="1" applyBorder="1" applyAlignment="1">
      <alignment horizontal="center" vertical="center"/>
    </xf>
    <xf numFmtId="1" fontId="7" fillId="0" borderId="79" xfId="0" applyNumberFormat="1" applyFont="1" applyBorder="1" applyAlignment="1">
      <alignment horizontal="center" vertical="top"/>
    </xf>
    <xf numFmtId="1" fontId="7" fillId="0" borderId="84" xfId="0" applyNumberFormat="1" applyFont="1" applyBorder="1" applyAlignment="1">
      <alignment horizontal="center" vertical="top"/>
    </xf>
    <xf numFmtId="1" fontId="7" fillId="0" borderId="151" xfId="0" applyNumberFormat="1" applyFont="1" applyBorder="1" applyAlignment="1">
      <alignment horizontal="center" vertical="top"/>
    </xf>
    <xf numFmtId="0" fontId="2" fillId="21" borderId="41" xfId="0" applyFont="1" applyFill="1" applyBorder="1" applyAlignment="1">
      <alignment horizontal="center" vertical="center"/>
    </xf>
    <xf numFmtId="0" fontId="2" fillId="21" borderId="42" xfId="0" applyFont="1" applyFill="1" applyBorder="1" applyAlignment="1">
      <alignment horizontal="center" vertical="center"/>
    </xf>
    <xf numFmtId="0" fontId="2" fillId="21" borderId="43" xfId="0" applyFont="1" applyFill="1" applyBorder="1" applyAlignment="1">
      <alignment horizontal="center" vertical="center"/>
    </xf>
    <xf numFmtId="0" fontId="2" fillId="21" borderId="44" xfId="0" applyFont="1" applyFill="1" applyBorder="1" applyAlignment="1">
      <alignment horizontal="center" vertical="center"/>
    </xf>
    <xf numFmtId="0" fontId="2" fillId="21" borderId="0" xfId="0" applyFont="1" applyFill="1" applyAlignment="1">
      <alignment horizontal="center" vertical="center"/>
    </xf>
    <xf numFmtId="0" fontId="2" fillId="21" borderId="45" xfId="0" applyFont="1" applyFill="1" applyBorder="1" applyAlignment="1">
      <alignment horizontal="center" vertical="center"/>
    </xf>
    <xf numFmtId="0" fontId="2" fillId="21" borderId="46" xfId="0" applyFont="1" applyFill="1" applyBorder="1" applyAlignment="1">
      <alignment horizontal="center" vertical="center"/>
    </xf>
    <xf numFmtId="0" fontId="2" fillId="21" borderId="47" xfId="0" applyFont="1" applyFill="1" applyBorder="1" applyAlignment="1">
      <alignment horizontal="center" vertical="center"/>
    </xf>
    <xf numFmtId="0" fontId="2" fillId="21" borderId="48" xfId="0" applyFont="1" applyFill="1" applyBorder="1" applyAlignment="1">
      <alignment horizontal="center" vertical="center"/>
    </xf>
    <xf numFmtId="0" fontId="58" fillId="0" borderId="153" xfId="0" applyFont="1" applyBorder="1" applyAlignment="1">
      <alignment horizontal="center" vertical="center"/>
    </xf>
    <xf numFmtId="0" fontId="58" fillId="0" borderId="127" xfId="0" applyFont="1" applyBorder="1" applyAlignment="1">
      <alignment horizontal="center" vertical="center"/>
    </xf>
    <xf numFmtId="0" fontId="58" fillId="0" borderId="154" xfId="0" applyFont="1" applyBorder="1" applyAlignment="1">
      <alignment horizontal="center" vertical="center"/>
    </xf>
    <xf numFmtId="0" fontId="58" fillId="0" borderId="22" xfId="0" applyFont="1" applyBorder="1" applyAlignment="1">
      <alignment horizontal="center" vertical="center"/>
    </xf>
    <xf numFmtId="0" fontId="58" fillId="0" borderId="0" xfId="0" applyFont="1" applyAlignment="1">
      <alignment horizontal="center" vertical="center"/>
    </xf>
    <xf numFmtId="0" fontId="58" fillId="0" borderId="155" xfId="0" applyFont="1" applyBorder="1" applyAlignment="1">
      <alignment horizontal="center" vertical="center"/>
    </xf>
    <xf numFmtId="0" fontId="58" fillId="0" borderId="156" xfId="0" applyFont="1" applyBorder="1" applyAlignment="1">
      <alignment horizontal="center" vertical="center"/>
    </xf>
    <xf numFmtId="0" fontId="58" fillId="0" borderId="47" xfId="0" applyFont="1" applyBorder="1" applyAlignment="1">
      <alignment horizontal="center" vertical="center"/>
    </xf>
    <xf numFmtId="0" fontId="58" fillId="0" borderId="157" xfId="0" applyFont="1" applyBorder="1" applyAlignment="1">
      <alignment horizontal="center" vertical="center"/>
    </xf>
    <xf numFmtId="0" fontId="42" fillId="43" borderId="153" xfId="0" applyFont="1" applyFill="1" applyBorder="1" applyAlignment="1">
      <alignment horizontal="center" vertical="center"/>
    </xf>
    <xf numFmtId="0" fontId="42" fillId="43" borderId="127" xfId="0" applyFont="1" applyFill="1" applyBorder="1" applyAlignment="1">
      <alignment horizontal="center" vertical="center"/>
    </xf>
    <xf numFmtId="0" fontId="42" fillId="43" borderId="154" xfId="0" applyFont="1" applyFill="1" applyBorder="1" applyAlignment="1">
      <alignment horizontal="center" vertical="center"/>
    </xf>
    <xf numFmtId="0" fontId="42" fillId="43" borderId="22" xfId="0" applyFont="1" applyFill="1" applyBorder="1" applyAlignment="1">
      <alignment horizontal="center" vertical="center"/>
    </xf>
    <xf numFmtId="0" fontId="42" fillId="43" borderId="0" xfId="0" applyFont="1" applyFill="1" applyAlignment="1">
      <alignment horizontal="center" vertical="center"/>
    </xf>
    <xf numFmtId="0" fontId="42" fillId="43" borderId="155" xfId="0" applyFont="1" applyFill="1" applyBorder="1" applyAlignment="1">
      <alignment horizontal="center" vertical="center"/>
    </xf>
    <xf numFmtId="0" fontId="42" fillId="43" borderId="156" xfId="0" applyFont="1" applyFill="1" applyBorder="1" applyAlignment="1">
      <alignment horizontal="center" vertical="center"/>
    </xf>
    <xf numFmtId="0" fontId="42" fillId="43" borderId="47" xfId="0" applyFont="1" applyFill="1" applyBorder="1" applyAlignment="1">
      <alignment horizontal="center" vertical="center"/>
    </xf>
    <xf numFmtId="0" fontId="42" fillId="43" borderId="157" xfId="0" applyFont="1" applyFill="1" applyBorder="1" applyAlignment="1">
      <alignment horizontal="center" vertical="center"/>
    </xf>
    <xf numFmtId="164" fontId="2" fillId="0" borderId="71" xfId="0" applyNumberFormat="1" applyFont="1" applyBorder="1" applyAlignment="1">
      <alignment horizontal="center"/>
    </xf>
    <xf numFmtId="164" fontId="2" fillId="0" borderId="150" xfId="0" applyNumberFormat="1" applyFont="1" applyBorder="1" applyAlignment="1">
      <alignment horizontal="center"/>
    </xf>
    <xf numFmtId="164" fontId="2" fillId="0" borderId="147" xfId="0" applyNumberFormat="1" applyFont="1" applyBorder="1" applyAlignment="1">
      <alignment horizontal="center"/>
    </xf>
    <xf numFmtId="0" fontId="39" fillId="10" borderId="41" xfId="0" applyFont="1" applyFill="1" applyBorder="1" applyAlignment="1">
      <alignment horizontal="center" vertical="center"/>
    </xf>
    <xf numFmtId="0" fontId="39" fillId="10" borderId="42" xfId="0" applyFont="1" applyFill="1" applyBorder="1" applyAlignment="1">
      <alignment horizontal="center" vertical="center"/>
    </xf>
    <xf numFmtId="0" fontId="39" fillId="10" borderId="43" xfId="0" applyFont="1" applyFill="1" applyBorder="1" applyAlignment="1">
      <alignment horizontal="center" vertical="center"/>
    </xf>
    <xf numFmtId="0" fontId="39" fillId="10" borderId="44" xfId="0" applyFont="1" applyFill="1" applyBorder="1" applyAlignment="1">
      <alignment horizontal="center" vertical="center"/>
    </xf>
    <xf numFmtId="0" fontId="39" fillId="10" borderId="0" xfId="0" applyFont="1" applyFill="1" applyAlignment="1">
      <alignment horizontal="center" vertical="center"/>
    </xf>
    <xf numFmtId="0" fontId="39" fillId="10" borderId="45" xfId="0" applyFont="1" applyFill="1" applyBorder="1" applyAlignment="1">
      <alignment horizontal="center" vertical="center"/>
    </xf>
    <xf numFmtId="0" fontId="39" fillId="10" borderId="46" xfId="0" applyFont="1" applyFill="1" applyBorder="1" applyAlignment="1">
      <alignment horizontal="center" vertical="center"/>
    </xf>
    <xf numFmtId="0" fontId="39" fillId="10" borderId="47" xfId="0" applyFont="1" applyFill="1" applyBorder="1" applyAlignment="1">
      <alignment horizontal="center" vertical="center"/>
    </xf>
    <xf numFmtId="0" fontId="39" fillId="10" borderId="48" xfId="0" applyFont="1" applyFill="1" applyBorder="1" applyAlignment="1">
      <alignment horizontal="center" vertical="center"/>
    </xf>
    <xf numFmtId="0" fontId="2" fillId="0" borderId="41" xfId="0" applyFont="1" applyBorder="1" applyAlignment="1">
      <alignment horizontal="center"/>
    </xf>
    <xf numFmtId="0" fontId="2" fillId="0" borderId="42" xfId="0" applyFont="1" applyBorder="1" applyAlignment="1">
      <alignment horizontal="center"/>
    </xf>
    <xf numFmtId="0" fontId="2" fillId="0" borderId="43" xfId="0" applyFont="1" applyBorder="1" applyAlignment="1">
      <alignment horizontal="center"/>
    </xf>
    <xf numFmtId="164" fontId="7" fillId="0" borderId="62" xfId="0" applyNumberFormat="1" applyFont="1" applyBorder="1" applyAlignment="1">
      <alignment horizontal="center" vertical="top"/>
    </xf>
    <xf numFmtId="164" fontId="2" fillId="0" borderId="62" xfId="0" applyNumberFormat="1" applyFont="1" applyBorder="1" applyAlignment="1">
      <alignment horizontal="center"/>
    </xf>
    <xf numFmtId="164" fontId="2" fillId="0" borderId="63" xfId="0" applyNumberFormat="1" applyFont="1" applyBorder="1" applyAlignment="1">
      <alignment horizontal="center"/>
    </xf>
    <xf numFmtId="0" fontId="0" fillId="12" borderId="49" xfId="0" applyFill="1" applyBorder="1" applyAlignment="1">
      <alignment horizontal="center"/>
    </xf>
    <xf numFmtId="0" fontId="0" fillId="12" borderId="50" xfId="0" applyFill="1" applyBorder="1" applyAlignment="1">
      <alignment horizontal="center"/>
    </xf>
    <xf numFmtId="0" fontId="0" fillId="12" borderId="34" xfId="0" applyFill="1" applyBorder="1" applyAlignment="1">
      <alignment horizontal="center"/>
    </xf>
    <xf numFmtId="0" fontId="0" fillId="6" borderId="49" xfId="0" applyFill="1" applyBorder="1" applyAlignment="1">
      <alignment horizontal="center"/>
    </xf>
    <xf numFmtId="0" fontId="0" fillId="6" borderId="50" xfId="0" applyFill="1" applyBorder="1" applyAlignment="1">
      <alignment horizontal="center"/>
    </xf>
    <xf numFmtId="0" fontId="0" fillId="6" borderId="34" xfId="0" applyFill="1" applyBorder="1" applyAlignment="1">
      <alignment horizontal="center"/>
    </xf>
    <xf numFmtId="0" fontId="0" fillId="25" borderId="49" xfId="0" applyFill="1" applyBorder="1" applyAlignment="1">
      <alignment horizontal="center"/>
    </xf>
    <xf numFmtId="0" fontId="0" fillId="25" borderId="50" xfId="0" applyFill="1" applyBorder="1" applyAlignment="1">
      <alignment horizontal="center"/>
    </xf>
    <xf numFmtId="0" fontId="0" fillId="25" borderId="34" xfId="0" applyFill="1" applyBorder="1" applyAlignment="1">
      <alignment horizontal="center"/>
    </xf>
    <xf numFmtId="0" fontId="0" fillId="8" borderId="49" xfId="0" applyFill="1" applyBorder="1" applyAlignment="1">
      <alignment horizontal="center"/>
    </xf>
    <xf numFmtId="0" fontId="0" fillId="8" borderId="50" xfId="0" applyFill="1" applyBorder="1" applyAlignment="1">
      <alignment horizontal="center"/>
    </xf>
    <xf numFmtId="0" fontId="0" fillId="8" borderId="34" xfId="0" applyFill="1" applyBorder="1" applyAlignment="1">
      <alignment horizontal="center"/>
    </xf>
    <xf numFmtId="0" fontId="0" fillId="20" borderId="49" xfId="0" applyFill="1" applyBorder="1" applyAlignment="1">
      <alignment horizontal="center"/>
    </xf>
    <xf numFmtId="0" fontId="0" fillId="20" borderId="50" xfId="0" applyFill="1" applyBorder="1" applyAlignment="1">
      <alignment horizontal="center"/>
    </xf>
    <xf numFmtId="0" fontId="0" fillId="20" borderId="34" xfId="0" applyFill="1" applyBorder="1" applyAlignment="1">
      <alignment horizontal="center"/>
    </xf>
    <xf numFmtId="0" fontId="0" fillId="55" borderId="49" xfId="0" applyFill="1" applyBorder="1" applyAlignment="1">
      <alignment horizontal="center"/>
    </xf>
    <xf numFmtId="0" fontId="0" fillId="55" borderId="50" xfId="0" applyFill="1" applyBorder="1" applyAlignment="1">
      <alignment horizontal="center"/>
    </xf>
    <xf numFmtId="0" fontId="0" fillId="29" borderId="50" xfId="0" applyFill="1" applyBorder="1" applyAlignment="1">
      <alignment horizontal="center"/>
    </xf>
    <xf numFmtId="0" fontId="0" fillId="56" borderId="50" xfId="0" applyFill="1" applyBorder="1" applyAlignment="1">
      <alignment horizontal="center"/>
    </xf>
    <xf numFmtId="0" fontId="0" fillId="56" borderId="34" xfId="0" applyFill="1" applyBorder="1" applyAlignment="1">
      <alignment horizontal="center"/>
    </xf>
    <xf numFmtId="0" fontId="0" fillId="11" borderId="49" xfId="0" applyFill="1" applyBorder="1" applyAlignment="1">
      <alignment horizontal="center"/>
    </xf>
    <xf numFmtId="0" fontId="0" fillId="11" borderId="50" xfId="0" applyFill="1" applyBorder="1" applyAlignment="1">
      <alignment horizontal="center"/>
    </xf>
    <xf numFmtId="0" fontId="5" fillId="13" borderId="20" xfId="0" applyFont="1" applyFill="1" applyBorder="1" applyAlignment="1">
      <alignment horizontal="center"/>
    </xf>
    <xf numFmtId="0" fontId="5" fillId="14" borderId="20" xfId="0" applyFont="1" applyFill="1" applyBorder="1" applyAlignment="1">
      <alignment horizontal="center"/>
    </xf>
    <xf numFmtId="0" fontId="5" fillId="15" borderId="20" xfId="0" applyFont="1" applyFill="1" applyBorder="1" applyAlignment="1">
      <alignment horizontal="center"/>
    </xf>
    <xf numFmtId="0" fontId="5" fillId="13" borderId="20" xfId="0" applyFont="1" applyFill="1" applyBorder="1" applyAlignment="1">
      <alignment horizontal="center" vertical="center"/>
    </xf>
    <xf numFmtId="0" fontId="0" fillId="21" borderId="44" xfId="0" applyFill="1" applyBorder="1" applyAlignment="1">
      <alignment horizontal="center"/>
    </xf>
    <xf numFmtId="0" fontId="0" fillId="21" borderId="0" xfId="0" applyFill="1" applyAlignment="1">
      <alignment horizontal="center"/>
    </xf>
    <xf numFmtId="0" fontId="0" fillId="21" borderId="45" xfId="0" applyFill="1" applyBorder="1" applyAlignment="1">
      <alignment horizontal="center"/>
    </xf>
    <xf numFmtId="0" fontId="5" fillId="54" borderId="0" xfId="0" applyFont="1" applyFill="1" applyAlignment="1">
      <alignment horizontal="center"/>
    </xf>
    <xf numFmtId="0" fontId="5" fillId="54" borderId="0" xfId="0" applyFont="1" applyFill="1" applyAlignment="1">
      <alignment horizontal="center" vertical="center"/>
    </xf>
    <xf numFmtId="0" fontId="5" fillId="54" borderId="45" xfId="0" applyFont="1" applyFill="1" applyBorder="1" applyAlignment="1">
      <alignment horizontal="center" vertical="center"/>
    </xf>
    <xf numFmtId="164" fontId="26" fillId="21" borderId="84" xfId="0" applyNumberFormat="1" applyFont="1" applyFill="1" applyBorder="1" applyAlignment="1">
      <alignment horizontal="center" vertical="center"/>
    </xf>
    <xf numFmtId="164" fontId="26" fillId="21" borderId="0" xfId="0" applyNumberFormat="1" applyFont="1" applyFill="1" applyAlignment="1">
      <alignment horizontal="center" vertical="center"/>
    </xf>
    <xf numFmtId="164" fontId="26" fillId="21" borderId="152" xfId="0" applyNumberFormat="1" applyFont="1" applyFill="1" applyBorder="1" applyAlignment="1">
      <alignment horizontal="center" vertical="center"/>
    </xf>
    <xf numFmtId="164" fontId="26" fillId="21" borderId="44" xfId="0" applyNumberFormat="1" applyFont="1" applyFill="1" applyBorder="1" applyAlignment="1">
      <alignment horizontal="center" vertical="center"/>
    </xf>
    <xf numFmtId="0" fontId="0" fillId="0" borderId="20" xfId="0" applyBorder="1" applyAlignment="1">
      <alignment horizontal="center"/>
    </xf>
    <xf numFmtId="164" fontId="0" fillId="0" borderId="20" xfId="0" applyNumberFormat="1" applyBorder="1" applyAlignment="1">
      <alignment horizontal="center" vertical="center"/>
    </xf>
    <xf numFmtId="164" fontId="0" fillId="21" borderId="36" xfId="0" applyNumberFormat="1" applyFill="1" applyBorder="1" applyAlignment="1">
      <alignment horizontal="center" vertical="center"/>
    </xf>
    <xf numFmtId="164" fontId="0" fillId="21" borderId="112" xfId="0" applyNumberFormat="1" applyFill="1" applyBorder="1" applyAlignment="1">
      <alignment horizontal="center" vertical="center"/>
    </xf>
    <xf numFmtId="164" fontId="0" fillId="21" borderId="35" xfId="0" applyNumberFormat="1" applyFill="1" applyBorder="1" applyAlignment="1">
      <alignment horizontal="center" vertical="center"/>
    </xf>
    <xf numFmtId="0" fontId="0" fillId="21" borderId="44" xfId="0" applyFill="1" applyBorder="1" applyAlignment="1">
      <alignment horizontal="center" vertical="center"/>
    </xf>
    <xf numFmtId="164" fontId="0" fillId="0" borderId="151" xfId="0" applyNumberFormat="1" applyBorder="1" applyAlignment="1">
      <alignment horizontal="center" vertical="center"/>
    </xf>
    <xf numFmtId="164" fontId="0" fillId="0" borderId="133" xfId="0" applyNumberFormat="1" applyBorder="1" applyAlignment="1">
      <alignment horizontal="center" vertical="center"/>
    </xf>
    <xf numFmtId="164" fontId="0" fillId="0" borderId="70" xfId="0" applyNumberFormat="1" applyBorder="1" applyAlignment="1">
      <alignment horizontal="center" vertical="center"/>
    </xf>
    <xf numFmtId="164" fontId="0" fillId="0" borderId="112" xfId="0" applyNumberFormat="1" applyBorder="1" applyAlignment="1">
      <alignment horizontal="center" vertical="center"/>
    </xf>
    <xf numFmtId="164" fontId="0" fillId="0" borderId="35" xfId="0" applyNumberFormat="1" applyBorder="1" applyAlignment="1">
      <alignment horizontal="center" vertical="center"/>
    </xf>
    <xf numFmtId="0" fontId="0" fillId="21" borderId="20" xfId="0" applyFill="1" applyBorder="1" applyAlignment="1">
      <alignment horizontal="center"/>
    </xf>
    <xf numFmtId="164" fontId="0" fillId="21" borderId="20" xfId="0" applyNumberFormat="1" applyFill="1" applyBorder="1" applyAlignment="1">
      <alignment horizontal="center" vertical="center"/>
    </xf>
    <xf numFmtId="164" fontId="0" fillId="21" borderId="133" xfId="0" applyNumberFormat="1" applyFill="1" applyBorder="1" applyAlignment="1">
      <alignment horizontal="center" vertical="center"/>
    </xf>
    <xf numFmtId="164" fontId="0" fillId="21" borderId="70" xfId="0" applyNumberFormat="1" applyFill="1" applyBorder="1" applyAlignment="1">
      <alignment horizontal="center" vertical="center"/>
    </xf>
    <xf numFmtId="0" fontId="0" fillId="21" borderId="57" xfId="0" applyFill="1" applyBorder="1" applyAlignment="1">
      <alignment horizontal="center" vertical="center"/>
    </xf>
    <xf numFmtId="164" fontId="0" fillId="21" borderId="60" xfId="0" applyNumberFormat="1" applyFill="1" applyBorder="1" applyAlignment="1">
      <alignment horizontal="center" vertical="center"/>
    </xf>
    <xf numFmtId="164" fontId="0" fillId="21" borderId="95" xfId="0" applyNumberFormat="1" applyFill="1" applyBorder="1" applyAlignment="1">
      <alignment horizontal="center" vertical="center"/>
    </xf>
    <xf numFmtId="164" fontId="0" fillId="0" borderId="122" xfId="0" applyNumberFormat="1" applyBorder="1" applyAlignment="1">
      <alignment horizontal="center" vertical="center"/>
    </xf>
    <xf numFmtId="164" fontId="0" fillId="0" borderId="95" xfId="0" applyNumberFormat="1" applyBorder="1" applyAlignment="1">
      <alignment horizontal="center" vertical="center"/>
    </xf>
    <xf numFmtId="164" fontId="0" fillId="0" borderId="56" xfId="0" applyNumberFormat="1" applyBorder="1" applyAlignment="1">
      <alignment horizontal="center" vertical="center"/>
    </xf>
    <xf numFmtId="164" fontId="0" fillId="0" borderId="60" xfId="0" applyNumberFormat="1" applyBorder="1" applyAlignment="1">
      <alignment horizontal="center" vertical="center"/>
    </xf>
    <xf numFmtId="0" fontId="0" fillId="21" borderId="55" xfId="0" applyFill="1" applyBorder="1" applyAlignment="1">
      <alignment horizontal="center" vertical="center"/>
    </xf>
    <xf numFmtId="0" fontId="0" fillId="21" borderId="56" xfId="0" applyFill="1" applyBorder="1" applyAlignment="1">
      <alignment horizontal="center" vertical="center"/>
    </xf>
    <xf numFmtId="0" fontId="0" fillId="21" borderId="61" xfId="0" applyFill="1" applyBorder="1" applyAlignment="1">
      <alignment horizontal="center" vertical="center"/>
    </xf>
    <xf numFmtId="0" fontId="0" fillId="21" borderId="63" xfId="0" applyFill="1"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164" fontId="0" fillId="21" borderId="122" xfId="0" applyNumberFormat="1" applyFill="1" applyBorder="1" applyAlignment="1">
      <alignment horizontal="center" vertical="center"/>
    </xf>
    <xf numFmtId="164" fontId="0" fillId="21" borderId="56" xfId="0" applyNumberFormat="1" applyFill="1" applyBorder="1" applyAlignment="1">
      <alignment horizontal="center" vertical="center"/>
    </xf>
    <xf numFmtId="164" fontId="0" fillId="0" borderId="75" xfId="0" applyNumberFormat="1" applyBorder="1" applyAlignment="1">
      <alignment horizontal="center" vertical="center"/>
    </xf>
    <xf numFmtId="0" fontId="0" fillId="21" borderId="59" xfId="0" applyFill="1" applyBorder="1" applyAlignment="1">
      <alignment horizontal="center" vertical="center"/>
    </xf>
    <xf numFmtId="164" fontId="26" fillId="21" borderId="151" xfId="0" applyNumberFormat="1" applyFont="1" applyFill="1" applyBorder="1" applyAlignment="1">
      <alignment horizontal="center" vertical="center"/>
    </xf>
    <xf numFmtId="164" fontId="26" fillId="21" borderId="133" xfId="0" applyNumberFormat="1" applyFont="1" applyFill="1" applyBorder="1" applyAlignment="1">
      <alignment horizontal="center" vertical="center"/>
    </xf>
    <xf numFmtId="0" fontId="0" fillId="21" borderId="46" xfId="0" applyFill="1" applyBorder="1" applyAlignment="1">
      <alignment horizontal="center"/>
    </xf>
    <xf numFmtId="0" fontId="0" fillId="21" borderId="47" xfId="0" applyFill="1" applyBorder="1" applyAlignment="1">
      <alignment horizontal="center"/>
    </xf>
    <xf numFmtId="0" fontId="0" fillId="21" borderId="85" xfId="0" applyFill="1" applyBorder="1" applyAlignment="1">
      <alignment horizontal="center" vertical="center"/>
    </xf>
    <xf numFmtId="0" fontId="25" fillId="18" borderId="41" xfId="0" applyFont="1" applyFill="1" applyBorder="1" applyAlignment="1">
      <alignment horizontal="center" vertical="center"/>
    </xf>
    <xf numFmtId="0" fontId="25" fillId="18" borderId="42" xfId="0" applyFont="1" applyFill="1" applyBorder="1" applyAlignment="1">
      <alignment horizontal="center" vertical="center"/>
    </xf>
    <xf numFmtId="0" fontId="25" fillId="18" borderId="43" xfId="0" applyFont="1" applyFill="1" applyBorder="1" applyAlignment="1">
      <alignment horizontal="center" vertical="center"/>
    </xf>
    <xf numFmtId="0" fontId="25" fillId="18" borderId="46" xfId="0" applyFont="1" applyFill="1" applyBorder="1" applyAlignment="1">
      <alignment horizontal="center" vertical="center"/>
    </xf>
    <xf numFmtId="0" fontId="25" fillId="18" borderId="47" xfId="0" applyFont="1" applyFill="1" applyBorder="1" applyAlignment="1">
      <alignment horizontal="center" vertical="center"/>
    </xf>
    <xf numFmtId="0" fontId="25" fillId="18" borderId="48" xfId="0" applyFont="1" applyFill="1" applyBorder="1" applyAlignment="1">
      <alignment horizontal="center" vertical="center"/>
    </xf>
    <xf numFmtId="0" fontId="5" fillId="14" borderId="44" xfId="0" applyFont="1" applyFill="1" applyBorder="1" applyAlignment="1">
      <alignment horizontal="center"/>
    </xf>
    <xf numFmtId="0" fontId="5" fillId="14" borderId="45" xfId="0" applyFont="1" applyFill="1" applyBorder="1" applyAlignment="1">
      <alignment horizontal="center"/>
    </xf>
    <xf numFmtId="0" fontId="5" fillId="35" borderId="16" xfId="0" applyFont="1" applyFill="1" applyBorder="1" applyAlignment="1">
      <alignment horizontal="center" vertical="center"/>
    </xf>
    <xf numFmtId="0" fontId="25" fillId="0" borderId="47" xfId="0" applyFont="1" applyBorder="1" applyAlignment="1">
      <alignment horizontal="center" vertical="center"/>
    </xf>
    <xf numFmtId="0" fontId="0" fillId="0" borderId="80" xfId="0" applyBorder="1" applyAlignment="1">
      <alignment horizontal="center" vertical="center"/>
    </xf>
    <xf numFmtId="0" fontId="0" fillId="0" borderId="135" xfId="0" applyBorder="1" applyAlignment="1">
      <alignment horizontal="center" vertical="center"/>
    </xf>
    <xf numFmtId="0" fontId="0" fillId="0" borderId="136" xfId="0" applyBorder="1" applyAlignment="1">
      <alignment horizontal="center" vertical="center"/>
    </xf>
    <xf numFmtId="0" fontId="0" fillId="0" borderId="177" xfId="0" applyBorder="1" applyAlignment="1">
      <alignment horizontal="center" vertical="center"/>
    </xf>
    <xf numFmtId="0" fontId="0" fillId="0" borderId="145" xfId="0" applyBorder="1" applyAlignment="1">
      <alignment horizontal="center" vertical="center"/>
    </xf>
    <xf numFmtId="0" fontId="26" fillId="0" borderId="41" xfId="0" applyFont="1" applyBorder="1" applyAlignment="1">
      <alignment horizontal="center" vertical="center"/>
    </xf>
    <xf numFmtId="0" fontId="26" fillId="0" borderId="42" xfId="0" applyFont="1" applyBorder="1" applyAlignment="1">
      <alignment horizontal="center" vertical="center"/>
    </xf>
    <xf numFmtId="0" fontId="26" fillId="0" borderId="43" xfId="0" applyFont="1" applyBorder="1" applyAlignment="1">
      <alignment horizontal="center" vertical="center"/>
    </xf>
    <xf numFmtId="0" fontId="26" fillId="0" borderId="46" xfId="0" applyFont="1" applyBorder="1" applyAlignment="1">
      <alignment horizontal="center" vertical="center"/>
    </xf>
    <xf numFmtId="0" fontId="26" fillId="0" borderId="47" xfId="0" applyFont="1" applyBorder="1" applyAlignment="1">
      <alignment horizontal="center" vertical="center"/>
    </xf>
    <xf numFmtId="0" fontId="26" fillId="0" borderId="48" xfId="0" applyFont="1" applyBorder="1" applyAlignment="1">
      <alignment horizontal="center" vertical="center"/>
    </xf>
    <xf numFmtId="0" fontId="0" fillId="0" borderId="73" xfId="0" applyBorder="1" applyAlignment="1">
      <alignment horizontal="center" vertical="center"/>
    </xf>
    <xf numFmtId="0" fontId="5" fillId="13" borderId="44" xfId="0" applyFont="1" applyFill="1" applyBorder="1" applyAlignment="1">
      <alignment horizontal="center"/>
    </xf>
    <xf numFmtId="0" fontId="5" fillId="13" borderId="45" xfId="0" applyFont="1" applyFill="1" applyBorder="1" applyAlignment="1">
      <alignment horizontal="center"/>
    </xf>
    <xf numFmtId="0" fontId="5" fillId="15" borderId="44" xfId="0" applyFont="1" applyFill="1" applyBorder="1" applyAlignment="1">
      <alignment horizontal="center"/>
    </xf>
    <xf numFmtId="0" fontId="5" fillId="15" borderId="45" xfId="0" applyFont="1" applyFill="1" applyBorder="1" applyAlignment="1">
      <alignment horizontal="center"/>
    </xf>
    <xf numFmtId="0" fontId="5" fillId="10" borderId="49" xfId="0" applyFont="1" applyFill="1" applyBorder="1" applyAlignment="1">
      <alignment horizontal="center"/>
    </xf>
    <xf numFmtId="0" fontId="5" fillId="10" borderId="50" xfId="0" applyFont="1" applyFill="1" applyBorder="1" applyAlignment="1">
      <alignment horizontal="center"/>
    </xf>
    <xf numFmtId="0" fontId="5" fillId="10" borderId="34" xfId="0" applyFont="1" applyFill="1" applyBorder="1" applyAlignment="1">
      <alignment horizontal="center"/>
    </xf>
    <xf numFmtId="0" fontId="26" fillId="21" borderId="41" xfId="0" applyFont="1" applyFill="1" applyBorder="1" applyAlignment="1">
      <alignment horizontal="center" vertical="center"/>
    </xf>
    <xf numFmtId="0" fontId="26" fillId="21" borderId="42" xfId="0" applyFont="1" applyFill="1" applyBorder="1" applyAlignment="1">
      <alignment horizontal="center" vertical="center"/>
    </xf>
    <xf numFmtId="0" fontId="26" fillId="21" borderId="43" xfId="0" applyFont="1" applyFill="1" applyBorder="1" applyAlignment="1">
      <alignment horizontal="center" vertical="center"/>
    </xf>
    <xf numFmtId="0" fontId="26" fillId="21" borderId="46" xfId="0" applyFont="1" applyFill="1" applyBorder="1" applyAlignment="1">
      <alignment horizontal="center" vertical="center"/>
    </xf>
    <xf numFmtId="0" fontId="26" fillId="21" borderId="47" xfId="0" applyFont="1" applyFill="1" applyBorder="1" applyAlignment="1">
      <alignment horizontal="center" vertical="center"/>
    </xf>
    <xf numFmtId="0" fontId="26" fillId="21" borderId="48" xfId="0" applyFont="1" applyFill="1" applyBorder="1" applyAlignment="1">
      <alignment horizontal="center" vertical="center"/>
    </xf>
    <xf numFmtId="0" fontId="5" fillId="13" borderId="44" xfId="0" applyFont="1" applyFill="1" applyBorder="1" applyAlignment="1">
      <alignment horizontal="center" vertical="center"/>
    </xf>
    <xf numFmtId="0" fontId="27" fillId="8" borderId="20" xfId="0" applyFont="1" applyFill="1" applyBorder="1" applyAlignment="1">
      <alignment horizontal="center"/>
    </xf>
    <xf numFmtId="0" fontId="27" fillId="7" borderId="20" xfId="0" applyFont="1" applyFill="1" applyBorder="1" applyAlignment="1">
      <alignment horizontal="center"/>
    </xf>
    <xf numFmtId="0" fontId="0" fillId="21" borderId="49" xfId="0" applyFill="1" applyBorder="1" applyAlignment="1">
      <alignment horizontal="center"/>
    </xf>
    <xf numFmtId="0" fontId="0" fillId="21" borderId="50" xfId="0" applyFill="1" applyBorder="1" applyAlignment="1">
      <alignment horizontal="center"/>
    </xf>
    <xf numFmtId="0" fontId="0" fillId="21" borderId="34" xfId="0" applyFill="1" applyBorder="1" applyAlignment="1">
      <alignment horizontal="center"/>
    </xf>
    <xf numFmtId="0" fontId="5" fillId="54" borderId="85" xfId="0" applyFont="1" applyFill="1" applyBorder="1" applyAlignment="1">
      <alignment horizontal="center"/>
    </xf>
    <xf numFmtId="0" fontId="5" fillId="54" borderId="86" xfId="0" applyFont="1" applyFill="1" applyBorder="1" applyAlignment="1">
      <alignment horizontal="center"/>
    </xf>
    <xf numFmtId="0" fontId="5" fillId="54" borderId="64" xfId="0" applyFont="1" applyFill="1" applyBorder="1" applyAlignment="1">
      <alignment horizontal="center"/>
    </xf>
    <xf numFmtId="0" fontId="5" fillId="54" borderId="85" xfId="0" applyFont="1" applyFill="1" applyBorder="1" applyAlignment="1">
      <alignment horizontal="center" vertical="center"/>
    </xf>
    <xf numFmtId="0" fontId="5" fillId="54" borderId="86" xfId="0" applyFont="1" applyFill="1" applyBorder="1" applyAlignment="1">
      <alignment horizontal="center" vertical="center"/>
    </xf>
    <xf numFmtId="0" fontId="5" fillId="54" borderId="64" xfId="0" applyFont="1" applyFill="1" applyBorder="1" applyAlignment="1">
      <alignment horizontal="center" vertical="center"/>
    </xf>
    <xf numFmtId="0" fontId="27" fillId="0" borderId="20" xfId="0" applyFont="1" applyBorder="1" applyAlignment="1">
      <alignment horizontal="center"/>
    </xf>
    <xf numFmtId="0" fontId="5" fillId="21" borderId="82" xfId="0" applyFont="1" applyFill="1" applyBorder="1" applyAlignment="1">
      <alignment horizontal="center" vertical="center"/>
    </xf>
    <xf numFmtId="0" fontId="5" fillId="21" borderId="98" xfId="0" applyFont="1" applyFill="1" applyBorder="1" applyAlignment="1">
      <alignment horizontal="center" vertical="center"/>
    </xf>
    <xf numFmtId="0" fontId="5" fillId="21" borderId="83" xfId="0" applyFont="1" applyFill="1" applyBorder="1" applyAlignment="1">
      <alignment horizontal="center" vertical="center"/>
    </xf>
    <xf numFmtId="164" fontId="26" fillId="21" borderId="79" xfId="0" applyNumberFormat="1" applyFont="1" applyFill="1" applyBorder="1" applyAlignment="1">
      <alignment horizontal="center" vertical="center"/>
    </xf>
    <xf numFmtId="164" fontId="26" fillId="21" borderId="171" xfId="0" applyNumberFormat="1" applyFont="1" applyFill="1" applyBorder="1" applyAlignment="1">
      <alignment horizontal="center" vertical="center"/>
    </xf>
    <xf numFmtId="164" fontId="26" fillId="21" borderId="134" xfId="0" applyNumberFormat="1" applyFont="1" applyFill="1" applyBorder="1" applyAlignment="1">
      <alignment horizontal="center" vertical="center"/>
    </xf>
    <xf numFmtId="164" fontId="26" fillId="21" borderId="45" xfId="0" applyNumberFormat="1" applyFont="1" applyFill="1" applyBorder="1" applyAlignment="1">
      <alignment horizontal="center" vertical="center"/>
    </xf>
    <xf numFmtId="164" fontId="26" fillId="21" borderId="69" xfId="0" applyNumberFormat="1" applyFont="1" applyFill="1" applyBorder="1" applyAlignment="1">
      <alignment horizontal="center" vertical="center"/>
    </xf>
    <xf numFmtId="164" fontId="26" fillId="21" borderId="148" xfId="0" applyNumberFormat="1" applyFont="1" applyFill="1" applyBorder="1" applyAlignment="1">
      <alignment horizontal="center" vertical="center"/>
    </xf>
    <xf numFmtId="0" fontId="0" fillId="21" borderId="69" xfId="0" applyFill="1" applyBorder="1" applyAlignment="1">
      <alignment horizontal="center" vertical="center"/>
    </xf>
    <xf numFmtId="0" fontId="0" fillId="21" borderId="73" xfId="0" applyFill="1" applyBorder="1" applyAlignment="1">
      <alignment horizontal="center" vertical="center"/>
    </xf>
    <xf numFmtId="0" fontId="0" fillId="0" borderId="69" xfId="0" applyBorder="1" applyAlignment="1">
      <alignment horizontal="center" vertical="center"/>
    </xf>
    <xf numFmtId="0" fontId="5" fillId="21" borderId="49" xfId="0" applyFont="1" applyFill="1" applyBorder="1" applyAlignment="1">
      <alignment horizontal="center"/>
    </xf>
    <xf numFmtId="0" fontId="5" fillId="21" borderId="50" xfId="0" applyFont="1" applyFill="1" applyBorder="1" applyAlignment="1">
      <alignment horizontal="center"/>
    </xf>
    <xf numFmtId="0" fontId="5" fillId="21" borderId="34" xfId="0" applyFont="1" applyFill="1" applyBorder="1" applyAlignment="1">
      <alignment horizontal="center"/>
    </xf>
    <xf numFmtId="0" fontId="25" fillId="24" borderId="44" xfId="0" applyFont="1" applyFill="1" applyBorder="1" applyAlignment="1">
      <alignment horizontal="center" vertical="center"/>
    </xf>
    <xf numFmtId="0" fontId="25" fillId="24" borderId="0" xfId="0" applyFont="1" applyFill="1" applyAlignment="1">
      <alignment horizontal="center" vertical="center"/>
    </xf>
    <xf numFmtId="0" fontId="25" fillId="24" borderId="46" xfId="0" applyFont="1" applyFill="1" applyBorder="1" applyAlignment="1">
      <alignment horizontal="center" vertical="center"/>
    </xf>
    <xf numFmtId="0" fontId="25" fillId="24" borderId="47" xfId="0" applyFont="1" applyFill="1" applyBorder="1" applyAlignment="1">
      <alignment horizontal="center" vertical="center"/>
    </xf>
    <xf numFmtId="0" fontId="0" fillId="0" borderId="46" xfId="0" applyBorder="1" applyAlignment="1">
      <alignment horizontal="center"/>
    </xf>
    <xf numFmtId="0" fontId="0" fillId="0" borderId="47" xfId="0" applyBorder="1" applyAlignment="1">
      <alignment horizontal="center"/>
    </xf>
    <xf numFmtId="168" fontId="26" fillId="0" borderId="84" xfId="0" applyNumberFormat="1" applyFont="1" applyBorder="1" applyAlignment="1">
      <alignment horizontal="center" vertical="center"/>
    </xf>
    <xf numFmtId="168" fontId="26" fillId="0" borderId="0" xfId="0" applyNumberFormat="1" applyFont="1" applyAlignment="1">
      <alignment horizontal="center" vertical="center"/>
    </xf>
    <xf numFmtId="164" fontId="26" fillId="0" borderId="151" xfId="0" applyNumberFormat="1" applyFont="1" applyBorder="1" applyAlignment="1">
      <alignment horizontal="center" vertical="center"/>
    </xf>
    <xf numFmtId="164" fontId="26" fillId="0" borderId="133" xfId="0" applyNumberFormat="1" applyFont="1" applyBorder="1" applyAlignment="1">
      <alignment horizontal="center" vertical="center"/>
    </xf>
    <xf numFmtId="0" fontId="5" fillId="0" borderId="49" xfId="0" applyFont="1" applyBorder="1" applyAlignment="1">
      <alignment horizontal="center"/>
    </xf>
    <xf numFmtId="0" fontId="5" fillId="0" borderId="50" xfId="0" applyFont="1" applyBorder="1" applyAlignment="1">
      <alignment horizontal="center"/>
    </xf>
    <xf numFmtId="0" fontId="5" fillId="0" borderId="34" xfId="0" applyFont="1" applyBorder="1" applyAlignment="1">
      <alignment horizontal="center"/>
    </xf>
    <xf numFmtId="164" fontId="26" fillId="0" borderId="152" xfId="0" applyNumberFormat="1" applyFont="1" applyBorder="1" applyAlignment="1">
      <alignment horizontal="center" vertical="center"/>
    </xf>
    <xf numFmtId="164" fontId="26" fillId="0" borderId="44" xfId="0" applyNumberFormat="1" applyFont="1" applyBorder="1" applyAlignment="1">
      <alignment horizontal="center" vertical="center"/>
    </xf>
    <xf numFmtId="164" fontId="26" fillId="0" borderId="84" xfId="0" applyNumberFormat="1" applyFont="1" applyBorder="1" applyAlignment="1">
      <alignment horizontal="center" vertical="center"/>
    </xf>
    <xf numFmtId="164" fontId="26" fillId="0" borderId="0" xfId="0" applyNumberFormat="1" applyFont="1" applyAlignment="1">
      <alignment horizontal="center" vertical="center"/>
    </xf>
    <xf numFmtId="164" fontId="0" fillId="0" borderId="87" xfId="0" applyNumberFormat="1" applyBorder="1" applyAlignment="1">
      <alignment horizontal="center" vertical="center"/>
    </xf>
    <xf numFmtId="0" fontId="5" fillId="11" borderId="0" xfId="0" applyFont="1" applyFill="1" applyAlignment="1">
      <alignment horizontal="center" vertical="center" wrapText="1"/>
    </xf>
    <xf numFmtId="0" fontId="5" fillId="0" borderId="120" xfId="0" applyFont="1" applyBorder="1" applyAlignment="1">
      <alignment horizontal="center"/>
    </xf>
    <xf numFmtId="0" fontId="5" fillId="0" borderId="121" xfId="0" applyFont="1" applyBorder="1" applyAlignment="1">
      <alignment horizontal="center"/>
    </xf>
    <xf numFmtId="0" fontId="5" fillId="0" borderId="122" xfId="0" applyFont="1" applyBorder="1" applyAlignment="1">
      <alignment horizontal="center"/>
    </xf>
    <xf numFmtId="0" fontId="0" fillId="0" borderId="36" xfId="0" applyBorder="1" applyAlignment="1">
      <alignment horizontal="center" vertical="center"/>
    </xf>
    <xf numFmtId="0" fontId="0" fillId="0" borderId="36" xfId="0" applyBorder="1" applyAlignment="1">
      <alignment horizontal="center"/>
    </xf>
    <xf numFmtId="0" fontId="0" fillId="0" borderId="79" xfId="0" applyBorder="1" applyAlignment="1">
      <alignment horizontal="center"/>
    </xf>
    <xf numFmtId="0" fontId="0" fillId="0" borderId="151" xfId="0" applyBorder="1" applyAlignment="1">
      <alignment horizontal="center"/>
    </xf>
    <xf numFmtId="0" fontId="0" fillId="0" borderId="69" xfId="0" applyBorder="1" applyAlignment="1">
      <alignment horizontal="center"/>
    </xf>
    <xf numFmtId="0" fontId="0" fillId="0" borderId="70" xfId="0" applyBorder="1" applyAlignment="1">
      <alignment horizontal="center"/>
    </xf>
    <xf numFmtId="168" fontId="0" fillId="0" borderId="85" xfId="0" applyNumberFormat="1" applyBorder="1" applyAlignment="1">
      <alignment horizontal="center"/>
    </xf>
    <xf numFmtId="168" fontId="0" fillId="0" borderId="86" xfId="0" applyNumberFormat="1" applyBorder="1" applyAlignment="1">
      <alignment horizontal="center"/>
    </xf>
    <xf numFmtId="168" fontId="0" fillId="0" borderId="64" xfId="0" applyNumberFormat="1" applyBorder="1" applyAlignment="1">
      <alignment horizontal="center"/>
    </xf>
    <xf numFmtId="168" fontId="26" fillId="0" borderId="151" xfId="0" applyNumberFormat="1" applyFont="1" applyBorder="1" applyAlignment="1">
      <alignment horizontal="center" vertical="center"/>
    </xf>
    <xf numFmtId="168" fontId="26" fillId="0" borderId="133" xfId="0" applyNumberFormat="1" applyFont="1" applyBorder="1" applyAlignment="1">
      <alignment horizontal="center" vertical="center"/>
    </xf>
    <xf numFmtId="168" fontId="26" fillId="0" borderId="79" xfId="0" applyNumberFormat="1" applyFont="1" applyBorder="1" applyAlignment="1">
      <alignment horizontal="center" vertical="center"/>
    </xf>
    <xf numFmtId="168" fontId="26" fillId="0" borderId="134" xfId="0" applyNumberFormat="1" applyFont="1" applyBorder="1" applyAlignment="1">
      <alignment horizontal="center" vertical="center"/>
    </xf>
    <xf numFmtId="0" fontId="0" fillId="0" borderId="44" xfId="0" applyBorder="1" applyAlignment="1">
      <alignment horizontal="center"/>
    </xf>
    <xf numFmtId="164" fontId="26" fillId="0" borderId="79" xfId="0" applyNumberFormat="1" applyFont="1" applyBorder="1" applyAlignment="1">
      <alignment horizontal="center" vertical="center"/>
    </xf>
    <xf numFmtId="164" fontId="26" fillId="0" borderId="171" xfId="0" applyNumberFormat="1" applyFont="1" applyBorder="1" applyAlignment="1">
      <alignment horizontal="center" vertical="center"/>
    </xf>
    <xf numFmtId="164" fontId="26" fillId="0" borderId="134" xfId="0" applyNumberFormat="1" applyFont="1" applyBorder="1" applyAlignment="1">
      <alignment horizontal="center" vertical="center"/>
    </xf>
    <xf numFmtId="164" fontId="26" fillId="0" borderId="45" xfId="0" applyNumberFormat="1" applyFont="1" applyBorder="1" applyAlignment="1">
      <alignment horizontal="center" vertical="center"/>
    </xf>
    <xf numFmtId="0" fontId="24" fillId="25" borderId="44" xfId="0" applyFont="1" applyFill="1" applyBorder="1" applyAlignment="1">
      <alignment horizontal="center" vertical="center"/>
    </xf>
    <xf numFmtId="0" fontId="24" fillId="25" borderId="0" xfId="0" applyFont="1" applyFill="1" applyAlignment="1">
      <alignment horizontal="center" vertical="center"/>
    </xf>
    <xf numFmtId="0" fontId="24" fillId="25" borderId="46" xfId="0" applyFont="1" applyFill="1" applyBorder="1" applyAlignment="1">
      <alignment horizontal="center" vertical="center"/>
    </xf>
    <xf numFmtId="0" fontId="24" fillId="25" borderId="47" xfId="0" applyFont="1" applyFill="1" applyBorder="1" applyAlignment="1">
      <alignment horizontal="center" vertical="center"/>
    </xf>
    <xf numFmtId="0" fontId="0" fillId="10" borderId="49" xfId="0" applyFill="1" applyBorder="1" applyAlignment="1">
      <alignment horizontal="center"/>
    </xf>
    <xf numFmtId="0" fontId="0" fillId="10" borderId="50" xfId="0" applyFill="1" applyBorder="1" applyAlignment="1">
      <alignment horizontal="center"/>
    </xf>
    <xf numFmtId="0" fontId="0" fillId="10" borderId="34" xfId="0" applyFill="1" applyBorder="1" applyAlignment="1">
      <alignment horizontal="center"/>
    </xf>
    <xf numFmtId="0" fontId="0" fillId="6" borderId="65" xfId="0" applyFill="1" applyBorder="1" applyAlignment="1">
      <alignment horizontal="center"/>
    </xf>
    <xf numFmtId="0" fontId="0" fillId="6" borderId="66" xfId="0" applyFill="1" applyBorder="1" applyAlignment="1">
      <alignment horizontal="center"/>
    </xf>
    <xf numFmtId="0" fontId="0" fillId="6" borderId="68" xfId="0" applyFill="1" applyBorder="1" applyAlignment="1">
      <alignment horizontal="center"/>
    </xf>
    <xf numFmtId="0" fontId="0" fillId="6" borderId="67" xfId="0" applyFill="1" applyBorder="1" applyAlignment="1">
      <alignment horizontal="center"/>
    </xf>
    <xf numFmtId="0" fontId="0" fillId="6" borderId="70" xfId="0" applyFill="1" applyBorder="1" applyAlignment="1">
      <alignment horizontal="center"/>
    </xf>
    <xf numFmtId="0" fontId="0" fillId="6" borderId="35" xfId="0" applyFill="1" applyBorder="1" applyAlignment="1">
      <alignment horizontal="center"/>
    </xf>
    <xf numFmtId="0" fontId="0" fillId="6" borderId="74" xfId="0" applyFill="1" applyBorder="1" applyAlignment="1">
      <alignment horizontal="center"/>
    </xf>
    <xf numFmtId="0" fontId="0" fillId="6" borderId="62" xfId="0" applyFill="1" applyBorder="1" applyAlignment="1">
      <alignment horizontal="center"/>
    </xf>
    <xf numFmtId="0" fontId="0" fillId="6" borderId="72" xfId="0" applyFill="1" applyBorder="1" applyAlignment="1">
      <alignment horizontal="center"/>
    </xf>
    <xf numFmtId="0" fontId="0" fillId="6" borderId="20" xfId="0" applyFill="1" applyBorder="1" applyAlignment="1">
      <alignment horizontal="center"/>
    </xf>
    <xf numFmtId="169" fontId="0" fillId="0" borderId="64" xfId="0" applyNumberFormat="1" applyBorder="1" applyAlignment="1">
      <alignment horizontal="center" vertical="center"/>
    </xf>
    <xf numFmtId="169" fontId="0" fillId="0" borderId="58" xfId="0" applyNumberFormat="1" applyBorder="1" applyAlignment="1">
      <alignment horizontal="center" vertical="center"/>
    </xf>
    <xf numFmtId="169" fontId="0" fillId="0" borderId="87" xfId="0" applyNumberFormat="1" applyBorder="1" applyAlignment="1">
      <alignment horizontal="center" vertical="center"/>
    </xf>
    <xf numFmtId="169" fontId="0" fillId="0" borderId="90" xfId="0" applyNumberFormat="1" applyBorder="1" applyAlignment="1">
      <alignment horizontal="center" vertical="center"/>
    </xf>
    <xf numFmtId="169" fontId="0" fillId="0" borderId="88" xfId="0" applyNumberFormat="1" applyBorder="1" applyAlignment="1">
      <alignment horizontal="center" vertical="center"/>
    </xf>
    <xf numFmtId="169" fontId="0" fillId="21" borderId="87" xfId="0" applyNumberFormat="1" applyFill="1" applyBorder="1" applyAlignment="1">
      <alignment horizontal="center" vertical="center"/>
    </xf>
    <xf numFmtId="169" fontId="0" fillId="21" borderId="90" xfId="0" applyNumberFormat="1" applyFill="1" applyBorder="1" applyAlignment="1">
      <alignment horizontal="center" vertical="center"/>
    </xf>
    <xf numFmtId="169" fontId="0" fillId="21" borderId="88" xfId="0" applyNumberFormat="1" applyFill="1" applyBorder="1" applyAlignment="1">
      <alignment horizontal="center" vertical="center"/>
    </xf>
    <xf numFmtId="169" fontId="0" fillId="21" borderId="136" xfId="0" applyNumberFormat="1" applyFill="1" applyBorder="1" applyAlignment="1">
      <alignment horizontal="center" vertical="center"/>
    </xf>
    <xf numFmtId="169" fontId="0" fillId="21" borderId="147" xfId="0" applyNumberFormat="1" applyFill="1" applyBorder="1" applyAlignment="1">
      <alignment horizontal="center" vertical="center"/>
    </xf>
    <xf numFmtId="169" fontId="0" fillId="21" borderId="146" xfId="0" applyNumberFormat="1" applyFill="1" applyBorder="1" applyAlignment="1">
      <alignment horizontal="center" vertical="center"/>
    </xf>
    <xf numFmtId="169" fontId="0" fillId="0" borderId="20" xfId="0" applyNumberFormat="1" applyBorder="1" applyAlignment="1">
      <alignment horizontal="center" vertical="center"/>
    </xf>
    <xf numFmtId="169" fontId="0" fillId="21" borderId="82" xfId="0" applyNumberFormat="1" applyFill="1" applyBorder="1" applyAlignment="1">
      <alignment horizontal="center" vertical="center"/>
    </xf>
    <xf numFmtId="169" fontId="0" fillId="21" borderId="98" xfId="0" applyNumberFormat="1" applyFill="1" applyBorder="1" applyAlignment="1">
      <alignment horizontal="center" vertical="center"/>
    </xf>
    <xf numFmtId="169" fontId="0" fillId="21" borderId="89" xfId="0" applyNumberFormat="1" applyFill="1" applyBorder="1" applyAlignment="1">
      <alignment horizontal="center" vertical="center"/>
    </xf>
    <xf numFmtId="0" fontId="0" fillId="0" borderId="152" xfId="0" applyBorder="1" applyAlignment="1">
      <alignment horizontal="center" vertical="center"/>
    </xf>
    <xf numFmtId="169" fontId="0" fillId="0" borderId="85" xfId="0" applyNumberFormat="1" applyBorder="1" applyAlignment="1">
      <alignment horizontal="center" vertical="center"/>
    </xf>
    <xf numFmtId="169" fontId="0" fillId="0" borderId="57" xfId="0" applyNumberFormat="1" applyBorder="1" applyAlignment="1">
      <alignment horizontal="center" vertical="center"/>
    </xf>
    <xf numFmtId="169" fontId="0" fillId="0" borderId="86" xfId="0" applyNumberFormat="1" applyBorder="1" applyAlignment="1">
      <alignment horizontal="center" vertical="center"/>
    </xf>
    <xf numFmtId="169" fontId="0" fillId="0" borderId="82" xfId="0" applyNumberFormat="1" applyBorder="1" applyAlignment="1">
      <alignment horizontal="center" vertical="center"/>
    </xf>
    <xf numFmtId="169" fontId="0" fillId="0" borderId="98" xfId="0" applyNumberFormat="1" applyBorder="1" applyAlignment="1">
      <alignment horizontal="center" vertical="center"/>
    </xf>
    <xf numFmtId="169" fontId="0" fillId="0" borderId="89" xfId="0" applyNumberFormat="1" applyBorder="1" applyAlignment="1">
      <alignment horizontal="center" vertical="center"/>
    </xf>
    <xf numFmtId="0" fontId="0" fillId="0" borderId="42"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vertical="center"/>
    </xf>
    <xf numFmtId="0" fontId="0" fillId="0" borderId="34" xfId="0" applyBorder="1" applyAlignment="1">
      <alignment horizontal="center" vertical="center"/>
    </xf>
    <xf numFmtId="169" fontId="0" fillId="0" borderId="50" xfId="0" applyNumberFormat="1" applyBorder="1" applyAlignment="1">
      <alignment horizontal="center" vertical="center"/>
    </xf>
    <xf numFmtId="169" fontId="0" fillId="0" borderId="34" xfId="0" applyNumberFormat="1"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169" fontId="0" fillId="0" borderId="63" xfId="0" applyNumberFormat="1" applyBorder="1" applyAlignment="1">
      <alignment horizontal="center" vertical="center"/>
    </xf>
    <xf numFmtId="169" fontId="0" fillId="0" borderId="61" xfId="0" applyNumberFormat="1" applyBorder="1" applyAlignment="1">
      <alignment horizontal="center" vertical="center"/>
    </xf>
    <xf numFmtId="169" fontId="0" fillId="0" borderId="62" xfId="0" applyNumberFormat="1" applyBorder="1" applyAlignment="1">
      <alignment horizontal="center" vertical="center"/>
    </xf>
    <xf numFmtId="169" fontId="0" fillId="0" borderId="174" xfId="0" applyNumberFormat="1" applyBorder="1" applyAlignment="1">
      <alignment horizontal="center" vertical="center"/>
    </xf>
    <xf numFmtId="169" fontId="0" fillId="21" borderId="174" xfId="0" applyNumberFormat="1" applyFill="1" applyBorder="1" applyAlignment="1">
      <alignment horizontal="center" vertical="center"/>
    </xf>
    <xf numFmtId="169" fontId="0" fillId="0" borderId="83" xfId="0" applyNumberFormat="1" applyBorder="1" applyAlignment="1">
      <alignment horizontal="center" vertical="center"/>
    </xf>
    <xf numFmtId="169" fontId="0" fillId="21" borderId="83" xfId="0" applyNumberFormat="1" applyFill="1" applyBorder="1" applyAlignment="1">
      <alignment horizontal="center" vertical="center"/>
    </xf>
    <xf numFmtId="0" fontId="0" fillId="0" borderId="117" xfId="0" applyBorder="1" applyAlignment="1">
      <alignment horizontal="center" vertical="center"/>
    </xf>
    <xf numFmtId="0" fontId="0" fillId="0" borderId="24" xfId="0" applyBorder="1" applyAlignment="1">
      <alignment horizontal="center" vertical="center"/>
    </xf>
    <xf numFmtId="0" fontId="0" fillId="36" borderId="41" xfId="0" applyFill="1" applyBorder="1" applyAlignment="1">
      <alignment horizontal="center" vertical="center"/>
    </xf>
    <xf numFmtId="0" fontId="0" fillId="36" borderId="42" xfId="0" applyFill="1" applyBorder="1" applyAlignment="1">
      <alignment horizontal="center" vertical="center"/>
    </xf>
    <xf numFmtId="0" fontId="0" fillId="36" borderId="43" xfId="0" applyFill="1" applyBorder="1" applyAlignment="1">
      <alignment horizontal="center" vertical="center"/>
    </xf>
    <xf numFmtId="0" fontId="0" fillId="36" borderId="57" xfId="0" applyFill="1" applyBorder="1" applyAlignment="1">
      <alignment horizontal="center" vertical="center"/>
    </xf>
    <xf numFmtId="169" fontId="0" fillId="36" borderId="87" xfId="0" applyNumberFormat="1" applyFill="1" applyBorder="1" applyAlignment="1">
      <alignment horizontal="center" vertical="center"/>
    </xf>
    <xf numFmtId="169" fontId="0" fillId="36" borderId="90" xfId="0" applyNumberFormat="1" applyFill="1" applyBorder="1" applyAlignment="1">
      <alignment horizontal="center" vertical="center"/>
    </xf>
    <xf numFmtId="169" fontId="0" fillId="36" borderId="88" xfId="0" applyNumberFormat="1" applyFill="1" applyBorder="1" applyAlignment="1">
      <alignment horizontal="center" vertical="center"/>
    </xf>
    <xf numFmtId="169" fontId="0" fillId="36" borderId="136" xfId="0" applyNumberFormat="1" applyFill="1" applyBorder="1" applyAlignment="1">
      <alignment horizontal="center" vertical="center"/>
    </xf>
    <xf numFmtId="169" fontId="0" fillId="36" borderId="147" xfId="0" applyNumberFormat="1" applyFill="1" applyBorder="1" applyAlignment="1">
      <alignment horizontal="center" vertical="center"/>
    </xf>
    <xf numFmtId="169" fontId="0" fillId="36" borderId="146" xfId="0" applyNumberFormat="1" applyFill="1" applyBorder="1" applyAlignment="1">
      <alignment horizontal="center" vertical="center"/>
    </xf>
    <xf numFmtId="169" fontId="0" fillId="36" borderId="82" xfId="0" applyNumberFormat="1" applyFill="1" applyBorder="1" applyAlignment="1">
      <alignment horizontal="center" vertical="center"/>
    </xf>
    <xf numFmtId="169" fontId="0" fillId="36" borderId="98" xfId="0" applyNumberFormat="1" applyFill="1" applyBorder="1" applyAlignment="1">
      <alignment horizontal="center" vertical="center"/>
    </xf>
    <xf numFmtId="169" fontId="0" fillId="36" borderId="89" xfId="0" applyNumberFormat="1" applyFill="1" applyBorder="1" applyAlignment="1">
      <alignment horizontal="center" vertical="center"/>
    </xf>
    <xf numFmtId="0" fontId="0" fillId="36" borderId="59" xfId="0" applyFill="1" applyBorder="1" applyAlignment="1">
      <alignment horizontal="center" vertical="center"/>
    </xf>
    <xf numFmtId="169" fontId="0" fillId="36" borderId="174" xfId="0" applyNumberFormat="1" applyFill="1" applyBorder="1" applyAlignment="1">
      <alignment horizontal="center" vertical="center"/>
    </xf>
    <xf numFmtId="169" fontId="0" fillId="36" borderId="83" xfId="0" applyNumberFormat="1" applyFill="1" applyBorder="1" applyAlignment="1">
      <alignment horizontal="center" vertical="center"/>
    </xf>
    <xf numFmtId="0" fontId="0" fillId="36" borderId="117" xfId="0" applyFill="1" applyBorder="1" applyAlignment="1">
      <alignment horizontal="center" vertical="center"/>
    </xf>
    <xf numFmtId="0" fontId="0" fillId="36" borderId="24" xfId="0" applyFill="1" applyBorder="1" applyAlignment="1">
      <alignment horizontal="center" vertical="center"/>
    </xf>
    <xf numFmtId="0" fontId="15" fillId="0" borderId="49" xfId="0" applyFont="1" applyBorder="1" applyAlignment="1">
      <alignment horizontal="center" vertical="center"/>
    </xf>
    <xf numFmtId="0" fontId="15" fillId="0" borderId="50" xfId="0" applyFont="1" applyBorder="1" applyAlignment="1">
      <alignment horizontal="center" vertical="center"/>
    </xf>
    <xf numFmtId="0" fontId="15" fillId="0" borderId="34" xfId="0" applyFont="1" applyBorder="1" applyAlignment="1">
      <alignment horizontal="center" vertical="center"/>
    </xf>
    <xf numFmtId="0" fontId="15" fillId="0" borderId="49" xfId="0" applyFont="1" applyBorder="1" applyAlignment="1">
      <alignment horizontal="center"/>
    </xf>
    <xf numFmtId="0" fontId="15" fillId="0" borderId="50" xfId="0" applyFont="1" applyBorder="1" applyAlignment="1">
      <alignment horizontal="center"/>
    </xf>
    <xf numFmtId="0" fontId="15" fillId="0" borderId="34" xfId="0" applyFont="1" applyBorder="1" applyAlignment="1">
      <alignment horizontal="center"/>
    </xf>
    <xf numFmtId="0" fontId="15" fillId="39" borderId="85" xfId="0" applyFont="1" applyFill="1" applyBorder="1" applyAlignment="1">
      <alignment horizontal="center" vertical="center"/>
    </xf>
    <xf numFmtId="0" fontId="15" fillId="39" borderId="86" xfId="0" applyFont="1" applyFill="1" applyBorder="1" applyAlignment="1">
      <alignment horizontal="center" vertical="center"/>
    </xf>
    <xf numFmtId="0" fontId="15" fillId="42" borderId="61" xfId="0" applyFont="1" applyFill="1" applyBorder="1" applyAlignment="1">
      <alignment horizontal="center" vertical="center"/>
    </xf>
    <xf numFmtId="0" fontId="15" fillId="42" borderId="62" xfId="0" applyFont="1" applyFill="1" applyBorder="1" applyAlignment="1">
      <alignment horizontal="center" vertical="center"/>
    </xf>
    <xf numFmtId="0" fontId="19" fillId="0" borderId="49" xfId="0" applyFont="1" applyBorder="1" applyAlignment="1">
      <alignment horizontal="center" vertical="center"/>
    </xf>
    <xf numFmtId="0" fontId="19" fillId="0" borderId="50" xfId="0" applyFont="1" applyBorder="1" applyAlignment="1">
      <alignment horizontal="center" vertical="center"/>
    </xf>
    <xf numFmtId="0" fontId="19" fillId="0" borderId="34" xfId="0" applyFont="1" applyBorder="1" applyAlignment="1">
      <alignment horizontal="center" vertical="center"/>
    </xf>
    <xf numFmtId="0" fontId="15" fillId="0" borderId="57" xfId="0" applyFont="1" applyBorder="1" applyAlignment="1">
      <alignment horizontal="left"/>
    </xf>
    <xf numFmtId="0" fontId="15" fillId="0" borderId="20" xfId="0" applyFont="1" applyBorder="1" applyAlignment="1">
      <alignment horizontal="left"/>
    </xf>
    <xf numFmtId="0" fontId="15" fillId="0" borderId="145" xfId="0" applyFont="1" applyBorder="1" applyAlignment="1">
      <alignment horizontal="left"/>
    </xf>
    <xf numFmtId="0" fontId="15" fillId="0" borderId="150" xfId="0" applyFont="1" applyBorder="1" applyAlignment="1">
      <alignment horizontal="left"/>
    </xf>
    <xf numFmtId="0" fontId="15" fillId="0" borderId="72" xfId="0" applyFont="1" applyBorder="1" applyAlignment="1">
      <alignment horizontal="left"/>
    </xf>
    <xf numFmtId="0" fontId="15" fillId="41" borderId="65" xfId="0" applyFont="1" applyFill="1" applyBorder="1" applyAlignment="1">
      <alignment horizontal="center"/>
    </xf>
    <xf numFmtId="0" fontId="15" fillId="41" borderId="66" xfId="0" applyFont="1" applyFill="1" applyBorder="1" applyAlignment="1">
      <alignment horizontal="center"/>
    </xf>
    <xf numFmtId="0" fontId="54" fillId="39" borderId="49" xfId="0" applyFont="1" applyFill="1" applyBorder="1" applyAlignment="1">
      <alignment horizontal="center"/>
    </xf>
    <xf numFmtId="0" fontId="54" fillId="39" borderId="50" xfId="0" applyFont="1" applyFill="1" applyBorder="1" applyAlignment="1">
      <alignment horizontal="center"/>
    </xf>
    <xf numFmtId="0" fontId="54" fillId="39" borderId="34" xfId="0" applyFont="1" applyFill="1" applyBorder="1" applyAlignment="1">
      <alignment horizontal="center"/>
    </xf>
    <xf numFmtId="0" fontId="14" fillId="0" borderId="46" xfId="0" applyFont="1" applyBorder="1" applyAlignment="1">
      <alignment horizontal="left"/>
    </xf>
    <xf numFmtId="0" fontId="14" fillId="0" borderId="47" xfId="0" applyFont="1" applyBorder="1" applyAlignment="1">
      <alignment horizontal="left"/>
    </xf>
    <xf numFmtId="0" fontId="14" fillId="0" borderId="138" xfId="0" applyFont="1" applyBorder="1" applyAlignment="1">
      <alignment horizontal="left"/>
    </xf>
    <xf numFmtId="0" fontId="15" fillId="0" borderId="59" xfId="0" applyFont="1" applyBorder="1" applyAlignment="1">
      <alignment horizontal="left"/>
    </xf>
    <xf numFmtId="0" fontId="15" fillId="0" borderId="36" xfId="0" applyFont="1" applyBorder="1" applyAlignment="1">
      <alignment horizontal="left"/>
    </xf>
    <xf numFmtId="0" fontId="54" fillId="41" borderId="49" xfId="0" applyFont="1" applyFill="1" applyBorder="1" applyAlignment="1">
      <alignment horizontal="center"/>
    </xf>
    <xf numFmtId="0" fontId="54" fillId="41" borderId="50" xfId="0" applyFont="1" applyFill="1" applyBorder="1" applyAlignment="1">
      <alignment horizontal="center"/>
    </xf>
    <xf numFmtId="0" fontId="54" fillId="41" borderId="34" xfId="0" applyFont="1" applyFill="1" applyBorder="1" applyAlignment="1">
      <alignment horizontal="center"/>
    </xf>
    <xf numFmtId="0" fontId="14" fillId="0" borderId="57" xfId="0" applyFont="1" applyBorder="1" applyAlignment="1">
      <alignment horizontal="left"/>
    </xf>
    <xf numFmtId="0" fontId="14" fillId="0" borderId="20" xfId="0" applyFont="1" applyBorder="1" applyAlignment="1">
      <alignment horizontal="left"/>
    </xf>
    <xf numFmtId="0" fontId="15" fillId="39" borderId="120" xfId="0" applyFont="1" applyFill="1" applyBorder="1" applyAlignment="1">
      <alignment horizontal="center" vertical="center"/>
    </xf>
    <xf numFmtId="0" fontId="15" fillId="39" borderId="121" xfId="0" applyFont="1" applyFill="1" applyBorder="1" applyAlignment="1">
      <alignment horizontal="center" vertical="center"/>
    </xf>
    <xf numFmtId="0" fontId="15" fillId="42" borderId="65" xfId="0" applyFont="1" applyFill="1" applyBorder="1" applyAlignment="1">
      <alignment horizontal="center" vertical="center"/>
    </xf>
    <xf numFmtId="0" fontId="15" fillId="42" borderId="66" xfId="0" applyFont="1" applyFill="1" applyBorder="1" applyAlignment="1">
      <alignment horizontal="center" vertical="center"/>
    </xf>
    <xf numFmtId="0" fontId="19" fillId="0" borderId="41" xfId="0" applyFont="1" applyBorder="1" applyAlignment="1">
      <alignment horizontal="center" vertical="center"/>
    </xf>
    <xf numFmtId="0" fontId="19" fillId="0" borderId="42" xfId="0" applyFont="1" applyBorder="1" applyAlignment="1">
      <alignment horizontal="center" vertical="center"/>
    </xf>
    <xf numFmtId="0" fontId="19" fillId="0" borderId="43" xfId="0" applyFont="1" applyBorder="1" applyAlignment="1">
      <alignment horizontal="center" vertical="center"/>
    </xf>
    <xf numFmtId="0" fontId="14" fillId="0" borderId="49" xfId="0" applyFont="1" applyBorder="1" applyAlignment="1">
      <alignment horizontal="center"/>
    </xf>
    <xf numFmtId="0" fontId="14" fillId="0" borderId="50" xfId="0" applyFont="1" applyBorder="1" applyAlignment="1">
      <alignment horizontal="center"/>
    </xf>
    <xf numFmtId="0" fontId="14" fillId="0" borderId="34" xfId="0" applyFont="1" applyBorder="1" applyAlignment="1">
      <alignment horizontal="center"/>
    </xf>
    <xf numFmtId="0" fontId="14" fillId="0" borderId="0" xfId="0" applyFont="1" applyAlignment="1">
      <alignment horizontal="center"/>
    </xf>
    <xf numFmtId="0" fontId="55" fillId="40" borderId="49" xfId="0" applyFont="1" applyFill="1" applyBorder="1" applyAlignment="1">
      <alignment horizontal="center"/>
    </xf>
    <xf numFmtId="0" fontId="55" fillId="40" borderId="50" xfId="0" applyFont="1" applyFill="1" applyBorder="1" applyAlignment="1">
      <alignment horizontal="center"/>
    </xf>
    <xf numFmtId="0" fontId="55" fillId="40" borderId="34" xfId="0" applyFont="1" applyFill="1" applyBorder="1" applyAlignment="1">
      <alignment horizontal="center"/>
    </xf>
    <xf numFmtId="0" fontId="15" fillId="41" borderId="81" xfId="0" applyFont="1" applyFill="1" applyBorder="1" applyAlignment="1">
      <alignment horizontal="center"/>
    </xf>
    <xf numFmtId="0" fontId="15" fillId="41" borderId="137" xfId="0" applyFont="1" applyFill="1" applyBorder="1" applyAlignment="1">
      <alignment horizontal="center"/>
    </xf>
    <xf numFmtId="2" fontId="0" fillId="0" borderId="37" xfId="0" applyNumberFormat="1" applyBorder="1" applyAlignment="1">
      <alignment horizontal="center" vertical="center"/>
    </xf>
    <xf numFmtId="2" fontId="0" fillId="0" borderId="96" xfId="0" applyNumberFormat="1" applyBorder="1" applyAlignment="1">
      <alignment horizontal="center" vertical="center"/>
    </xf>
    <xf numFmtId="2" fontId="0" fillId="0" borderId="180" xfId="0" applyNumberFormat="1" applyBorder="1" applyAlignment="1">
      <alignment horizontal="center" vertical="center"/>
    </xf>
    <xf numFmtId="2" fontId="0" fillId="0" borderId="181" xfId="0" applyNumberFormat="1" applyBorder="1" applyAlignment="1">
      <alignment horizontal="center" vertical="center"/>
    </xf>
    <xf numFmtId="2" fontId="0" fillId="0" borderId="182" xfId="0" applyNumberFormat="1" applyBorder="1" applyAlignment="1">
      <alignment horizontal="center" vertical="center"/>
    </xf>
    <xf numFmtId="2" fontId="0" fillId="0" borderId="183" xfId="0" applyNumberFormat="1" applyBorder="1" applyAlignment="1">
      <alignment horizontal="center" vertical="center"/>
    </xf>
    <xf numFmtId="2" fontId="0" fillId="0" borderId="16" xfId="0" applyNumberFormat="1" applyBorder="1" applyAlignment="1">
      <alignment horizontal="center" vertical="center"/>
    </xf>
    <xf numFmtId="2" fontId="0" fillId="0" borderId="105" xfId="0" applyNumberFormat="1" applyBorder="1" applyAlignment="1">
      <alignment horizontal="center" vertical="center"/>
    </xf>
    <xf numFmtId="2" fontId="0" fillId="0" borderId="16" xfId="4" applyNumberFormat="1" applyFont="1" applyFill="1" applyBorder="1" applyAlignment="1">
      <alignment horizontal="center" vertical="center"/>
    </xf>
    <xf numFmtId="2" fontId="0" fillId="0" borderId="105" xfId="4" applyNumberFormat="1" applyFont="1" applyFill="1" applyBorder="1" applyAlignment="1">
      <alignment horizontal="center" vertical="center"/>
    </xf>
    <xf numFmtId="0" fontId="0" fillId="0" borderId="105" xfId="0" applyBorder="1" applyAlignment="1">
      <alignment horizontal="center" vertical="center"/>
    </xf>
    <xf numFmtId="2" fontId="0" fillId="0" borderId="37" xfId="0" applyNumberFormat="1" applyBorder="1" applyAlignment="1">
      <alignment horizontal="center"/>
    </xf>
    <xf numFmtId="2" fontId="0" fillId="0" borderId="96" xfId="0" applyNumberFormat="1" applyBorder="1" applyAlignment="1">
      <alignment horizontal="center"/>
    </xf>
    <xf numFmtId="2" fontId="0" fillId="0" borderId="180" xfId="0" applyNumberFormat="1" applyBorder="1" applyAlignment="1">
      <alignment horizontal="center"/>
    </xf>
    <xf numFmtId="2" fontId="0" fillId="0" borderId="181" xfId="0" applyNumberFormat="1" applyBorder="1" applyAlignment="1">
      <alignment horizontal="center"/>
    </xf>
    <xf numFmtId="2" fontId="0" fillId="0" borderId="182" xfId="0" applyNumberFormat="1" applyBorder="1" applyAlignment="1">
      <alignment horizontal="center"/>
    </xf>
    <xf numFmtId="2" fontId="0" fillId="0" borderId="183" xfId="0" applyNumberFormat="1" applyBorder="1" applyAlignment="1">
      <alignment horizontal="center"/>
    </xf>
    <xf numFmtId="2" fontId="0" fillId="0" borderId="16" xfId="0" applyNumberFormat="1" applyBorder="1" applyAlignment="1">
      <alignment horizontal="center"/>
    </xf>
    <xf numFmtId="2" fontId="0" fillId="0" borderId="105" xfId="0" applyNumberFormat="1" applyBorder="1" applyAlignment="1">
      <alignment horizontal="center"/>
    </xf>
    <xf numFmtId="0" fontId="0" fillId="0" borderId="16" xfId="0" applyBorder="1" applyAlignment="1">
      <alignment horizontal="center"/>
    </xf>
    <xf numFmtId="0" fontId="0" fillId="0" borderId="105" xfId="0" applyBorder="1" applyAlignment="1">
      <alignment horizontal="center"/>
    </xf>
    <xf numFmtId="2" fontId="0" fillId="0" borderId="16" xfId="4" applyNumberFormat="1" applyFont="1" applyFill="1" applyBorder="1" applyAlignment="1">
      <alignment horizontal="center"/>
    </xf>
    <xf numFmtId="2" fontId="0" fillId="0" borderId="105" xfId="4" applyNumberFormat="1" applyFont="1" applyFill="1" applyBorder="1" applyAlignment="1">
      <alignment horizontal="center"/>
    </xf>
    <xf numFmtId="0" fontId="44" fillId="46" borderId="176" xfId="0" applyFont="1" applyFill="1" applyBorder="1" applyAlignment="1">
      <alignment horizontal="center"/>
    </xf>
    <xf numFmtId="0" fontId="27" fillId="9" borderId="20" xfId="0" applyFont="1" applyFill="1" applyBorder="1" applyAlignment="1">
      <alignment horizontal="center"/>
    </xf>
    <xf numFmtId="44" fontId="0" fillId="0" borderId="37" xfId="0" applyNumberFormat="1" applyBorder="1" applyAlignment="1">
      <alignment horizontal="center"/>
    </xf>
    <xf numFmtId="44" fontId="0" fillId="0" borderId="96" xfId="0" applyNumberFormat="1" applyBorder="1" applyAlignment="1">
      <alignment horizontal="center"/>
    </xf>
    <xf numFmtId="44" fontId="0" fillId="0" borderId="180" xfId="0" applyNumberFormat="1" applyBorder="1" applyAlignment="1">
      <alignment horizontal="center"/>
    </xf>
    <xf numFmtId="44" fontId="0" fillId="0" borderId="181" xfId="0" applyNumberFormat="1" applyBorder="1" applyAlignment="1">
      <alignment horizontal="center"/>
    </xf>
    <xf numFmtId="44" fontId="0" fillId="0" borderId="182" xfId="0" applyNumberFormat="1" applyBorder="1" applyAlignment="1">
      <alignment horizontal="center"/>
    </xf>
    <xf numFmtId="44" fontId="0" fillId="0" borderId="183" xfId="0" applyNumberFormat="1" applyBorder="1" applyAlignment="1">
      <alignment horizontal="center"/>
    </xf>
    <xf numFmtId="2" fontId="0" fillId="0" borderId="16" xfId="4" applyNumberFormat="1" applyFont="1" applyBorder="1" applyAlignment="1">
      <alignment horizontal="center" vertical="center"/>
    </xf>
    <xf numFmtId="2" fontId="0" fillId="0" borderId="105" xfId="4" applyNumberFormat="1" applyFont="1" applyBorder="1" applyAlignment="1">
      <alignment horizontal="center" vertical="center"/>
    </xf>
    <xf numFmtId="0" fontId="0" fillId="0" borderId="4" xfId="0" applyBorder="1" applyAlignment="1">
      <alignment horizontal="center"/>
    </xf>
    <xf numFmtId="0" fontId="0" fillId="0" borderId="186" xfId="0" applyBorder="1" applyAlignment="1">
      <alignment horizontal="center"/>
    </xf>
    <xf numFmtId="0" fontId="0" fillId="0" borderId="149" xfId="0" applyBorder="1" applyAlignment="1">
      <alignment horizontal="center"/>
    </xf>
    <xf numFmtId="0" fontId="0" fillId="0" borderId="187" xfId="0" applyBorder="1" applyAlignment="1">
      <alignment horizontal="center"/>
    </xf>
    <xf numFmtId="0" fontId="15" fillId="0" borderId="144" xfId="0" applyFont="1" applyBorder="1" applyAlignment="1">
      <alignment horizontal="center"/>
    </xf>
    <xf numFmtId="0" fontId="15" fillId="0" borderId="176" xfId="0" applyFont="1" applyBorder="1" applyAlignment="1">
      <alignment horizontal="center"/>
    </xf>
    <xf numFmtId="0" fontId="15" fillId="0" borderId="70" xfId="0" applyFont="1" applyBorder="1" applyAlignment="1">
      <alignment horizontal="center"/>
    </xf>
    <xf numFmtId="0" fontId="0" fillId="6" borderId="44" xfId="0" applyFill="1" applyBorder="1" applyAlignment="1">
      <alignment horizontal="center"/>
    </xf>
    <xf numFmtId="0" fontId="0" fillId="6" borderId="0" xfId="0" applyFill="1" applyAlignment="1">
      <alignment horizontal="center"/>
    </xf>
    <xf numFmtId="0" fontId="0" fillId="30" borderId="44" xfId="0" applyFill="1" applyBorder="1" applyAlignment="1">
      <alignment horizontal="center"/>
    </xf>
    <xf numFmtId="0" fontId="0" fillId="30" borderId="0" xfId="0" applyFill="1" applyAlignment="1">
      <alignment horizontal="center"/>
    </xf>
    <xf numFmtId="0" fontId="0" fillId="0" borderId="134" xfId="0" applyBorder="1" applyAlignment="1">
      <alignment horizontal="center" vertical="center"/>
    </xf>
    <xf numFmtId="0" fontId="0" fillId="0" borderId="57" xfId="0" applyBorder="1" applyAlignment="1">
      <alignment horizontal="center"/>
    </xf>
    <xf numFmtId="0" fontId="0" fillId="0" borderId="58" xfId="0" applyBorder="1" applyAlignment="1">
      <alignment horizontal="center"/>
    </xf>
    <xf numFmtId="0" fontId="0" fillId="0" borderId="85" xfId="0" applyBorder="1" applyAlignment="1">
      <alignment horizontal="center"/>
    </xf>
    <xf numFmtId="0" fontId="0" fillId="0" borderId="86" xfId="0" applyBorder="1" applyAlignment="1">
      <alignment horizontal="center"/>
    </xf>
    <xf numFmtId="0" fontId="0" fillId="0" borderId="64" xfId="0" applyBorder="1" applyAlignment="1">
      <alignment horizontal="center"/>
    </xf>
    <xf numFmtId="0" fontId="0" fillId="38" borderId="49" xfId="0" applyFill="1" applyBorder="1" applyAlignment="1">
      <alignment horizontal="center"/>
    </xf>
    <xf numFmtId="0" fontId="0" fillId="38" borderId="50" xfId="0" applyFill="1" applyBorder="1" applyAlignment="1">
      <alignment horizontal="center"/>
    </xf>
    <xf numFmtId="0" fontId="0" fillId="38" borderId="34" xfId="0" applyFill="1" applyBorder="1" applyAlignment="1">
      <alignment horizontal="center"/>
    </xf>
    <xf numFmtId="0" fontId="0" fillId="30" borderId="49" xfId="0" applyFill="1" applyBorder="1" applyAlignment="1">
      <alignment horizontal="center"/>
    </xf>
    <xf numFmtId="0" fontId="0" fillId="30" borderId="50" xfId="0" applyFill="1" applyBorder="1" applyAlignment="1">
      <alignment horizontal="center"/>
    </xf>
    <xf numFmtId="0" fontId="0" fillId="30" borderId="34" xfId="0" applyFill="1" applyBorder="1" applyAlignment="1">
      <alignment horizontal="center"/>
    </xf>
    <xf numFmtId="0" fontId="0" fillId="10" borderId="178" xfId="0" applyFill="1" applyBorder="1" applyAlignment="1">
      <alignment horizontal="center"/>
    </xf>
    <xf numFmtId="0" fontId="0" fillId="10" borderId="86" xfId="0" applyFill="1" applyBorder="1" applyAlignment="1">
      <alignment horizontal="center"/>
    </xf>
    <xf numFmtId="0" fontId="0" fillId="10" borderId="64" xfId="0" applyFill="1" applyBorder="1" applyAlignment="1">
      <alignment horizontal="center"/>
    </xf>
    <xf numFmtId="0" fontId="0" fillId="8" borderId="85" xfId="0" applyFill="1" applyBorder="1" applyAlignment="1">
      <alignment horizontal="center"/>
    </xf>
    <xf numFmtId="0" fontId="0" fillId="8" borderId="86" xfId="0" applyFill="1" applyBorder="1" applyAlignment="1">
      <alignment horizontal="center"/>
    </xf>
    <xf numFmtId="0" fontId="0" fillId="8" borderId="64" xfId="0" applyFill="1" applyBorder="1" applyAlignment="1">
      <alignment horizontal="center"/>
    </xf>
    <xf numFmtId="0" fontId="0" fillId="10" borderId="72" xfId="0" applyFill="1" applyBorder="1" applyAlignment="1">
      <alignment horizontal="center"/>
    </xf>
    <xf numFmtId="0" fontId="0" fillId="10" borderId="20" xfId="0" applyFill="1" applyBorder="1" applyAlignment="1">
      <alignment horizontal="center"/>
    </xf>
    <xf numFmtId="0" fontId="0" fillId="48" borderId="20" xfId="0" applyFill="1" applyBorder="1" applyAlignment="1">
      <alignment horizontal="center"/>
    </xf>
    <xf numFmtId="0" fontId="0" fillId="18" borderId="20" xfId="0" applyFill="1" applyBorder="1" applyAlignment="1">
      <alignment horizontal="center"/>
    </xf>
    <xf numFmtId="0" fontId="0" fillId="49" borderId="20" xfId="0" applyFill="1" applyBorder="1" applyAlignment="1">
      <alignment horizontal="center"/>
    </xf>
    <xf numFmtId="0" fontId="0" fillId="11" borderId="20" xfId="0" applyFill="1" applyBorder="1" applyAlignment="1">
      <alignment horizontal="center"/>
    </xf>
    <xf numFmtId="0" fontId="0" fillId="29" borderId="20" xfId="0" applyFill="1" applyBorder="1" applyAlignment="1">
      <alignment horizontal="center"/>
    </xf>
    <xf numFmtId="0" fontId="0" fillId="30" borderId="42" xfId="0" applyFill="1" applyBorder="1" applyAlignment="1">
      <alignment horizontal="center"/>
    </xf>
    <xf numFmtId="0" fontId="0" fillId="0" borderId="179" xfId="0" applyBorder="1" applyAlignment="1">
      <alignment horizontal="center"/>
    </xf>
    <xf numFmtId="0" fontId="0" fillId="6" borderId="179" xfId="0" applyFill="1" applyBorder="1" applyAlignment="1">
      <alignment horizontal="center"/>
    </xf>
    <xf numFmtId="0" fontId="0" fillId="0" borderId="120" xfId="0" applyBorder="1" applyAlignment="1">
      <alignment horizontal="center"/>
    </xf>
    <xf numFmtId="0" fontId="0" fillId="0" borderId="121" xfId="0" applyBorder="1" applyAlignment="1">
      <alignment horizontal="center"/>
    </xf>
    <xf numFmtId="0" fontId="0" fillId="0" borderId="122" xfId="0" applyBorder="1" applyAlignment="1">
      <alignment horizontal="center"/>
    </xf>
    <xf numFmtId="0" fontId="0" fillId="7" borderId="49" xfId="0" applyFill="1" applyBorder="1" applyAlignment="1">
      <alignment horizontal="center"/>
    </xf>
    <xf numFmtId="0" fontId="0" fillId="7" borderId="50" xfId="0" applyFill="1" applyBorder="1" applyAlignment="1">
      <alignment horizontal="center"/>
    </xf>
    <xf numFmtId="0" fontId="0" fillId="7" borderId="34" xfId="0" applyFill="1" applyBorder="1" applyAlignment="1">
      <alignment horizontal="center"/>
    </xf>
    <xf numFmtId="0" fontId="19" fillId="0" borderId="96" xfId="0" applyFont="1" applyBorder="1" applyAlignment="1"/>
    <xf numFmtId="0" fontId="19" fillId="0" borderId="12" xfId="0" applyFont="1" applyBorder="1" applyAlignment="1"/>
    <xf numFmtId="0" fontId="19" fillId="0" borderId="8" xfId="0" applyFont="1" applyBorder="1" applyAlignment="1"/>
    <xf numFmtId="0" fontId="19" fillId="0" borderId="97" xfId="0" applyFont="1" applyBorder="1" applyAlignment="1"/>
    <xf numFmtId="0" fontId="19" fillId="0" borderId="10" xfId="0" applyFont="1" applyBorder="1" applyAlignment="1"/>
    <xf numFmtId="0" fontId="19" fillId="0" borderId="4" xfId="0" applyFont="1" applyBorder="1" applyAlignment="1"/>
    <xf numFmtId="0" fontId="10" fillId="0" borderId="26" xfId="0" applyFont="1" applyBorder="1" applyAlignment="1"/>
    <xf numFmtId="0" fontId="10" fillId="0" borderId="27" xfId="0" applyFont="1" applyBorder="1" applyAlignment="1"/>
    <xf numFmtId="0" fontId="0" fillId="0" borderId="0" xfId="0" applyAlignment="1"/>
    <xf numFmtId="0" fontId="1" fillId="3" borderId="23" xfId="0" applyFont="1" applyFill="1" applyBorder="1" applyAlignment="1"/>
    <xf numFmtId="0" fontId="10" fillId="0" borderId="13" xfId="0" applyFont="1" applyBorder="1" applyAlignment="1"/>
    <xf numFmtId="0" fontId="15" fillId="0" borderId="37" xfId="0" applyFont="1" applyBorder="1" applyAlignment="1"/>
    <xf numFmtId="0" fontId="15" fillId="0" borderId="12" xfId="0" applyFont="1" applyBorder="1" applyAlignment="1"/>
    <xf numFmtId="0" fontId="15" fillId="0" borderId="39" xfId="0" applyFont="1" applyBorder="1" applyAlignment="1"/>
    <xf numFmtId="0" fontId="15" fillId="0" borderId="40" xfId="0" applyFont="1" applyBorder="1" applyAlignment="1"/>
    <xf numFmtId="0" fontId="15" fillId="0" borderId="55" xfId="0" applyFont="1" applyBorder="1" applyAlignment="1"/>
    <xf numFmtId="0" fontId="15" fillId="0" borderId="35" xfId="0" applyFont="1" applyBorder="1" applyAlignment="1"/>
    <xf numFmtId="0" fontId="15" fillId="0" borderId="57" xfId="0" applyFont="1" applyBorder="1" applyAlignment="1"/>
    <xf numFmtId="0" fontId="15" fillId="0" borderId="20" xfId="0" applyFont="1" applyBorder="1" applyAlignment="1"/>
    <xf numFmtId="0" fontId="14" fillId="0" borderId="55" xfId="0" applyFont="1" applyBorder="1" applyAlignment="1"/>
    <xf numFmtId="0" fontId="14" fillId="0" borderId="35" xfId="0" applyFont="1" applyBorder="1" applyAlignment="1"/>
    <xf numFmtId="0" fontId="14" fillId="0" borderId="57" xfId="0" applyFont="1" applyBorder="1" applyAlignment="1"/>
    <xf numFmtId="0" fontId="14" fillId="0" borderId="20" xfId="0" applyFont="1" applyBorder="1" applyAlignment="1"/>
    <xf numFmtId="0" fontId="15" fillId="0" borderId="94" xfId="0" applyFont="1" applyBorder="1" applyAlignment="1"/>
    <xf numFmtId="0" fontId="15" fillId="0" borderId="112" xfId="0" applyFont="1" applyBorder="1" applyAlignment="1"/>
    <xf numFmtId="0" fontId="14" fillId="0" borderId="59" xfId="0" applyFont="1" applyBorder="1" applyAlignment="1"/>
    <xf numFmtId="0" fontId="14" fillId="0" borderId="36" xfId="0" applyFont="1" applyBorder="1" applyAlignment="1"/>
  </cellXfs>
  <cellStyles count="6">
    <cellStyle name="Currency" xfId="5" builtinId="4"/>
    <cellStyle name="Hyperlink" xfId="1" builtinId="8"/>
    <cellStyle name="Normal" xfId="0" builtinId="0"/>
    <cellStyle name="Normal 2" xfId="2" xr:uid="{1842542A-74DA-4882-8DFE-4B9C67752285}"/>
    <cellStyle name="Percent" xfId="3" builtinId="5"/>
    <cellStyle name="Total" xfId="4" builtinId="25"/>
  </cellStyles>
  <dxfs count="22">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21229"/>
      <color rgb="FFF0EED6"/>
      <color rgb="FFCC99FF"/>
      <color rgb="FFA5EFD8"/>
      <color rgb="FFE99E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Aircraft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50186803772583E-2"/>
          <c:y val="0.17618001784828657"/>
          <c:w val="0.90717177590666509"/>
          <c:h val="0.62003303735145221"/>
        </c:manualLayout>
      </c:layout>
      <c:barChart>
        <c:barDir val="col"/>
        <c:grouping val="clustered"/>
        <c:varyColors val="0"/>
        <c:ser>
          <c:idx val="0"/>
          <c:order val="0"/>
          <c:tx>
            <c:v>Number of Aircraft</c:v>
          </c:tx>
          <c:spPr>
            <a:solidFill>
              <a:schemeClr val="accent1"/>
            </a:solidFill>
            <a:ln>
              <a:noFill/>
            </a:ln>
            <a:effectLst/>
          </c:spPr>
          <c:invertIfNegative val="0"/>
          <c:cat>
            <c:strRef>
              <c:f>'No. of aircraft'!$BJ$5:$BJ$8</c:f>
              <c:strCache>
                <c:ptCount val="4"/>
                <c:pt idx="0">
                  <c:v>2022 Q3</c:v>
                </c:pt>
                <c:pt idx="1">
                  <c:v>2023 Q3</c:v>
                </c:pt>
                <c:pt idx="2">
                  <c:v>2024 Q3</c:v>
                </c:pt>
                <c:pt idx="3">
                  <c:v>2025 Q3</c:v>
                </c:pt>
              </c:strCache>
            </c:strRef>
          </c:cat>
          <c:val>
            <c:numRef>
              <c:f>'No. of aircraft'!$BK$5:$BK$8</c:f>
              <c:numCache>
                <c:formatCode>General</c:formatCode>
                <c:ptCount val="4"/>
                <c:pt idx="0">
                  <c:v>1</c:v>
                </c:pt>
                <c:pt idx="1">
                  <c:v>2</c:v>
                </c:pt>
                <c:pt idx="2">
                  <c:v>3</c:v>
                </c:pt>
                <c:pt idx="3">
                  <c:v>4</c:v>
                </c:pt>
              </c:numCache>
            </c:numRef>
          </c:val>
          <c:extLst>
            <c:ext xmlns:c16="http://schemas.microsoft.com/office/drawing/2014/chart" uri="{C3380CC4-5D6E-409C-BE32-E72D297353CC}">
              <c16:uniqueId val="{00000000-69B9-4E49-A8A8-AD6CA294A46D}"/>
            </c:ext>
          </c:extLst>
        </c:ser>
        <c:dLbls>
          <c:showLegendKey val="0"/>
          <c:showVal val="0"/>
          <c:showCatName val="0"/>
          <c:showSerName val="0"/>
          <c:showPercent val="0"/>
          <c:showBubbleSize val="0"/>
        </c:dLbls>
        <c:gapWidth val="219"/>
        <c:overlap val="-27"/>
        <c:axId val="740838224"/>
        <c:axId val="740837568"/>
      </c:barChart>
      <c:catAx>
        <c:axId val="740838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0837568"/>
        <c:crosses val="autoZero"/>
        <c:auto val="1"/>
        <c:lblAlgn val="ctr"/>
        <c:lblOffset val="100"/>
        <c:noMultiLvlLbl val="0"/>
      </c:catAx>
      <c:valAx>
        <c:axId val="740837568"/>
        <c:scaling>
          <c:orientation val="minMax"/>
          <c:max val="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0838224"/>
        <c:crosses val="autoZero"/>
        <c:crossBetween val="between"/>
        <c:majorUnit val="1"/>
      </c:valAx>
      <c:spPr>
        <a:noFill/>
        <a:ln>
          <a:noFill/>
        </a:ln>
        <a:effectLst/>
      </c:spPr>
    </c:plotArea>
    <c:legend>
      <c:legendPos val="r"/>
      <c:layout>
        <c:manualLayout>
          <c:xMode val="edge"/>
          <c:yMode val="edge"/>
          <c:x val="0.38731531517452639"/>
          <c:y val="0.88513792674200242"/>
          <c:w val="0.23571285008957049"/>
          <c:h val="7.8239574883487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r>
              <a:rPr lang="en-US">
                <a:latin typeface="Bahnschrift" panose="020B0502040204020203" pitchFamily="34" charset="0"/>
              </a:rPr>
              <a:t>Average</a:t>
            </a:r>
            <a:r>
              <a:rPr lang="en-US" baseline="0">
                <a:latin typeface="Bahnschrift" panose="020B0502040204020203" pitchFamily="34" charset="0"/>
              </a:rPr>
              <a:t> Direct Cost Structure</a:t>
            </a:r>
            <a:endParaRPr lang="en-US">
              <a:latin typeface="Bahnschrift" panose="020B0502040204020203" pitchFamily="34" charset="0"/>
            </a:endParaRPr>
          </a:p>
        </c:rich>
      </c:tx>
      <c:layout>
        <c:manualLayout>
          <c:xMode val="edge"/>
          <c:yMode val="edge"/>
          <c:x val="0.47617962833047506"/>
          <c:y val="2.77514042319798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lotArea>
      <c:layout/>
      <c:pieChart>
        <c:varyColors val="1"/>
        <c:ser>
          <c:idx val="0"/>
          <c:order val="0"/>
          <c:dPt>
            <c:idx val="0"/>
            <c:bubble3D val="0"/>
            <c:spPr>
              <a:solidFill>
                <a:srgbClr val="921229"/>
              </a:solidFill>
              <a:ln w="19050">
                <a:solidFill>
                  <a:schemeClr val="lt1"/>
                </a:solidFill>
              </a:ln>
              <a:effectLst/>
            </c:spPr>
            <c:extLst>
              <c:ext xmlns:c16="http://schemas.microsoft.com/office/drawing/2014/chart" uri="{C3380CC4-5D6E-409C-BE32-E72D297353CC}">
                <c16:uniqueId val="{00000005-09B9-49B7-9AA1-A0736F50427B}"/>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6-09B9-49B7-9AA1-A0736F50427B}"/>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3-09B9-49B7-9AA1-A0736F50427B}"/>
              </c:ext>
            </c:extLst>
          </c:dPt>
          <c:dPt>
            <c:idx val="3"/>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4-09B9-49B7-9AA1-A0736F50427B}"/>
              </c:ext>
            </c:extLst>
          </c:dPt>
          <c:dPt>
            <c:idx val="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8-09B9-49B7-9AA1-A0736F50427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9EB-4B6C-8A1A-A07141DE6C1F}"/>
              </c:ext>
            </c:extLst>
          </c:dPt>
          <c:dPt>
            <c:idx val="6"/>
            <c:bubble3D val="0"/>
            <c:spPr>
              <a:solidFill>
                <a:srgbClr val="002060"/>
              </a:solidFill>
              <a:ln w="19050">
                <a:solidFill>
                  <a:schemeClr val="lt1"/>
                </a:solidFill>
              </a:ln>
              <a:effectLst/>
            </c:spPr>
            <c:extLst>
              <c:ext xmlns:c16="http://schemas.microsoft.com/office/drawing/2014/chart" uri="{C3380CC4-5D6E-409C-BE32-E72D297353CC}">
                <c16:uniqueId val="{00000007-09B9-49B7-9AA1-A0736F50427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9EB-4B6C-8A1A-A07141DE6C1F}"/>
              </c:ext>
            </c:extLst>
          </c:dPt>
          <c:dLbls>
            <c:dLbl>
              <c:idx val="0"/>
              <c:layout>
                <c:manualLayout>
                  <c:x val="-4.7413283920521576E-2"/>
                  <c:y val="-0.1701026434617508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9B9-49B7-9AA1-A0736F50427B}"/>
                </c:ext>
              </c:extLst>
            </c:dLbl>
            <c:dLbl>
              <c:idx val="1"/>
              <c:layout>
                <c:manualLayout>
                  <c:x val="9.4489888985478332E-2"/>
                  <c:y val="-0.1711927964333185"/>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9B9-49B7-9AA1-A0736F50427B}"/>
                </c:ext>
              </c:extLst>
            </c:dLbl>
            <c:dLbl>
              <c:idx val="2"/>
              <c:layout>
                <c:manualLayout>
                  <c:x val="0.13602865381235363"/>
                  <c:y val="4.1488571593684166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9B9-49B7-9AA1-A0736F50427B}"/>
                </c:ext>
              </c:extLst>
            </c:dLbl>
            <c:dLbl>
              <c:idx val="3"/>
              <c:layout>
                <c:manualLayout>
                  <c:x val="-1.5217401741588563E-3"/>
                  <c:y val="2.20989686834978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9B9-49B7-9AA1-A0736F5042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panose="020B0502040204020203" pitchFamily="34" charset="0"/>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'Cost Structure'!$AW$13:$AW$20</c:f>
              <c:strCache>
                <c:ptCount val="8"/>
                <c:pt idx="0">
                  <c:v>Fuel Cost</c:v>
                </c:pt>
                <c:pt idx="1">
                  <c:v>Flight Crew Cost</c:v>
                </c:pt>
                <c:pt idx="2">
                  <c:v>Direct Maintenance</c:v>
                </c:pt>
                <c:pt idx="3">
                  <c:v>Terminal Navigation</c:v>
                </c:pt>
                <c:pt idx="4">
                  <c:v>Ground Handling</c:v>
                </c:pt>
                <c:pt idx="5">
                  <c:v>Navigation En Route</c:v>
                </c:pt>
                <c:pt idx="6">
                  <c:v>Landing Fees</c:v>
                </c:pt>
                <c:pt idx="7">
                  <c:v>Parking Fees</c:v>
                </c:pt>
              </c:strCache>
            </c:strRef>
          </c:cat>
          <c:val>
            <c:numRef>
              <c:f>'Cost Structure'!$AU$13:$AU$20</c:f>
              <c:numCache>
                <c:formatCode>0.00%</c:formatCode>
                <c:ptCount val="8"/>
                <c:pt idx="0">
                  <c:v>0.4382613971652054</c:v>
                </c:pt>
                <c:pt idx="1">
                  <c:v>0.25158911287816471</c:v>
                </c:pt>
                <c:pt idx="2">
                  <c:v>0.17036506127648648</c:v>
                </c:pt>
                <c:pt idx="3">
                  <c:v>5.1782352388971602E-2</c:v>
                </c:pt>
                <c:pt idx="4">
                  <c:v>4.2557053297150801E-2</c:v>
                </c:pt>
                <c:pt idx="5">
                  <c:v>3.8129012416516103E-2</c:v>
                </c:pt>
                <c:pt idx="6">
                  <c:v>5.1630000531225038E-3</c:v>
                </c:pt>
                <c:pt idx="7">
                  <c:v>2.1530105243823161E-3</c:v>
                </c:pt>
              </c:numCache>
            </c:numRef>
          </c:val>
          <c:extLst>
            <c:ext xmlns:c16="http://schemas.microsoft.com/office/drawing/2014/chart" uri="{C3380CC4-5D6E-409C-BE32-E72D297353CC}">
              <c16:uniqueId val="{00000000-09B9-49B7-9AA1-A0736F50427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4250188824443144"/>
          <c:y val="0.24258921163009881"/>
          <c:w val="0.28925553954458866"/>
          <c:h val="0.660992066711127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r>
              <a:rPr lang="en-US" sz="1400" b="0" i="0" baseline="0">
                <a:effectLst/>
                <a:latin typeface="Bahnschrift" panose="020B0502040204020203" pitchFamily="34" charset="0"/>
              </a:rPr>
              <a:t>Average Indirect Cost Structure</a:t>
            </a:r>
            <a:endParaRPr lang="en-US" sz="1400">
              <a:effectLst/>
              <a:latin typeface="Bahnschrift" panose="020B0502040204020203" pitchFamily="34" charset="0"/>
            </a:endParaRPr>
          </a:p>
        </c:rich>
      </c:tx>
      <c:layout>
        <c:manualLayout>
          <c:xMode val="edge"/>
          <c:yMode val="edge"/>
          <c:x val="0.42945122484689413"/>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lotArea>
      <c:layout>
        <c:manualLayout>
          <c:layoutTarget val="inner"/>
          <c:xMode val="edge"/>
          <c:yMode val="edge"/>
          <c:x val="0.14731036745406823"/>
          <c:y val="0.17830562846310877"/>
          <c:w val="0.42482392825896759"/>
          <c:h val="0.70803988043161259"/>
        </c:manualLayout>
      </c:layout>
      <c:pieChart>
        <c:varyColors val="1"/>
        <c:ser>
          <c:idx val="0"/>
          <c:order val="0"/>
          <c:dPt>
            <c:idx val="0"/>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2-2C5C-4464-A3BD-132A1F697F56}"/>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4-2C5C-4464-A3BD-132A1F697F56}"/>
              </c:ext>
            </c:extLst>
          </c:dPt>
          <c:dPt>
            <c:idx val="2"/>
            <c:bubble3D val="0"/>
            <c:spPr>
              <a:solidFill>
                <a:srgbClr val="002060"/>
              </a:solidFill>
              <a:ln w="19050">
                <a:solidFill>
                  <a:schemeClr val="lt1"/>
                </a:solidFill>
              </a:ln>
              <a:effectLst/>
            </c:spPr>
            <c:extLst>
              <c:ext xmlns:c16="http://schemas.microsoft.com/office/drawing/2014/chart" uri="{C3380CC4-5D6E-409C-BE32-E72D297353CC}">
                <c16:uniqueId val="{00000005-2C5C-4464-A3BD-132A1F697F56}"/>
              </c:ext>
            </c:extLst>
          </c:dPt>
          <c:dPt>
            <c:idx val="3"/>
            <c:bubble3D val="0"/>
            <c:spPr>
              <a:solidFill>
                <a:srgbClr val="921229"/>
              </a:solidFill>
              <a:ln w="19050">
                <a:solidFill>
                  <a:schemeClr val="lt1"/>
                </a:solidFill>
              </a:ln>
              <a:effectLst/>
            </c:spPr>
            <c:extLst>
              <c:ext xmlns:c16="http://schemas.microsoft.com/office/drawing/2014/chart" uri="{C3380CC4-5D6E-409C-BE32-E72D297353CC}">
                <c16:uniqueId val="{00000003-2C5C-4464-A3BD-132A1F697F56}"/>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AF05-4153-A7A5-2AB907C4CAC7}"/>
              </c:ext>
            </c:extLst>
          </c:dPt>
          <c:dPt>
            <c:idx val="5"/>
            <c:bubble3D val="0"/>
            <c:spPr>
              <a:solidFill>
                <a:schemeClr val="bg1"/>
              </a:solidFill>
              <a:ln w="19050">
                <a:solidFill>
                  <a:schemeClr val="lt1"/>
                </a:solidFill>
              </a:ln>
              <a:effectLst/>
            </c:spPr>
            <c:extLst>
              <c:ext xmlns:c16="http://schemas.microsoft.com/office/drawing/2014/chart" uri="{C3380CC4-5D6E-409C-BE32-E72D297353CC}">
                <c16:uniqueId val="{0000000B-3920-4F6F-9D37-94F65B8E03B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920-4F6F-9D37-94F65B8E03BA}"/>
              </c:ext>
            </c:extLst>
          </c:dPt>
          <c:dLbls>
            <c:dLbl>
              <c:idx val="0"/>
              <c:layout>
                <c:manualLayout>
                  <c:x val="-1.8181369597383954E-2"/>
                  <c:y val="-0.1202660279850577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C5C-4464-A3BD-132A1F697F56}"/>
                </c:ext>
              </c:extLst>
            </c:dLbl>
            <c:dLbl>
              <c:idx val="1"/>
              <c:layout>
                <c:manualLayout>
                  <c:x val="-2.294498267504275E-2"/>
                  <c:y val="-6.829361551043446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C5C-4464-A3BD-132A1F697F56}"/>
                </c:ext>
              </c:extLst>
            </c:dLbl>
            <c:dLbl>
              <c:idx val="2"/>
              <c:layout>
                <c:manualLayout>
                  <c:x val="-2.2293853893263341E-2"/>
                  <c:y val="2.991615631379410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C5C-4464-A3BD-132A1F697F56}"/>
                </c:ext>
              </c:extLst>
            </c:dLbl>
            <c:dLbl>
              <c:idx val="3"/>
              <c:layout>
                <c:manualLayout>
                  <c:x val="-3.6339624737392875E-3"/>
                  <c:y val="-3.07795418751158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C5C-4464-A3BD-132A1F697F56}"/>
                </c:ext>
              </c:extLst>
            </c:dLbl>
            <c:dLbl>
              <c:idx val="4"/>
              <c:layout>
                <c:manualLayout>
                  <c:x val="-7.338080571792395E-2"/>
                  <c:y val="0.2391633587763495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F05-4153-A7A5-2AB907C4CAC7}"/>
                </c:ext>
              </c:extLst>
            </c:dLbl>
            <c:dLbl>
              <c:idx val="5"/>
              <c:layout>
                <c:manualLayout>
                  <c:x val="-7.2274891477051818E-4"/>
                  <c:y val="7.3958326732462901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920-4F6F-9D37-94F65B8E03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panose="020B0502040204020203" pitchFamily="34" charset="0"/>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'Cost Structure'!$AV$49:$AV$55</c:f>
              <c:strCache>
                <c:ptCount val="7"/>
                <c:pt idx="0">
                  <c:v>Maintenance Overhead</c:v>
                </c:pt>
                <c:pt idx="1">
                  <c:v>Station Cost</c:v>
                </c:pt>
                <c:pt idx="2">
                  <c:v>GPE Depreciation &amp; Amortization</c:v>
                </c:pt>
                <c:pt idx="3">
                  <c:v>GPE Maintenance &amp; Overhead</c:v>
                </c:pt>
                <c:pt idx="4">
                  <c:v>General Admission Airplane</c:v>
                </c:pt>
                <c:pt idx="5">
                  <c:v>Marketing Cost</c:v>
                </c:pt>
                <c:pt idx="6">
                  <c:v>Crew &amp; Technician Accomodation Cost</c:v>
                </c:pt>
              </c:strCache>
            </c:strRef>
          </c:cat>
          <c:val>
            <c:numRef>
              <c:f>'Cost Structure'!$AT$49:$AT$55</c:f>
              <c:numCache>
                <c:formatCode>0.00%</c:formatCode>
                <c:ptCount val="7"/>
                <c:pt idx="0">
                  <c:v>0.52483475051050144</c:v>
                </c:pt>
                <c:pt idx="1">
                  <c:v>0.2759940216189416</c:v>
                </c:pt>
                <c:pt idx="2">
                  <c:v>8.8795106070076055E-2</c:v>
                </c:pt>
                <c:pt idx="3">
                  <c:v>6.6421536036671072E-2</c:v>
                </c:pt>
                <c:pt idx="4">
                  <c:v>2.4764742445410229E-2</c:v>
                </c:pt>
                <c:pt idx="5">
                  <c:v>1.1953229726552373E-2</c:v>
                </c:pt>
                <c:pt idx="6">
                  <c:v>7.2366135918471731E-3</c:v>
                </c:pt>
              </c:numCache>
            </c:numRef>
          </c:val>
          <c:extLst>
            <c:ext xmlns:c16="http://schemas.microsoft.com/office/drawing/2014/chart" uri="{C3380CC4-5D6E-409C-BE32-E72D297353CC}">
              <c16:uniqueId val="{00000000-2C5C-4464-A3BD-132A1F697F5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64793832020997377"/>
          <c:y val="0.14756780402449693"/>
          <c:w val="0.29579002624671918"/>
          <c:h val="0.77835812190142895"/>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r>
              <a:rPr lang="en-US">
                <a:latin typeface="Bahnschrift" panose="020B0502040204020203" pitchFamily="34" charset="0"/>
              </a:rPr>
              <a:t>Average Ownership Cost Structure</a:t>
            </a:r>
          </a:p>
        </c:rich>
      </c:tx>
      <c:layout>
        <c:manualLayout>
          <c:xMode val="edge"/>
          <c:yMode val="edge"/>
          <c:x val="0.28589534424352764"/>
          <c:y val="2.787167908212196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lotArea>
      <c:layout>
        <c:manualLayout>
          <c:layoutTarget val="inner"/>
          <c:xMode val="edge"/>
          <c:yMode val="edge"/>
          <c:x val="0.17478157548007064"/>
          <c:y val="0.21069577763382599"/>
          <c:w val="0.42938898391704072"/>
          <c:h val="0.72316633296036736"/>
        </c:manualLayout>
      </c:layout>
      <c:pieChart>
        <c:varyColors val="1"/>
        <c:ser>
          <c:idx val="0"/>
          <c:order val="0"/>
          <c:dPt>
            <c:idx val="0"/>
            <c:bubble3D val="0"/>
            <c:spPr>
              <a:solidFill>
                <a:srgbClr val="FFC000"/>
              </a:solidFill>
              <a:ln w="19050">
                <a:solidFill>
                  <a:schemeClr val="lt1"/>
                </a:solidFill>
              </a:ln>
              <a:effectLst/>
            </c:spPr>
            <c:extLst>
              <c:ext xmlns:c16="http://schemas.microsoft.com/office/drawing/2014/chart" uri="{C3380CC4-5D6E-409C-BE32-E72D297353CC}">
                <c16:uniqueId val="{00000003-75BA-45B4-A830-B1A3552316D3}"/>
              </c:ext>
            </c:extLst>
          </c:dPt>
          <c:dPt>
            <c:idx val="1"/>
            <c:bubble3D val="0"/>
            <c:spPr>
              <a:solidFill>
                <a:srgbClr val="002060"/>
              </a:solidFill>
              <a:ln w="19050">
                <a:solidFill>
                  <a:schemeClr val="lt1"/>
                </a:solidFill>
              </a:ln>
              <a:effectLst/>
            </c:spPr>
            <c:extLst>
              <c:ext xmlns:c16="http://schemas.microsoft.com/office/drawing/2014/chart" uri="{C3380CC4-5D6E-409C-BE32-E72D297353CC}">
                <c16:uniqueId val="{00000002-75BA-45B4-A830-B1A3552316D3}"/>
              </c:ext>
            </c:extLst>
          </c:dPt>
          <c:dPt>
            <c:idx val="2"/>
            <c:bubble3D val="0"/>
            <c:spPr>
              <a:solidFill>
                <a:srgbClr val="921229"/>
              </a:solidFill>
              <a:ln w="19050">
                <a:solidFill>
                  <a:schemeClr val="lt1"/>
                </a:solidFill>
              </a:ln>
              <a:effectLst/>
            </c:spPr>
            <c:extLst>
              <c:ext xmlns:c16="http://schemas.microsoft.com/office/drawing/2014/chart" uri="{C3380CC4-5D6E-409C-BE32-E72D297353CC}">
                <c16:uniqueId val="{00000005-75BA-45B4-A830-B1A3552316D3}"/>
              </c:ext>
            </c:extLst>
          </c:dPt>
          <c:dLbls>
            <c:dLbl>
              <c:idx val="0"/>
              <c:layout>
                <c:manualLayout>
                  <c:x val="-2.0176757046614115E-2"/>
                  <c:y val="5.6390490250920855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5BA-45B4-A830-B1A3552316D3}"/>
                </c:ext>
              </c:extLst>
            </c:dLbl>
            <c:dLbl>
              <c:idx val="1"/>
              <c:layout>
                <c:manualLayout>
                  <c:x val="-8.9740789362075229E-3"/>
                  <c:y val="-1.744442747954482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5BA-45B4-A830-B1A3552316D3}"/>
                </c:ext>
              </c:extLst>
            </c:dLbl>
            <c:dLbl>
              <c:idx val="2"/>
              <c:layout>
                <c:manualLayout>
                  <c:x val="-8.7788794586635341E-2"/>
                  <c:y val="2.0753071124190634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5BA-45B4-A830-B1A3552316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'Cost Structure'!$AW$39:$AW$41</c:f>
              <c:strCache>
                <c:ptCount val="3"/>
                <c:pt idx="0">
                  <c:v>Lease</c:v>
                </c:pt>
                <c:pt idx="1">
                  <c:v>Depreciation</c:v>
                </c:pt>
                <c:pt idx="2">
                  <c:v>Insurance</c:v>
                </c:pt>
              </c:strCache>
            </c:strRef>
          </c:cat>
          <c:val>
            <c:numRef>
              <c:f>'Cost Structure'!$AU$39:$AU$41</c:f>
              <c:numCache>
                <c:formatCode>0.00%</c:formatCode>
                <c:ptCount val="3"/>
                <c:pt idx="0">
                  <c:v>0.63362129160683844</c:v>
                </c:pt>
                <c:pt idx="1">
                  <c:v>0.27586138102075614</c:v>
                </c:pt>
                <c:pt idx="2">
                  <c:v>9.0517327372405462E-2</c:v>
                </c:pt>
              </c:numCache>
            </c:numRef>
          </c:val>
          <c:extLst>
            <c:ext xmlns:c16="http://schemas.microsoft.com/office/drawing/2014/chart" uri="{C3380CC4-5D6E-409C-BE32-E72D297353CC}">
              <c16:uniqueId val="{00000000-75BA-45B4-A830-B1A3552316D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67794176234861514"/>
          <c:y val="0.29665103645250573"/>
          <c:w val="0.19695494313210848"/>
          <c:h val="0.5318292505103529"/>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r>
              <a:rPr lang="en-US">
                <a:latin typeface="Bahnschrift" panose="020B0502040204020203" pitchFamily="34" charset="0"/>
              </a:rPr>
              <a:t>Average</a:t>
            </a:r>
            <a:r>
              <a:rPr lang="en-US" baseline="0">
                <a:latin typeface="Bahnschrift" panose="020B0502040204020203" pitchFamily="34" charset="0"/>
              </a:rPr>
              <a:t> Route Cost Structure</a:t>
            </a:r>
            <a:endParaRPr lang="en-US">
              <a:latin typeface="Bahnschrift"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lotArea>
      <c:layout>
        <c:manualLayout>
          <c:layoutTarget val="inner"/>
          <c:xMode val="edge"/>
          <c:yMode val="edge"/>
          <c:x val="0.17535466709568759"/>
          <c:y val="0.23153048834272008"/>
          <c:w val="0.41730654655825167"/>
          <c:h val="0.71850957974487795"/>
        </c:manualLayout>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FC-4CA9-A394-006BC3FB06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8FC-4CA9-A394-006BC3FB061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8FC-4CA9-A394-006BC3FB0614}"/>
              </c:ext>
            </c:extLst>
          </c:dPt>
          <c:dLbls>
            <c:dLbl>
              <c:idx val="0"/>
              <c:layout>
                <c:manualLayout>
                  <c:x val="-5.3162698652226024E-2"/>
                  <c:y val="-8.717869378655765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8FC-4CA9-A394-006BC3FB0614}"/>
                </c:ext>
              </c:extLst>
            </c:dLbl>
            <c:dLbl>
              <c:idx val="1"/>
              <c:layout>
                <c:manualLayout>
                  <c:x val="5.0638101561624176E-2"/>
                  <c:y val="-0.24146196890110014"/>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9.0730712518000495E-2"/>
                      <c:h val="6.5336768055591798E-2"/>
                    </c:manualLayout>
                  </c15:layout>
                </c:ext>
                <c:ext xmlns:c16="http://schemas.microsoft.com/office/drawing/2014/chart" uri="{C3380CC4-5D6E-409C-BE32-E72D297353CC}">
                  <c16:uniqueId val="{00000003-58FC-4CA9-A394-006BC3FB0614}"/>
                </c:ext>
              </c:extLst>
            </c:dLbl>
            <c:dLbl>
              <c:idx val="2"/>
              <c:layout>
                <c:manualLayout>
                  <c:x val="-6.7691581370883588E-2"/>
                  <c:y val="7.849433904585802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8FC-4CA9-A394-006BC3FB06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'Cost Structure'!$AZ$105:$AZ$107</c:f>
              <c:strCache>
                <c:ptCount val="3"/>
                <c:pt idx="0">
                  <c:v>Ownership Cost</c:v>
                </c:pt>
                <c:pt idx="1">
                  <c:v>Direct Cost</c:v>
                </c:pt>
                <c:pt idx="2">
                  <c:v>Indirect Cost</c:v>
                </c:pt>
              </c:strCache>
            </c:strRef>
          </c:cat>
          <c:val>
            <c:numRef>
              <c:f>'Cost Structure'!$BB$105:$BB$107</c:f>
              <c:numCache>
                <c:formatCode>0.00%</c:formatCode>
                <c:ptCount val="3"/>
                <c:pt idx="0">
                  <c:v>0</c:v>
                </c:pt>
                <c:pt idx="1">
                  <c:v>0</c:v>
                </c:pt>
                <c:pt idx="2">
                  <c:v>0</c:v>
                </c:pt>
              </c:numCache>
            </c:numRef>
          </c:val>
          <c:extLst>
            <c:ext xmlns:c16="http://schemas.microsoft.com/office/drawing/2014/chart" uri="{C3380CC4-5D6E-409C-BE32-E72D297353CC}">
              <c16:uniqueId val="{00000007-E079-4C3D-B8B8-7CE459A3E743}"/>
            </c:ext>
          </c:extLst>
        </c:ser>
        <c:ser>
          <c:idx val="0"/>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B73-420E-AA38-3FF5C988C8C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B73-420E-AA38-3FF5C988C8C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6B73-420E-AA38-3FF5C988C8C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panose="020B0502040204020203" pitchFamily="34" charset="0"/>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'Cost Structure'!$AZ$105:$AZ$107</c:f>
              <c:strCache>
                <c:ptCount val="3"/>
                <c:pt idx="0">
                  <c:v>Ownership Cost</c:v>
                </c:pt>
                <c:pt idx="1">
                  <c:v>Direct Cost</c:v>
                </c:pt>
                <c:pt idx="2">
                  <c:v>Indirect Cost</c:v>
                </c:pt>
              </c:strCache>
            </c:strRef>
          </c:cat>
          <c:val>
            <c:numRef>
              <c:f>'Cost Structure'!$BB$105:$BB$107</c:f>
              <c:numCache>
                <c:formatCode>0.00%</c:formatCode>
                <c:ptCount val="3"/>
                <c:pt idx="0">
                  <c:v>0</c:v>
                </c:pt>
                <c:pt idx="1">
                  <c:v>0</c:v>
                </c:pt>
                <c:pt idx="2">
                  <c:v>0</c:v>
                </c:pt>
              </c:numCache>
            </c:numRef>
          </c:val>
          <c:extLst>
            <c:ext xmlns:c16="http://schemas.microsoft.com/office/drawing/2014/chart" uri="{C3380CC4-5D6E-409C-BE32-E72D297353CC}">
              <c16:uniqueId val="{00000000-6B73-420E-AA38-3FF5C988C8C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2958687771530675"/>
          <c:y val="0.38431883312720638"/>
          <c:w val="0.17548964782336843"/>
          <c:h val="0.23253434737698475"/>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r>
              <a:rPr lang="en-US">
                <a:latin typeface="Bahnschrift" panose="020B0502040204020203" pitchFamily="34" charset="0"/>
              </a:rPr>
              <a:t>Average</a:t>
            </a:r>
            <a:r>
              <a:rPr lang="en-US" baseline="0">
                <a:latin typeface="Bahnschrift" panose="020B0502040204020203" pitchFamily="34" charset="0"/>
              </a:rPr>
              <a:t> Route Cost Structure</a:t>
            </a:r>
            <a:endParaRPr lang="en-US">
              <a:latin typeface="Bahnschrift"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lotArea>
      <c:layout>
        <c:manualLayout>
          <c:layoutTarget val="inner"/>
          <c:xMode val="edge"/>
          <c:yMode val="edge"/>
          <c:x val="0.17535466709568759"/>
          <c:y val="0.23153048834272008"/>
          <c:w val="0.41730654655825167"/>
          <c:h val="0.71850957974487795"/>
        </c:manualLayout>
      </c:layout>
      <c:pieChart>
        <c:varyColors val="1"/>
        <c:ser>
          <c:idx val="0"/>
          <c:order val="0"/>
          <c:dPt>
            <c:idx val="0"/>
            <c:bubble3D val="0"/>
            <c:spPr>
              <a:solidFill>
                <a:srgbClr val="921229"/>
              </a:solidFill>
              <a:ln w="19050">
                <a:solidFill>
                  <a:schemeClr val="lt1"/>
                </a:solidFill>
              </a:ln>
              <a:effectLst/>
            </c:spPr>
            <c:extLst>
              <c:ext xmlns:c16="http://schemas.microsoft.com/office/drawing/2014/chart" uri="{C3380CC4-5D6E-409C-BE32-E72D297353CC}">
                <c16:uniqueId val="{00000001-70F5-44D5-B812-6AAE284479B0}"/>
              </c:ext>
            </c:extLst>
          </c:dPt>
          <c:dPt>
            <c:idx val="1"/>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3-70F5-44D5-B812-6AAE284479B0}"/>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70F5-44D5-B812-6AAE284479B0}"/>
              </c:ext>
            </c:extLst>
          </c:dPt>
          <c:dLbls>
            <c:dLbl>
              <c:idx val="0"/>
              <c:layout>
                <c:manualLayout>
                  <c:x val="-2.8279533521918136E-2"/>
                  <c:y val="0.14356734193783785"/>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0F5-44D5-B812-6AAE284479B0}"/>
                </c:ext>
              </c:extLst>
            </c:dLbl>
            <c:dLbl>
              <c:idx val="1"/>
              <c:layout>
                <c:manualLayout>
                  <c:x val="-4.1484060418951266E-2"/>
                  <c:y val="-0.10332049007721737"/>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0F5-44D5-B812-6AAE284479B0}"/>
                </c:ext>
              </c:extLst>
            </c:dLbl>
            <c:dLbl>
              <c:idx val="2"/>
              <c:layout>
                <c:manualLayout>
                  <c:x val="-2.4508196544718513E-2"/>
                  <c:y val="1.833880428881799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0F5-44D5-B812-6AAE284479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panose="020B0502040204020203" pitchFamily="34" charset="0"/>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'Detail Cost every year'!$B$79:$B$81</c:f>
              <c:strCache>
                <c:ptCount val="3"/>
                <c:pt idx="0">
                  <c:v>Direct Cost</c:v>
                </c:pt>
                <c:pt idx="1">
                  <c:v>Ownership Cost</c:v>
                </c:pt>
                <c:pt idx="2">
                  <c:v>Indirect Cost</c:v>
                </c:pt>
              </c:strCache>
            </c:strRef>
          </c:cat>
          <c:val>
            <c:numRef>
              <c:f>'Detail Cost every year'!$C$79:$C$81</c:f>
              <c:numCache>
                <c:formatCode>0.00%</c:formatCode>
                <c:ptCount val="3"/>
                <c:pt idx="0">
                  <c:v>0.53927929875507519</c:v>
                </c:pt>
                <c:pt idx="1">
                  <c:v>0.2621339419640934</c:v>
                </c:pt>
                <c:pt idx="2">
                  <c:v>0.19858675928083133</c:v>
                </c:pt>
              </c:numCache>
            </c:numRef>
          </c:val>
          <c:extLst>
            <c:ext xmlns:c16="http://schemas.microsoft.com/office/drawing/2014/chart" uri="{C3380CC4-5D6E-409C-BE32-E72D297353CC}">
              <c16:uniqueId val="{00000006-70F5-44D5-B812-6AAE284479B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5694815785108118"/>
          <c:y val="0.30507156288735776"/>
          <c:w val="0.30396720082821965"/>
          <c:h val="0.39863224251796497"/>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Bahnschrift" panose="020B0502040204020203" pitchFamily="34" charset="0"/>
              </a:rPr>
              <a:t>Financial Metrics</a:t>
            </a:r>
            <a:endParaRPr lang="en-US">
              <a:latin typeface="Bahnschrift" panose="020B0502040204020203" pitchFamily="34" charset="0"/>
            </a:endParaRPr>
          </a:p>
        </c:rich>
      </c:tx>
      <c:overlay val="0"/>
      <c:spPr>
        <a:noFill/>
        <a:ln>
          <a:noFill/>
        </a:ln>
        <a:effectLst/>
      </c:spPr>
    </c:title>
    <c:autoTitleDeleted val="0"/>
    <c:plotArea>
      <c:layout>
        <c:manualLayout>
          <c:layoutTarget val="inner"/>
          <c:xMode val="edge"/>
          <c:yMode val="edge"/>
          <c:x val="0.16863343064806879"/>
          <c:y val="0.14451573328848238"/>
          <c:w val="0.7873091288879247"/>
          <c:h val="0.68168318484697088"/>
        </c:manualLayout>
      </c:layout>
      <c:barChart>
        <c:barDir val="col"/>
        <c:grouping val="clustered"/>
        <c:varyColors val="0"/>
        <c:ser>
          <c:idx val="1"/>
          <c:order val="0"/>
          <c:tx>
            <c:v>Net Profit Margin</c:v>
          </c:tx>
          <c:spPr>
            <a:solidFill>
              <a:srgbClr val="921229"/>
            </a:solidFill>
          </c:spPr>
          <c:invertIfNegative val="0"/>
          <c:cat>
            <c:numRef>
              <c:f>'Cash Flow Updated'!$E$12:$N$12</c:f>
              <c:numCache>
                <c:formatCode>General</c:formatCode>
                <c:ptCount val="10"/>
                <c:pt idx="0">
                  <c:v>2023</c:v>
                </c:pt>
                <c:pt idx="1">
                  <c:v>2024</c:v>
                </c:pt>
                <c:pt idx="2">
                  <c:v>2025</c:v>
                </c:pt>
                <c:pt idx="3">
                  <c:v>2026</c:v>
                </c:pt>
                <c:pt idx="4">
                  <c:v>2027</c:v>
                </c:pt>
                <c:pt idx="5">
                  <c:v>2028</c:v>
                </c:pt>
                <c:pt idx="6">
                  <c:v>2029</c:v>
                </c:pt>
                <c:pt idx="7">
                  <c:v>2030</c:v>
                </c:pt>
                <c:pt idx="8">
                  <c:v>2031</c:v>
                </c:pt>
                <c:pt idx="9">
                  <c:v>2032</c:v>
                </c:pt>
              </c:numCache>
            </c:numRef>
          </c:cat>
          <c:val>
            <c:numRef>
              <c:f>'Cash Flow Updated'!$E$75:$N$75</c:f>
              <c:numCache>
                <c:formatCode>0.00%</c:formatCode>
                <c:ptCount val="10"/>
                <c:pt idx="0">
                  <c:v>-0.30697420571860623</c:v>
                </c:pt>
                <c:pt idx="1">
                  <c:v>-0.10573001159234954</c:v>
                </c:pt>
                <c:pt idx="2">
                  <c:v>-6.420109561153442E-2</c:v>
                </c:pt>
                <c:pt idx="3">
                  <c:v>-4.1099346091259849E-2</c:v>
                </c:pt>
                <c:pt idx="4">
                  <c:v>2.9467059744624807E-2</c:v>
                </c:pt>
                <c:pt idx="5">
                  <c:v>6.695887107451666E-2</c:v>
                </c:pt>
                <c:pt idx="6">
                  <c:v>6.8644435543140508E-2</c:v>
                </c:pt>
                <c:pt idx="7">
                  <c:v>8.9469189334135654E-2</c:v>
                </c:pt>
                <c:pt idx="8">
                  <c:v>0.10244593197682671</c:v>
                </c:pt>
                <c:pt idx="9">
                  <c:v>0.11762946625527806</c:v>
                </c:pt>
              </c:numCache>
            </c:numRef>
          </c:val>
          <c:extLst>
            <c:ext xmlns:c16="http://schemas.microsoft.com/office/drawing/2014/chart" uri="{C3380CC4-5D6E-409C-BE32-E72D297353CC}">
              <c16:uniqueId val="{00000000-54FA-49E5-A194-D068995BE6FB}"/>
            </c:ext>
          </c:extLst>
        </c:ser>
        <c:ser>
          <c:idx val="0"/>
          <c:order val="1"/>
          <c:tx>
            <c:v>Return on Investment</c:v>
          </c:tx>
          <c:invertIfNegative val="0"/>
          <c:cat>
            <c:numRef>
              <c:f>'Cash Flow Updated'!$E$12:$N$12</c:f>
              <c:numCache>
                <c:formatCode>General</c:formatCode>
                <c:ptCount val="10"/>
                <c:pt idx="0">
                  <c:v>2023</c:v>
                </c:pt>
                <c:pt idx="1">
                  <c:v>2024</c:v>
                </c:pt>
                <c:pt idx="2">
                  <c:v>2025</c:v>
                </c:pt>
                <c:pt idx="3">
                  <c:v>2026</c:v>
                </c:pt>
                <c:pt idx="4">
                  <c:v>2027</c:v>
                </c:pt>
                <c:pt idx="5">
                  <c:v>2028</c:v>
                </c:pt>
                <c:pt idx="6">
                  <c:v>2029</c:v>
                </c:pt>
                <c:pt idx="7">
                  <c:v>2030</c:v>
                </c:pt>
                <c:pt idx="8">
                  <c:v>2031</c:v>
                </c:pt>
                <c:pt idx="9">
                  <c:v>2032</c:v>
                </c:pt>
              </c:numCache>
            </c:numRef>
          </c:cat>
          <c:val>
            <c:numRef>
              <c:f>'Cash Flow Updated'!$E$76:$N$76</c:f>
              <c:numCache>
                <c:formatCode>0.00%</c:formatCode>
                <c:ptCount val="10"/>
                <c:pt idx="0">
                  <c:v>-0.23487395877857004</c:v>
                </c:pt>
                <c:pt idx="1">
                  <c:v>-9.5620097568021076E-2</c:v>
                </c:pt>
                <c:pt idx="2">
                  <c:v>-6.0327973609763851E-2</c:v>
                </c:pt>
                <c:pt idx="3">
                  <c:v>-3.9476872447922175E-2</c:v>
                </c:pt>
                <c:pt idx="4">
                  <c:v>3.0361730676416995E-2</c:v>
                </c:pt>
                <c:pt idx="5">
                  <c:v>7.1764115212829244E-2</c:v>
                </c:pt>
                <c:pt idx="6">
                  <c:v>7.37037906496774E-2</c:v>
                </c:pt>
                <c:pt idx="7">
                  <c:v>9.8260474314655552E-2</c:v>
                </c:pt>
                <c:pt idx="8">
                  <c:v>0.11413900914343773</c:v>
                </c:pt>
                <c:pt idx="9">
                  <c:v>0.13055307861725307</c:v>
                </c:pt>
              </c:numCache>
            </c:numRef>
          </c:val>
          <c:extLst>
            <c:ext xmlns:c16="http://schemas.microsoft.com/office/drawing/2014/chart" uri="{C3380CC4-5D6E-409C-BE32-E72D297353CC}">
              <c16:uniqueId val="{00000001-54FA-49E5-A194-D068995BE6FB}"/>
            </c:ext>
          </c:extLst>
        </c:ser>
        <c:dLbls>
          <c:showLegendKey val="0"/>
          <c:showVal val="0"/>
          <c:showCatName val="0"/>
          <c:showSerName val="0"/>
          <c:showPercent val="0"/>
          <c:showBubbleSize val="0"/>
        </c:dLbls>
        <c:gapWidth val="219"/>
        <c:overlap val="-27"/>
        <c:axId val="747992864"/>
        <c:axId val="747995160"/>
      </c:barChart>
      <c:catAx>
        <c:axId val="747992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Bahnschrift" panose="020B0502040204020203" pitchFamily="34" charset="0"/>
                    <a:ea typeface="+mn-ea"/>
                    <a:cs typeface="+mn-cs"/>
                  </a:defRPr>
                </a:pPr>
                <a:r>
                  <a:rPr lang="en-US">
                    <a:latin typeface="Bahnschrift" panose="020B0502040204020203" pitchFamily="34" charset="0"/>
                  </a:rPr>
                  <a:t>Year</a:t>
                </a:r>
              </a:p>
            </c:rich>
          </c:tx>
          <c:overlay val="0"/>
          <c:spPr>
            <a:noFill/>
            <a:ln>
              <a:noFill/>
            </a:ln>
            <a:effectLst/>
          </c:spPr>
        </c:title>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9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crossAx val="747995160"/>
        <c:crosses val="autoZero"/>
        <c:auto val="1"/>
        <c:lblAlgn val="ctr"/>
        <c:lblOffset val="100"/>
        <c:noMultiLvlLbl val="0"/>
      </c:catAx>
      <c:valAx>
        <c:axId val="747995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Bahnschrift" panose="020B0502040204020203" pitchFamily="34" charset="0"/>
                  </a:rPr>
                  <a:t>NPM,</a:t>
                </a:r>
                <a:r>
                  <a:rPr lang="en-US" baseline="0">
                    <a:latin typeface="Bahnschrift" panose="020B0502040204020203" pitchFamily="34" charset="0"/>
                  </a:rPr>
                  <a:t> ROI</a:t>
                </a:r>
                <a:endParaRPr lang="en-US">
                  <a:latin typeface="Bahnschrift" panose="020B0502040204020203" pitchFamily="34" charset="0"/>
                </a:endParaRPr>
              </a:p>
            </c:rich>
          </c:tx>
          <c:overlay val="0"/>
          <c:spPr>
            <a:noFill/>
            <a:ln>
              <a:noFill/>
            </a:ln>
            <a:effectLst/>
          </c:sp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crossAx val="747992864"/>
        <c:crosses val="autoZero"/>
        <c:crossBetween val="between"/>
        <c:majorUnit val="0.1"/>
      </c:valAx>
    </c:plotArea>
    <c:legend>
      <c:legendPos val="r"/>
      <c:layout>
        <c:manualLayout>
          <c:xMode val="edge"/>
          <c:yMode val="edge"/>
          <c:x val="0.67996632562207682"/>
          <c:y val="0.65242597117995949"/>
          <c:w val="0.2628223307948398"/>
          <c:h val="0.14077555190007732"/>
        </c:manualLayout>
      </c:layout>
      <c:overlay val="0"/>
      <c:spPr>
        <a:solidFill>
          <a:schemeClr val="bg1"/>
        </a:solidFill>
      </c:sp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r>
              <a:rPr lang="en-US"/>
              <a:t>Revenue &amp; Cost Present Values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lotArea>
      <c:layout>
        <c:manualLayout>
          <c:layoutTarget val="inner"/>
          <c:xMode val="edge"/>
          <c:yMode val="edge"/>
          <c:x val="0.1816092689668414"/>
          <c:y val="0.15520374077297996"/>
          <c:w val="0.74518206401612164"/>
          <c:h val="0.70188381222569307"/>
        </c:manualLayout>
      </c:layout>
      <c:barChart>
        <c:barDir val="col"/>
        <c:grouping val="clustered"/>
        <c:varyColors val="0"/>
        <c:ser>
          <c:idx val="0"/>
          <c:order val="0"/>
          <c:tx>
            <c:v>Revenue</c:v>
          </c:tx>
          <c:spPr>
            <a:solidFill>
              <a:schemeClr val="accent1"/>
            </a:solidFill>
            <a:ln>
              <a:noFill/>
            </a:ln>
            <a:effectLst/>
          </c:spPr>
          <c:invertIfNegative val="0"/>
          <c:cat>
            <c:numRef>
              <c:f>'Cash Flow Updated'!$E$49:$N$49</c:f>
              <c:numCache>
                <c:formatCode>General</c:formatCode>
                <c:ptCount val="10"/>
                <c:pt idx="0">
                  <c:v>2023</c:v>
                </c:pt>
                <c:pt idx="1">
                  <c:v>2024</c:v>
                </c:pt>
                <c:pt idx="2">
                  <c:v>2025</c:v>
                </c:pt>
                <c:pt idx="3">
                  <c:v>2026</c:v>
                </c:pt>
                <c:pt idx="4">
                  <c:v>2027</c:v>
                </c:pt>
                <c:pt idx="5">
                  <c:v>2028</c:v>
                </c:pt>
                <c:pt idx="6">
                  <c:v>2029</c:v>
                </c:pt>
                <c:pt idx="7">
                  <c:v>2030</c:v>
                </c:pt>
                <c:pt idx="8">
                  <c:v>2031</c:v>
                </c:pt>
                <c:pt idx="9">
                  <c:v>2032</c:v>
                </c:pt>
              </c:numCache>
            </c:numRef>
          </c:cat>
          <c:val>
            <c:numRef>
              <c:f>'Cash Flow Updated'!$E$80:$N$80</c:f>
              <c:numCache>
                <c:formatCode>"$"#,##0.00</c:formatCode>
                <c:ptCount val="10"/>
                <c:pt idx="0">
                  <c:v>25.433985095965646</c:v>
                </c:pt>
                <c:pt idx="1">
                  <c:v>26.275659871004724</c:v>
                </c:pt>
                <c:pt idx="2">
                  <c:v>39.299317579558966</c:v>
                </c:pt>
                <c:pt idx="3">
                  <c:v>49.636690888258151</c:v>
                </c:pt>
                <c:pt idx="4">
                  <c:v>47.815620497828789</c:v>
                </c:pt>
                <c:pt idx="5">
                  <c:v>45.896922528236857</c:v>
                </c:pt>
                <c:pt idx="6">
                  <c:v>41.276243679078718</c:v>
                </c:pt>
                <c:pt idx="7">
                  <c:v>39.01674287761886</c:v>
                </c:pt>
                <c:pt idx="8">
                  <c:v>36.569528129294447</c:v>
                </c:pt>
                <c:pt idx="9">
                  <c:v>33.448666414099669</c:v>
                </c:pt>
              </c:numCache>
            </c:numRef>
          </c:val>
          <c:extLst>
            <c:ext xmlns:c16="http://schemas.microsoft.com/office/drawing/2014/chart" uri="{C3380CC4-5D6E-409C-BE32-E72D297353CC}">
              <c16:uniqueId val="{00000001-0B81-4D19-B10A-CD2DE9C376AE}"/>
            </c:ext>
          </c:extLst>
        </c:ser>
        <c:ser>
          <c:idx val="1"/>
          <c:order val="1"/>
          <c:tx>
            <c:v>Cost</c:v>
          </c:tx>
          <c:spPr>
            <a:solidFill>
              <a:srgbClr val="921229"/>
            </a:solidFill>
            <a:ln>
              <a:noFill/>
            </a:ln>
            <a:effectLst/>
          </c:spPr>
          <c:invertIfNegative val="0"/>
          <c:cat>
            <c:numRef>
              <c:f>'Cash Flow Updated'!$E$49:$N$49</c:f>
              <c:numCache>
                <c:formatCode>General</c:formatCode>
                <c:ptCount val="10"/>
                <c:pt idx="0">
                  <c:v>2023</c:v>
                </c:pt>
                <c:pt idx="1">
                  <c:v>2024</c:v>
                </c:pt>
                <c:pt idx="2">
                  <c:v>2025</c:v>
                </c:pt>
                <c:pt idx="3">
                  <c:v>2026</c:v>
                </c:pt>
                <c:pt idx="4">
                  <c:v>2027</c:v>
                </c:pt>
                <c:pt idx="5">
                  <c:v>2028</c:v>
                </c:pt>
                <c:pt idx="6">
                  <c:v>2029</c:v>
                </c:pt>
                <c:pt idx="7">
                  <c:v>2030</c:v>
                </c:pt>
                <c:pt idx="8">
                  <c:v>2031</c:v>
                </c:pt>
                <c:pt idx="9">
                  <c:v>2032</c:v>
                </c:pt>
              </c:numCache>
            </c:numRef>
          </c:cat>
          <c:val>
            <c:numRef>
              <c:f>'Cash Flow Updated'!$E$79:$N$79</c:f>
              <c:numCache>
                <c:formatCode>"$"#,##0.00</c:formatCode>
                <c:ptCount val="10"/>
                <c:pt idx="0">
                  <c:v>33.241562469058572</c:v>
                </c:pt>
                <c:pt idx="1">
                  <c:v>29.053785693762688</c:v>
                </c:pt>
                <c:pt idx="2">
                  <c:v>41.822376824952286</c:v>
                </c:pt>
                <c:pt idx="3">
                  <c:v>51.67672642589956</c:v>
                </c:pt>
                <c:pt idx="4">
                  <c:v>46.406634751892959</c:v>
                </c:pt>
                <c:pt idx="5">
                  <c:v>42.823716409951565</c:v>
                </c:pt>
                <c:pt idx="6">
                  <c:v>38.442859230387242</c:v>
                </c:pt>
                <c:pt idx="7">
                  <c:v>35.52594652189989</c:v>
                </c:pt>
                <c:pt idx="8">
                  <c:v>32.823128738136099</c:v>
                </c:pt>
                <c:pt idx="9">
                  <c:v>30.137541135865835</c:v>
                </c:pt>
              </c:numCache>
            </c:numRef>
          </c:val>
          <c:extLst>
            <c:ext xmlns:c16="http://schemas.microsoft.com/office/drawing/2014/chart" uri="{C3380CC4-5D6E-409C-BE32-E72D297353CC}">
              <c16:uniqueId val="{00000000-0B81-4D19-B10A-CD2DE9C376AE}"/>
            </c:ext>
          </c:extLst>
        </c:ser>
        <c:dLbls>
          <c:showLegendKey val="0"/>
          <c:showVal val="0"/>
          <c:showCatName val="0"/>
          <c:showSerName val="0"/>
          <c:showPercent val="0"/>
          <c:showBubbleSize val="0"/>
        </c:dLbls>
        <c:gapWidth val="219"/>
        <c:overlap val="-27"/>
        <c:axId val="737485032"/>
        <c:axId val="737485688"/>
      </c:barChart>
      <c:catAx>
        <c:axId val="7374850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Bahnschrift" panose="020B0502040204020203" pitchFamily="34" charset="0"/>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crossAx val="737485688"/>
        <c:crosses val="autoZero"/>
        <c:auto val="1"/>
        <c:lblAlgn val="ctr"/>
        <c:lblOffset val="100"/>
        <c:noMultiLvlLbl val="0"/>
      </c:catAx>
      <c:valAx>
        <c:axId val="737485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Bahnschrift" panose="020B0502040204020203" pitchFamily="34" charset="0"/>
                    <a:ea typeface="+mn-ea"/>
                    <a:cs typeface="+mn-cs"/>
                  </a:defRPr>
                </a:pPr>
                <a:r>
                  <a:rPr lang="en-US"/>
                  <a:t>Million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crossAx val="737485032"/>
        <c:crosses val="autoZero"/>
        <c:crossBetween val="between"/>
      </c:valAx>
      <c:spPr>
        <a:noFill/>
        <a:ln>
          <a:noFill/>
        </a:ln>
        <a:effectLst/>
      </c:spPr>
    </c:plotArea>
    <c:legend>
      <c:legendPos val="r"/>
      <c:layout>
        <c:manualLayout>
          <c:xMode val="edge"/>
          <c:yMode val="edge"/>
          <c:x val="0.1918448535913268"/>
          <c:y val="0.16697917209691202"/>
          <c:w val="0.1793313143485385"/>
          <c:h val="0.1802740728516732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Bahnschrift" panose="020B0502040204020203"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Profitability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'Summary RP'!$AH$43</c:f>
              <c:strCache>
                <c:ptCount val="1"/>
                <c:pt idx="0">
                  <c:v>Net Revenue</c:v>
                </c:pt>
              </c:strCache>
            </c:strRef>
          </c:tx>
          <c:spPr>
            <a:solidFill>
              <a:srgbClr val="002060"/>
            </a:solidFill>
            <a:ln>
              <a:noFill/>
            </a:ln>
            <a:effectLst/>
          </c:spPr>
          <c:invertIfNegative val="0"/>
          <c:dPt>
            <c:idx val="0"/>
            <c:invertIfNegative val="0"/>
            <c:bubble3D val="0"/>
            <c:spPr>
              <a:solidFill>
                <a:srgbClr val="002060"/>
              </a:solidFill>
              <a:ln>
                <a:noFill/>
              </a:ln>
              <a:effectLst/>
            </c:spPr>
            <c:extLst>
              <c:ext xmlns:c16="http://schemas.microsoft.com/office/drawing/2014/chart" uri="{C3380CC4-5D6E-409C-BE32-E72D297353CC}">
                <c16:uniqueId val="{00000001-C6FA-4D2A-A112-9BDA4DEF0FE5}"/>
              </c:ext>
            </c:extLst>
          </c:dPt>
          <c:cat>
            <c:numRef>
              <c:f>'Summary RP'!$AI$42:$AR$42</c:f>
              <c:numCache>
                <c:formatCode>General</c:formatCode>
                <c:ptCount val="10"/>
                <c:pt idx="0">
                  <c:v>2023</c:v>
                </c:pt>
                <c:pt idx="1">
                  <c:v>2024</c:v>
                </c:pt>
                <c:pt idx="2">
                  <c:v>2025</c:v>
                </c:pt>
                <c:pt idx="3">
                  <c:v>2026</c:v>
                </c:pt>
                <c:pt idx="4">
                  <c:v>2027</c:v>
                </c:pt>
                <c:pt idx="5">
                  <c:v>2028</c:v>
                </c:pt>
                <c:pt idx="6">
                  <c:v>2029</c:v>
                </c:pt>
                <c:pt idx="7">
                  <c:v>2030</c:v>
                </c:pt>
                <c:pt idx="8">
                  <c:v>2031</c:v>
                </c:pt>
                <c:pt idx="9">
                  <c:v>2032</c:v>
                </c:pt>
              </c:numCache>
            </c:numRef>
          </c:cat>
          <c:val>
            <c:numRef>
              <c:f>'Summary RP'!$AI$49:$AR$49</c:f>
              <c:numCache>
                <c:formatCode>_("$"* #,##0.00_);_("$"* \(#,##0.00\);_("$"* "-"??_);_(@_)</c:formatCode>
                <c:ptCount val="10"/>
                <c:pt idx="0">
                  <c:v>25.433985095965642</c:v>
                </c:pt>
                <c:pt idx="1">
                  <c:v>33.572772108250227</c:v>
                </c:pt>
                <c:pt idx="2">
                  <c:v>47.55217427126636</c:v>
                </c:pt>
                <c:pt idx="3">
                  <c:v>66.066435572271629</c:v>
                </c:pt>
                <c:pt idx="4">
                  <c:v>70.00684997087113</c:v>
                </c:pt>
                <c:pt idx="5">
                  <c:v>73.917452700950776</c:v>
                </c:pt>
                <c:pt idx="6">
                  <c:v>73.123383528352406</c:v>
                </c:pt>
                <c:pt idx="7">
                  <c:v>76.032594031919118</c:v>
                </c:pt>
                <c:pt idx="8">
                  <c:v>78.39003128493583</c:v>
                </c:pt>
                <c:pt idx="9">
                  <c:v>78.870205738155619</c:v>
                </c:pt>
              </c:numCache>
            </c:numRef>
          </c:val>
          <c:extLst>
            <c:ext xmlns:c16="http://schemas.microsoft.com/office/drawing/2014/chart" uri="{C3380CC4-5D6E-409C-BE32-E72D297353CC}">
              <c16:uniqueId val="{00000001-D0FB-4839-B7F6-2A36241C17B1}"/>
            </c:ext>
          </c:extLst>
        </c:ser>
        <c:ser>
          <c:idx val="1"/>
          <c:order val="1"/>
          <c:tx>
            <c:strRef>
              <c:f>'Summary RP'!$AH$44</c:f>
              <c:strCache>
                <c:ptCount val="1"/>
                <c:pt idx="0">
                  <c:v>CM1</c:v>
                </c:pt>
              </c:strCache>
            </c:strRef>
          </c:tx>
          <c:spPr>
            <a:solidFill>
              <a:srgbClr val="FFC000"/>
            </a:solidFill>
            <a:ln>
              <a:noFill/>
            </a:ln>
            <a:effectLst/>
          </c:spPr>
          <c:invertIfNegative val="0"/>
          <c:cat>
            <c:numRef>
              <c:f>'Summary RP'!$AI$42:$AR$42</c:f>
              <c:numCache>
                <c:formatCode>General</c:formatCode>
                <c:ptCount val="10"/>
                <c:pt idx="0">
                  <c:v>2023</c:v>
                </c:pt>
                <c:pt idx="1">
                  <c:v>2024</c:v>
                </c:pt>
                <c:pt idx="2">
                  <c:v>2025</c:v>
                </c:pt>
                <c:pt idx="3">
                  <c:v>2026</c:v>
                </c:pt>
                <c:pt idx="4">
                  <c:v>2027</c:v>
                </c:pt>
                <c:pt idx="5">
                  <c:v>2028</c:v>
                </c:pt>
                <c:pt idx="6">
                  <c:v>2029</c:v>
                </c:pt>
                <c:pt idx="7">
                  <c:v>2030</c:v>
                </c:pt>
                <c:pt idx="8">
                  <c:v>2031</c:v>
                </c:pt>
                <c:pt idx="9">
                  <c:v>2032</c:v>
                </c:pt>
              </c:numCache>
            </c:numRef>
          </c:cat>
          <c:val>
            <c:numRef>
              <c:f>'Summary RP'!$AI$50:$AR$50</c:f>
              <c:numCache>
                <c:formatCode>_("$"* #,##0.00_);_("$"* \(#,##0.00\);_("$"* "-"??_);_(@_)</c:formatCode>
                <c:ptCount val="10"/>
                <c:pt idx="0">
                  <c:v>9.2523190121638326</c:v>
                </c:pt>
                <c:pt idx="1">
                  <c:v>17.33162221689728</c:v>
                </c:pt>
                <c:pt idx="2">
                  <c:v>21.508389440626505</c:v>
                </c:pt>
                <c:pt idx="3">
                  <c:v>30.517424328621946</c:v>
                </c:pt>
                <c:pt idx="4">
                  <c:v>35.130554161460253</c:v>
                </c:pt>
                <c:pt idx="5">
                  <c:v>38.574442897701715</c:v>
                </c:pt>
                <c:pt idx="6">
                  <c:v>38.534737695540635</c:v>
                </c:pt>
                <c:pt idx="7">
                  <c:v>41.120257212506239</c:v>
                </c:pt>
                <c:pt idx="8">
                  <c:v>43.434721459505653</c:v>
                </c:pt>
                <c:pt idx="9">
                  <c:v>43.539828576353607</c:v>
                </c:pt>
              </c:numCache>
            </c:numRef>
          </c:val>
          <c:extLst>
            <c:ext xmlns:c16="http://schemas.microsoft.com/office/drawing/2014/chart" uri="{C3380CC4-5D6E-409C-BE32-E72D297353CC}">
              <c16:uniqueId val="{00000003-D0FB-4839-B7F6-2A36241C17B1}"/>
            </c:ext>
          </c:extLst>
        </c:ser>
        <c:ser>
          <c:idx val="2"/>
          <c:order val="2"/>
          <c:tx>
            <c:strRef>
              <c:f>'Summary RP'!$AH$45</c:f>
              <c:strCache>
                <c:ptCount val="1"/>
                <c:pt idx="0">
                  <c:v>CM2</c:v>
                </c:pt>
              </c:strCache>
            </c:strRef>
          </c:tx>
          <c:spPr>
            <a:solidFill>
              <a:schemeClr val="accent6">
                <a:lumMod val="40000"/>
                <a:lumOff val="60000"/>
              </a:schemeClr>
            </a:solidFill>
            <a:ln>
              <a:noFill/>
            </a:ln>
            <a:effectLst/>
          </c:spPr>
          <c:invertIfNegative val="0"/>
          <c:cat>
            <c:numRef>
              <c:f>'Summary RP'!$AI$42:$AR$42</c:f>
              <c:numCache>
                <c:formatCode>General</c:formatCode>
                <c:ptCount val="10"/>
                <c:pt idx="0">
                  <c:v>2023</c:v>
                </c:pt>
                <c:pt idx="1">
                  <c:v>2024</c:v>
                </c:pt>
                <c:pt idx="2">
                  <c:v>2025</c:v>
                </c:pt>
                <c:pt idx="3">
                  <c:v>2026</c:v>
                </c:pt>
                <c:pt idx="4">
                  <c:v>2027</c:v>
                </c:pt>
                <c:pt idx="5">
                  <c:v>2028</c:v>
                </c:pt>
                <c:pt idx="6">
                  <c:v>2029</c:v>
                </c:pt>
                <c:pt idx="7">
                  <c:v>2030</c:v>
                </c:pt>
                <c:pt idx="8">
                  <c:v>2031</c:v>
                </c:pt>
                <c:pt idx="9">
                  <c:v>2032</c:v>
                </c:pt>
              </c:numCache>
            </c:numRef>
          </c:cat>
          <c:val>
            <c:numRef>
              <c:f>'Summary RP'!$AI$51:$AR$51</c:f>
              <c:numCache>
                <c:formatCode>_("$"* #,##0.00_);_("$"* \(#,##0.00\);_("$"*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5-D0FB-4839-B7F6-2A36241C17B1}"/>
            </c:ext>
          </c:extLst>
        </c:ser>
        <c:ser>
          <c:idx val="3"/>
          <c:order val="3"/>
          <c:tx>
            <c:strRef>
              <c:f>'Summary RP'!$AH$46</c:f>
              <c:strCache>
                <c:ptCount val="1"/>
                <c:pt idx="0">
                  <c:v>CM3</c:v>
                </c:pt>
              </c:strCache>
            </c:strRef>
          </c:tx>
          <c:spPr>
            <a:solidFill>
              <a:srgbClr val="921229"/>
            </a:solidFill>
            <a:ln>
              <a:noFill/>
            </a:ln>
            <a:effectLst/>
          </c:spPr>
          <c:invertIfNegative val="0"/>
          <c:cat>
            <c:numRef>
              <c:f>'Summary RP'!$AI$42:$AR$42</c:f>
              <c:numCache>
                <c:formatCode>General</c:formatCode>
                <c:ptCount val="10"/>
                <c:pt idx="0">
                  <c:v>2023</c:v>
                </c:pt>
                <c:pt idx="1">
                  <c:v>2024</c:v>
                </c:pt>
                <c:pt idx="2">
                  <c:v>2025</c:v>
                </c:pt>
                <c:pt idx="3">
                  <c:v>2026</c:v>
                </c:pt>
                <c:pt idx="4">
                  <c:v>2027</c:v>
                </c:pt>
                <c:pt idx="5">
                  <c:v>2028</c:v>
                </c:pt>
                <c:pt idx="6">
                  <c:v>2029</c:v>
                </c:pt>
                <c:pt idx="7">
                  <c:v>2030</c:v>
                </c:pt>
                <c:pt idx="8">
                  <c:v>2031</c:v>
                </c:pt>
                <c:pt idx="9">
                  <c:v>2032</c:v>
                </c:pt>
              </c:numCache>
            </c:numRef>
          </c:cat>
          <c:val>
            <c:numRef>
              <c:f>'Summary RP'!$AI$52:$AR$52</c:f>
              <c:numCache>
                <c:formatCode>_("$"* #,##0.00_);_("$"* \(#,##0.00\);_("$"*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7-D0FB-4839-B7F6-2A36241C17B1}"/>
            </c:ext>
          </c:extLst>
        </c:ser>
        <c:dLbls>
          <c:showLegendKey val="0"/>
          <c:showVal val="0"/>
          <c:showCatName val="0"/>
          <c:showSerName val="0"/>
          <c:showPercent val="0"/>
          <c:showBubbleSize val="0"/>
        </c:dLbls>
        <c:gapWidth val="219"/>
        <c:overlap val="-27"/>
        <c:axId val="325274152"/>
        <c:axId val="1337559896"/>
      </c:barChart>
      <c:catAx>
        <c:axId val="325274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559896"/>
        <c:crosses val="autoZero"/>
        <c:auto val="1"/>
        <c:lblAlgn val="ctr"/>
        <c:lblOffset val="100"/>
        <c:noMultiLvlLbl val="0"/>
      </c:catAx>
      <c:valAx>
        <c:axId val="1337559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_);_(&quot;$&quot;* \(#,##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274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4" Type="http://schemas.openxmlformats.org/officeDocument/2006/relationships/image" Target="../media/image1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16.png"/><Relationship Id="rId1"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2</xdr:col>
      <xdr:colOff>301088</xdr:colOff>
      <xdr:row>13</xdr:row>
      <xdr:rowOff>35774</xdr:rowOff>
    </xdr:from>
    <xdr:to>
      <xdr:col>2</xdr:col>
      <xdr:colOff>3168113</xdr:colOff>
      <xdr:row>13</xdr:row>
      <xdr:rowOff>369149</xdr:rowOff>
    </xdr:to>
    <xdr:pic>
      <xdr:nvPicPr>
        <xdr:cNvPr id="2" name="Picture 3">
          <a:extLst>
            <a:ext uri="{FF2B5EF4-FFF2-40B4-BE49-F238E27FC236}">
              <a16:creationId xmlns:a16="http://schemas.microsoft.com/office/drawing/2014/main" id="{CF46AE88-540E-4958-9436-860540C2B3AC}"/>
            </a:ext>
            <a:ext uri="{147F2762-F138-4A5C-976F-8EAC2B608ADB}">
              <a16:predDERef xmlns:a16="http://schemas.microsoft.com/office/drawing/2014/main" pred="{48A5DCD4-49A6-4667-99B6-8932C2B55411}"/>
            </a:ext>
          </a:extLst>
        </xdr:cNvPr>
        <xdr:cNvPicPr preferRelativeResize="0"/>
      </xdr:nvPicPr>
      <xdr:blipFill>
        <a:blip xmlns:r="http://schemas.openxmlformats.org/officeDocument/2006/relationships" r:embed="rId1" cstate="print"/>
        <a:stretch>
          <a:fillRect/>
        </a:stretch>
      </xdr:blipFill>
      <xdr:spPr>
        <a:xfrm>
          <a:off x="2853788" y="11008574"/>
          <a:ext cx="2867025" cy="333375"/>
        </a:xfrm>
        <a:prstGeom prst="rect">
          <a:avLst/>
        </a:prstGeom>
        <a:noFill/>
      </xdr:spPr>
    </xdr:pic>
    <xdr:clientData/>
  </xdr:twoCellAnchor>
  <xdr:twoCellAnchor editAs="oneCell">
    <xdr:from>
      <xdr:col>4</xdr:col>
      <xdr:colOff>114300</xdr:colOff>
      <xdr:row>10</xdr:row>
      <xdr:rowOff>828675</xdr:rowOff>
    </xdr:from>
    <xdr:to>
      <xdr:col>4</xdr:col>
      <xdr:colOff>3581400</xdr:colOff>
      <xdr:row>11</xdr:row>
      <xdr:rowOff>914400</xdr:rowOff>
    </xdr:to>
    <xdr:pic>
      <xdr:nvPicPr>
        <xdr:cNvPr id="4" name="Picture 3">
          <a:extLst>
            <a:ext uri="{FF2B5EF4-FFF2-40B4-BE49-F238E27FC236}">
              <a16:creationId xmlns:a16="http://schemas.microsoft.com/office/drawing/2014/main" id="{C4808008-C124-4DE8-BA22-BC42D7C7AB89}"/>
            </a:ext>
            <a:ext uri="{147F2762-F138-4A5C-976F-8EAC2B608ADB}">
              <a16:predDERef xmlns:a16="http://schemas.microsoft.com/office/drawing/2014/main" pred="{42621AEF-D074-4263-9672-FCFA3EAD5F2A}"/>
            </a:ext>
          </a:extLst>
        </xdr:cNvPr>
        <xdr:cNvPicPr>
          <a:picLocks noChangeAspect="1"/>
        </xdr:cNvPicPr>
      </xdr:nvPicPr>
      <xdr:blipFill>
        <a:blip xmlns:r="http://schemas.openxmlformats.org/officeDocument/2006/relationships" r:embed="rId2"/>
        <a:stretch>
          <a:fillRect/>
        </a:stretch>
      </xdr:blipFill>
      <xdr:spPr>
        <a:xfrm>
          <a:off x="9936480" y="7046595"/>
          <a:ext cx="3467100" cy="2371725"/>
        </a:xfrm>
        <a:prstGeom prst="rect">
          <a:avLst/>
        </a:prstGeom>
      </xdr:spPr>
    </xdr:pic>
    <xdr:clientData/>
  </xdr:twoCellAnchor>
  <xdr:twoCellAnchor editAs="oneCell">
    <xdr:from>
      <xdr:col>4</xdr:col>
      <xdr:colOff>523875</xdr:colOff>
      <xdr:row>14</xdr:row>
      <xdr:rowOff>9525</xdr:rowOff>
    </xdr:from>
    <xdr:to>
      <xdr:col>4</xdr:col>
      <xdr:colOff>3314700</xdr:colOff>
      <xdr:row>14</xdr:row>
      <xdr:rowOff>1828800</xdr:rowOff>
    </xdr:to>
    <xdr:pic>
      <xdr:nvPicPr>
        <xdr:cNvPr id="5" name="Picture 4">
          <a:extLst>
            <a:ext uri="{FF2B5EF4-FFF2-40B4-BE49-F238E27FC236}">
              <a16:creationId xmlns:a16="http://schemas.microsoft.com/office/drawing/2014/main" id="{0EF377CD-C586-44E4-8D8F-D5E607DC6008}"/>
            </a:ext>
            <a:ext uri="{147F2762-F138-4A5C-976F-8EAC2B608ADB}">
              <a16:predDERef xmlns:a16="http://schemas.microsoft.com/office/drawing/2014/main" pred="{D84EC187-3D51-4A40-9A62-0D4A57759063}"/>
            </a:ext>
          </a:extLst>
        </xdr:cNvPr>
        <xdr:cNvPicPr>
          <a:picLocks noChangeAspect="1"/>
        </xdr:cNvPicPr>
      </xdr:nvPicPr>
      <xdr:blipFill>
        <a:blip xmlns:r="http://schemas.openxmlformats.org/officeDocument/2006/relationships" r:embed="rId3"/>
        <a:stretch>
          <a:fillRect/>
        </a:stretch>
      </xdr:blipFill>
      <xdr:spPr>
        <a:xfrm>
          <a:off x="10346055" y="11424285"/>
          <a:ext cx="2790825" cy="1819275"/>
        </a:xfrm>
        <a:prstGeom prst="rect">
          <a:avLst/>
        </a:prstGeom>
      </xdr:spPr>
    </xdr:pic>
    <xdr:clientData/>
  </xdr:twoCellAnchor>
  <xdr:twoCellAnchor editAs="oneCell">
    <xdr:from>
      <xdr:col>8</xdr:col>
      <xdr:colOff>190500</xdr:colOff>
      <xdr:row>11</xdr:row>
      <xdr:rowOff>533400</xdr:rowOff>
    </xdr:from>
    <xdr:to>
      <xdr:col>16</xdr:col>
      <xdr:colOff>409575</xdr:colOff>
      <xdr:row>18</xdr:row>
      <xdr:rowOff>1571625</xdr:rowOff>
    </xdr:to>
    <xdr:pic>
      <xdr:nvPicPr>
        <xdr:cNvPr id="6" name="Picture 5">
          <a:extLst>
            <a:ext uri="{FF2B5EF4-FFF2-40B4-BE49-F238E27FC236}">
              <a16:creationId xmlns:a16="http://schemas.microsoft.com/office/drawing/2014/main" id="{74B0122F-D142-4F96-B039-488093586CC4}"/>
            </a:ext>
            <a:ext uri="{147F2762-F138-4A5C-976F-8EAC2B608ADB}">
              <a16:predDERef xmlns:a16="http://schemas.microsoft.com/office/drawing/2014/main" pred="{D731A7CF-5D9E-4B03-B066-9D9F7797FE55}"/>
            </a:ext>
          </a:extLst>
        </xdr:cNvPr>
        <xdr:cNvPicPr>
          <a:picLocks noChangeAspect="1"/>
        </xdr:cNvPicPr>
      </xdr:nvPicPr>
      <xdr:blipFill>
        <a:blip xmlns:r="http://schemas.openxmlformats.org/officeDocument/2006/relationships" r:embed="rId4"/>
        <a:stretch>
          <a:fillRect/>
        </a:stretch>
      </xdr:blipFill>
      <xdr:spPr>
        <a:xfrm>
          <a:off x="15788640" y="9037320"/>
          <a:ext cx="5095875" cy="6402705"/>
        </a:xfrm>
        <a:prstGeom prst="rect">
          <a:avLst/>
        </a:prstGeom>
      </xdr:spPr>
    </xdr:pic>
    <xdr:clientData/>
  </xdr:twoCellAnchor>
  <xdr:twoCellAnchor editAs="oneCell">
    <xdr:from>
      <xdr:col>4</xdr:col>
      <xdr:colOff>657225</xdr:colOff>
      <xdr:row>18</xdr:row>
      <xdr:rowOff>0</xdr:rowOff>
    </xdr:from>
    <xdr:to>
      <xdr:col>4</xdr:col>
      <xdr:colOff>3400425</xdr:colOff>
      <xdr:row>18</xdr:row>
      <xdr:rowOff>1876425</xdr:rowOff>
    </xdr:to>
    <xdr:pic>
      <xdr:nvPicPr>
        <xdr:cNvPr id="7" name="Picture 6">
          <a:extLst>
            <a:ext uri="{FF2B5EF4-FFF2-40B4-BE49-F238E27FC236}">
              <a16:creationId xmlns:a16="http://schemas.microsoft.com/office/drawing/2014/main" id="{22C5FF65-5050-42D7-9691-3737D880852F}"/>
            </a:ext>
            <a:ext uri="{147F2762-F138-4A5C-976F-8EAC2B608ADB}">
              <a16:predDERef xmlns:a16="http://schemas.microsoft.com/office/drawing/2014/main" pred="{1589A185-9ACB-41EA-BCE1-9ADDE8B630B1}"/>
            </a:ext>
          </a:extLst>
        </xdr:cNvPr>
        <xdr:cNvPicPr>
          <a:picLocks noChangeAspect="1"/>
        </xdr:cNvPicPr>
      </xdr:nvPicPr>
      <xdr:blipFill>
        <a:blip xmlns:r="http://schemas.openxmlformats.org/officeDocument/2006/relationships" r:embed="rId5"/>
        <a:stretch>
          <a:fillRect/>
        </a:stretch>
      </xdr:blipFill>
      <xdr:spPr>
        <a:xfrm>
          <a:off x="10479405" y="13868400"/>
          <a:ext cx="2743200" cy="1876425"/>
        </a:xfrm>
        <a:prstGeom prst="rect">
          <a:avLst/>
        </a:prstGeom>
      </xdr:spPr>
    </xdr:pic>
    <xdr:clientData/>
  </xdr:twoCellAnchor>
  <xdr:twoCellAnchor editAs="oneCell">
    <xdr:from>
      <xdr:col>5</xdr:col>
      <xdr:colOff>257175</xdr:colOff>
      <xdr:row>5</xdr:row>
      <xdr:rowOff>523875</xdr:rowOff>
    </xdr:from>
    <xdr:to>
      <xdr:col>12</xdr:col>
      <xdr:colOff>561975</xdr:colOff>
      <xdr:row>8</xdr:row>
      <xdr:rowOff>104775</xdr:rowOff>
    </xdr:to>
    <xdr:pic>
      <xdr:nvPicPr>
        <xdr:cNvPr id="8" name="Picture 7">
          <a:extLst>
            <a:ext uri="{FF2B5EF4-FFF2-40B4-BE49-F238E27FC236}">
              <a16:creationId xmlns:a16="http://schemas.microsoft.com/office/drawing/2014/main" id="{6967B9B4-F8E4-4E93-A974-1CBB0323545D}"/>
            </a:ext>
            <a:ext uri="{147F2762-F138-4A5C-976F-8EAC2B608ADB}">
              <a16:predDERef xmlns:a16="http://schemas.microsoft.com/office/drawing/2014/main" pred="{4504F22E-6309-43CA-9E26-4919A4ECCC6F}"/>
            </a:ext>
          </a:extLst>
        </xdr:cNvPr>
        <xdr:cNvPicPr>
          <a:picLocks noChangeAspect="1"/>
        </xdr:cNvPicPr>
      </xdr:nvPicPr>
      <xdr:blipFill>
        <a:blip xmlns:r="http://schemas.openxmlformats.org/officeDocument/2006/relationships" r:embed="rId6"/>
        <a:stretch>
          <a:fillRect/>
        </a:stretch>
      </xdr:blipFill>
      <xdr:spPr>
        <a:xfrm>
          <a:off x="14026515" y="3609975"/>
          <a:ext cx="4572000" cy="624840"/>
        </a:xfrm>
        <a:prstGeom prst="rect">
          <a:avLst/>
        </a:prstGeom>
      </xdr:spPr>
    </xdr:pic>
    <xdr:clientData/>
  </xdr:twoCellAnchor>
  <xdr:twoCellAnchor editAs="oneCell">
    <xdr:from>
      <xdr:col>5</xdr:col>
      <xdr:colOff>96592</xdr:colOff>
      <xdr:row>0</xdr:row>
      <xdr:rowOff>75127</xdr:rowOff>
    </xdr:from>
    <xdr:to>
      <xdr:col>13</xdr:col>
      <xdr:colOff>438400</xdr:colOff>
      <xdr:row>5</xdr:row>
      <xdr:rowOff>157231</xdr:rowOff>
    </xdr:to>
    <xdr:pic>
      <xdr:nvPicPr>
        <xdr:cNvPr id="9" name="Picture 8">
          <a:extLst>
            <a:ext uri="{FF2B5EF4-FFF2-40B4-BE49-F238E27FC236}">
              <a16:creationId xmlns:a16="http://schemas.microsoft.com/office/drawing/2014/main" id="{D4870EBD-B81B-4164-B4C2-620584561B73}"/>
            </a:ext>
          </a:extLst>
        </xdr:cNvPr>
        <xdr:cNvPicPr>
          <a:picLocks noChangeAspect="1"/>
        </xdr:cNvPicPr>
      </xdr:nvPicPr>
      <xdr:blipFill>
        <a:blip xmlns:r="http://schemas.openxmlformats.org/officeDocument/2006/relationships" r:embed="rId7"/>
        <a:stretch>
          <a:fillRect/>
        </a:stretch>
      </xdr:blipFill>
      <xdr:spPr>
        <a:xfrm>
          <a:off x="13876986" y="75127"/>
          <a:ext cx="5235780" cy="3183766"/>
        </a:xfrm>
        <a:prstGeom prst="rect">
          <a:avLst/>
        </a:prstGeom>
      </xdr:spPr>
    </xdr:pic>
    <xdr:clientData/>
  </xdr:twoCellAnchor>
  <xdr:twoCellAnchor editAs="oneCell">
    <xdr:from>
      <xdr:col>13</xdr:col>
      <xdr:colOff>566870</xdr:colOff>
      <xdr:row>0</xdr:row>
      <xdr:rowOff>0</xdr:rowOff>
    </xdr:from>
    <xdr:to>
      <xdr:col>21</xdr:col>
      <xdr:colOff>430127</xdr:colOff>
      <xdr:row>10</xdr:row>
      <xdr:rowOff>1427408</xdr:rowOff>
    </xdr:to>
    <xdr:pic>
      <xdr:nvPicPr>
        <xdr:cNvPr id="10" name="Picture 9">
          <a:extLst>
            <a:ext uri="{FF2B5EF4-FFF2-40B4-BE49-F238E27FC236}">
              <a16:creationId xmlns:a16="http://schemas.microsoft.com/office/drawing/2014/main" id="{6749F8F7-A258-405D-AC45-00B73ACC1105}"/>
            </a:ext>
          </a:extLst>
        </xdr:cNvPr>
        <xdr:cNvPicPr>
          <a:picLocks noChangeAspect="1"/>
        </xdr:cNvPicPr>
      </xdr:nvPicPr>
      <xdr:blipFill>
        <a:blip xmlns:r="http://schemas.openxmlformats.org/officeDocument/2006/relationships" r:embed="rId8"/>
        <a:stretch>
          <a:fillRect/>
        </a:stretch>
      </xdr:blipFill>
      <xdr:spPr>
        <a:xfrm>
          <a:off x="19241236" y="0"/>
          <a:ext cx="4757229" cy="7641464"/>
        </a:xfrm>
        <a:prstGeom prst="rect">
          <a:avLst/>
        </a:prstGeom>
      </xdr:spPr>
    </xdr:pic>
    <xdr:clientData/>
  </xdr:twoCellAnchor>
  <xdr:twoCellAnchor editAs="oneCell">
    <xdr:from>
      <xdr:col>21</xdr:col>
      <xdr:colOff>504422</xdr:colOff>
      <xdr:row>0</xdr:row>
      <xdr:rowOff>0</xdr:rowOff>
    </xdr:from>
    <xdr:to>
      <xdr:col>32</xdr:col>
      <xdr:colOff>446716</xdr:colOff>
      <xdr:row>8</xdr:row>
      <xdr:rowOff>965966</xdr:rowOff>
    </xdr:to>
    <xdr:pic>
      <xdr:nvPicPr>
        <xdr:cNvPr id="11" name="Picture 10">
          <a:extLst>
            <a:ext uri="{FF2B5EF4-FFF2-40B4-BE49-F238E27FC236}">
              <a16:creationId xmlns:a16="http://schemas.microsoft.com/office/drawing/2014/main" id="{E54AA6DC-AFA7-4BC2-9E34-6E6285B6EF2A}"/>
            </a:ext>
          </a:extLst>
        </xdr:cNvPr>
        <xdr:cNvPicPr>
          <a:picLocks noChangeAspect="1"/>
        </xdr:cNvPicPr>
      </xdr:nvPicPr>
      <xdr:blipFill>
        <a:blip xmlns:r="http://schemas.openxmlformats.org/officeDocument/2006/relationships" r:embed="rId9"/>
        <a:stretch>
          <a:fillRect/>
        </a:stretch>
      </xdr:blipFill>
      <xdr:spPr>
        <a:xfrm>
          <a:off x="24072760" y="0"/>
          <a:ext cx="6671505" cy="5087205"/>
        </a:xfrm>
        <a:prstGeom prst="rect">
          <a:avLst/>
        </a:prstGeom>
      </xdr:spPr>
    </xdr:pic>
    <xdr:clientData/>
  </xdr:twoCellAnchor>
  <xdr:twoCellAnchor editAs="oneCell">
    <xdr:from>
      <xdr:col>5</xdr:col>
      <xdr:colOff>468033</xdr:colOff>
      <xdr:row>21</xdr:row>
      <xdr:rowOff>40821</xdr:rowOff>
    </xdr:from>
    <xdr:to>
      <xdr:col>25</xdr:col>
      <xdr:colOff>499066</xdr:colOff>
      <xdr:row>37</xdr:row>
      <xdr:rowOff>27214</xdr:rowOff>
    </xdr:to>
    <xdr:pic>
      <xdr:nvPicPr>
        <xdr:cNvPr id="12" name="Picture 11">
          <a:extLst>
            <a:ext uri="{FF2B5EF4-FFF2-40B4-BE49-F238E27FC236}">
              <a16:creationId xmlns:a16="http://schemas.microsoft.com/office/drawing/2014/main" id="{8F71066A-674C-423A-9564-9CD331624FC4}"/>
            </a:ext>
          </a:extLst>
        </xdr:cNvPr>
        <xdr:cNvPicPr>
          <a:picLocks noChangeAspect="1"/>
        </xdr:cNvPicPr>
      </xdr:nvPicPr>
      <xdr:blipFill>
        <a:blip xmlns:r="http://schemas.openxmlformats.org/officeDocument/2006/relationships" r:embed="rId10"/>
        <a:stretch>
          <a:fillRect/>
        </a:stretch>
      </xdr:blipFill>
      <xdr:spPr>
        <a:xfrm>
          <a:off x="14238462" y="16110857"/>
          <a:ext cx="12277461" cy="68035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59376</xdr:colOff>
      <xdr:row>0</xdr:row>
      <xdr:rowOff>0</xdr:rowOff>
    </xdr:from>
    <xdr:to>
      <xdr:col>19</xdr:col>
      <xdr:colOff>522008</xdr:colOff>
      <xdr:row>6</xdr:row>
      <xdr:rowOff>168234</xdr:rowOff>
    </xdr:to>
    <xdr:pic>
      <xdr:nvPicPr>
        <xdr:cNvPr id="4" name="Picture 3">
          <a:extLst>
            <a:ext uri="{FF2B5EF4-FFF2-40B4-BE49-F238E27FC236}">
              <a16:creationId xmlns:a16="http://schemas.microsoft.com/office/drawing/2014/main" id="{C0D235CF-AF11-489B-80A6-0CEE57C9AD12}"/>
            </a:ext>
          </a:extLst>
        </xdr:cNvPr>
        <xdr:cNvPicPr>
          <a:picLocks noChangeAspect="1"/>
        </xdr:cNvPicPr>
      </xdr:nvPicPr>
      <xdr:blipFill>
        <a:blip xmlns:r="http://schemas.openxmlformats.org/officeDocument/2006/relationships" r:embed="rId1"/>
        <a:stretch>
          <a:fillRect/>
        </a:stretch>
      </xdr:blipFill>
      <xdr:spPr>
        <a:xfrm>
          <a:off x="15903038" y="0"/>
          <a:ext cx="2303308" cy="1256805"/>
        </a:xfrm>
        <a:prstGeom prst="rect">
          <a:avLst/>
        </a:prstGeom>
      </xdr:spPr>
    </xdr:pic>
    <xdr:clientData/>
  </xdr:twoCellAnchor>
  <xdr:twoCellAnchor editAs="oneCell">
    <xdr:from>
      <xdr:col>16</xdr:col>
      <xdr:colOff>98962</xdr:colOff>
      <xdr:row>13</xdr:row>
      <xdr:rowOff>168235</xdr:rowOff>
    </xdr:from>
    <xdr:to>
      <xdr:col>19</xdr:col>
      <xdr:colOff>503127</xdr:colOff>
      <xdr:row>20</xdr:row>
      <xdr:rowOff>139477</xdr:rowOff>
    </xdr:to>
    <xdr:pic>
      <xdr:nvPicPr>
        <xdr:cNvPr id="6" name="Picture 5">
          <a:extLst>
            <a:ext uri="{FF2B5EF4-FFF2-40B4-BE49-F238E27FC236}">
              <a16:creationId xmlns:a16="http://schemas.microsoft.com/office/drawing/2014/main" id="{FE016DD1-44B0-43EE-BA41-F4DF92807BA6}"/>
            </a:ext>
          </a:extLst>
        </xdr:cNvPr>
        <xdr:cNvPicPr>
          <a:picLocks noChangeAspect="1"/>
        </xdr:cNvPicPr>
      </xdr:nvPicPr>
      <xdr:blipFill>
        <a:blip xmlns:r="http://schemas.openxmlformats.org/officeDocument/2006/relationships" r:embed="rId2"/>
        <a:stretch>
          <a:fillRect/>
        </a:stretch>
      </xdr:blipFill>
      <xdr:spPr>
        <a:xfrm>
          <a:off x="15942624" y="2503716"/>
          <a:ext cx="2244841" cy="1227115"/>
        </a:xfrm>
        <a:prstGeom prst="rect">
          <a:avLst/>
        </a:prstGeom>
      </xdr:spPr>
    </xdr:pic>
    <xdr:clientData/>
  </xdr:twoCellAnchor>
  <xdr:twoCellAnchor editAs="oneCell">
    <xdr:from>
      <xdr:col>15</xdr:col>
      <xdr:colOff>549822</xdr:colOff>
      <xdr:row>21</xdr:row>
      <xdr:rowOff>79168</xdr:rowOff>
    </xdr:from>
    <xdr:to>
      <xdr:col>20</xdr:col>
      <xdr:colOff>267195</xdr:colOff>
      <xdr:row>29</xdr:row>
      <xdr:rowOff>145997</xdr:rowOff>
    </xdr:to>
    <xdr:pic>
      <xdr:nvPicPr>
        <xdr:cNvPr id="7" name="Picture 6">
          <a:extLst>
            <a:ext uri="{FF2B5EF4-FFF2-40B4-BE49-F238E27FC236}">
              <a16:creationId xmlns:a16="http://schemas.microsoft.com/office/drawing/2014/main" id="{5B30EDD2-FB98-4205-B692-C78F278F2E44}"/>
            </a:ext>
          </a:extLst>
        </xdr:cNvPr>
        <xdr:cNvPicPr>
          <a:picLocks noChangeAspect="1"/>
        </xdr:cNvPicPr>
      </xdr:nvPicPr>
      <xdr:blipFill>
        <a:blip xmlns:r="http://schemas.openxmlformats.org/officeDocument/2006/relationships" r:embed="rId3"/>
        <a:stretch>
          <a:fillRect/>
        </a:stretch>
      </xdr:blipFill>
      <xdr:spPr>
        <a:xfrm>
          <a:off x="15779926" y="3849584"/>
          <a:ext cx="2785165" cy="1537018"/>
        </a:xfrm>
        <a:prstGeom prst="rect">
          <a:avLst/>
        </a:prstGeom>
      </xdr:spPr>
    </xdr:pic>
    <xdr:clientData/>
  </xdr:twoCellAnchor>
  <xdr:twoCellAnchor editAs="oneCell">
    <xdr:from>
      <xdr:col>15</xdr:col>
      <xdr:colOff>548859</xdr:colOff>
      <xdr:row>7</xdr:row>
      <xdr:rowOff>26894</xdr:rowOff>
    </xdr:from>
    <xdr:to>
      <xdr:col>20</xdr:col>
      <xdr:colOff>74502</xdr:colOff>
      <xdr:row>13</xdr:row>
      <xdr:rowOff>80683</xdr:rowOff>
    </xdr:to>
    <xdr:pic>
      <xdr:nvPicPr>
        <xdr:cNvPr id="2" name="Picture 1">
          <a:extLst>
            <a:ext uri="{FF2B5EF4-FFF2-40B4-BE49-F238E27FC236}">
              <a16:creationId xmlns:a16="http://schemas.microsoft.com/office/drawing/2014/main" id="{3818576D-D072-4AAE-8927-2765CA70636D}"/>
            </a:ext>
          </a:extLst>
        </xdr:cNvPr>
        <xdr:cNvPicPr>
          <a:picLocks noChangeAspect="1"/>
        </xdr:cNvPicPr>
      </xdr:nvPicPr>
      <xdr:blipFill>
        <a:blip xmlns:r="http://schemas.openxmlformats.org/officeDocument/2006/relationships" r:embed="rId4"/>
        <a:stretch>
          <a:fillRect/>
        </a:stretch>
      </xdr:blipFill>
      <xdr:spPr>
        <a:xfrm>
          <a:off x="15744035" y="1299882"/>
          <a:ext cx="2483996" cy="112955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20</xdr:col>
      <xdr:colOff>428625</xdr:colOff>
      <xdr:row>183</xdr:row>
      <xdr:rowOff>19050</xdr:rowOff>
    </xdr:from>
    <xdr:to>
      <xdr:col>24</xdr:col>
      <xdr:colOff>212090</xdr:colOff>
      <xdr:row>189</xdr:row>
      <xdr:rowOff>180974</xdr:rowOff>
    </xdr:to>
    <xdr:pic>
      <xdr:nvPicPr>
        <xdr:cNvPr id="7" name="Picture 1">
          <a:extLst>
            <a:ext uri="{FF2B5EF4-FFF2-40B4-BE49-F238E27FC236}">
              <a16:creationId xmlns:a16="http://schemas.microsoft.com/office/drawing/2014/main" id="{8B453626-A52D-43D7-87B3-2A11B802DDA3}"/>
            </a:ext>
          </a:extLst>
        </xdr:cNvPr>
        <xdr:cNvPicPr>
          <a:picLocks noChangeAspect="1"/>
        </xdr:cNvPicPr>
      </xdr:nvPicPr>
      <xdr:blipFill>
        <a:blip xmlns:r="http://schemas.openxmlformats.org/officeDocument/2006/relationships" r:embed="rId1"/>
        <a:stretch>
          <a:fillRect/>
        </a:stretch>
      </xdr:blipFill>
      <xdr:spPr>
        <a:xfrm>
          <a:off x="14935200" y="26546175"/>
          <a:ext cx="2638425" cy="1304925"/>
        </a:xfrm>
        <a:prstGeom prst="rect">
          <a:avLst/>
        </a:prstGeom>
      </xdr:spPr>
    </xdr:pic>
    <xdr:clientData/>
  </xdr:twoCellAnchor>
  <xdr:twoCellAnchor editAs="oneCell">
    <xdr:from>
      <xdr:col>26</xdr:col>
      <xdr:colOff>0</xdr:colOff>
      <xdr:row>183</xdr:row>
      <xdr:rowOff>0</xdr:rowOff>
    </xdr:from>
    <xdr:to>
      <xdr:col>31</xdr:col>
      <xdr:colOff>329565</xdr:colOff>
      <xdr:row>193</xdr:row>
      <xdr:rowOff>3811</xdr:rowOff>
    </xdr:to>
    <xdr:pic>
      <xdr:nvPicPr>
        <xdr:cNvPr id="8" name="Picture 7">
          <a:extLst>
            <a:ext uri="{FF2B5EF4-FFF2-40B4-BE49-F238E27FC236}">
              <a16:creationId xmlns:a16="http://schemas.microsoft.com/office/drawing/2014/main" id="{AD2A800B-99BB-4597-BA9E-4FC1FEC77F5B}"/>
            </a:ext>
            <a:ext uri="{147F2762-F138-4A5C-976F-8EAC2B608ADB}">
              <a16:predDERef xmlns:a16="http://schemas.microsoft.com/office/drawing/2014/main" pred="{8B453626-A52D-43D7-87B3-2A11B802DDA3}"/>
            </a:ext>
          </a:extLst>
        </xdr:cNvPr>
        <xdr:cNvPicPr>
          <a:picLocks noChangeAspect="1"/>
        </xdr:cNvPicPr>
      </xdr:nvPicPr>
      <xdr:blipFill>
        <a:blip xmlns:r="http://schemas.openxmlformats.org/officeDocument/2006/relationships" r:embed="rId2"/>
        <a:stretch>
          <a:fillRect/>
        </a:stretch>
      </xdr:blipFill>
      <xdr:spPr>
        <a:xfrm>
          <a:off x="18183225" y="26527125"/>
          <a:ext cx="3552825" cy="1885950"/>
        </a:xfrm>
        <a:prstGeom prst="rect">
          <a:avLst/>
        </a:prstGeom>
      </xdr:spPr>
    </xdr:pic>
    <xdr:clientData/>
  </xdr:twoCellAnchor>
  <xdr:twoCellAnchor>
    <xdr:from>
      <xdr:col>69</xdr:col>
      <xdr:colOff>14297</xdr:colOff>
      <xdr:row>6</xdr:row>
      <xdr:rowOff>52629</xdr:rowOff>
    </xdr:from>
    <xdr:to>
      <xdr:col>76</xdr:col>
      <xdr:colOff>40573</xdr:colOff>
      <xdr:row>20</xdr:row>
      <xdr:rowOff>161365</xdr:rowOff>
    </xdr:to>
    <xdr:graphicFrame macro="">
      <xdr:nvGraphicFramePr>
        <xdr:cNvPr id="3" name="Chart 2">
          <a:extLst>
            <a:ext uri="{FF2B5EF4-FFF2-40B4-BE49-F238E27FC236}">
              <a16:creationId xmlns:a16="http://schemas.microsoft.com/office/drawing/2014/main" id="{77E142CE-06F1-4B60-81CC-A69F034912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1033029</xdr:colOff>
      <xdr:row>94</xdr:row>
      <xdr:rowOff>148072</xdr:rowOff>
    </xdr:from>
    <xdr:to>
      <xdr:col>2</xdr:col>
      <xdr:colOff>3363554</xdr:colOff>
      <xdr:row>101</xdr:row>
      <xdr:rowOff>14290</xdr:rowOff>
    </xdr:to>
    <xdr:pic>
      <xdr:nvPicPr>
        <xdr:cNvPr id="2" name="Picture 1">
          <a:extLst>
            <a:ext uri="{FF2B5EF4-FFF2-40B4-BE49-F238E27FC236}">
              <a16:creationId xmlns:a16="http://schemas.microsoft.com/office/drawing/2014/main" id="{0AAB7C81-D0FB-4665-BBC7-F18C9D3F658B}"/>
            </a:ext>
          </a:extLst>
        </xdr:cNvPr>
        <xdr:cNvPicPr>
          <a:picLocks noChangeAspect="1"/>
        </xdr:cNvPicPr>
      </xdr:nvPicPr>
      <xdr:blipFill>
        <a:blip xmlns:r="http://schemas.openxmlformats.org/officeDocument/2006/relationships" r:embed="rId1"/>
        <a:stretch>
          <a:fillRect/>
        </a:stretch>
      </xdr:blipFill>
      <xdr:spPr>
        <a:xfrm>
          <a:off x="1033029" y="16413308"/>
          <a:ext cx="7848851" cy="1009421"/>
        </a:xfrm>
        <a:prstGeom prst="rect">
          <a:avLst/>
        </a:prstGeom>
      </xdr:spPr>
    </xdr:pic>
    <xdr:clientData/>
  </xdr:twoCellAnchor>
  <xdr:twoCellAnchor editAs="oneCell">
    <xdr:from>
      <xdr:col>0</xdr:col>
      <xdr:colOff>1171059</xdr:colOff>
      <xdr:row>102</xdr:row>
      <xdr:rowOff>14625</xdr:rowOff>
    </xdr:from>
    <xdr:to>
      <xdr:col>2</xdr:col>
      <xdr:colOff>2630129</xdr:colOff>
      <xdr:row>111</xdr:row>
      <xdr:rowOff>29771</xdr:rowOff>
    </xdr:to>
    <xdr:pic>
      <xdr:nvPicPr>
        <xdr:cNvPr id="3" name="Picture 2">
          <a:extLst>
            <a:ext uri="{FF2B5EF4-FFF2-40B4-BE49-F238E27FC236}">
              <a16:creationId xmlns:a16="http://schemas.microsoft.com/office/drawing/2014/main" id="{CFA6799D-5193-47DE-B0ED-C101DA63557B}"/>
            </a:ext>
            <a:ext uri="{147F2762-F138-4A5C-976F-8EAC2B608ADB}">
              <a16:predDERef xmlns:a16="http://schemas.microsoft.com/office/drawing/2014/main" pred="{A3E40AB5-7C81-4DA8-8771-50AF32F049A0}"/>
            </a:ext>
          </a:extLst>
        </xdr:cNvPr>
        <xdr:cNvPicPr>
          <a:picLocks noChangeAspect="1"/>
        </xdr:cNvPicPr>
      </xdr:nvPicPr>
      <xdr:blipFill>
        <a:blip xmlns:r="http://schemas.openxmlformats.org/officeDocument/2006/relationships" r:embed="rId2"/>
        <a:stretch>
          <a:fillRect/>
        </a:stretch>
      </xdr:blipFill>
      <xdr:spPr>
        <a:xfrm>
          <a:off x="1171059" y="17609898"/>
          <a:ext cx="6973179" cy="1511438"/>
        </a:xfrm>
        <a:prstGeom prst="rect">
          <a:avLst/>
        </a:prstGeom>
      </xdr:spPr>
    </xdr:pic>
    <xdr:clientData/>
  </xdr:twoCellAnchor>
  <xdr:twoCellAnchor>
    <xdr:from>
      <xdr:col>35</xdr:col>
      <xdr:colOff>312885</xdr:colOff>
      <xdr:row>54</xdr:row>
      <xdr:rowOff>137125</xdr:rowOff>
    </xdr:from>
    <xdr:to>
      <xdr:col>39</xdr:col>
      <xdr:colOff>386575</xdr:colOff>
      <xdr:row>70</xdr:row>
      <xdr:rowOff>120323</xdr:rowOff>
    </xdr:to>
    <xdr:graphicFrame macro="">
      <xdr:nvGraphicFramePr>
        <xdr:cNvPr id="6" name="Chart 5">
          <a:extLst>
            <a:ext uri="{FF2B5EF4-FFF2-40B4-BE49-F238E27FC236}">
              <a16:creationId xmlns:a16="http://schemas.microsoft.com/office/drawing/2014/main" id="{ECA5EB90-24E6-4F28-84F0-B7ABE41D84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30</xdr:col>
      <xdr:colOff>668690</xdr:colOff>
      <xdr:row>54</xdr:row>
      <xdr:rowOff>154011</xdr:rowOff>
    </xdr:from>
    <xdr:to>
      <xdr:col>34</xdr:col>
      <xdr:colOff>701147</xdr:colOff>
      <xdr:row>70</xdr:row>
      <xdr:rowOff>4213</xdr:rowOff>
    </xdr:to>
    <xdr:graphicFrame macro="">
      <xdr:nvGraphicFramePr>
        <xdr:cNvPr id="9" name="Chart 8">
          <a:extLst>
            <a:ext uri="{FF2B5EF4-FFF2-40B4-BE49-F238E27FC236}">
              <a16:creationId xmlns:a16="http://schemas.microsoft.com/office/drawing/2014/main" id="{BD085A2A-31AB-4847-A1CF-9F77C945CC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697785</xdr:colOff>
      <xdr:row>56</xdr:row>
      <xdr:rowOff>116363</xdr:rowOff>
    </xdr:from>
    <xdr:to>
      <xdr:col>44</xdr:col>
      <xdr:colOff>499675</xdr:colOff>
      <xdr:row>71</xdr:row>
      <xdr:rowOff>153607</xdr:rowOff>
    </xdr:to>
    <xdr:graphicFrame macro="">
      <xdr:nvGraphicFramePr>
        <xdr:cNvPr id="10" name="Chart 9">
          <a:extLst>
            <a:ext uri="{FF2B5EF4-FFF2-40B4-BE49-F238E27FC236}">
              <a16:creationId xmlns:a16="http://schemas.microsoft.com/office/drawing/2014/main" id="{030DC42E-5B51-4F3C-A0A3-A2A1462756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44</xdr:col>
      <xdr:colOff>315189</xdr:colOff>
      <xdr:row>57</xdr:row>
      <xdr:rowOff>135651</xdr:rowOff>
    </xdr:from>
    <xdr:to>
      <xdr:col>48</xdr:col>
      <xdr:colOff>1536164</xdr:colOff>
      <xdr:row>73</xdr:row>
      <xdr:rowOff>13941</xdr:rowOff>
    </xdr:to>
    <xdr:graphicFrame macro="">
      <xdr:nvGraphicFramePr>
        <xdr:cNvPr id="11" name="Chart 10">
          <a:extLst>
            <a:ext uri="{FF2B5EF4-FFF2-40B4-BE49-F238E27FC236}">
              <a16:creationId xmlns:a16="http://schemas.microsoft.com/office/drawing/2014/main" id="{23512F55-06C8-4767-BFD3-5402DACC37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1345096</xdr:colOff>
      <xdr:row>57</xdr:row>
      <xdr:rowOff>177579</xdr:rowOff>
    </xdr:from>
    <xdr:to>
      <xdr:col>17</xdr:col>
      <xdr:colOff>498960</xdr:colOff>
      <xdr:row>72</xdr:row>
      <xdr:rowOff>119009</xdr:rowOff>
    </xdr:to>
    <xdr:graphicFrame macro="">
      <xdr:nvGraphicFramePr>
        <xdr:cNvPr id="2" name="Chart 1">
          <a:extLst>
            <a:ext uri="{FF2B5EF4-FFF2-40B4-BE49-F238E27FC236}">
              <a16:creationId xmlns:a16="http://schemas.microsoft.com/office/drawing/2014/main" id="{7E01993A-CD02-49EF-9522-83C4E0AE54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135</xdr:col>
      <xdr:colOff>1016000</xdr:colOff>
      <xdr:row>195</xdr:row>
      <xdr:rowOff>142875</xdr:rowOff>
    </xdr:from>
    <xdr:to>
      <xdr:col>140</xdr:col>
      <xdr:colOff>682625</xdr:colOff>
      <xdr:row>204</xdr:row>
      <xdr:rowOff>111125</xdr:rowOff>
    </xdr:to>
    <xdr:sp macro="" textlink="">
      <xdr:nvSpPr>
        <xdr:cNvPr id="7" name="Rectangle: Rounded Corners 6">
          <a:extLst>
            <a:ext uri="{FF2B5EF4-FFF2-40B4-BE49-F238E27FC236}">
              <a16:creationId xmlns:a16="http://schemas.microsoft.com/office/drawing/2014/main" id="{FC1250F0-424B-4153-9E42-2930E70FB591}"/>
            </a:ext>
          </a:extLst>
        </xdr:cNvPr>
        <xdr:cNvSpPr/>
      </xdr:nvSpPr>
      <xdr:spPr>
        <a:xfrm>
          <a:off x="86931500" y="28606750"/>
          <a:ext cx="5857875" cy="16827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solidFill>
                <a:srgbClr val="FF0000"/>
              </a:solidFill>
            </a:rPr>
            <a:t>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21</xdr:col>
      <xdr:colOff>740833</xdr:colOff>
      <xdr:row>8</xdr:row>
      <xdr:rowOff>95251</xdr:rowOff>
    </xdr:from>
    <xdr:to>
      <xdr:col>29</xdr:col>
      <xdr:colOff>243400</xdr:colOff>
      <xdr:row>24</xdr:row>
      <xdr:rowOff>165250</xdr:rowOff>
    </xdr:to>
    <xdr:graphicFrame macro="">
      <xdr:nvGraphicFramePr>
        <xdr:cNvPr id="5" name="Chart 3">
          <a:extLst>
            <a:ext uri="{FF2B5EF4-FFF2-40B4-BE49-F238E27FC236}">
              <a16:creationId xmlns:a16="http://schemas.microsoft.com/office/drawing/2014/main" id="{68EB7B7D-2D73-47F2-964E-DED35016E2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857250</xdr:colOff>
      <xdr:row>29</xdr:row>
      <xdr:rowOff>85725</xdr:rowOff>
    </xdr:from>
    <xdr:to>
      <xdr:col>30</xdr:col>
      <xdr:colOff>85725</xdr:colOff>
      <xdr:row>48</xdr:row>
      <xdr:rowOff>9525</xdr:rowOff>
    </xdr:to>
    <xdr:graphicFrame macro="">
      <xdr:nvGraphicFramePr>
        <xdr:cNvPr id="6" name="Chart 5">
          <a:extLst>
            <a:ext uri="{FF2B5EF4-FFF2-40B4-BE49-F238E27FC236}">
              <a16:creationId xmlns:a16="http://schemas.microsoft.com/office/drawing/2014/main" id="{907FE872-3904-4DB2-A4C8-A9FB464C941E}"/>
            </a:ext>
            <a:ext uri="{147F2762-F138-4A5C-976F-8EAC2B608ADB}">
              <a16:predDERef xmlns:a16="http://schemas.microsoft.com/office/drawing/2014/main" pred="{68EB7B7D-2D73-47F2-964E-DED35016E2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35</xdr:col>
      <xdr:colOff>885825</xdr:colOff>
      <xdr:row>59</xdr:row>
      <xdr:rowOff>40481</xdr:rowOff>
    </xdr:from>
    <xdr:to>
      <xdr:col>40</xdr:col>
      <xdr:colOff>1028700</xdr:colOff>
      <xdr:row>78</xdr:row>
      <xdr:rowOff>50007</xdr:rowOff>
    </xdr:to>
    <xdr:graphicFrame macro="">
      <xdr:nvGraphicFramePr>
        <xdr:cNvPr id="25" name="Chart 2">
          <a:extLst>
            <a:ext uri="{FF2B5EF4-FFF2-40B4-BE49-F238E27FC236}">
              <a16:creationId xmlns:a16="http://schemas.microsoft.com/office/drawing/2014/main" id="{1A47468D-C8BE-4317-9558-7CA6C0D43F96}"/>
            </a:ext>
            <a:ext uri="{147F2762-F138-4A5C-976F-8EAC2B608ADB}">
              <a16:predDERef xmlns:a16="http://schemas.microsoft.com/office/drawing/2014/main" pred="{193EF0AD-5D7E-4396-8380-F2315D6F0B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13618035_office_itb_ac_id/Documents/JURUSAN/Perancangan%20Sistem%20Aviasi%20(Group%201)/Cost%20Analysis/Cost%20Analysis%20per%20Route%20+%20Macr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ersonal/13618035_office_itb_ac_id/Documents/JURUSAN/Perancangan%20Sistem%20Aviasi%20(Group%201)/Market%20Share/Aglis%20Air%20Market%20Share%20with%20Macro.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ersonal/13618035_office_itb_ac_id/Documents/JURUSAN/Perancangan%20Sistem%20Aviasi%20(Group%201)/Crew/Crew%20Rotat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glis%20Air%20Market%20Share%20(29%20Nov%20202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Calcu%20Detail%20Every%20Cos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st Formula"/>
      <sheetName val="Aircrafts candidate data"/>
      <sheetName val="Maintenance Cost"/>
      <sheetName val="Block time &amp; Fuel"/>
      <sheetName val="Parking &amp; Landing Fee"/>
      <sheetName val="cost rute lama"/>
      <sheetName val="cost rute baru"/>
      <sheetName val="Spec Aircraft Rapi"/>
      <sheetName val="Aglis Market Share"/>
      <sheetName val="Profit per year"/>
      <sheetName val="No. of aircraft simpld"/>
      <sheetName val="No. of aircraft"/>
      <sheetName val="Palletes"/>
      <sheetName val="BEP Price Each Aircraft"/>
    </sheetNames>
    <sheetDataSet>
      <sheetData sheetId="0"/>
      <sheetData sheetId="1">
        <row r="58">
          <cell r="N58">
            <v>2400</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Aglis Market Share"/>
      <sheetName val="Total Tonnage"/>
      <sheetName val="Aglis Total Tonnage"/>
      <sheetName val="Aglis Load Factor"/>
    </sheetNames>
    <sheetDataSet>
      <sheetData sheetId="0"/>
      <sheetData sheetId="1"/>
      <sheetData sheetId="2"/>
      <sheetData sheetId="3">
        <row r="4">
          <cell r="B4" t="str">
            <v>PLM-SUB</v>
          </cell>
          <cell r="C4">
            <v>2.0958070606432724</v>
          </cell>
          <cell r="D4">
            <v>4.1916141212865448</v>
          </cell>
          <cell r="E4">
            <v>6.287421181929818</v>
          </cell>
          <cell r="F4">
            <v>8.3832282425730895</v>
          </cell>
          <cell r="G4">
            <v>11.526938833537999</v>
          </cell>
          <cell r="H4">
            <v>11.526938833537999</v>
          </cell>
          <cell r="I4">
            <v>11.526938833537999</v>
          </cell>
          <cell r="J4">
            <v>11.526938833537999</v>
          </cell>
          <cell r="K4">
            <v>12.679632716891799</v>
          </cell>
          <cell r="L4">
            <v>12.679632716891799</v>
          </cell>
          <cell r="M4">
            <v>12.679632716891799</v>
          </cell>
          <cell r="N4">
            <v>12.679632716891799</v>
          </cell>
          <cell r="O4">
            <v>13.94759598858098</v>
          </cell>
          <cell r="P4">
            <v>13.94759598858098</v>
          </cell>
          <cell r="Q4">
            <v>13.94759598858098</v>
          </cell>
          <cell r="R4">
            <v>13.94759598858098</v>
          </cell>
          <cell r="S4">
            <v>15.34235558743908</v>
          </cell>
          <cell r="T4">
            <v>15.34235558743908</v>
          </cell>
          <cell r="U4">
            <v>15.34235558743908</v>
          </cell>
          <cell r="V4">
            <v>15.34235558743908</v>
          </cell>
        </row>
        <row r="5">
          <cell r="B5" t="str">
            <v>SUB-CGK</v>
          </cell>
          <cell r="C5">
            <v>2.3652482191780826</v>
          </cell>
          <cell r="D5">
            <v>4.7304964383561652</v>
          </cell>
          <cell r="E5">
            <v>7.0957446575342482</v>
          </cell>
          <cell r="F5">
            <v>9.4609928767123304</v>
          </cell>
          <cell r="G5">
            <v>13.008865205479454</v>
          </cell>
          <cell r="H5">
            <v>13.008865205479454</v>
          </cell>
          <cell r="I5">
            <v>13.008865205479454</v>
          </cell>
          <cell r="J5">
            <v>13.008865205479454</v>
          </cell>
          <cell r="K5">
            <v>14.3097517260274</v>
          </cell>
          <cell r="L5">
            <v>14.3097517260274</v>
          </cell>
          <cell r="M5">
            <v>14.3097517260274</v>
          </cell>
          <cell r="N5">
            <v>14.3097517260274</v>
          </cell>
          <cell r="O5">
            <v>15.740726898630141</v>
          </cell>
          <cell r="P5">
            <v>15.740726898630141</v>
          </cell>
          <cell r="Q5">
            <v>15.740726898630141</v>
          </cell>
          <cell r="R5">
            <v>15.740726898630141</v>
          </cell>
          <cell r="S5">
            <v>17.314799588493155</v>
          </cell>
          <cell r="T5">
            <v>17.314799588493155</v>
          </cell>
          <cell r="U5">
            <v>17.314799588493155</v>
          </cell>
          <cell r="V5">
            <v>17.314799588493155</v>
          </cell>
        </row>
        <row r="6">
          <cell r="B6" t="str">
            <v>CGK-PKY</v>
          </cell>
          <cell r="C6">
            <v>1.4809733031963468</v>
          </cell>
          <cell r="D6">
            <v>2.9619466063926936</v>
          </cell>
          <cell r="E6">
            <v>4.4429199095890413</v>
          </cell>
          <cell r="F6">
            <v>5.9238932127853872</v>
          </cell>
          <cell r="G6">
            <v>8.1453531675799073</v>
          </cell>
          <cell r="H6">
            <v>8.1453531675799073</v>
          </cell>
          <cell r="I6">
            <v>8.1453531675799073</v>
          </cell>
          <cell r="J6">
            <v>8.1453531675799073</v>
          </cell>
          <cell r="K6">
            <v>8.959888484337899</v>
          </cell>
          <cell r="L6">
            <v>8.959888484337899</v>
          </cell>
          <cell r="M6">
            <v>8.959888484337899</v>
          </cell>
          <cell r="N6">
            <v>8.959888484337899</v>
          </cell>
          <cell r="O6">
            <v>9.8558773327716889</v>
          </cell>
          <cell r="P6">
            <v>9.8558773327716889</v>
          </cell>
          <cell r="Q6">
            <v>9.8558773327716889</v>
          </cell>
          <cell r="R6">
            <v>9.8558773327716889</v>
          </cell>
          <cell r="S6">
            <v>10.841465066048858</v>
          </cell>
          <cell r="T6">
            <v>10.841465066048858</v>
          </cell>
          <cell r="U6">
            <v>10.841465066048858</v>
          </cell>
          <cell r="V6">
            <v>10.841465066048858</v>
          </cell>
        </row>
        <row r="7">
          <cell r="B7" t="str">
            <v>PKY-CGK</v>
          </cell>
          <cell r="C7">
            <v>1.8032417554794524</v>
          </cell>
          <cell r="D7">
            <v>5.4097252664383584</v>
          </cell>
          <cell r="E7">
            <v>9.0162087773972619</v>
          </cell>
          <cell r="F7">
            <v>12.622692288356166</v>
          </cell>
          <cell r="G7">
            <v>17.852093379246579</v>
          </cell>
          <cell r="H7">
            <v>19.835659310273979</v>
          </cell>
          <cell r="I7">
            <v>19.835659310273979</v>
          </cell>
          <cell r="J7">
            <v>19.835659310273979</v>
          </cell>
          <cell r="K7">
            <v>21.819225241301378</v>
          </cell>
          <cell r="L7">
            <v>21.819225241301378</v>
          </cell>
          <cell r="M7">
            <v>21.819225241301378</v>
          </cell>
          <cell r="N7">
            <v>21.819225241301378</v>
          </cell>
          <cell r="O7">
            <v>24.001147765431519</v>
          </cell>
          <cell r="P7">
            <v>24.001147765431519</v>
          </cell>
          <cell r="Q7">
            <v>24.001147765431519</v>
          </cell>
          <cell r="R7">
            <v>24.001147765431519</v>
          </cell>
          <cell r="S7">
            <v>26.401262541974674</v>
          </cell>
          <cell r="T7">
            <v>26.401262541974674</v>
          </cell>
          <cell r="U7">
            <v>26.401262541974674</v>
          </cell>
          <cell r="V7">
            <v>26.401262541974674</v>
          </cell>
        </row>
        <row r="8">
          <cell r="B8" t="str">
            <v>CGK-PLM</v>
          </cell>
          <cell r="C8">
            <v>0.69094676506849295</v>
          </cell>
          <cell r="D8">
            <v>1.6122091184931502</v>
          </cell>
          <cell r="E8">
            <v>2.533471471917808</v>
          </cell>
          <cell r="F8">
            <v>3.4547338253424646</v>
          </cell>
          <cell r="G8">
            <v>4.8135957966438347</v>
          </cell>
          <cell r="H8">
            <v>5.0669429438356159</v>
          </cell>
          <cell r="I8">
            <v>5.0669429438356159</v>
          </cell>
          <cell r="J8">
            <v>5.0669429438356159</v>
          </cell>
          <cell r="K8">
            <v>5.5736372382191783</v>
          </cell>
          <cell r="L8">
            <v>5.5736372382191783</v>
          </cell>
          <cell r="M8">
            <v>5.5736372382191783</v>
          </cell>
          <cell r="N8">
            <v>5.5736372382191783</v>
          </cell>
          <cell r="O8">
            <v>6.1310009620410968</v>
          </cell>
          <cell r="P8">
            <v>6.1310009620410968</v>
          </cell>
          <cell r="Q8">
            <v>6.1310009620410968</v>
          </cell>
          <cell r="R8">
            <v>6.1310009620410968</v>
          </cell>
          <cell r="S8">
            <v>6.7441010582452074</v>
          </cell>
          <cell r="T8">
            <v>6.7441010582452074</v>
          </cell>
          <cell r="U8">
            <v>6.7441010582452074</v>
          </cell>
          <cell r="V8">
            <v>6.7441010582452074</v>
          </cell>
        </row>
        <row r="9">
          <cell r="B9" t="str">
            <v>MDC-SRG</v>
          </cell>
          <cell r="C9">
            <v>11.055</v>
          </cell>
          <cell r="D9">
            <v>10.050000000000001</v>
          </cell>
          <cell r="E9">
            <v>12.06</v>
          </cell>
          <cell r="F9">
            <v>14.07</v>
          </cell>
          <cell r="G9">
            <v>17.688000000000002</v>
          </cell>
          <cell r="H9">
            <v>17.688000000000002</v>
          </cell>
          <cell r="I9">
            <v>17.688000000000002</v>
          </cell>
          <cell r="J9">
            <v>17.688000000000002</v>
          </cell>
          <cell r="K9">
            <v>19.456800000000005</v>
          </cell>
          <cell r="L9">
            <v>19.456800000000005</v>
          </cell>
          <cell r="M9">
            <v>19.456800000000005</v>
          </cell>
          <cell r="N9">
            <v>19.456800000000005</v>
          </cell>
          <cell r="O9">
            <v>21.402480000000008</v>
          </cell>
          <cell r="P9">
            <v>21.402480000000008</v>
          </cell>
          <cell r="Q9">
            <v>21.402480000000008</v>
          </cell>
          <cell r="R9">
            <v>21.402480000000008</v>
          </cell>
          <cell r="S9">
            <v>23.542728000000011</v>
          </cell>
          <cell r="T9">
            <v>23.542728000000011</v>
          </cell>
          <cell r="U9">
            <v>23.542728000000011</v>
          </cell>
          <cell r="V9">
            <v>23.542728000000011</v>
          </cell>
        </row>
        <row r="10">
          <cell r="B10" t="str">
            <v>SRG-KDI</v>
          </cell>
          <cell r="C10">
            <v>4.75</v>
          </cell>
          <cell r="D10">
            <v>5.7</v>
          </cell>
          <cell r="E10">
            <v>6.6499999999999995</v>
          </cell>
          <cell r="F10">
            <v>7.6</v>
          </cell>
          <cell r="G10">
            <v>8.3600000000000012</v>
          </cell>
          <cell r="H10">
            <v>8.3600000000000012</v>
          </cell>
          <cell r="I10">
            <v>8.3600000000000012</v>
          </cell>
          <cell r="J10">
            <v>8.3600000000000012</v>
          </cell>
          <cell r="K10">
            <v>9.1960000000000033</v>
          </cell>
          <cell r="L10">
            <v>9.1960000000000033</v>
          </cell>
          <cell r="M10">
            <v>9.1960000000000033</v>
          </cell>
          <cell r="N10">
            <v>9.1960000000000033</v>
          </cell>
          <cell r="O10">
            <v>10.115600000000004</v>
          </cell>
          <cell r="P10">
            <v>10.115600000000004</v>
          </cell>
          <cell r="Q10">
            <v>10.115600000000004</v>
          </cell>
          <cell r="R10">
            <v>10.115600000000004</v>
          </cell>
          <cell r="S10">
            <v>11.127160000000005</v>
          </cell>
          <cell r="T10">
            <v>11.127160000000005</v>
          </cell>
          <cell r="U10">
            <v>11.127160000000005</v>
          </cell>
          <cell r="V10">
            <v>11.127160000000005</v>
          </cell>
        </row>
        <row r="11">
          <cell r="B11" t="str">
            <v>KDI-PNK</v>
          </cell>
          <cell r="C11">
            <v>14.2</v>
          </cell>
          <cell r="D11">
            <v>17.04</v>
          </cell>
          <cell r="E11">
            <v>19.88</v>
          </cell>
          <cell r="F11">
            <v>22.719999999999995</v>
          </cell>
          <cell r="G11">
            <v>24.992000000000004</v>
          </cell>
          <cell r="H11">
            <v>24.992000000000004</v>
          </cell>
          <cell r="I11">
            <v>24.992000000000004</v>
          </cell>
          <cell r="J11">
            <v>24.992000000000004</v>
          </cell>
          <cell r="K11">
            <v>27.491200000000006</v>
          </cell>
          <cell r="L11">
            <v>27.491200000000006</v>
          </cell>
          <cell r="M11">
            <v>27.491200000000006</v>
          </cell>
          <cell r="N11">
            <v>27.491200000000006</v>
          </cell>
          <cell r="O11">
            <v>30.240320000000011</v>
          </cell>
          <cell r="P11">
            <v>30.240320000000011</v>
          </cell>
          <cell r="Q11">
            <v>30.240320000000011</v>
          </cell>
          <cell r="R11">
            <v>30.240320000000011</v>
          </cell>
          <cell r="S11">
            <v>33.264352000000017</v>
          </cell>
          <cell r="T11">
            <v>33.264352000000017</v>
          </cell>
          <cell r="U11">
            <v>33.264352000000017</v>
          </cell>
          <cell r="V11">
            <v>33.264352000000017</v>
          </cell>
        </row>
        <row r="12">
          <cell r="B12" t="str">
            <v>PNK-MDC</v>
          </cell>
          <cell r="C12">
            <v>6.1199999999999992</v>
          </cell>
          <cell r="D12">
            <v>7.4799999999999986</v>
          </cell>
          <cell r="E12">
            <v>8.8399999999999981</v>
          </cell>
          <cell r="F12">
            <v>10.199999999999998</v>
          </cell>
          <cell r="G12">
            <v>11.968000000000002</v>
          </cell>
          <cell r="H12">
            <v>11.968000000000002</v>
          </cell>
          <cell r="I12">
            <v>11.968000000000002</v>
          </cell>
          <cell r="J12">
            <v>11.968000000000002</v>
          </cell>
          <cell r="K12">
            <v>13.164800000000003</v>
          </cell>
          <cell r="L12">
            <v>13.164800000000003</v>
          </cell>
          <cell r="M12">
            <v>13.164800000000003</v>
          </cell>
          <cell r="N12">
            <v>13.164800000000003</v>
          </cell>
          <cell r="O12">
            <v>14.481280000000005</v>
          </cell>
          <cell r="P12">
            <v>14.481280000000005</v>
          </cell>
          <cell r="Q12">
            <v>14.481280000000005</v>
          </cell>
          <cell r="R12">
            <v>14.481280000000005</v>
          </cell>
          <cell r="S12">
            <v>15.929408000000008</v>
          </cell>
          <cell r="T12">
            <v>15.929408000000008</v>
          </cell>
          <cell r="U12">
            <v>15.929408000000008</v>
          </cell>
          <cell r="V12">
            <v>15.929408000000008</v>
          </cell>
        </row>
        <row r="13">
          <cell r="B13" t="str">
            <v>TTE-KNO</v>
          </cell>
          <cell r="C13">
            <v>0</v>
          </cell>
          <cell r="D13">
            <v>0</v>
          </cell>
          <cell r="E13">
            <v>0</v>
          </cell>
          <cell r="F13">
            <v>0</v>
          </cell>
          <cell r="G13">
            <v>0</v>
          </cell>
          <cell r="H13">
            <v>0</v>
          </cell>
          <cell r="I13">
            <v>0</v>
          </cell>
          <cell r="J13">
            <v>0</v>
          </cell>
          <cell r="K13">
            <v>13.118303516178496</v>
          </cell>
          <cell r="L13">
            <v>15.503449610029133</v>
          </cell>
          <cell r="M13">
            <v>17.888595703879769</v>
          </cell>
          <cell r="N13">
            <v>19.081168750805087</v>
          </cell>
          <cell r="O13">
            <v>20.9892856258856</v>
          </cell>
          <cell r="P13">
            <v>20.9892856258856</v>
          </cell>
          <cell r="Q13">
            <v>20.9892856258856</v>
          </cell>
          <cell r="R13">
            <v>20.9892856258856</v>
          </cell>
          <cell r="S13">
            <v>23.088214188474161</v>
          </cell>
          <cell r="T13">
            <v>23.088214188474161</v>
          </cell>
          <cell r="U13">
            <v>23.088214188474161</v>
          </cell>
          <cell r="V13">
            <v>23.088214188474161</v>
          </cell>
        </row>
        <row r="14">
          <cell r="B14" t="str">
            <v>KNO-PKU</v>
          </cell>
          <cell r="C14">
            <v>0</v>
          </cell>
          <cell r="D14">
            <v>0</v>
          </cell>
          <cell r="E14">
            <v>0</v>
          </cell>
          <cell r="F14">
            <v>0</v>
          </cell>
          <cell r="G14">
            <v>0</v>
          </cell>
          <cell r="H14">
            <v>0</v>
          </cell>
          <cell r="I14">
            <v>0</v>
          </cell>
          <cell r="J14">
            <v>0</v>
          </cell>
          <cell r="K14">
            <v>8.8558866734589063</v>
          </cell>
          <cell r="L14">
            <v>10.121013341095894</v>
          </cell>
          <cell r="M14">
            <v>10.121013341095896</v>
          </cell>
          <cell r="N14">
            <v>10.121013341095896</v>
          </cell>
          <cell r="O14">
            <v>11.133114675205485</v>
          </cell>
          <cell r="P14">
            <v>11.133114675205485</v>
          </cell>
          <cell r="Q14">
            <v>11.133114675205485</v>
          </cell>
          <cell r="R14">
            <v>11.133114675205485</v>
          </cell>
          <cell r="S14">
            <v>12.246426142726035</v>
          </cell>
          <cell r="T14">
            <v>12.246426142726035</v>
          </cell>
          <cell r="U14">
            <v>12.246426142726035</v>
          </cell>
          <cell r="V14">
            <v>12.246426142726035</v>
          </cell>
        </row>
        <row r="15">
          <cell r="B15" t="str">
            <v>PKU-BDO</v>
          </cell>
          <cell r="C15">
            <v>0</v>
          </cell>
          <cell r="D15">
            <v>0</v>
          </cell>
          <cell r="E15">
            <v>0</v>
          </cell>
          <cell r="F15">
            <v>0</v>
          </cell>
          <cell r="G15">
            <v>0</v>
          </cell>
          <cell r="H15">
            <v>0</v>
          </cell>
          <cell r="I15">
            <v>0</v>
          </cell>
          <cell r="J15">
            <v>0</v>
          </cell>
          <cell r="K15">
            <v>9.0408668323630135</v>
          </cell>
          <cell r="L15">
            <v>10.332419236986302</v>
          </cell>
          <cell r="M15">
            <v>10.332419236986304</v>
          </cell>
          <cell r="N15">
            <v>10.332419236986304</v>
          </cell>
          <cell r="O15">
            <v>11.365661160684935</v>
          </cell>
          <cell r="P15">
            <v>11.365661160684935</v>
          </cell>
          <cell r="Q15">
            <v>11.365661160684935</v>
          </cell>
          <cell r="R15">
            <v>11.365661160684935</v>
          </cell>
          <cell r="S15">
            <v>12.50222727675343</v>
          </cell>
          <cell r="T15">
            <v>12.50222727675343</v>
          </cell>
          <cell r="U15">
            <v>12.50222727675343</v>
          </cell>
          <cell r="V15">
            <v>12.50222727675343</v>
          </cell>
        </row>
        <row r="16">
          <cell r="B16" t="str">
            <v>BDO-TTE</v>
          </cell>
          <cell r="C16">
            <v>0</v>
          </cell>
          <cell r="D16">
            <v>0</v>
          </cell>
          <cell r="E16">
            <v>0</v>
          </cell>
          <cell r="F16">
            <v>0</v>
          </cell>
          <cell r="G16">
            <v>0</v>
          </cell>
          <cell r="H16">
            <v>0</v>
          </cell>
          <cell r="I16">
            <v>0</v>
          </cell>
          <cell r="J16">
            <v>0</v>
          </cell>
          <cell r="K16">
            <v>4.0279205999999999</v>
          </cell>
          <cell r="L16">
            <v>4.9230140666666662</v>
          </cell>
          <cell r="M16">
            <v>5.8181075333333325</v>
          </cell>
          <cell r="N16">
            <v>6.7132009999999989</v>
          </cell>
          <cell r="O16">
            <v>7.8768225066666675</v>
          </cell>
          <cell r="P16">
            <v>7.8768225066666675</v>
          </cell>
          <cell r="Q16">
            <v>7.8768225066666675</v>
          </cell>
          <cell r="R16">
            <v>7.8768225066666675</v>
          </cell>
          <cell r="S16">
            <v>8.6645047573333347</v>
          </cell>
          <cell r="T16">
            <v>8.6645047573333347</v>
          </cell>
          <cell r="U16">
            <v>8.6645047573333347</v>
          </cell>
          <cell r="V16">
            <v>8.6645047573333347</v>
          </cell>
        </row>
        <row r="17">
          <cell r="B17" t="str">
            <v>LOP-TIM</v>
          </cell>
          <cell r="C17">
            <v>0</v>
          </cell>
          <cell r="D17">
            <v>0</v>
          </cell>
          <cell r="E17">
            <v>0</v>
          </cell>
          <cell r="F17">
            <v>0</v>
          </cell>
          <cell r="G17">
            <v>0</v>
          </cell>
          <cell r="H17">
            <v>0</v>
          </cell>
          <cell r="I17">
            <v>0</v>
          </cell>
          <cell r="J17">
            <v>0</v>
          </cell>
          <cell r="K17">
            <v>0</v>
          </cell>
          <cell r="L17">
            <v>0</v>
          </cell>
          <cell r="M17">
            <v>0</v>
          </cell>
          <cell r="N17">
            <v>0</v>
          </cell>
          <cell r="O17">
            <v>9.2867541097714223</v>
          </cell>
          <cell r="P17">
            <v>10.715485511274718</v>
          </cell>
          <cell r="Q17">
            <v>11.429851212026369</v>
          </cell>
          <cell r="R17">
            <v>11.429851212026369</v>
          </cell>
          <cell r="S17">
            <v>12.572836333229006</v>
          </cell>
          <cell r="T17">
            <v>12.572836333229006</v>
          </cell>
          <cell r="U17">
            <v>12.572836333229006</v>
          </cell>
          <cell r="V17">
            <v>12.572836333229006</v>
          </cell>
        </row>
        <row r="18">
          <cell r="B18" t="str">
            <v>TIM-AMQ</v>
          </cell>
          <cell r="C18">
            <v>0</v>
          </cell>
          <cell r="D18">
            <v>0</v>
          </cell>
          <cell r="E18">
            <v>0</v>
          </cell>
          <cell r="F18">
            <v>0</v>
          </cell>
          <cell r="G18">
            <v>0</v>
          </cell>
          <cell r="H18">
            <v>0</v>
          </cell>
          <cell r="I18">
            <v>0</v>
          </cell>
          <cell r="J18">
            <v>0</v>
          </cell>
          <cell r="K18">
            <v>0</v>
          </cell>
          <cell r="L18">
            <v>0</v>
          </cell>
          <cell r="M18">
            <v>0</v>
          </cell>
          <cell r="N18">
            <v>0</v>
          </cell>
          <cell r="O18">
            <v>10.153506880000018</v>
          </cell>
          <cell r="P18">
            <v>11.845758026666688</v>
          </cell>
          <cell r="Q18">
            <v>13.538009173333357</v>
          </cell>
          <cell r="R18">
            <v>13.538009173333359</v>
          </cell>
          <cell r="S18">
            <v>14.891810090666695</v>
          </cell>
          <cell r="T18">
            <v>14.891810090666695</v>
          </cell>
          <cell r="U18">
            <v>14.891810090666695</v>
          </cell>
          <cell r="V18">
            <v>14.891810090666695</v>
          </cell>
        </row>
      </sheetData>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ulation"/>
      <sheetName val="Jadwal"/>
      <sheetName val="Scheduling"/>
      <sheetName val="Jadwal Rotation"/>
      <sheetName val="gajelas"/>
      <sheetName val="Crew Accomodation"/>
    </sheetNames>
    <sheetDataSet>
      <sheetData sheetId="0"/>
      <sheetData sheetId="1"/>
      <sheetData sheetId="2"/>
      <sheetData sheetId="3"/>
      <sheetData sheetId="4"/>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Aglis Market Share"/>
      <sheetName val="Total Tonnage"/>
      <sheetName val="Aglis Total Tonnage"/>
      <sheetName val="Aglis Load Factor"/>
      <sheetName val="BEP"/>
      <sheetName val="Sheet2"/>
    </sheetNames>
    <sheetDataSet>
      <sheetData sheetId="0"/>
      <sheetData sheetId="1"/>
      <sheetData sheetId="2"/>
      <sheetData sheetId="3">
        <row r="4">
          <cell r="C4">
            <v>7.1000000000000005</v>
          </cell>
          <cell r="D4">
            <v>6.6370799999999983</v>
          </cell>
          <cell r="E4">
            <v>7.037519999999998</v>
          </cell>
          <cell r="F4">
            <v>7.4493199999999993</v>
          </cell>
          <cell r="G4">
            <v>8.2037102870813428</v>
          </cell>
          <cell r="H4">
            <v>8.4346921037089668</v>
          </cell>
          <cell r="I4">
            <v>8.5769596650717741</v>
          </cell>
          <cell r="J4">
            <v>8.7635843540669924</v>
          </cell>
          <cell r="K4">
            <v>8.9873220000000007</v>
          </cell>
          <cell r="L4">
            <v>9.0907377599999997</v>
          </cell>
          <cell r="M4">
            <v>9.2519305019305058</v>
          </cell>
          <cell r="N4">
            <v>9.2519305019305058</v>
          </cell>
          <cell r="O4">
            <v>9.4369691119691161</v>
          </cell>
          <cell r="P4">
            <v>9.4369691119691161</v>
          </cell>
          <cell r="Q4">
            <v>9.4369691119691161</v>
          </cell>
          <cell r="R4">
            <v>9.4282671024000013</v>
          </cell>
          <cell r="S4">
            <v>9.6219559566720001</v>
          </cell>
          <cell r="T4">
            <v>9.6257084942084976</v>
          </cell>
          <cell r="U4">
            <v>9.6257084942084976</v>
          </cell>
          <cell r="V4">
            <v>9.6257084942084976</v>
          </cell>
          <cell r="W4">
            <v>9.8300730232108808</v>
          </cell>
          <cell r="X4">
            <v>9.8300730232108791</v>
          </cell>
          <cell r="Y4">
            <v>9.8300730232108791</v>
          </cell>
          <cell r="Z4">
            <v>9.8300730232108791</v>
          </cell>
          <cell r="AA4">
            <v>10.026674483675098</v>
          </cell>
          <cell r="AB4">
            <v>10.0266744836751</v>
          </cell>
          <cell r="AC4">
            <v>10.053326994264348</v>
          </cell>
          <cell r="AD4">
            <v>10.014587117374521</v>
          </cell>
          <cell r="AE4">
            <v>10.214878859722013</v>
          </cell>
          <cell r="AF4">
            <v>10.214878859722013</v>
          </cell>
          <cell r="AG4">
            <v>10.2272079733486</v>
          </cell>
          <cell r="AH4">
            <v>10.2272079733486</v>
          </cell>
          <cell r="AI4">
            <v>10.392931151991696</v>
          </cell>
          <cell r="AJ4">
            <v>10.392931151991698</v>
          </cell>
          <cell r="AK4">
            <v>10.392931151991698</v>
          </cell>
          <cell r="AL4">
            <v>10.392931151991698</v>
          </cell>
          <cell r="AM4">
            <v>10.549878831608222</v>
          </cell>
          <cell r="AN4">
            <v>10.549878831608222</v>
          </cell>
          <cell r="AO4">
            <v>10.549878831608222</v>
          </cell>
          <cell r="AP4">
            <v>10.549878831608222</v>
          </cell>
        </row>
        <row r="5">
          <cell r="C5">
            <v>12</v>
          </cell>
          <cell r="D5">
            <v>12.403866666666666</v>
          </cell>
          <cell r="E5">
            <v>12.706400000000002</v>
          </cell>
          <cell r="F5">
            <v>13.008933333333333</v>
          </cell>
          <cell r="G5">
            <v>14.209070901210247</v>
          </cell>
          <cell r="H5">
            <v>14.609138296876401</v>
          </cell>
          <cell r="I5">
            <v>14.855549956431187</v>
          </cell>
          <cell r="J5">
            <v>15.17878948404166</v>
          </cell>
          <cell r="K5">
            <v>15.860825768244529</v>
          </cell>
          <cell r="L5">
            <v>15.997265153844529</v>
          </cell>
          <cell r="M5">
            <v>16.133704539444526</v>
          </cell>
          <cell r="N5">
            <v>16.270143925044525</v>
          </cell>
          <cell r="O5">
            <v>16.270143925044525</v>
          </cell>
          <cell r="P5">
            <v>16.270143925044525</v>
          </cell>
          <cell r="Q5">
            <v>16.270143925044525</v>
          </cell>
          <cell r="R5">
            <v>16.270143925044525</v>
          </cell>
          <cell r="S5">
            <v>16.270143925044525</v>
          </cell>
          <cell r="T5">
            <v>16.270143925044525</v>
          </cell>
          <cell r="U5">
            <v>16.374097742644526</v>
          </cell>
          <cell r="V5">
            <v>16.374097742644526</v>
          </cell>
          <cell r="W5">
            <v>16.374097742644526</v>
          </cell>
          <cell r="X5">
            <v>16.478051560244527</v>
          </cell>
          <cell r="Y5">
            <v>16.478051560244527</v>
          </cell>
          <cell r="Z5">
            <v>16.478051560244527</v>
          </cell>
          <cell r="AA5">
            <v>16.478051560244527</v>
          </cell>
          <cell r="AB5">
            <v>16.478051560244527</v>
          </cell>
          <cell r="AC5">
            <v>15.997174054352177</v>
          </cell>
          <cell r="AD5">
            <v>15.997174054352177</v>
          </cell>
          <cell r="AE5">
            <v>15.997174054352177</v>
          </cell>
          <cell r="AF5">
            <v>15.997174054352177</v>
          </cell>
          <cell r="AG5">
            <v>16.517034241844524</v>
          </cell>
          <cell r="AH5">
            <v>16.588502491444526</v>
          </cell>
          <cell r="AI5">
            <v>16.471554446644525</v>
          </cell>
          <cell r="AJ5">
            <v>16.471554446644525</v>
          </cell>
          <cell r="AK5">
            <v>16.471554446644525</v>
          </cell>
          <cell r="AL5">
            <v>16.543022696244524</v>
          </cell>
          <cell r="AM5">
            <v>16.413080424244527</v>
          </cell>
          <cell r="AN5">
            <v>16.413080424244527</v>
          </cell>
          <cell r="AO5">
            <v>16.413080424244527</v>
          </cell>
          <cell r="AP5">
            <v>16.484548673844525</v>
          </cell>
        </row>
        <row r="6">
          <cell r="C6">
            <v>16.243999999999996</v>
          </cell>
          <cell r="D6">
            <v>16.650099999999998</v>
          </cell>
          <cell r="E6">
            <v>17.0562</v>
          </cell>
          <cell r="F6">
            <v>17.462299999999999</v>
          </cell>
          <cell r="G6">
            <v>18.783211448353505</v>
          </cell>
          <cell r="H6">
            <v>19.312067313640906</v>
          </cell>
          <cell r="I6">
            <v>19.637803059273857</v>
          </cell>
          <cell r="J6">
            <v>20.06509886473404</v>
          </cell>
          <cell r="K6">
            <v>21.542993989442756</v>
          </cell>
          <cell r="L6">
            <v>21.6</v>
          </cell>
          <cell r="M6">
            <v>21.6</v>
          </cell>
          <cell r="N6">
            <v>21.6</v>
          </cell>
          <cell r="O6">
            <v>21.6</v>
          </cell>
          <cell r="P6">
            <v>21.6</v>
          </cell>
          <cell r="Q6">
            <v>21.6</v>
          </cell>
          <cell r="R6">
            <v>21.6</v>
          </cell>
          <cell r="S6">
            <v>21.6</v>
          </cell>
          <cell r="T6">
            <v>21.6</v>
          </cell>
          <cell r="U6">
            <v>21.6</v>
          </cell>
          <cell r="V6">
            <v>21.6</v>
          </cell>
          <cell r="W6">
            <v>21.6</v>
          </cell>
          <cell r="X6">
            <v>21.6</v>
          </cell>
          <cell r="Y6">
            <v>21.6</v>
          </cell>
          <cell r="Z6">
            <v>21.6</v>
          </cell>
          <cell r="AA6">
            <v>21.6</v>
          </cell>
          <cell r="AB6">
            <v>21.6</v>
          </cell>
          <cell r="AC6">
            <v>21.6</v>
          </cell>
          <cell r="AD6">
            <v>21.6</v>
          </cell>
          <cell r="AE6">
            <v>21.6</v>
          </cell>
          <cell r="AF6">
            <v>21.6</v>
          </cell>
          <cell r="AG6">
            <v>21.6</v>
          </cell>
          <cell r="AH6">
            <v>21.6</v>
          </cell>
          <cell r="AI6">
            <v>21.6</v>
          </cell>
          <cell r="AJ6">
            <v>21.6</v>
          </cell>
          <cell r="AK6">
            <v>21.6</v>
          </cell>
          <cell r="AL6">
            <v>21.6</v>
          </cell>
          <cell r="AM6">
            <v>21.6</v>
          </cell>
          <cell r="AN6">
            <v>21.6</v>
          </cell>
          <cell r="AO6">
            <v>21.6</v>
          </cell>
          <cell r="AP6">
            <v>21.6</v>
          </cell>
        </row>
        <row r="7">
          <cell r="C7">
            <v>8.9519999999999964</v>
          </cell>
          <cell r="D7">
            <v>9.1011999999999968</v>
          </cell>
          <cell r="E7">
            <v>9.2563679999999966</v>
          </cell>
          <cell r="F7">
            <v>9.3876639999999956</v>
          </cell>
          <cell r="G7">
            <v>9.8128243199999972</v>
          </cell>
          <cell r="H7">
            <v>9.9041347199999983</v>
          </cell>
          <cell r="I7">
            <v>9.9041347199999983</v>
          </cell>
          <cell r="J7">
            <v>9.9589209599999968</v>
          </cell>
          <cell r="K7">
            <v>10.276072415999998</v>
          </cell>
          <cell r="L7">
            <v>10.375418131199998</v>
          </cell>
          <cell r="M7">
            <v>10.412672774399997</v>
          </cell>
          <cell r="N7">
            <v>10.487182060799997</v>
          </cell>
          <cell r="O7">
            <v>10.829924778239999</v>
          </cell>
          <cell r="P7">
            <v>10.994590301183997</v>
          </cell>
          <cell r="Q7">
            <v>11.190922270847997</v>
          </cell>
          <cell r="R7">
            <v>11.463253712639998</v>
          </cell>
          <cell r="S7">
            <v>11.841097754903037</v>
          </cell>
          <cell r="T7">
            <v>12.164095511447037</v>
          </cell>
          <cell r="U7">
            <v>12.487093267991037</v>
          </cell>
          <cell r="V7">
            <v>12.810091024535039</v>
          </cell>
          <cell r="W7">
            <v>13.222288814023656</v>
          </cell>
          <cell r="X7">
            <v>13.547480373640569</v>
          </cell>
          <cell r="Y7">
            <v>13.872671933257481</v>
          </cell>
          <cell r="Z7">
            <v>14.197863492874394</v>
          </cell>
          <cell r="AA7">
            <v>14.523055052491307</v>
          </cell>
          <cell r="AB7">
            <v>14.523055052491307</v>
          </cell>
          <cell r="AC7">
            <v>14.523055052491307</v>
          </cell>
          <cell r="AD7">
            <v>14.523055052491307</v>
          </cell>
          <cell r="AE7">
            <v>14.523055052491307</v>
          </cell>
          <cell r="AF7">
            <v>14.523055052491307</v>
          </cell>
          <cell r="AG7">
            <v>14.523055052491307</v>
          </cell>
          <cell r="AH7">
            <v>14.523055052491307</v>
          </cell>
          <cell r="AI7">
            <v>14.523055052491307</v>
          </cell>
          <cell r="AJ7">
            <v>14.445009078183247</v>
          </cell>
          <cell r="AK7">
            <v>14.445009078183247</v>
          </cell>
          <cell r="AL7">
            <v>14.445009078183247</v>
          </cell>
          <cell r="AM7">
            <v>14.386474597452203</v>
          </cell>
          <cell r="AN7">
            <v>14.386474597452203</v>
          </cell>
          <cell r="AO7">
            <v>14.386474597452203</v>
          </cell>
          <cell r="AP7">
            <v>14.386474597452203</v>
          </cell>
        </row>
        <row r="8">
          <cell r="C8">
            <v>12.041999999999998</v>
          </cell>
          <cell r="D8">
            <v>12.041999999999998</v>
          </cell>
          <cell r="E8">
            <v>12.041999999999998</v>
          </cell>
          <cell r="F8">
            <v>12.041999999999998</v>
          </cell>
          <cell r="G8">
            <v>12.772681538215602</v>
          </cell>
          <cell r="H8">
            <v>13.274254476872771</v>
          </cell>
          <cell r="I8">
            <v>13.583185975768073</v>
          </cell>
          <cell r="J8">
            <v>13.988438194544331</v>
          </cell>
          <cell r="K8">
            <v>15.144819680785233</v>
          </cell>
          <cell r="L8">
            <v>15.571006581079363</v>
          </cell>
          <cell r="M8">
            <v>15.997193481373555</v>
          </cell>
          <cell r="N8">
            <v>16.423380381667737</v>
          </cell>
          <cell r="O8">
            <v>17.727832371896294</v>
          </cell>
          <cell r="P8">
            <v>18.176033277328763</v>
          </cell>
          <cell r="Q8">
            <v>18.624234182761285</v>
          </cell>
          <cell r="R8">
            <v>19.072435088193753</v>
          </cell>
          <cell r="S8">
            <v>20.537145090133379</v>
          </cell>
          <cell r="T8">
            <v>21.008494905495336</v>
          </cell>
          <cell r="U8">
            <v>21.479844720857301</v>
          </cell>
          <cell r="V8">
            <v>21.6</v>
          </cell>
          <cell r="W8">
            <v>21.6</v>
          </cell>
          <cell r="X8">
            <v>21.6</v>
          </cell>
          <cell r="Y8">
            <v>21.6</v>
          </cell>
          <cell r="Z8">
            <v>21.6</v>
          </cell>
          <cell r="AA8">
            <v>21.6</v>
          </cell>
          <cell r="AB8">
            <v>21.6</v>
          </cell>
          <cell r="AC8">
            <v>21.6</v>
          </cell>
          <cell r="AD8">
            <v>21.6</v>
          </cell>
          <cell r="AE8">
            <v>21.6</v>
          </cell>
          <cell r="AF8">
            <v>21.6</v>
          </cell>
          <cell r="AG8">
            <v>21.6</v>
          </cell>
          <cell r="AH8">
            <v>21.6</v>
          </cell>
          <cell r="AI8">
            <v>21.6</v>
          </cell>
          <cell r="AJ8">
            <v>21.6</v>
          </cell>
          <cell r="AK8">
            <v>21.6</v>
          </cell>
          <cell r="AL8">
            <v>21.6</v>
          </cell>
          <cell r="AM8">
            <v>21.6</v>
          </cell>
          <cell r="AN8">
            <v>21.6</v>
          </cell>
          <cell r="AO8">
            <v>21.6</v>
          </cell>
          <cell r="AP8">
            <v>21.6</v>
          </cell>
        </row>
        <row r="9">
          <cell r="C9">
            <v>5.085</v>
          </cell>
          <cell r="D9">
            <v>5.1589636363636364</v>
          </cell>
          <cell r="E9">
            <v>5.2329272727272729</v>
          </cell>
          <cell r="F9">
            <v>5.3068909090909093</v>
          </cell>
          <cell r="G9">
            <v>5.6849537701404707</v>
          </cell>
          <cell r="H9">
            <v>5.7630974645753916</v>
          </cell>
          <cell r="I9">
            <v>5.8412411590103108</v>
          </cell>
          <cell r="J9">
            <v>5.9193848534452336</v>
          </cell>
          <cell r="K9">
            <v>6.3357331659137133</v>
          </cell>
          <cell r="L9">
            <v>6.4182834351764324</v>
          </cell>
          <cell r="M9">
            <v>6.5008337044391515</v>
          </cell>
          <cell r="N9">
            <v>6.5833839737018716</v>
          </cell>
          <cell r="O9">
            <v>7.0410256058324441</v>
          </cell>
          <cell r="P9">
            <v>7.1282209693721637</v>
          </cell>
          <cell r="Q9">
            <v>7.2154163329118877</v>
          </cell>
          <cell r="R9">
            <v>7.3026116964516063</v>
          </cell>
          <cell r="S9">
            <v>7.8047637786054445</v>
          </cell>
          <cell r="T9">
            <v>7.8968553866125886</v>
          </cell>
          <cell r="U9">
            <v>7.9889469946197327</v>
          </cell>
          <cell r="V9">
            <v>8.0810386026268759</v>
          </cell>
          <cell r="W9">
            <v>8.3241295943440878</v>
          </cell>
          <cell r="X9">
            <v>8.3445030981340818</v>
          </cell>
          <cell r="Y9">
            <v>8.3649173489316588</v>
          </cell>
          <cell r="Z9">
            <v>8.3853724282308288</v>
          </cell>
          <cell r="AA9">
            <v>8.6585996029731955</v>
          </cell>
          <cell r="AB9">
            <v>8.70087732677883</v>
          </cell>
          <cell r="AC9">
            <v>8.7433241614796877</v>
          </cell>
          <cell r="AD9">
            <v>8.785940783519349</v>
          </cell>
          <cell r="AE9">
            <v>9.0939731050205577</v>
          </cell>
          <cell r="AF9">
            <v>9.1602986726095192</v>
          </cell>
          <cell r="AG9">
            <v>9.2105477903301693</v>
          </cell>
          <cell r="AH9">
            <v>9.2775518060309867</v>
          </cell>
          <cell r="AI9">
            <v>9.3523699943812613</v>
          </cell>
          <cell r="AJ9">
            <v>9.4360215047222518</v>
          </cell>
          <cell r="AK9">
            <v>9.5202920362397645</v>
          </cell>
          <cell r="AL9">
            <v>9.5645289226146577</v>
          </cell>
          <cell r="AM9">
            <v>9.6421433863397521</v>
          </cell>
          <cell r="AN9">
            <v>9.6421433863397521</v>
          </cell>
          <cell r="AO9">
            <v>9.6421433863397521</v>
          </cell>
          <cell r="AP9">
            <v>9.6421433863397503</v>
          </cell>
        </row>
        <row r="10">
          <cell r="C10">
            <v>8.2749999999999986</v>
          </cell>
          <cell r="D10">
            <v>8.4073999999999991</v>
          </cell>
          <cell r="E10">
            <v>8.5398000000000014</v>
          </cell>
          <cell r="F10">
            <v>8.6721999999999966</v>
          </cell>
          <cell r="G10">
            <v>9.4162458352941201</v>
          </cell>
          <cell r="H10">
            <v>9.5578435170278642</v>
          </cell>
          <cell r="I10">
            <v>9.6994411987616118</v>
          </cell>
          <cell r="J10">
            <v>9.8410388804953559</v>
          </cell>
          <cell r="K10">
            <v>10.669598331533283</v>
          </cell>
          <cell r="L10">
            <v>10.820940151838718</v>
          </cell>
          <cell r="M10">
            <v>10.972281972144156</v>
          </cell>
          <cell r="N10">
            <v>11.123623792449594</v>
          </cell>
          <cell r="O10">
            <v>12.043876702084022</v>
          </cell>
          <cell r="P10">
            <v>12.20553947660864</v>
          </cell>
          <cell r="Q10">
            <v>12.367202251133259</v>
          </cell>
          <cell r="R10">
            <v>12.528865025657874</v>
          </cell>
          <cell r="S10">
            <v>13.548513892166612</v>
          </cell>
          <cell r="T10">
            <v>13.721106425824784</v>
          </cell>
          <cell r="U10">
            <v>13.893698959482958</v>
          </cell>
          <cell r="V10">
            <v>14.066291493141133</v>
          </cell>
          <cell r="W10">
            <v>14.14898084476151</v>
          </cell>
          <cell r="X10">
            <v>14.198625364808823</v>
          </cell>
          <cell r="Y10">
            <v>14.248369173896233</v>
          </cell>
          <cell r="Z10">
            <v>14.298212470601813</v>
          </cell>
          <cell r="AA10">
            <v>14.431686885680692</v>
          </cell>
          <cell r="AB10">
            <v>14.532106749938995</v>
          </cell>
          <cell r="AC10">
            <v>14.632928293654333</v>
          </cell>
          <cell r="AD10">
            <v>14.73415312354453</v>
          </cell>
          <cell r="AE10">
            <v>14.92084061463645</v>
          </cell>
          <cell r="AF10">
            <v>15.074405333397644</v>
          </cell>
          <cell r="AG10">
            <v>15.208202491725123</v>
          </cell>
          <cell r="AH10">
            <v>15.363404381748847</v>
          </cell>
          <cell r="AI10">
            <v>15.561395028348171</v>
          </cell>
          <cell r="AJ10">
            <v>15.755274097481763</v>
          </cell>
          <cell r="AK10">
            <v>15.950587871726944</v>
          </cell>
          <cell r="AL10">
            <v>16.053115684037461</v>
          </cell>
          <cell r="AM10">
            <v>16.265363421407272</v>
          </cell>
          <cell r="AN10">
            <v>16.265363421407272</v>
          </cell>
          <cell r="AO10">
            <v>16.265363421407272</v>
          </cell>
          <cell r="AP10">
            <v>16.265363421407272</v>
          </cell>
        </row>
        <row r="11">
          <cell r="C11">
            <v>8.92</v>
          </cell>
          <cell r="D11">
            <v>9.0627200000000006</v>
          </cell>
          <cell r="E11">
            <v>9.2054400000000012</v>
          </cell>
          <cell r="F11">
            <v>9.34816</v>
          </cell>
          <cell r="G11">
            <v>9.7831125561497352</v>
          </cell>
          <cell r="H11">
            <v>9.9302270306783011</v>
          </cell>
          <cell r="I11">
            <v>10.077341505206869</v>
          </cell>
          <cell r="J11">
            <v>10.224455979735437</v>
          </cell>
          <cell r="K11">
            <v>10.690920245340978</v>
          </cell>
          <cell r="L11">
            <v>10.842564504140142</v>
          </cell>
          <cell r="M11">
            <v>10.994208762939303</v>
          </cell>
          <cell r="N11">
            <v>11.145853021738466</v>
          </cell>
          <cell r="O11">
            <v>11.645357174286804</v>
          </cell>
          <cell r="P11">
            <v>11.801670693404752</v>
          </cell>
          <cell r="Q11">
            <v>11.957984212522691</v>
          </cell>
          <cell r="R11">
            <v>12.114297731640635</v>
          </cell>
          <cell r="S11">
            <v>12.602460248394504</v>
          </cell>
          <cell r="T11">
            <v>12.602460248394504</v>
          </cell>
          <cell r="U11">
            <v>12.602460248394504</v>
          </cell>
          <cell r="V11">
            <v>12.602460248394504</v>
          </cell>
          <cell r="W11">
            <v>12.602460248394504</v>
          </cell>
          <cell r="X11">
            <v>12.602460248394504</v>
          </cell>
          <cell r="Y11">
            <v>12.602460248394504</v>
          </cell>
          <cell r="Z11">
            <v>12.602460248394504</v>
          </cell>
          <cell r="AA11">
            <v>12.602460248394504</v>
          </cell>
          <cell r="AB11">
            <v>12.602460248394504</v>
          </cell>
          <cell r="AC11">
            <v>12.602460248394504</v>
          </cell>
          <cell r="AD11">
            <v>12.602460248394504</v>
          </cell>
          <cell r="AE11">
            <v>12.602460248394504</v>
          </cell>
          <cell r="AF11">
            <v>12.602460248394504</v>
          </cell>
          <cell r="AG11">
            <v>12.580160248394504</v>
          </cell>
          <cell r="AH11">
            <v>12.580160248394504</v>
          </cell>
          <cell r="AI11">
            <v>12.548940248394505</v>
          </cell>
          <cell r="AJ11">
            <v>12.548940248394505</v>
          </cell>
          <cell r="AK11">
            <v>12.548940248394505</v>
          </cell>
          <cell r="AL11">
            <v>12.548940248394505</v>
          </cell>
          <cell r="AM11">
            <v>12.508800248394504</v>
          </cell>
          <cell r="AN11">
            <v>12.508800248394504</v>
          </cell>
          <cell r="AO11">
            <v>12.508800248394504</v>
          </cell>
          <cell r="AP11">
            <v>12.508800248394504</v>
          </cell>
        </row>
        <row r="12">
          <cell r="C12">
            <v>3.24</v>
          </cell>
          <cell r="D12">
            <v>3.2976000000000001</v>
          </cell>
          <cell r="E12">
            <v>3.3552000000000004</v>
          </cell>
          <cell r="F12">
            <v>3.4128000000000007</v>
          </cell>
          <cell r="G12">
            <v>3.6642590886199464</v>
          </cell>
          <cell r="H12">
            <v>3.7250766668543034</v>
          </cell>
          <cell r="I12">
            <v>3.7858942450886599</v>
          </cell>
          <cell r="J12">
            <v>3.8467118233230138</v>
          </cell>
          <cell r="K12">
            <v>4.1253936203696773</v>
          </cell>
          <cell r="L12">
            <v>4.1896020813871049</v>
          </cell>
          <cell r="M12">
            <v>4.2538105424045307</v>
          </cell>
          <cell r="N12">
            <v>4.3180190034219583</v>
          </cell>
          <cell r="O12">
            <v>4.6261078906552671</v>
          </cell>
          <cell r="P12">
            <v>4.6938896912509493</v>
          </cell>
          <cell r="Q12">
            <v>4.7616714918466307</v>
          </cell>
          <cell r="R12">
            <v>4.8294532924423121</v>
          </cell>
          <cell r="S12">
            <v>5.1692871645992255</v>
          </cell>
          <cell r="T12">
            <v>5.2408343917909104</v>
          </cell>
          <cell r="U12">
            <v>5.3123816189825952</v>
          </cell>
          <cell r="V12">
            <v>5.38392884617428</v>
          </cell>
          <cell r="W12">
            <v>5.4054576839682085</v>
          </cell>
          <cell r="X12">
            <v>5.4183830340708772</v>
          </cell>
          <cell r="Y12">
            <v>5.4313342348737521</v>
          </cell>
          <cell r="Z12">
            <v>5.4443113380782311</v>
          </cell>
          <cell r="AA12">
            <v>5.4790624756257262</v>
          </cell>
          <cell r="AB12">
            <v>5.5052075949976933</v>
          </cell>
          <cell r="AC12">
            <v>5.5314572948471499</v>
          </cell>
          <cell r="AD12">
            <v>5.557811993496002</v>
          </cell>
          <cell r="AE12">
            <v>5.606417583394995</v>
          </cell>
          <cell r="AF12">
            <v>5.6463993930995615</v>
          </cell>
          <cell r="AG12">
            <v>5.6677950939747062</v>
          </cell>
          <cell r="AH12">
            <v>5.7081241687427493</v>
          </cell>
          <cell r="AI12">
            <v>5.7404686979434372</v>
          </cell>
          <cell r="AJ12">
            <v>5.7907094148267282</v>
          </cell>
          <cell r="AK12">
            <v>5.8413219130149567</v>
          </cell>
          <cell r="AL12">
            <v>5.8678903858984652</v>
          </cell>
          <cell r="AM12">
            <v>5.8976174946425672</v>
          </cell>
          <cell r="AN12">
            <v>5.8976174946425672</v>
          </cell>
          <cell r="AO12">
            <v>5.8976174946425672</v>
          </cell>
          <cell r="AP12">
            <v>5.8976174946425672</v>
          </cell>
        </row>
        <row r="13">
          <cell r="C13">
            <v>0</v>
          </cell>
          <cell r="D13">
            <v>0</v>
          </cell>
          <cell r="E13">
            <v>0</v>
          </cell>
          <cell r="F13">
            <v>0</v>
          </cell>
          <cell r="G13">
            <v>0</v>
          </cell>
          <cell r="H13">
            <v>0</v>
          </cell>
          <cell r="I13">
            <v>0</v>
          </cell>
          <cell r="J13">
            <v>0</v>
          </cell>
          <cell r="K13">
            <v>4.5075436194132443</v>
          </cell>
          <cell r="L13">
            <v>4.6067095790403352</v>
          </cell>
          <cell r="M13">
            <v>4.7058755386674269</v>
          </cell>
          <cell r="N13">
            <v>4.8050414982945178</v>
          </cell>
          <cell r="O13">
            <v>5.017958807080042</v>
          </cell>
          <cell r="P13">
            <v>5.1194248858996749</v>
          </cell>
          <cell r="Q13">
            <v>5.2208909647193087</v>
          </cell>
          <cell r="R13">
            <v>5.3223570435389416</v>
          </cell>
          <cell r="S13">
            <v>5.5492339848057455</v>
          </cell>
          <cell r="T13">
            <v>5.6530461852017719</v>
          </cell>
          <cell r="U13">
            <v>5.7568583855977975</v>
          </cell>
          <cell r="V13">
            <v>5.8606705859938231</v>
          </cell>
          <cell r="W13">
            <v>5.8832481474242151</v>
          </cell>
          <cell r="X13">
            <v>5.8968031237190619</v>
          </cell>
          <cell r="Y13">
            <v>5.9103852099665</v>
          </cell>
          <cell r="Z13">
            <v>5.9239944603864334</v>
          </cell>
          <cell r="AA13">
            <v>5.9604384129241694</v>
          </cell>
          <cell r="AB13">
            <v>5.9878571265758662</v>
          </cell>
          <cell r="AC13">
            <v>6.0153855150821691</v>
          </cell>
          <cell r="AD13">
            <v>6.0430240171424972</v>
          </cell>
          <cell r="AE13">
            <v>6.1070815740192899</v>
          </cell>
          <cell r="AF13">
            <v>6.1622753159614527</v>
          </cell>
          <cell r="AG13">
            <v>6.2179023061102567</v>
          </cell>
          <cell r="AH13">
            <v>6.273965687349472</v>
          </cell>
          <cell r="AI13">
            <v>6.3502416354482873</v>
          </cell>
          <cell r="AJ13">
            <v>6.4175254972023295</v>
          </cell>
          <cell r="AK13">
            <v>6.461428910342863</v>
          </cell>
          <cell r="AL13">
            <v>6.4898313405736143</v>
          </cell>
          <cell r="AM13">
            <v>6.5597102454303506</v>
          </cell>
          <cell r="AN13">
            <v>6.5597102454303506</v>
          </cell>
          <cell r="AO13">
            <v>6.5318558494837253</v>
          </cell>
          <cell r="AP13">
            <v>6.5318558494837253</v>
          </cell>
        </row>
        <row r="14">
          <cell r="C14">
            <v>0</v>
          </cell>
          <cell r="D14">
            <v>0</v>
          </cell>
          <cell r="E14">
            <v>0</v>
          </cell>
          <cell r="F14">
            <v>0</v>
          </cell>
          <cell r="G14">
            <v>0</v>
          </cell>
          <cell r="H14">
            <v>0</v>
          </cell>
          <cell r="I14">
            <v>0</v>
          </cell>
          <cell r="J14">
            <v>0</v>
          </cell>
          <cell r="K14">
            <v>16.312080639999998</v>
          </cell>
          <cell r="L14">
            <v>16.531005932799999</v>
          </cell>
          <cell r="M14">
            <v>16.749931225599997</v>
          </cell>
          <cell r="N14">
            <v>16.968856518399999</v>
          </cell>
          <cell r="O14">
            <v>17.187781811199997</v>
          </cell>
          <cell r="P14">
            <v>17.406707103999999</v>
          </cell>
          <cell r="Q14">
            <v>17.625632396799997</v>
          </cell>
          <cell r="R14">
            <v>17.844557689599995</v>
          </cell>
          <cell r="S14">
            <v>18.059190329599996</v>
          </cell>
          <cell r="T14">
            <v>18.273822969599998</v>
          </cell>
          <cell r="U14">
            <v>18.488455609599995</v>
          </cell>
          <cell r="V14">
            <v>18.703088249599997</v>
          </cell>
          <cell r="W14">
            <v>18.917720889599998</v>
          </cell>
          <cell r="X14">
            <v>19.132353529599996</v>
          </cell>
          <cell r="Y14">
            <v>19.346986169599997</v>
          </cell>
          <cell r="Z14">
            <v>19.561618809599999</v>
          </cell>
          <cell r="AA14">
            <v>19.308352294399999</v>
          </cell>
          <cell r="AB14">
            <v>19.308352294399999</v>
          </cell>
          <cell r="AC14">
            <v>19.308352294399999</v>
          </cell>
          <cell r="AD14">
            <v>19.679323695479777</v>
          </cell>
          <cell r="AE14">
            <v>19.679323695479777</v>
          </cell>
          <cell r="AF14">
            <v>19.722250223479779</v>
          </cell>
          <cell r="AG14">
            <v>19.765176751479778</v>
          </cell>
          <cell r="AH14">
            <v>19.808103279479777</v>
          </cell>
          <cell r="AI14">
            <v>19.85102980747978</v>
          </cell>
          <cell r="AJ14">
            <v>19.893956335479778</v>
          </cell>
          <cell r="AK14">
            <v>19.836348588799996</v>
          </cell>
          <cell r="AL14">
            <v>19.836348588799996</v>
          </cell>
          <cell r="AM14">
            <v>19.836348588799996</v>
          </cell>
          <cell r="AN14">
            <v>19.836348588799996</v>
          </cell>
          <cell r="AO14">
            <v>19.836348588799996</v>
          </cell>
          <cell r="AP14">
            <v>19.836348588799996</v>
          </cell>
        </row>
        <row r="15">
          <cell r="C15">
            <v>0</v>
          </cell>
          <cell r="D15">
            <v>0</v>
          </cell>
          <cell r="E15">
            <v>0</v>
          </cell>
          <cell r="F15">
            <v>0</v>
          </cell>
          <cell r="G15">
            <v>0</v>
          </cell>
          <cell r="H15">
            <v>0</v>
          </cell>
          <cell r="I15">
            <v>0</v>
          </cell>
          <cell r="J15">
            <v>0</v>
          </cell>
          <cell r="K15">
            <v>16.568634605349214</v>
          </cell>
          <cell r="L15">
            <v>16.791003122421007</v>
          </cell>
          <cell r="M15">
            <v>17.013371639492799</v>
          </cell>
          <cell r="N15">
            <v>17.235740156564589</v>
          </cell>
          <cell r="O15">
            <v>17.925789247109105</v>
          </cell>
          <cell r="P15">
            <v>18.154114734522338</v>
          </cell>
          <cell r="Q15">
            <v>18.382440221935568</v>
          </cell>
          <cell r="R15">
            <v>18.61076570934879</v>
          </cell>
          <cell r="S15">
            <v>19.335833710948997</v>
          </cell>
          <cell r="T15">
            <v>19.565639198362224</v>
          </cell>
          <cell r="U15">
            <v>19.795444685775447</v>
          </cell>
          <cell r="V15">
            <v>20.025250173188681</v>
          </cell>
          <cell r="W15">
            <v>20.344556289711342</v>
          </cell>
          <cell r="X15">
            <v>20.629720688688433</v>
          </cell>
          <cell r="Y15">
            <v>20.916214277596278</v>
          </cell>
          <cell r="Z15">
            <v>21.204040936536995</v>
          </cell>
          <cell r="AA15">
            <v>21.076961882828414</v>
          </cell>
          <cell r="AB15">
            <v>21.187897890359736</v>
          </cell>
          <cell r="AC15">
            <v>21.299277641921172</v>
          </cell>
          <cell r="AD15">
            <v>21.6</v>
          </cell>
          <cell r="AE15">
            <v>21.6</v>
          </cell>
          <cell r="AF15">
            <v>21.6</v>
          </cell>
          <cell r="AG15">
            <v>21.6</v>
          </cell>
          <cell r="AH15">
            <v>21.6</v>
          </cell>
          <cell r="AI15">
            <v>21.6</v>
          </cell>
          <cell r="AJ15">
            <v>21.6</v>
          </cell>
          <cell r="AK15">
            <v>21.6</v>
          </cell>
          <cell r="AL15">
            <v>21.6</v>
          </cell>
          <cell r="AM15">
            <v>21.6</v>
          </cell>
          <cell r="AN15">
            <v>21.6</v>
          </cell>
          <cell r="AO15">
            <v>21.6</v>
          </cell>
          <cell r="AP15">
            <v>21.6</v>
          </cell>
        </row>
        <row r="16">
          <cell r="C16">
            <v>0</v>
          </cell>
          <cell r="D16">
            <v>0</v>
          </cell>
          <cell r="E16">
            <v>0</v>
          </cell>
          <cell r="F16">
            <v>0</v>
          </cell>
          <cell r="G16">
            <v>0</v>
          </cell>
          <cell r="H16">
            <v>0</v>
          </cell>
          <cell r="I16">
            <v>0</v>
          </cell>
          <cell r="J16">
            <v>0</v>
          </cell>
          <cell r="K16">
            <v>2.6147443780162396</v>
          </cell>
          <cell r="L16">
            <v>2.656063795347853</v>
          </cell>
          <cell r="M16">
            <v>2.6973832126794672</v>
          </cell>
          <cell r="N16">
            <v>2.7387026300110819</v>
          </cell>
          <cell r="O16">
            <v>2.9232487272361638</v>
          </cell>
          <cell r="P16">
            <v>2.9668329767143549</v>
          </cell>
          <cell r="Q16">
            <v>3.0104172261925464</v>
          </cell>
          <cell r="R16">
            <v>3.0540014756707361</v>
          </cell>
          <cell r="S16">
            <v>3.2577660367718053</v>
          </cell>
          <cell r="T16">
            <v>3.3037358793659397</v>
          </cell>
          <cell r="U16">
            <v>3.3497057219600741</v>
          </cell>
          <cell r="V16">
            <v>3.3956755645542085</v>
          </cell>
          <cell r="W16">
            <v>3.408816099607479</v>
          </cell>
          <cell r="X16">
            <v>3.4167053325389389</v>
          </cell>
          <cell r="Y16">
            <v>3.4246103439362607</v>
          </cell>
          <cell r="Z16">
            <v>3.4325311653563775</v>
          </cell>
          <cell r="AA16">
            <v>3.4537421822006134</v>
          </cell>
          <cell r="AB16">
            <v>3.4697003523939056</v>
          </cell>
          <cell r="AC16">
            <v>3.4857223552679706</v>
          </cell>
          <cell r="AD16">
            <v>3.501808446153531</v>
          </cell>
          <cell r="AE16">
            <v>3.5314757911336074</v>
          </cell>
          <cell r="AF16">
            <v>3.5558794480771416</v>
          </cell>
          <cell r="AG16">
            <v>3.5804295269623396</v>
          </cell>
          <cell r="AH16">
            <v>3.6051269063208471</v>
          </cell>
          <cell r="AI16">
            <v>3.6413584745368901</v>
          </cell>
          <cell r="AJ16">
            <v>3.6722694499577671</v>
          </cell>
          <cell r="AK16">
            <v>3.7034091665967588</v>
          </cell>
          <cell r="AL16">
            <v>3.7317112927109255</v>
          </cell>
          <cell r="AM16">
            <v>3.7720579622752899</v>
          </cell>
          <cell r="AN16">
            <v>3.7720579622752899</v>
          </cell>
          <cell r="AO16">
            <v>3.7720579622752899</v>
          </cell>
          <cell r="AP16">
            <v>3.7720579622752899</v>
          </cell>
        </row>
        <row r="17">
          <cell r="C17">
            <v>0</v>
          </cell>
          <cell r="D17">
            <v>0</v>
          </cell>
          <cell r="E17">
            <v>0</v>
          </cell>
          <cell r="F17">
            <v>0</v>
          </cell>
          <cell r="G17">
            <v>0</v>
          </cell>
          <cell r="H17">
            <v>0</v>
          </cell>
          <cell r="I17">
            <v>0</v>
          </cell>
          <cell r="J17">
            <v>0</v>
          </cell>
          <cell r="K17">
            <v>0</v>
          </cell>
          <cell r="L17">
            <v>0</v>
          </cell>
          <cell r="M17">
            <v>0</v>
          </cell>
          <cell r="N17">
            <v>0</v>
          </cell>
          <cell r="O17">
            <v>14.969999999999997</v>
          </cell>
          <cell r="P17">
            <v>15.156995811135893</v>
          </cell>
          <cell r="Q17">
            <v>15.341275395465809</v>
          </cell>
          <cell r="R17">
            <v>15.525554979795732</v>
          </cell>
          <cell r="S17">
            <v>16.073607404854318</v>
          </cell>
          <cell r="T17">
            <v>16.196738025093271</v>
          </cell>
          <cell r="U17">
            <v>16.319868645332228</v>
          </cell>
          <cell r="V17">
            <v>16.442999265571181</v>
          </cell>
          <cell r="W17">
            <v>16.680227320734279</v>
          </cell>
          <cell r="X17">
            <v>16.849785392357386</v>
          </cell>
          <cell r="Y17">
            <v>17.434996496867075</v>
          </cell>
          <cell r="Z17">
            <v>17.482219762740453</v>
          </cell>
          <cell r="AA17">
            <v>17.622316415545665</v>
          </cell>
          <cell r="AB17">
            <v>17.703819305095042</v>
          </cell>
          <cell r="AC17">
            <v>17.799341128074705</v>
          </cell>
          <cell r="AD17">
            <v>17.89524503834631</v>
          </cell>
          <cell r="AE17">
            <v>18.09993541285602</v>
          </cell>
          <cell r="AF17">
            <v>18.217611768316168</v>
          </cell>
          <cell r="AG17">
            <v>18.363977257564986</v>
          </cell>
          <cell r="AH17">
            <v>18.5112209397493</v>
          </cell>
          <cell r="AI17">
            <v>18.741319051565682</v>
          </cell>
          <cell r="AJ17">
            <v>18.858372038829163</v>
          </cell>
          <cell r="AK17">
            <v>18.997923991916497</v>
          </cell>
          <cell r="AL17">
            <v>18.997923991916497</v>
          </cell>
          <cell r="AM17">
            <v>18.997923991916497</v>
          </cell>
          <cell r="AN17">
            <v>18.997923991916497</v>
          </cell>
          <cell r="AO17">
            <v>18.997923991916497</v>
          </cell>
          <cell r="AP17">
            <v>18.964581455785865</v>
          </cell>
        </row>
        <row r="18">
          <cell r="C18">
            <v>0</v>
          </cell>
          <cell r="D18">
            <v>0</v>
          </cell>
          <cell r="E18">
            <v>0</v>
          </cell>
          <cell r="F18">
            <v>0</v>
          </cell>
          <cell r="G18">
            <v>0</v>
          </cell>
          <cell r="H18">
            <v>0</v>
          </cell>
          <cell r="I18">
            <v>0</v>
          </cell>
          <cell r="J18">
            <v>0</v>
          </cell>
          <cell r="K18">
            <v>0</v>
          </cell>
          <cell r="L18">
            <v>0</v>
          </cell>
          <cell r="M18">
            <v>0</v>
          </cell>
          <cell r="N18">
            <v>0</v>
          </cell>
          <cell r="O18">
            <v>6.4789758503046659</v>
          </cell>
          <cell r="P18">
            <v>6.5615998097633765</v>
          </cell>
          <cell r="Q18">
            <v>6.6479366493655245</v>
          </cell>
          <cell r="R18">
            <v>6.7342734889676752</v>
          </cell>
          <cell r="S18">
            <v>6.9932709552257197</v>
          </cell>
          <cell r="T18">
            <v>7.0992894411026919</v>
          </cell>
          <cell r="U18">
            <v>7.2053079269796649</v>
          </cell>
          <cell r="V18">
            <v>7.3113264128566371</v>
          </cell>
          <cell r="W18">
            <v>7.5062434836430167</v>
          </cell>
          <cell r="X18">
            <v>7.5232383504569702</v>
          </cell>
          <cell r="Y18">
            <v>7.5402672070048391</v>
          </cell>
          <cell r="Z18">
            <v>7.5573301212656707</v>
          </cell>
          <cell r="AA18">
            <v>7.6079504485732716</v>
          </cell>
          <cell r="AB18">
            <v>7.6373994244259773</v>
          </cell>
          <cell r="AC18">
            <v>7.6719137818173042</v>
          </cell>
          <cell r="AD18">
            <v>7.7065661966382084</v>
          </cell>
          <cell r="AE18">
            <v>7.7805258062857243</v>
          </cell>
          <cell r="AF18">
            <v>7.8230451349811796</v>
          </cell>
          <cell r="AG18">
            <v>7.8759305453315127</v>
          </cell>
          <cell r="AH18">
            <v>7.929133268143949</v>
          </cell>
          <cell r="AI18">
            <v>8.0180528205702686</v>
          </cell>
          <cell r="AJ18">
            <v>8.0681313146240736</v>
          </cell>
          <cell r="AK18">
            <v>8.1278354863522875</v>
          </cell>
          <cell r="AL18">
            <v>8.1278354863522875</v>
          </cell>
          <cell r="AM18">
            <v>8.1278354863522875</v>
          </cell>
          <cell r="AN18">
            <v>8.1278354863522875</v>
          </cell>
          <cell r="AO18">
            <v>8.1278354863522875</v>
          </cell>
          <cell r="AP18">
            <v>8.1065787099771889</v>
          </cell>
        </row>
        <row r="19">
          <cell r="C19">
            <v>0</v>
          </cell>
          <cell r="D19">
            <v>0</v>
          </cell>
          <cell r="E19">
            <v>0</v>
          </cell>
          <cell r="F19">
            <v>0</v>
          </cell>
          <cell r="G19">
            <v>0</v>
          </cell>
          <cell r="H19">
            <v>0</v>
          </cell>
          <cell r="I19">
            <v>0</v>
          </cell>
          <cell r="J19">
            <v>0</v>
          </cell>
          <cell r="K19">
            <v>0</v>
          </cell>
          <cell r="L19">
            <v>0</v>
          </cell>
          <cell r="M19">
            <v>0</v>
          </cell>
          <cell r="N19">
            <v>0</v>
          </cell>
          <cell r="O19">
            <v>2.7384963565692702</v>
          </cell>
          <cell r="P19">
            <v>2.9193888188618504</v>
          </cell>
          <cell r="Q19">
            <v>3.1018506200407154</v>
          </cell>
          <cell r="R19">
            <v>3.2843124212195818</v>
          </cell>
          <cell r="S19">
            <v>3.4586249379975658</v>
          </cell>
          <cell r="T19">
            <v>3.5566972579270888</v>
          </cell>
          <cell r="U19">
            <v>3.6547695778566118</v>
          </cell>
          <cell r="V19">
            <v>3.7528418977861349</v>
          </cell>
          <cell r="W19">
            <v>3.8735011174708567</v>
          </cell>
          <cell r="X19">
            <v>3.9813331565263894</v>
          </cell>
          <cell r="Y19">
            <v>4.0896402109439896</v>
          </cell>
          <cell r="Z19">
            <v>4.1984236878569501</v>
          </cell>
          <cell r="AA19">
            <v>4.3271516914909434</v>
          </cell>
          <cell r="AB19">
            <v>4.3442524662172817</v>
          </cell>
          <cell r="AC19">
            <v>4.3642946657669643</v>
          </cell>
          <cell r="AD19">
            <v>4.3844170341148461</v>
          </cell>
          <cell r="AE19">
            <v>4.4273647627474597</v>
          </cell>
          <cell r="AF19">
            <v>4.4520553823864288</v>
          </cell>
          <cell r="AG19">
            <v>4.4827654992079689</v>
          </cell>
          <cell r="AH19">
            <v>4.5036684688374038</v>
          </cell>
          <cell r="AI19">
            <v>4.5547673015951693</v>
          </cell>
          <cell r="AJ19">
            <v>4.5832150921415415</v>
          </cell>
          <cell r="AK19">
            <v>4.6171308838233909</v>
          </cell>
          <cell r="AL19">
            <v>4.6171308838233909</v>
          </cell>
          <cell r="AM19">
            <v>4.6171308838233909</v>
          </cell>
          <cell r="AN19">
            <v>4.6110647763533912</v>
          </cell>
          <cell r="AO19">
            <v>4.6110647763533912</v>
          </cell>
          <cell r="AP19">
            <v>4.5930853891581318</v>
          </cell>
        </row>
        <row r="20">
          <cell r="C20">
            <v>0</v>
          </cell>
          <cell r="D20">
            <v>0</v>
          </cell>
          <cell r="E20">
            <v>0</v>
          </cell>
          <cell r="F20">
            <v>0</v>
          </cell>
          <cell r="G20">
            <v>0</v>
          </cell>
          <cell r="H20">
            <v>0</v>
          </cell>
          <cell r="I20">
            <v>0</v>
          </cell>
          <cell r="J20">
            <v>0</v>
          </cell>
          <cell r="K20">
            <v>0</v>
          </cell>
          <cell r="L20">
            <v>0</v>
          </cell>
          <cell r="M20">
            <v>0</v>
          </cell>
          <cell r="N20">
            <v>0</v>
          </cell>
          <cell r="O20">
            <v>3.9609949552497592</v>
          </cell>
          <cell r="P20">
            <v>4.2632423551852821</v>
          </cell>
          <cell r="Q20">
            <v>4.5677596662699456</v>
          </cell>
          <cell r="R20">
            <v>4.8722769773546091</v>
          </cell>
          <cell r="S20">
            <v>5.1222625992903419</v>
          </cell>
          <cell r="T20">
            <v>5.2639781191927586</v>
          </cell>
          <cell r="U20">
            <v>5.4056936390951744</v>
          </cell>
          <cell r="V20">
            <v>5.5474091589975911</v>
          </cell>
          <cell r="W20">
            <v>5.7210986382645102</v>
          </cell>
          <cell r="X20">
            <v>5.8766051037594549</v>
          </cell>
          <cell r="Y20">
            <v>6.0327698378093322</v>
          </cell>
          <cell r="Z20">
            <v>6.1895947898624852</v>
          </cell>
          <cell r="AA20">
            <v>6.3745831583020669</v>
          </cell>
          <cell r="AB20">
            <v>6.398741990293412</v>
          </cell>
          <cell r="AC20">
            <v>6.4270562707518275</v>
          </cell>
          <cell r="AD20">
            <v>6.4554838083320814</v>
          </cell>
          <cell r="AE20">
            <v>6.5161574899078722</v>
          </cell>
          <cell r="AF20">
            <v>6.5510387476968113</v>
          </cell>
          <cell r="AG20">
            <v>6.5944239489288616</v>
          </cell>
          <cell r="AH20">
            <v>6.7366099150829726</v>
          </cell>
          <cell r="AI20">
            <v>6.866160219189438</v>
          </cell>
          <cell r="AJ20">
            <v>6.9277833650579739</v>
          </cell>
          <cell r="AK20">
            <v>6.9790489619594034</v>
          </cell>
          <cell r="AL20">
            <v>6.9790489619594034</v>
          </cell>
          <cell r="AM20">
            <v>6.9790489619594034</v>
          </cell>
          <cell r="AN20">
            <v>6.9790489619594034</v>
          </cell>
          <cell r="AO20">
            <v>6.9790489619594034</v>
          </cell>
          <cell r="AP20">
            <v>6.9531062911060433</v>
          </cell>
        </row>
      </sheetData>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fitability"/>
      <sheetName val="Parking &amp; Landing Fee"/>
      <sheetName val="Summary"/>
      <sheetName val="Year1"/>
      <sheetName val="Year2"/>
      <sheetName val="Year3"/>
      <sheetName val="Year4"/>
      <sheetName val="Year5"/>
      <sheetName val="Year6"/>
      <sheetName val="Year7"/>
      <sheetName val="Year8"/>
      <sheetName val="Year9"/>
      <sheetName val="Year10"/>
    </sheetNames>
    <sheetDataSet>
      <sheetData sheetId="0"/>
      <sheetData sheetId="1"/>
      <sheetData sheetId="2">
        <row r="6">
          <cell r="O6">
            <v>2259027.8570348159</v>
          </cell>
          <cell r="P6">
            <v>2248789.4134663027</v>
          </cell>
          <cell r="Q6">
            <v>3604314.1407186268</v>
          </cell>
          <cell r="R6">
            <v>4969374.7962515717</v>
          </cell>
          <cell r="S6">
            <v>4892908.3507275442</v>
          </cell>
          <cell r="T6">
            <v>4958028.7820365373</v>
          </cell>
          <cell r="U6">
            <v>4809757.7584227966</v>
          </cell>
          <cell r="V6">
            <v>4889952.6967463344</v>
          </cell>
          <cell r="W6">
            <v>4958028.7820365373</v>
          </cell>
          <cell r="X6">
            <v>4958451.0183195677</v>
          </cell>
        </row>
        <row r="7">
          <cell r="O7">
            <v>7657509.2288778331</v>
          </cell>
          <cell r="P7">
            <v>7617465.7150325142</v>
          </cell>
          <cell r="Q7">
            <v>12513275.527027335</v>
          </cell>
          <cell r="R7">
            <v>17420657.203959458</v>
          </cell>
          <cell r="S7">
            <v>17147488.162173189</v>
          </cell>
          <cell r="T7">
            <v>17379867.191431668</v>
          </cell>
          <cell r="U7">
            <v>16871343.41804811</v>
          </cell>
          <cell r="V7">
            <v>17135127.116264921</v>
          </cell>
          <cell r="W7">
            <v>17379867.191431668</v>
          </cell>
          <cell r="X7">
            <v>17381633.055132847</v>
          </cell>
        </row>
        <row r="9">
          <cell r="O9">
            <v>3335081.2406220455</v>
          </cell>
          <cell r="P9">
            <v>3330498.7104308275</v>
          </cell>
          <cell r="Q9">
            <v>4883749.8456912423</v>
          </cell>
          <cell r="R9">
            <v>6300890.5280123455</v>
          </cell>
          <cell r="S9">
            <v>6215562.3091632184</v>
          </cell>
          <cell r="T9">
            <v>6289126.1214598678</v>
          </cell>
          <cell r="U9">
            <v>6071668.4851927711</v>
          </cell>
          <cell r="V9">
            <v>6218539.6821450014</v>
          </cell>
          <cell r="W9">
            <v>6289126.1214598678</v>
          </cell>
          <cell r="X9">
            <v>6288700.7824624702</v>
          </cell>
        </row>
        <row r="10">
          <cell r="O10">
            <v>2763892.3055687761</v>
          </cell>
          <cell r="P10">
            <v>2763892.3055687761</v>
          </cell>
          <cell r="Q10">
            <v>3860255.9419324123</v>
          </cell>
          <cell r="R10">
            <v>4982590.9673131239</v>
          </cell>
          <cell r="S10">
            <v>4982590.9673131239</v>
          </cell>
          <cell r="T10">
            <v>4982590.9673131239</v>
          </cell>
          <cell r="U10">
            <v>4982590.9673131229</v>
          </cell>
          <cell r="V10">
            <v>4982590.9673131239</v>
          </cell>
          <cell r="W10">
            <v>4982590.9673131239</v>
          </cell>
          <cell r="X10">
            <v>4982590.9673131239</v>
          </cell>
        </row>
        <row r="11">
          <cell r="O11">
            <v>5218889.8472314496</v>
          </cell>
          <cell r="P11">
            <v>5200404.6105626952</v>
          </cell>
          <cell r="Q11">
            <v>8085339.9407538092</v>
          </cell>
          <cell r="R11">
            <v>10983318.419126336</v>
          </cell>
          <cell r="S11">
            <v>10827494.647220597</v>
          </cell>
          <cell r="T11">
            <v>10960361.130936578</v>
          </cell>
          <cell r="U11">
            <v>10643793.262236658</v>
          </cell>
          <cell r="V11">
            <v>10822617.401798042</v>
          </cell>
          <cell r="W11">
            <v>10960361.130936578</v>
          </cell>
          <cell r="X11">
            <v>10961057.880282657</v>
          </cell>
        </row>
      </sheetData>
      <sheetData sheetId="3">
        <row r="43">
          <cell r="E43">
            <v>9243.3882590484409</v>
          </cell>
          <cell r="F43">
            <v>7688.4429693628999</v>
          </cell>
          <cell r="G43">
            <v>8507.0095111812625</v>
          </cell>
          <cell r="H43">
            <v>8721.849698142425</v>
          </cell>
          <cell r="I43">
            <v>6200.0929414659076</v>
          </cell>
          <cell r="J43">
            <v>12589.788474876774</v>
          </cell>
          <cell r="K43">
            <v>10238.96521244623</v>
          </cell>
          <cell r="L43">
            <v>11138.819617491958</v>
          </cell>
          <cell r="M43">
            <v>12157.507417306875</v>
          </cell>
        </row>
      </sheetData>
      <sheetData sheetId="4">
        <row r="43">
          <cell r="E43">
            <v>9216.7056800882347</v>
          </cell>
          <cell r="F43">
            <v>7665.8041004917068</v>
          </cell>
          <cell r="G43">
            <v>8481.6301854309913</v>
          </cell>
          <cell r="H43">
            <v>8696.4703723921539</v>
          </cell>
          <cell r="I43">
            <v>6180.7912872911284</v>
          </cell>
          <cell r="J43">
            <v>12639.470332918296</v>
          </cell>
          <cell r="K43">
            <v>10281.216527376204</v>
          </cell>
          <cell r="L43">
            <v>11183.140739447661</v>
          </cell>
          <cell r="M43">
            <v>12205.210065425466</v>
          </cell>
        </row>
      </sheetData>
      <sheetData sheetId="5">
        <row r="43">
          <cell r="E43">
            <v>9243.3882590484409</v>
          </cell>
          <cell r="F43">
            <v>7688.4429693628999</v>
          </cell>
          <cell r="G43">
            <v>8507.0095111812625</v>
          </cell>
          <cell r="H43">
            <v>8721.849698142425</v>
          </cell>
          <cell r="I43">
            <v>6200.0929414659076</v>
          </cell>
          <cell r="J43">
            <v>12669.956927625593</v>
          </cell>
          <cell r="K43">
            <v>10307.143470628687</v>
          </cell>
          <cell r="L43">
            <v>11210.337791556844</v>
          </cell>
          <cell r="M43">
            <v>12234.482144952783</v>
          </cell>
          <cell r="N43">
            <v>19402.05069754535</v>
          </cell>
          <cell r="O43">
            <v>5969.8428366172293</v>
          </cell>
          <cell r="P43">
            <v>7757.048703333443</v>
          </cell>
          <cell r="Q43">
            <v>15206.227353400212</v>
          </cell>
        </row>
      </sheetData>
      <sheetData sheetId="6">
        <row r="43">
          <cell r="E43">
            <v>9243.3882590484409</v>
          </cell>
          <cell r="F43">
            <v>7688.4429693628999</v>
          </cell>
          <cell r="G43">
            <v>8507.0095111812625</v>
          </cell>
          <cell r="H43">
            <v>8721.849698142425</v>
          </cell>
          <cell r="I43">
            <v>6200.0929414659076</v>
          </cell>
          <cell r="J43">
            <v>12639.470332918296</v>
          </cell>
          <cell r="K43">
            <v>10281.216527376204</v>
          </cell>
          <cell r="L43">
            <v>11183.140739447661</v>
          </cell>
          <cell r="M43">
            <v>12205.210065425466</v>
          </cell>
          <cell r="N43">
            <v>19375.734883368139</v>
          </cell>
          <cell r="O43">
            <v>5958.9604386086685</v>
          </cell>
          <cell r="P43">
            <v>7743.4718641522641</v>
          </cell>
          <cell r="Q43">
            <v>15184.188196422696</v>
          </cell>
          <cell r="R43">
            <v>14809.196909257922</v>
          </cell>
          <cell r="S43">
            <v>8037.4335807884272</v>
          </cell>
          <cell r="T43">
            <v>15111.6160981992</v>
          </cell>
          <cell r="U43">
            <v>9088.7935546123663</v>
          </cell>
        </row>
      </sheetData>
      <sheetData sheetId="7">
        <row r="43">
          <cell r="E43">
            <v>9243.3882590484409</v>
          </cell>
          <cell r="F43">
            <v>7688.4429693628999</v>
          </cell>
          <cell r="G43">
            <v>8507.0095111812625</v>
          </cell>
          <cell r="H43">
            <v>8721.849698142425</v>
          </cell>
          <cell r="I43">
            <v>6200.0929414659076</v>
          </cell>
          <cell r="J43">
            <v>12864.377426806863</v>
          </cell>
          <cell r="K43">
            <v>10472.48595304722</v>
          </cell>
          <cell r="L43">
            <v>11383.780069977674</v>
          </cell>
          <cell r="M43">
            <v>12421.157382656933</v>
          </cell>
          <cell r="N43">
            <v>19375.734883368139</v>
          </cell>
          <cell r="O43">
            <v>5958.9604386086685</v>
          </cell>
          <cell r="P43">
            <v>7743.4718641522641</v>
          </cell>
          <cell r="Q43">
            <v>15184.188196422696</v>
          </cell>
          <cell r="R43">
            <v>14809.196909257922</v>
          </cell>
          <cell r="S43">
            <v>8037.4335807884272</v>
          </cell>
          <cell r="T43">
            <v>15111.6160981992</v>
          </cell>
          <cell r="U43">
            <v>9088.7935546123663</v>
          </cell>
        </row>
      </sheetData>
      <sheetData sheetId="8">
        <row r="43">
          <cell r="E43">
            <v>9243.3882590484409</v>
          </cell>
          <cell r="F43">
            <v>7688.4429693628999</v>
          </cell>
          <cell r="G43">
            <v>8507.0095111812625</v>
          </cell>
          <cell r="H43">
            <v>8721.849698142425</v>
          </cell>
          <cell r="I43">
            <v>6200.0929414659076</v>
          </cell>
          <cell r="J43">
            <v>12639.470332918296</v>
          </cell>
          <cell r="K43">
            <v>10281.216527376204</v>
          </cell>
          <cell r="L43">
            <v>11183.140739447661</v>
          </cell>
          <cell r="M43">
            <v>12205.210065425466</v>
          </cell>
          <cell r="N43">
            <v>19375.734883368139</v>
          </cell>
          <cell r="O43">
            <v>5958.9604386086685</v>
          </cell>
          <cell r="P43">
            <v>7743.4718641522641</v>
          </cell>
          <cell r="Q43">
            <v>15184.188196422696</v>
          </cell>
          <cell r="R43">
            <v>14842.235016832446</v>
          </cell>
          <cell r="S43">
            <v>8058.7056538374609</v>
          </cell>
          <cell r="T43">
            <v>15145.23159834812</v>
          </cell>
          <cell r="U43">
            <v>9111.1153446245262</v>
          </cell>
        </row>
      </sheetData>
      <sheetData sheetId="9">
        <row r="43">
          <cell r="E43">
            <v>9443.5076012499849</v>
          </cell>
          <cell r="F43">
            <v>7858.2344858968518</v>
          </cell>
          <cell r="G43">
            <v>8697.3544543082917</v>
          </cell>
          <cell r="H43">
            <v>8912.1946412694542</v>
          </cell>
          <cell r="I43">
            <v>6344.8553477767528</v>
          </cell>
          <cell r="J43">
            <v>12669.956927625593</v>
          </cell>
          <cell r="K43">
            <v>10307.143470628687</v>
          </cell>
          <cell r="L43">
            <v>11210.337791556844</v>
          </cell>
          <cell r="M43">
            <v>12234.482144952783</v>
          </cell>
          <cell r="N43">
            <v>19712.454975936995</v>
          </cell>
          <cell r="O43">
            <v>6098.2440360470391</v>
          </cell>
          <cell r="P43">
            <v>7917.2248892043117</v>
          </cell>
          <cell r="Q43">
            <v>15466.197899590032</v>
          </cell>
          <cell r="R43">
            <v>14809.264243884081</v>
          </cell>
          <cell r="S43">
            <v>8037.5009154145864</v>
          </cell>
          <cell r="T43">
            <v>15111.683432825359</v>
          </cell>
          <cell r="U43">
            <v>9088.8608892385255</v>
          </cell>
        </row>
      </sheetData>
      <sheetData sheetId="10">
        <row r="43">
          <cell r="E43">
            <v>9243.3882590484409</v>
          </cell>
          <cell r="F43">
            <v>7688.4429693628999</v>
          </cell>
          <cell r="G43">
            <v>8507.0095111812625</v>
          </cell>
          <cell r="H43">
            <v>8721.849698142425</v>
          </cell>
          <cell r="I43">
            <v>6200.0929414659076</v>
          </cell>
          <cell r="J43">
            <v>12639.470332918296</v>
          </cell>
          <cell r="K43">
            <v>10281.216527376204</v>
          </cell>
          <cell r="L43">
            <v>11183.140739447661</v>
          </cell>
          <cell r="M43">
            <v>12205.210065425466</v>
          </cell>
          <cell r="N43">
            <v>19375.734883368139</v>
          </cell>
          <cell r="O43">
            <v>5958.9604386086685</v>
          </cell>
          <cell r="P43">
            <v>7743.4718641522641</v>
          </cell>
          <cell r="Q43">
            <v>15184.188196422696</v>
          </cell>
          <cell r="R43">
            <v>15052.889935576281</v>
          </cell>
          <cell r="S43">
            <v>8194.3389315471195</v>
          </cell>
          <cell r="T43">
            <v>15359.568041088694</v>
          </cell>
          <cell r="U43">
            <v>9253.4417430304093</v>
          </cell>
        </row>
      </sheetData>
      <sheetData sheetId="11">
        <row r="43">
          <cell r="E43">
            <v>9243.3882590484409</v>
          </cell>
          <cell r="F43">
            <v>7688.4429693628999</v>
          </cell>
          <cell r="G43">
            <v>8507.0095111812625</v>
          </cell>
          <cell r="H43">
            <v>8721.849698142425</v>
          </cell>
          <cell r="I43">
            <v>6200.0929414659076</v>
          </cell>
          <cell r="J43">
            <v>12639.470332918296</v>
          </cell>
          <cell r="K43">
            <v>10281.216527376204</v>
          </cell>
          <cell r="L43">
            <v>11183.140739447661</v>
          </cell>
          <cell r="M43">
            <v>12205.210065425466</v>
          </cell>
          <cell r="N43">
            <v>19375.734883368139</v>
          </cell>
          <cell r="O43">
            <v>5958.9604386086685</v>
          </cell>
          <cell r="P43">
            <v>7743.4718641522641</v>
          </cell>
          <cell r="Q43">
            <v>15184.188196422696</v>
          </cell>
          <cell r="R43">
            <v>14842.235016832446</v>
          </cell>
          <cell r="S43">
            <v>8058.7056538374609</v>
          </cell>
          <cell r="T43">
            <v>15145.23159834812</v>
          </cell>
          <cell r="U43">
            <v>9111.1153446245262</v>
          </cell>
        </row>
      </sheetData>
      <sheetData sheetId="12">
        <row r="42">
          <cell r="E42">
            <v>4892.1918469793191</v>
          </cell>
          <cell r="F42">
            <v>5343.1234968604031</v>
          </cell>
          <cell r="G42">
            <v>4877.2197664259747</v>
          </cell>
          <cell r="H42">
            <v>5000.3914644348251</v>
          </cell>
          <cell r="I42">
            <v>5809.877301793229</v>
          </cell>
          <cell r="J42">
            <v>4169.5727866309726</v>
          </cell>
          <cell r="K42">
            <v>4364.4727020128366</v>
          </cell>
          <cell r="L42">
            <v>4395.8600438294197</v>
          </cell>
          <cell r="M42">
            <v>4280.2943741565505</v>
          </cell>
          <cell r="N42">
            <v>4018.5497703791525</v>
          </cell>
          <cell r="O42">
            <v>5346.0180684778925</v>
          </cell>
          <cell r="P42">
            <v>4395.0240769196907</v>
          </cell>
          <cell r="Q42">
            <v>4001.6973719876728</v>
          </cell>
          <cell r="R42">
            <v>4050.6135172102759</v>
          </cell>
          <cell r="S42">
            <v>4389.4690989559622</v>
          </cell>
          <cell r="T42">
            <v>4034.5086268331138</v>
          </cell>
          <cell r="U42">
            <v>4558.3129293972879</v>
          </cell>
        </row>
      </sheetData>
    </sheetDataSet>
  </externalBook>
</externalLink>
</file>

<file path=xl/persons/person.xml><?xml version="1.0" encoding="utf-8"?>
<personList xmlns="http://schemas.microsoft.com/office/spreadsheetml/2018/threadedcomments" xmlns:x="http://schemas.openxmlformats.org/spreadsheetml/2006/main">
  <person displayName="13618043 Adi Kelvianto" id="{9341EDF4-5A5C-44C5-A9BB-56EB99DDFA7B}" userId="13618043 Adi Kelvianto"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B56" dT="2021-10-20T06:34:08.00" personId="{9341EDF4-5A5C-44C5-A9BB-56EB99DDFA7B}" id="{37F6B860-B2CD-4A85-9F45-D3E9E5CB1157}">
    <text>tolong diisi ya</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www.angkasapura2.co.id/id/business_relation/price_list%20%20https:/ap1.co.id/en/information/tarif-jasa-kebandarudaraan" TargetMode="External"/><Relationship Id="rId2" Type="http://schemas.openxmlformats.org/officeDocument/2006/relationships/hyperlink" Target="https://www.angkasapura2.co.id/id/business_relation/price_list%20%20https:/ap1.co.id/en/information/tarif-jasa-kebandarudaraan" TargetMode="External"/><Relationship Id="rId1" Type="http://schemas.openxmlformats.org/officeDocument/2006/relationships/hyperlink" Target="https://www.inflationtool.com/us-dollar/1990-to-present-value?amount=1" TargetMode="External"/><Relationship Id="rId5" Type="http://schemas.openxmlformats.org/officeDocument/2006/relationships/drawing" Target="../drawings/drawing1.xml"/><Relationship Id="rId4" Type="http://schemas.openxmlformats.org/officeDocument/2006/relationships/hyperlink" Target="https://www.ptjas.co.id/2019/04/26/perubahan-ketentuan-tarif-dasar-kargo-cgk/"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www.salaryexplorer.com/salary-survey.php?loc=101&amp;loctype=1&amp;job=80&amp;jobtype=3"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3E943-8793-4551-84EF-FFD53688602D}">
  <sheetPr codeName="Sheet2"/>
  <dimension ref="A1:E36"/>
  <sheetViews>
    <sheetView topLeftCell="A16" zoomScale="65" zoomScaleNormal="70" workbookViewId="0">
      <selection activeCell="E30" sqref="E30"/>
    </sheetView>
  </sheetViews>
  <sheetFormatPr defaultRowHeight="14.45"/>
  <cols>
    <col min="1" max="1" width="3.28515625" bestFit="1" customWidth="1"/>
    <col min="2" max="2" width="34.28515625" customWidth="1"/>
    <col min="3" max="3" width="56.42578125" customWidth="1"/>
    <col min="4" max="4" width="49.5703125" customWidth="1"/>
    <col min="5" max="5" width="57.5703125" customWidth="1"/>
  </cols>
  <sheetData>
    <row r="1" spans="1:5">
      <c r="A1" s="116" t="s">
        <v>0</v>
      </c>
      <c r="B1" s="116" t="s">
        <v>1</v>
      </c>
      <c r="C1" s="116" t="s">
        <v>2</v>
      </c>
      <c r="D1" s="116" t="s">
        <v>3</v>
      </c>
      <c r="E1" s="116" t="s">
        <v>4</v>
      </c>
    </row>
    <row r="2" spans="1:5">
      <c r="A2" s="1285" t="s">
        <v>5</v>
      </c>
      <c r="B2" s="1897"/>
      <c r="C2" s="1897"/>
      <c r="D2" s="1897"/>
      <c r="E2" s="1898"/>
    </row>
    <row r="3" spans="1:5" ht="26.45">
      <c r="A3" s="1286">
        <v>1</v>
      </c>
      <c r="B3" s="141" t="s">
        <v>6</v>
      </c>
      <c r="C3" s="142" t="s">
        <v>7</v>
      </c>
      <c r="D3" s="141" t="s">
        <v>8</v>
      </c>
      <c r="E3" s="141" t="s">
        <v>9</v>
      </c>
    </row>
    <row r="4" spans="1:5" ht="50.25" customHeight="1">
      <c r="A4" s="1899"/>
      <c r="B4" s="141" t="s">
        <v>10</v>
      </c>
      <c r="C4" s="117" t="s">
        <v>11</v>
      </c>
      <c r="D4" s="141" t="s">
        <v>12</v>
      </c>
      <c r="E4" s="141" t="s">
        <v>13</v>
      </c>
    </row>
    <row r="5" spans="1:5" ht="140.25" customHeight="1">
      <c r="A5" s="145">
        <v>2</v>
      </c>
      <c r="B5" s="141" t="s">
        <v>14</v>
      </c>
      <c r="C5" s="142" t="s">
        <v>15</v>
      </c>
      <c r="D5" s="141" t="s">
        <v>16</v>
      </c>
      <c r="E5" s="141" t="s">
        <v>17</v>
      </c>
    </row>
    <row r="6" spans="1:5" ht="39.6">
      <c r="A6" s="145">
        <v>3</v>
      </c>
      <c r="B6" s="141" t="s">
        <v>18</v>
      </c>
      <c r="C6" s="142" t="s">
        <v>19</v>
      </c>
      <c r="D6" s="141" t="s">
        <v>20</v>
      </c>
      <c r="E6" s="118" t="s">
        <v>21</v>
      </c>
    </row>
    <row r="7" spans="1:5">
      <c r="A7" s="1286">
        <v>4</v>
      </c>
      <c r="B7" s="141" t="s">
        <v>22</v>
      </c>
      <c r="C7" s="142" t="s">
        <v>23</v>
      </c>
      <c r="D7" s="143" t="s">
        <v>24</v>
      </c>
      <c r="E7" s="141"/>
    </row>
    <row r="8" spans="1:5" ht="26.45">
      <c r="A8" s="1900"/>
      <c r="B8" s="141" t="s">
        <v>25</v>
      </c>
      <c r="C8" s="517"/>
      <c r="D8" s="141" t="s">
        <v>26</v>
      </c>
      <c r="E8" s="119" t="s">
        <v>27</v>
      </c>
    </row>
    <row r="9" spans="1:5" ht="150" customHeight="1">
      <c r="A9" s="1900"/>
      <c r="B9" s="141"/>
      <c r="C9" s="518"/>
      <c r="D9" s="518"/>
      <c r="E9" s="142"/>
    </row>
    <row r="10" spans="1:5">
      <c r="A10" s="1900"/>
      <c r="B10" s="141"/>
      <c r="C10" s="142"/>
      <c r="D10" s="120"/>
      <c r="E10" s="141"/>
    </row>
    <row r="11" spans="1:5" ht="180" customHeight="1">
      <c r="A11" s="1900"/>
      <c r="B11" s="141" t="s">
        <v>28</v>
      </c>
      <c r="C11" s="142"/>
      <c r="D11" s="141" t="s">
        <v>29</v>
      </c>
      <c r="E11" s="1286"/>
    </row>
    <row r="12" spans="1:5" ht="180" customHeight="1">
      <c r="A12" s="1900"/>
      <c r="B12" s="519" t="s">
        <v>30</v>
      </c>
      <c r="C12" s="142">
        <v>0</v>
      </c>
      <c r="D12" s="142" t="s">
        <v>31</v>
      </c>
      <c r="E12" s="1899"/>
    </row>
    <row r="13" spans="1:5">
      <c r="A13" s="1900"/>
      <c r="B13" s="141" t="s">
        <v>32</v>
      </c>
      <c r="C13" s="142" t="s">
        <v>33</v>
      </c>
      <c r="D13" s="141"/>
      <c r="E13" s="141" t="s">
        <v>34</v>
      </c>
    </row>
    <row r="14" spans="1:5" ht="35.25" customHeight="1">
      <c r="A14" s="1900"/>
      <c r="B14" s="141" t="s">
        <v>35</v>
      </c>
      <c r="C14" s="142"/>
      <c r="D14" s="141" t="s">
        <v>36</v>
      </c>
      <c r="E14" s="141" t="s">
        <v>37</v>
      </c>
    </row>
    <row r="15" spans="1:5" ht="150" customHeight="1">
      <c r="A15" s="1900"/>
      <c r="B15" s="520" t="s">
        <v>38</v>
      </c>
      <c r="C15" s="142" t="s">
        <v>39</v>
      </c>
      <c r="D15" s="141" t="s">
        <v>40</v>
      </c>
      <c r="E15" s="141"/>
    </row>
    <row r="16" spans="1:5">
      <c r="A16" s="1900"/>
      <c r="B16" s="141" t="s">
        <v>41</v>
      </c>
      <c r="C16" s="518" t="s">
        <v>42</v>
      </c>
      <c r="D16" s="141"/>
      <c r="E16" s="141" t="s">
        <v>34</v>
      </c>
    </row>
    <row r="17" spans="1:5">
      <c r="A17" s="1900"/>
      <c r="B17" s="141" t="s">
        <v>43</v>
      </c>
      <c r="C17" s="518" t="s">
        <v>44</v>
      </c>
      <c r="D17" s="141"/>
      <c r="E17" s="141" t="s">
        <v>34</v>
      </c>
    </row>
    <row r="18" spans="1:5">
      <c r="A18" s="1900"/>
      <c r="B18" s="141" t="s">
        <v>45</v>
      </c>
      <c r="C18" s="518" t="s">
        <v>46</v>
      </c>
      <c r="D18" s="141"/>
      <c r="E18" s="141" t="s">
        <v>34</v>
      </c>
    </row>
    <row r="19" spans="1:5" ht="150" customHeight="1">
      <c r="A19" s="1899"/>
      <c r="B19" s="141" t="s">
        <v>47</v>
      </c>
      <c r="C19" s="142">
        <v>1</v>
      </c>
      <c r="D19" s="141" t="s">
        <v>48</v>
      </c>
      <c r="E19" s="145"/>
    </row>
    <row r="20" spans="1:5">
      <c r="A20" s="145">
        <v>5</v>
      </c>
      <c r="B20" s="144" t="s">
        <v>49</v>
      </c>
      <c r="C20" s="521"/>
      <c r="D20" s="144"/>
      <c r="E20" s="144"/>
    </row>
    <row r="21" spans="1:5">
      <c r="A21" s="145">
        <v>6</v>
      </c>
      <c r="B21" s="141" t="s">
        <v>50</v>
      </c>
      <c r="C21" s="142" t="s">
        <v>51</v>
      </c>
      <c r="D21" s="141" t="s">
        <v>52</v>
      </c>
      <c r="E21" s="141" t="s">
        <v>53</v>
      </c>
    </row>
    <row r="22" spans="1:5" ht="39.6">
      <c r="A22" s="145">
        <v>8</v>
      </c>
      <c r="B22" s="141" t="s">
        <v>54</v>
      </c>
      <c r="C22" s="142" t="s">
        <v>19</v>
      </c>
      <c r="D22" s="141" t="s">
        <v>55</v>
      </c>
      <c r="E22" s="118" t="s">
        <v>21</v>
      </c>
    </row>
    <row r="23" spans="1:5">
      <c r="A23" s="522">
        <v>9</v>
      </c>
      <c r="B23" s="523" t="s">
        <v>56</v>
      </c>
      <c r="C23" s="524"/>
      <c r="D23" s="523" t="s">
        <v>57</v>
      </c>
      <c r="E23" s="523" t="s">
        <v>58</v>
      </c>
    </row>
    <row r="24" spans="1:5" ht="66">
      <c r="A24" s="145">
        <v>10</v>
      </c>
      <c r="B24" s="141" t="s">
        <v>59</v>
      </c>
      <c r="C24" s="142" t="s">
        <v>60</v>
      </c>
      <c r="D24" s="141"/>
      <c r="E24" s="141" t="s">
        <v>61</v>
      </c>
    </row>
    <row r="25" spans="1:5" ht="39.6">
      <c r="A25" s="145">
        <v>11</v>
      </c>
      <c r="B25" s="144" t="s">
        <v>62</v>
      </c>
      <c r="C25" s="521" t="s">
        <v>63</v>
      </c>
      <c r="D25" s="144" t="s">
        <v>64</v>
      </c>
      <c r="E25" s="121" t="s">
        <v>65</v>
      </c>
    </row>
    <row r="26" spans="1:5">
      <c r="A26" s="1287" t="s">
        <v>66</v>
      </c>
      <c r="B26" s="1901"/>
      <c r="C26" s="1901"/>
      <c r="D26" s="1901"/>
      <c r="E26" s="1902"/>
    </row>
    <row r="27" spans="1:5">
      <c r="A27" s="525"/>
      <c r="B27" s="525"/>
      <c r="C27" s="122"/>
      <c r="D27" s="521"/>
      <c r="E27" s="521"/>
    </row>
    <row r="28" spans="1:5" ht="105.6">
      <c r="A28" s="525">
        <v>2</v>
      </c>
      <c r="B28" s="525" t="s">
        <v>67</v>
      </c>
      <c r="C28" s="521" t="s">
        <v>68</v>
      </c>
      <c r="D28" s="144" t="s">
        <v>69</v>
      </c>
      <c r="E28" s="144" t="s">
        <v>70</v>
      </c>
    </row>
    <row r="29" spans="1:5" ht="105.6">
      <c r="A29" s="525">
        <v>3</v>
      </c>
      <c r="B29" s="525" t="s">
        <v>71</v>
      </c>
      <c r="C29" s="123" t="s">
        <v>72</v>
      </c>
      <c r="D29" s="144" t="s">
        <v>73</v>
      </c>
      <c r="E29" s="144" t="s">
        <v>74</v>
      </c>
    </row>
    <row r="30" spans="1:5">
      <c r="A30" s="145">
        <v>4</v>
      </c>
      <c r="B30" s="145" t="s">
        <v>75</v>
      </c>
      <c r="C30" s="142" t="s">
        <v>76</v>
      </c>
      <c r="D30" s="142" t="s">
        <v>77</v>
      </c>
      <c r="E30" s="142" t="s">
        <v>78</v>
      </c>
    </row>
    <row r="31" spans="1:5">
      <c r="A31" s="145"/>
      <c r="B31" s="145" t="s">
        <v>79</v>
      </c>
      <c r="C31" s="124" t="s">
        <v>80</v>
      </c>
      <c r="D31" s="141" t="s">
        <v>81</v>
      </c>
      <c r="E31" s="146" t="s">
        <v>82</v>
      </c>
    </row>
    <row r="32" spans="1:5">
      <c r="A32" s="525">
        <v>6</v>
      </c>
      <c r="B32" s="525" t="s">
        <v>83</v>
      </c>
      <c r="C32" s="521"/>
      <c r="D32" s="144"/>
      <c r="E32" s="144"/>
    </row>
    <row r="33" spans="1:5">
      <c r="A33" s="525"/>
      <c r="B33" s="525"/>
      <c r="C33" s="521"/>
      <c r="D33" s="144"/>
      <c r="E33" s="144"/>
    </row>
    <row r="34" spans="1:5">
      <c r="A34" s="525"/>
      <c r="B34" s="525"/>
      <c r="C34" s="521"/>
      <c r="D34" s="521"/>
      <c r="E34" s="521"/>
    </row>
    <row r="35" spans="1:5">
      <c r="A35" s="145">
        <v>9</v>
      </c>
      <c r="B35" s="145" t="s">
        <v>84</v>
      </c>
      <c r="C35" s="142" t="s">
        <v>85</v>
      </c>
      <c r="D35" s="142" t="s">
        <v>86</v>
      </c>
      <c r="E35" s="142" t="s">
        <v>87</v>
      </c>
    </row>
    <row r="36" spans="1:5" ht="39.6">
      <c r="A36" s="525">
        <v>10</v>
      </c>
      <c r="B36" s="525" t="s">
        <v>88</v>
      </c>
      <c r="C36" s="521" t="s">
        <v>89</v>
      </c>
      <c r="D36" s="144" t="s">
        <v>90</v>
      </c>
      <c r="E36" s="144" t="s">
        <v>91</v>
      </c>
    </row>
  </sheetData>
  <mergeCells count="5">
    <mergeCell ref="A2:E2"/>
    <mergeCell ref="A3:A4"/>
    <mergeCell ref="A7:A19"/>
    <mergeCell ref="E11:E12"/>
    <mergeCell ref="A26:E26"/>
  </mergeCells>
  <hyperlinks>
    <hyperlink ref="E8" r:id="rId1" xr:uid="{32BFFE72-6C16-4891-80FE-C99451A57FDB}"/>
    <hyperlink ref="E6" r:id="rId2" xr:uid="{421A25F1-E0A0-45CD-8754-E9DE0AEE0856}"/>
    <hyperlink ref="E22" r:id="rId3" xr:uid="{20F6D3FF-282B-471F-98B6-8C1E1163ED63}"/>
    <hyperlink ref="E25" r:id="rId4" xr:uid="{FD98A230-36C4-42E8-A9EF-0982A0C20779}"/>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8444-CBC1-4CAF-BDC6-3D66608D8D32}">
  <sheetPr codeName="Sheet3"/>
  <dimension ref="A1:AF123"/>
  <sheetViews>
    <sheetView topLeftCell="C28" zoomScale="123" zoomScaleNormal="160" workbookViewId="0">
      <selection activeCell="H39" sqref="H39"/>
    </sheetView>
  </sheetViews>
  <sheetFormatPr defaultRowHeight="14.45"/>
  <cols>
    <col min="1" max="1" width="34.7109375" bestFit="1" customWidth="1"/>
    <col min="2" max="2" width="31.5703125" bestFit="1" customWidth="1"/>
    <col min="7" max="7" width="34.7109375" bestFit="1" customWidth="1"/>
    <col min="8" max="8" width="31.5703125" bestFit="1" customWidth="1"/>
    <col min="12" max="12" width="14.42578125" customWidth="1"/>
    <col min="13" max="13" width="34.7109375" bestFit="1" customWidth="1"/>
    <col min="14" max="14" width="31.5703125" bestFit="1" customWidth="1"/>
    <col min="20" max="20" width="45.42578125" bestFit="1" customWidth="1"/>
    <col min="21" max="21" width="25" bestFit="1" customWidth="1"/>
    <col min="22" max="22" width="19.5703125" bestFit="1" customWidth="1"/>
    <col min="23" max="23" width="15.28515625" bestFit="1" customWidth="1"/>
    <col min="24" max="24" width="25.7109375" customWidth="1"/>
    <col min="25" max="25" width="19.28515625" bestFit="1" customWidth="1"/>
  </cols>
  <sheetData>
    <row r="1" spans="1:32">
      <c r="A1" s="1291" t="s">
        <v>92</v>
      </c>
      <c r="B1" s="1292"/>
      <c r="C1" s="57"/>
      <c r="D1" s="57"/>
      <c r="E1" s="57"/>
      <c r="F1" s="57"/>
      <c r="G1" s="1297" t="s">
        <v>93</v>
      </c>
      <c r="H1" s="1298"/>
      <c r="I1" s="57"/>
      <c r="J1" s="57"/>
      <c r="M1" s="1289" t="s">
        <v>94</v>
      </c>
      <c r="N1" s="1289"/>
      <c r="T1" s="22"/>
      <c r="U1" s="13"/>
      <c r="V1" s="13"/>
      <c r="W1" s="13"/>
      <c r="X1" s="22"/>
      <c r="Y1" s="22"/>
    </row>
    <row r="2" spans="1:32" ht="15" thickBot="1">
      <c r="A2" s="1293"/>
      <c r="B2" s="1294"/>
      <c r="C2" s="57"/>
      <c r="D2" s="57"/>
      <c r="E2" s="57"/>
      <c r="F2" s="57"/>
      <c r="G2" s="1299"/>
      <c r="H2" s="1300"/>
      <c r="I2" s="57"/>
      <c r="J2" s="57"/>
      <c r="M2" s="1289"/>
      <c r="N2" s="1289"/>
      <c r="T2" s="21" t="s">
        <v>95</v>
      </c>
      <c r="U2" s="246"/>
      <c r="V2" s="246"/>
      <c r="W2" s="246"/>
      <c r="X2" s="31"/>
      <c r="Y2" s="31"/>
    </row>
    <row r="3" spans="1:32" ht="15" thickBot="1">
      <c r="A3" s="1295"/>
      <c r="B3" s="1296"/>
      <c r="C3" s="57"/>
      <c r="D3" s="57"/>
      <c r="E3" s="57"/>
      <c r="F3" s="57"/>
      <c r="G3" s="1301"/>
      <c r="H3" s="1302"/>
      <c r="I3" s="57"/>
      <c r="J3" s="57"/>
      <c r="M3" s="1289"/>
      <c r="N3" s="1289"/>
      <c r="T3" s="234"/>
      <c r="U3" s="235" t="s">
        <v>96</v>
      </c>
      <c r="V3" s="236" t="s">
        <v>97</v>
      </c>
      <c r="W3" s="237" t="s">
        <v>98</v>
      </c>
      <c r="X3" s="103" t="s">
        <v>99</v>
      </c>
      <c r="Y3" s="105" t="s">
        <v>100</v>
      </c>
    </row>
    <row r="4" spans="1:32">
      <c r="A4" s="67" t="s">
        <v>101</v>
      </c>
      <c r="B4" s="526" t="s">
        <v>102</v>
      </c>
      <c r="C4" s="57"/>
      <c r="D4" s="57"/>
      <c r="E4" s="57"/>
      <c r="F4" s="57"/>
      <c r="G4" s="166" t="s">
        <v>101</v>
      </c>
      <c r="H4" s="167" t="s">
        <v>103</v>
      </c>
      <c r="I4" s="57"/>
      <c r="J4" s="57"/>
      <c r="M4" s="152" t="s">
        <v>101</v>
      </c>
      <c r="N4" s="153" t="s">
        <v>94</v>
      </c>
      <c r="T4" s="96" t="s">
        <v>104</v>
      </c>
      <c r="U4" s="23" t="s">
        <v>105</v>
      </c>
      <c r="V4" s="220" t="s">
        <v>106</v>
      </c>
      <c r="W4" s="233"/>
      <c r="X4" s="233" t="s">
        <v>107</v>
      </c>
      <c r="Y4" s="238"/>
    </row>
    <row r="5" spans="1:32">
      <c r="A5" s="68" t="s">
        <v>104</v>
      </c>
      <c r="B5" s="69" t="s">
        <v>108</v>
      </c>
      <c r="C5" s="57"/>
      <c r="D5" s="57"/>
      <c r="E5" s="57"/>
      <c r="F5" s="57"/>
      <c r="G5" s="168" t="s">
        <v>104</v>
      </c>
      <c r="H5" s="527" t="s">
        <v>109</v>
      </c>
      <c r="I5" s="57"/>
      <c r="J5" s="57"/>
      <c r="M5" s="154" t="s">
        <v>104</v>
      </c>
      <c r="N5" s="528" t="s">
        <v>107</v>
      </c>
      <c r="T5" s="96" t="s">
        <v>110</v>
      </c>
      <c r="U5" s="23">
        <v>2</v>
      </c>
      <c r="V5" s="220">
        <v>2</v>
      </c>
      <c r="W5" s="192">
        <v>2</v>
      </c>
      <c r="X5" s="192"/>
      <c r="Y5" s="239"/>
    </row>
    <row r="6" spans="1:32">
      <c r="A6" s="70" t="s">
        <v>111</v>
      </c>
      <c r="B6" s="71">
        <v>2</v>
      </c>
      <c r="C6" s="57"/>
      <c r="D6" s="57"/>
      <c r="E6" s="57"/>
      <c r="F6" s="57"/>
      <c r="G6" s="169" t="s">
        <v>111</v>
      </c>
      <c r="H6" s="529">
        <v>2</v>
      </c>
      <c r="I6" s="57"/>
      <c r="J6" s="57"/>
      <c r="M6" s="155" t="s">
        <v>111</v>
      </c>
      <c r="N6" s="530">
        <v>2</v>
      </c>
      <c r="T6" s="96" t="s">
        <v>112</v>
      </c>
      <c r="U6" s="25">
        <v>120000000</v>
      </c>
      <c r="V6" s="221">
        <v>82000000</v>
      </c>
      <c r="W6" s="227">
        <v>40000000</v>
      </c>
      <c r="X6" s="227">
        <v>241700000</v>
      </c>
      <c r="Y6" s="240">
        <v>220300000</v>
      </c>
    </row>
    <row r="7" spans="1:32">
      <c r="A7" s="68" t="s">
        <v>113</v>
      </c>
      <c r="B7" s="531">
        <v>198400000</v>
      </c>
      <c r="C7" s="57"/>
      <c r="D7" s="57"/>
      <c r="E7" s="57"/>
      <c r="F7" s="57"/>
      <c r="G7" s="168" t="s">
        <v>113</v>
      </c>
      <c r="H7" s="532">
        <v>207200000</v>
      </c>
      <c r="I7" s="57"/>
      <c r="J7" s="57"/>
      <c r="M7" s="154" t="s">
        <v>113</v>
      </c>
      <c r="N7" s="533">
        <v>241700000</v>
      </c>
      <c r="T7" s="96" t="s">
        <v>114</v>
      </c>
      <c r="U7" s="15">
        <v>8750000</v>
      </c>
      <c r="V7" s="218">
        <v>8750000</v>
      </c>
      <c r="W7" s="227"/>
      <c r="X7" s="227"/>
      <c r="Y7" s="240"/>
    </row>
    <row r="8" spans="1:32">
      <c r="A8" s="70" t="s">
        <v>115</v>
      </c>
      <c r="B8" s="79">
        <v>1800000</v>
      </c>
      <c r="C8" s="57"/>
      <c r="D8" s="57"/>
      <c r="E8" s="57"/>
      <c r="F8" s="57"/>
      <c r="G8" s="169" t="s">
        <v>115</v>
      </c>
      <c r="H8" s="529" t="s">
        <v>116</v>
      </c>
      <c r="I8" s="57"/>
      <c r="J8" s="57"/>
      <c r="M8" s="155" t="s">
        <v>115</v>
      </c>
      <c r="N8" s="530" t="s">
        <v>116</v>
      </c>
      <c r="T8" s="97" t="s">
        <v>117</v>
      </c>
      <c r="U8" s="15">
        <v>240000</v>
      </c>
      <c r="V8" s="26">
        <v>210000</v>
      </c>
      <c r="W8" s="227">
        <v>150000</v>
      </c>
      <c r="X8" s="227"/>
      <c r="Y8" s="240"/>
    </row>
    <row r="9" spans="1:32">
      <c r="A9" s="68" t="s">
        <v>118</v>
      </c>
      <c r="B9" s="69">
        <v>227930</v>
      </c>
      <c r="C9" s="57"/>
      <c r="D9" s="57"/>
      <c r="E9" s="57"/>
      <c r="F9" s="57"/>
      <c r="G9" s="168" t="s">
        <v>118</v>
      </c>
      <c r="H9" s="527">
        <v>251000</v>
      </c>
      <c r="I9" s="57"/>
      <c r="J9" s="57"/>
      <c r="M9" s="154" t="s">
        <v>118</v>
      </c>
      <c r="N9" s="528">
        <v>233000</v>
      </c>
      <c r="T9" s="96" t="s">
        <v>119</v>
      </c>
      <c r="U9" s="33">
        <v>93500</v>
      </c>
      <c r="V9" s="26">
        <v>79000</v>
      </c>
      <c r="W9" s="227">
        <v>103000</v>
      </c>
      <c r="X9" s="227">
        <v>233000</v>
      </c>
      <c r="Y9" s="240">
        <v>186800</v>
      </c>
    </row>
    <row r="10" spans="1:32">
      <c r="A10" s="70" t="s">
        <v>120</v>
      </c>
      <c r="B10" s="79">
        <v>119950</v>
      </c>
      <c r="C10" s="57"/>
      <c r="D10" s="57"/>
      <c r="E10" s="57"/>
      <c r="F10" s="57"/>
      <c r="G10" s="169" t="s">
        <v>120</v>
      </c>
      <c r="H10" s="529">
        <v>137000</v>
      </c>
      <c r="I10" s="57"/>
      <c r="J10" s="57"/>
      <c r="M10" s="155" t="s">
        <v>120</v>
      </c>
      <c r="N10" s="530">
        <v>119600</v>
      </c>
      <c r="T10" s="96" t="s">
        <v>121</v>
      </c>
      <c r="U10" s="33">
        <v>48500</v>
      </c>
      <c r="V10" s="26">
        <v>41410</v>
      </c>
      <c r="W10" s="227">
        <v>59300</v>
      </c>
      <c r="X10" s="227">
        <v>119600</v>
      </c>
      <c r="Y10" s="240">
        <v>87180</v>
      </c>
    </row>
    <row r="11" spans="1:32">
      <c r="A11" s="68" t="s">
        <v>122</v>
      </c>
      <c r="B11" s="69">
        <v>161000</v>
      </c>
      <c r="C11" s="57"/>
      <c r="D11" s="57"/>
      <c r="E11" s="57"/>
      <c r="F11" s="57"/>
      <c r="G11" s="168" t="s">
        <v>122</v>
      </c>
      <c r="H11" s="527">
        <v>180983.356</v>
      </c>
      <c r="I11" s="57"/>
      <c r="J11" s="57"/>
      <c r="M11" s="154" t="s">
        <v>122</v>
      </c>
      <c r="N11" s="528">
        <v>164000</v>
      </c>
      <c r="T11" s="96" t="s">
        <v>123</v>
      </c>
      <c r="U11" s="33">
        <v>77800</v>
      </c>
      <c r="V11" s="224">
        <v>66350</v>
      </c>
      <c r="W11" s="227">
        <v>88000</v>
      </c>
      <c r="X11" s="227"/>
      <c r="Y11" s="240"/>
    </row>
    <row r="12" spans="1:32">
      <c r="A12" s="70" t="s">
        <v>124</v>
      </c>
      <c r="B12" s="71">
        <v>126206</v>
      </c>
      <c r="C12" s="57"/>
      <c r="D12" s="57"/>
      <c r="E12" s="57"/>
      <c r="F12" s="57"/>
      <c r="G12" s="169" t="s">
        <v>124</v>
      </c>
      <c r="H12" s="529">
        <v>139113.88</v>
      </c>
      <c r="I12" s="57"/>
      <c r="J12" s="57"/>
      <c r="M12" s="155" t="s">
        <v>124</v>
      </c>
      <c r="N12" s="530">
        <v>97530</v>
      </c>
      <c r="T12" s="96" t="s">
        <v>125</v>
      </c>
      <c r="U12" s="33">
        <v>28000</v>
      </c>
      <c r="V12" s="225">
        <v>20770</v>
      </c>
      <c r="W12" s="227">
        <v>30000</v>
      </c>
      <c r="X12" s="227">
        <v>70000</v>
      </c>
      <c r="Y12" s="240">
        <v>51930</v>
      </c>
    </row>
    <row r="13" spans="1:32" ht="15" thickBot="1">
      <c r="A13" s="68" t="s">
        <v>126</v>
      </c>
      <c r="B13" s="69">
        <v>913</v>
      </c>
      <c r="C13" s="57"/>
      <c r="D13" s="57"/>
      <c r="E13" s="57"/>
      <c r="F13" s="57"/>
      <c r="G13" s="168" t="s">
        <v>126</v>
      </c>
      <c r="H13" s="527">
        <v>919</v>
      </c>
      <c r="I13" s="57"/>
      <c r="J13" s="57"/>
      <c r="M13" s="154" t="s">
        <v>126</v>
      </c>
      <c r="N13" s="528">
        <v>803.44</v>
      </c>
      <c r="T13" s="96" t="s">
        <v>127</v>
      </c>
      <c r="U13" s="35">
        <v>3800</v>
      </c>
      <c r="V13" s="224">
        <v>3700</v>
      </c>
      <c r="W13" s="227">
        <v>4600</v>
      </c>
      <c r="X13" s="227">
        <v>7400</v>
      </c>
      <c r="Y13" s="240">
        <v>6111.6</v>
      </c>
    </row>
    <row r="14" spans="1:32">
      <c r="A14" s="70" t="s">
        <v>128</v>
      </c>
      <c r="B14" s="534" t="s">
        <v>116</v>
      </c>
      <c r="C14" s="57"/>
      <c r="D14" s="57"/>
      <c r="E14" s="57"/>
      <c r="F14" s="57"/>
      <c r="G14" s="169" t="s">
        <v>128</v>
      </c>
      <c r="H14" s="170" t="s">
        <v>116</v>
      </c>
      <c r="I14" s="57"/>
      <c r="J14" s="57"/>
      <c r="M14" s="155" t="s">
        <v>128</v>
      </c>
      <c r="N14" s="156" t="s">
        <v>116</v>
      </c>
      <c r="T14" s="96" t="s">
        <v>129</v>
      </c>
      <c r="U14" s="15"/>
      <c r="V14" s="218"/>
      <c r="W14" s="227"/>
      <c r="X14" s="227"/>
      <c r="Y14" s="240"/>
      <c r="AB14" s="1288" t="s">
        <v>130</v>
      </c>
      <c r="AC14" s="1288"/>
      <c r="AD14" s="1288"/>
      <c r="AE14" s="1288"/>
      <c r="AF14" s="1288"/>
    </row>
    <row r="15" spans="1:32">
      <c r="A15" s="68" t="s">
        <v>131</v>
      </c>
      <c r="B15" s="69">
        <v>52385.32</v>
      </c>
      <c r="C15" s="57"/>
      <c r="D15" s="57"/>
      <c r="E15" s="57"/>
      <c r="F15" s="57"/>
      <c r="G15" s="168" t="s">
        <v>131</v>
      </c>
      <c r="H15" s="527">
        <v>33027.53</v>
      </c>
      <c r="I15" s="57"/>
      <c r="J15" s="57"/>
      <c r="M15" s="154" t="s">
        <v>131</v>
      </c>
      <c r="N15" s="528">
        <v>44954.128440366971</v>
      </c>
      <c r="O15">
        <v>441000</v>
      </c>
      <c r="P15">
        <f>O15/9.81</f>
        <v>44954.128440366971</v>
      </c>
      <c r="T15" s="96" t="s">
        <v>132</v>
      </c>
      <c r="U15" s="69">
        <v>833</v>
      </c>
      <c r="V15" s="69">
        <v>842</v>
      </c>
      <c r="W15" s="227"/>
      <c r="X15" s="528">
        <v>913</v>
      </c>
      <c r="Y15" s="528">
        <v>853</v>
      </c>
      <c r="AB15">
        <f>0.88*U15</f>
        <v>733.04</v>
      </c>
      <c r="AC15">
        <f t="shared" ref="AC15:AE15" si="0">0.88*V15</f>
        <v>740.96</v>
      </c>
      <c r="AD15">
        <f t="shared" si="0"/>
        <v>0</v>
      </c>
      <c r="AE15">
        <f t="shared" si="0"/>
        <v>803.44</v>
      </c>
      <c r="AF15">
        <f>0.88*Y15</f>
        <v>750.64</v>
      </c>
    </row>
    <row r="16" spans="1:32">
      <c r="A16" s="70" t="s">
        <v>133</v>
      </c>
      <c r="B16" s="71">
        <v>377</v>
      </c>
      <c r="C16" s="57"/>
      <c r="D16" s="57"/>
      <c r="E16" s="57"/>
      <c r="F16" s="57"/>
      <c r="G16" s="169" t="s">
        <v>133</v>
      </c>
      <c r="H16" s="529">
        <v>162.80000000000001</v>
      </c>
      <c r="I16" s="57"/>
      <c r="J16" s="57"/>
      <c r="M16" s="155" t="s">
        <v>133</v>
      </c>
      <c r="N16" s="530">
        <v>361.6</v>
      </c>
      <c r="T16" s="96" t="s">
        <v>134</v>
      </c>
      <c r="U16" s="15">
        <v>2028.47</v>
      </c>
      <c r="V16" s="226">
        <v>3092.4</v>
      </c>
      <c r="W16" s="228">
        <v>3760</v>
      </c>
      <c r="X16" s="228">
        <v>5590</v>
      </c>
      <c r="Y16" s="241">
        <v>5200</v>
      </c>
    </row>
    <row r="17" spans="1:25">
      <c r="A17" s="68"/>
      <c r="B17" s="69"/>
      <c r="C17" s="57"/>
      <c r="D17" s="57"/>
      <c r="E17" s="57"/>
      <c r="F17" s="57"/>
      <c r="G17" s="168"/>
      <c r="H17" s="527"/>
      <c r="I17" s="57"/>
      <c r="J17" s="57"/>
      <c r="M17" s="68" t="s">
        <v>135</v>
      </c>
      <c r="N17" s="528">
        <v>70</v>
      </c>
      <c r="T17" s="96"/>
      <c r="U17" s="15"/>
      <c r="V17" s="218"/>
      <c r="W17" s="227"/>
      <c r="X17" s="227"/>
      <c r="Y17" s="240"/>
    </row>
    <row r="18" spans="1:25">
      <c r="A18" s="70"/>
      <c r="B18" s="71"/>
      <c r="C18" s="57"/>
      <c r="D18" s="57"/>
      <c r="E18" s="57"/>
      <c r="F18" s="57"/>
      <c r="G18" s="169"/>
      <c r="H18" s="529"/>
      <c r="I18" s="57"/>
      <c r="J18" s="57"/>
      <c r="M18" s="70" t="s">
        <v>136</v>
      </c>
      <c r="N18" s="530">
        <v>7400</v>
      </c>
      <c r="T18" s="96" t="s">
        <v>137</v>
      </c>
      <c r="U18" s="231">
        <v>38</v>
      </c>
      <c r="V18" s="231">
        <v>33</v>
      </c>
      <c r="W18" s="213">
        <v>41</v>
      </c>
      <c r="X18" s="213">
        <v>79</v>
      </c>
      <c r="Y18" s="242">
        <v>66</v>
      </c>
    </row>
    <row r="19" spans="1:25">
      <c r="A19" s="72" t="s">
        <v>138</v>
      </c>
      <c r="B19" s="73" t="s">
        <v>139</v>
      </c>
      <c r="C19" s="57"/>
      <c r="D19" s="57"/>
      <c r="E19" s="57"/>
      <c r="F19" s="57"/>
      <c r="G19" s="171" t="s">
        <v>138</v>
      </c>
      <c r="H19" s="172" t="s">
        <v>139</v>
      </c>
      <c r="I19" s="57"/>
      <c r="J19" s="57"/>
      <c r="M19" s="157" t="s">
        <v>138</v>
      </c>
      <c r="N19" s="158" t="s">
        <v>139</v>
      </c>
      <c r="T19" s="230" t="s">
        <v>140</v>
      </c>
      <c r="U19" s="1303">
        <f>7000*0.00007</f>
        <v>0.48999999999999994</v>
      </c>
      <c r="V19" s="1303"/>
      <c r="W19" s="1303"/>
      <c r="X19" s="1303"/>
      <c r="Y19" s="1304"/>
    </row>
    <row r="20" spans="1:25">
      <c r="A20" s="72" t="s">
        <v>141</v>
      </c>
      <c r="B20" s="73" t="s">
        <v>11</v>
      </c>
      <c r="C20" s="57"/>
      <c r="D20" s="57"/>
      <c r="E20" s="57"/>
      <c r="F20" s="57"/>
      <c r="G20" s="171" t="s">
        <v>141</v>
      </c>
      <c r="H20" s="172" t="s">
        <v>11</v>
      </c>
      <c r="I20" s="57"/>
      <c r="J20" s="57"/>
      <c r="M20" s="157" t="s">
        <v>141</v>
      </c>
      <c r="N20" s="158" t="s">
        <v>11</v>
      </c>
      <c r="T20" s="230" t="s">
        <v>142</v>
      </c>
      <c r="U20" s="1305">
        <f>60500*0.00007</f>
        <v>4.2349999999999994</v>
      </c>
      <c r="V20" s="1305"/>
      <c r="W20" s="1305"/>
      <c r="X20" s="1305"/>
      <c r="Y20" s="1306"/>
    </row>
    <row r="21" spans="1:25">
      <c r="A21" s="74" t="s">
        <v>143</v>
      </c>
      <c r="B21" s="535">
        <v>4900</v>
      </c>
      <c r="C21" s="57"/>
      <c r="D21" s="57"/>
      <c r="E21" s="57"/>
      <c r="F21" s="57"/>
      <c r="G21" s="173" t="s">
        <v>143</v>
      </c>
      <c r="H21" s="536">
        <v>5200</v>
      </c>
      <c r="I21" s="57"/>
      <c r="J21" s="57"/>
      <c r="M21" s="159" t="s">
        <v>143</v>
      </c>
      <c r="N21" s="537">
        <v>5590</v>
      </c>
      <c r="T21" s="96"/>
      <c r="U21" s="15"/>
      <c r="V21" s="15"/>
      <c r="W21" s="218"/>
      <c r="X21" s="232"/>
      <c r="Y21" s="243"/>
    </row>
    <row r="22" spans="1:25">
      <c r="A22" s="538" t="s">
        <v>144</v>
      </c>
      <c r="B22" s="71">
        <v>774.96199999999999</v>
      </c>
      <c r="C22" s="57"/>
      <c r="D22" s="57"/>
      <c r="E22" s="57"/>
      <c r="F22" s="57"/>
      <c r="G22" s="178" t="s">
        <v>144</v>
      </c>
      <c r="H22" s="529">
        <v>853.4</v>
      </c>
      <c r="I22" s="57"/>
      <c r="J22" s="57"/>
      <c r="M22" s="160" t="s">
        <v>144</v>
      </c>
      <c r="N22" s="530">
        <f>0.0034*N9</f>
        <v>792.19999999999993</v>
      </c>
      <c r="T22" s="96"/>
      <c r="U22" s="15"/>
      <c r="V22" s="15"/>
      <c r="W22" s="218"/>
      <c r="X22" s="227"/>
      <c r="Y22" s="240"/>
    </row>
    <row r="23" spans="1:25">
      <c r="A23" s="68" t="s">
        <v>145</v>
      </c>
      <c r="B23" s="69">
        <v>12</v>
      </c>
      <c r="C23" s="57"/>
      <c r="D23" s="57"/>
      <c r="E23" s="57"/>
      <c r="F23" s="57"/>
      <c r="G23" s="168" t="s">
        <v>145</v>
      </c>
      <c r="H23" s="527">
        <v>12</v>
      </c>
      <c r="I23" s="57"/>
      <c r="J23" s="57"/>
      <c r="M23" s="154" t="s">
        <v>145</v>
      </c>
      <c r="N23" s="528">
        <v>12</v>
      </c>
      <c r="T23" s="96"/>
      <c r="U23" s="15"/>
      <c r="V23" s="15"/>
      <c r="W23" s="218"/>
      <c r="X23" s="227"/>
      <c r="Y23" s="240"/>
    </row>
    <row r="24" spans="1:25">
      <c r="A24" s="72" t="s">
        <v>146</v>
      </c>
      <c r="B24" s="539">
        <v>3.0617999999999999</v>
      </c>
      <c r="C24" s="125"/>
      <c r="D24" s="125"/>
      <c r="E24" s="125"/>
      <c r="F24" s="125"/>
      <c r="G24" s="174" t="s">
        <v>146</v>
      </c>
      <c r="H24" s="540">
        <v>3.0617999999999999</v>
      </c>
      <c r="I24" s="57"/>
      <c r="J24" s="57"/>
      <c r="M24" s="161" t="s">
        <v>146</v>
      </c>
      <c r="N24" s="365">
        <v>3.0617999999999999</v>
      </c>
      <c r="T24" s="96"/>
      <c r="U24" s="1307"/>
      <c r="V24" s="1308"/>
      <c r="W24" s="1308"/>
      <c r="X24" s="34"/>
      <c r="Y24" s="244"/>
    </row>
    <row r="25" spans="1:25">
      <c r="A25" s="75" t="s">
        <v>147</v>
      </c>
      <c r="B25" s="541">
        <v>1.9</v>
      </c>
      <c r="C25" s="125"/>
      <c r="D25" s="125"/>
      <c r="E25" s="125"/>
      <c r="F25" s="125"/>
      <c r="G25" s="175" t="s">
        <v>147</v>
      </c>
      <c r="H25" s="542">
        <v>1.9</v>
      </c>
      <c r="I25" s="57"/>
      <c r="J25" s="57"/>
      <c r="M25" s="162" t="s">
        <v>147</v>
      </c>
      <c r="N25" s="543">
        <v>1.9</v>
      </c>
      <c r="T25" s="96"/>
      <c r="U25" s="1309"/>
      <c r="V25" s="1308"/>
      <c r="W25" s="1308"/>
      <c r="X25" s="34"/>
      <c r="Y25" s="244"/>
    </row>
    <row r="26" spans="1:25" ht="16.149999999999999">
      <c r="A26" s="76" t="s">
        <v>148</v>
      </c>
      <c r="B26" s="77" t="s">
        <v>149</v>
      </c>
      <c r="C26" s="57"/>
      <c r="D26" s="57"/>
      <c r="E26" s="57"/>
      <c r="F26" s="57"/>
      <c r="G26" s="176" t="s">
        <v>148</v>
      </c>
      <c r="H26" s="177" t="s">
        <v>149</v>
      </c>
      <c r="I26" s="57"/>
      <c r="J26" s="57"/>
      <c r="M26" s="163" t="s">
        <v>148</v>
      </c>
      <c r="N26" s="164" t="s">
        <v>149</v>
      </c>
      <c r="T26" s="96"/>
      <c r="U26" s="15"/>
      <c r="V26" s="15"/>
      <c r="W26" s="218"/>
      <c r="X26" s="227"/>
      <c r="Y26" s="240"/>
    </row>
    <row r="27" spans="1:25">
      <c r="A27" s="57"/>
      <c r="B27" s="57"/>
      <c r="C27" s="57"/>
      <c r="D27" s="57"/>
      <c r="E27" s="57"/>
      <c r="F27" s="57"/>
      <c r="G27" s="57"/>
      <c r="H27" s="57"/>
      <c r="I27" s="57"/>
      <c r="J27" s="57"/>
      <c r="M27" s="165" t="s">
        <v>150</v>
      </c>
      <c r="N27" t="s">
        <v>151</v>
      </c>
      <c r="T27" s="98"/>
      <c r="U27" s="15"/>
      <c r="V27" s="15"/>
      <c r="W27" s="218"/>
      <c r="X27" s="227"/>
      <c r="Y27" s="240"/>
    </row>
    <row r="28" spans="1:25">
      <c r="A28" s="57"/>
      <c r="B28" s="57"/>
      <c r="C28" s="57"/>
      <c r="D28" s="57"/>
      <c r="E28" s="57"/>
      <c r="F28" s="57"/>
      <c r="G28" s="57"/>
      <c r="H28" s="57"/>
      <c r="I28" s="57"/>
      <c r="J28" s="57"/>
      <c r="T28" s="96"/>
      <c r="U28" s="15"/>
      <c r="V28" s="15"/>
      <c r="W28" s="218"/>
      <c r="X28" s="227"/>
      <c r="Y28" s="240"/>
    </row>
    <row r="29" spans="1:25">
      <c r="A29" s="57"/>
      <c r="B29" s="57"/>
      <c r="C29" s="57"/>
      <c r="D29" s="57"/>
      <c r="E29" s="57"/>
      <c r="F29" s="57"/>
      <c r="G29" s="57"/>
      <c r="H29" s="57"/>
      <c r="I29" s="57"/>
      <c r="J29" s="57"/>
      <c r="T29" s="98"/>
      <c r="U29" s="15"/>
      <c r="V29" s="15"/>
      <c r="W29" s="218"/>
      <c r="X29" s="227"/>
      <c r="Y29" s="240"/>
    </row>
    <row r="30" spans="1:25">
      <c r="A30" s="57"/>
      <c r="B30" s="57"/>
      <c r="C30" s="57"/>
      <c r="D30" s="57"/>
      <c r="E30" s="57"/>
      <c r="F30" s="57"/>
      <c r="G30" s="57"/>
      <c r="H30" s="57"/>
      <c r="I30" s="57"/>
      <c r="J30" s="57"/>
      <c r="T30" s="96" t="s">
        <v>152</v>
      </c>
      <c r="U30" s="17">
        <v>405.51</v>
      </c>
      <c r="V30" s="17">
        <v>402.40300000000002</v>
      </c>
      <c r="W30" s="222">
        <v>614.88995647757929</v>
      </c>
      <c r="X30" s="229">
        <v>769.16</v>
      </c>
      <c r="Y30" s="245">
        <v>703.88</v>
      </c>
    </row>
    <row r="31" spans="1:25">
      <c r="A31" s="1291" t="s">
        <v>153</v>
      </c>
      <c r="B31" s="1292"/>
      <c r="C31" s="57"/>
      <c r="D31" s="57"/>
      <c r="E31" s="57"/>
      <c r="F31" s="57"/>
      <c r="G31" s="1291" t="s">
        <v>96</v>
      </c>
      <c r="H31" s="1292"/>
      <c r="I31" s="57"/>
      <c r="J31" s="57"/>
      <c r="M31" s="1289" t="s">
        <v>100</v>
      </c>
      <c r="N31" s="1289"/>
      <c r="T31" s="96" t="s">
        <v>154</v>
      </c>
      <c r="U31" s="17">
        <v>471.85199999999998</v>
      </c>
      <c r="V31" s="17">
        <v>463.93799999999999</v>
      </c>
      <c r="W31" s="222">
        <v>604.07138193679191</v>
      </c>
      <c r="X31" s="229">
        <v>750.09</v>
      </c>
      <c r="Y31" s="245">
        <v>681.3</v>
      </c>
    </row>
    <row r="32" spans="1:25">
      <c r="A32" s="1293"/>
      <c r="B32" s="1294"/>
      <c r="C32" s="57"/>
      <c r="D32" s="57"/>
      <c r="E32" s="57"/>
      <c r="F32" s="57"/>
      <c r="G32" s="1293"/>
      <c r="H32" s="1294"/>
      <c r="I32" s="57"/>
      <c r="J32" s="57"/>
      <c r="M32" s="1289"/>
      <c r="N32" s="1289"/>
      <c r="T32" s="96"/>
      <c r="U32" s="1309"/>
      <c r="V32" s="1308"/>
      <c r="W32" s="1308"/>
      <c r="X32" s="34"/>
      <c r="Y32" s="244"/>
    </row>
    <row r="33" spans="1:25">
      <c r="A33" s="1295"/>
      <c r="B33" s="1296"/>
      <c r="C33" s="57"/>
      <c r="D33" s="57"/>
      <c r="E33" s="57"/>
      <c r="F33" s="57"/>
      <c r="G33" s="1295"/>
      <c r="H33" s="1296"/>
      <c r="I33" s="57"/>
      <c r="J33" s="57"/>
      <c r="M33" s="1289"/>
      <c r="N33" s="1289"/>
      <c r="T33" s="98"/>
      <c r="U33" s="15"/>
      <c r="V33" s="15"/>
      <c r="W33" s="218"/>
      <c r="X33" s="227"/>
      <c r="Y33" s="240"/>
    </row>
    <row r="34" spans="1:25">
      <c r="A34" s="67" t="s">
        <v>101</v>
      </c>
      <c r="B34" s="526" t="s">
        <v>155</v>
      </c>
      <c r="C34" s="57"/>
      <c r="D34" s="57"/>
      <c r="E34" s="57"/>
      <c r="F34" s="57"/>
      <c r="G34" s="67" t="s">
        <v>101</v>
      </c>
      <c r="H34" s="526" t="s">
        <v>96</v>
      </c>
      <c r="I34" s="57"/>
      <c r="J34" s="57"/>
      <c r="M34" s="152" t="s">
        <v>101</v>
      </c>
      <c r="N34" s="153" t="s">
        <v>100</v>
      </c>
      <c r="T34" s="98"/>
      <c r="U34" s="15"/>
      <c r="V34" s="15"/>
      <c r="W34" s="218"/>
      <c r="X34" s="227"/>
      <c r="Y34" s="240"/>
    </row>
    <row r="35" spans="1:25">
      <c r="A35" s="68" t="s">
        <v>104</v>
      </c>
      <c r="B35" s="69" t="s">
        <v>156</v>
      </c>
      <c r="C35" s="57"/>
      <c r="D35" s="57"/>
      <c r="E35" s="57"/>
      <c r="F35" s="57"/>
      <c r="G35" s="68" t="s">
        <v>104</v>
      </c>
      <c r="H35" s="69" t="s">
        <v>105</v>
      </c>
      <c r="I35" s="57"/>
      <c r="J35" s="57" t="s">
        <v>157</v>
      </c>
      <c r="M35" s="154" t="s">
        <v>104</v>
      </c>
      <c r="N35" s="528" t="s">
        <v>158</v>
      </c>
      <c r="T35" s="99"/>
      <c r="U35" s="1309"/>
      <c r="V35" s="1308"/>
      <c r="W35" s="1308"/>
      <c r="X35" s="34"/>
      <c r="Y35" s="244"/>
    </row>
    <row r="36" spans="1:25">
      <c r="A36" s="70" t="s">
        <v>111</v>
      </c>
      <c r="B36" s="71">
        <v>2</v>
      </c>
      <c r="C36" s="57"/>
      <c r="D36" s="57"/>
      <c r="E36" s="57"/>
      <c r="F36" s="57"/>
      <c r="G36" s="70" t="s">
        <v>111</v>
      </c>
      <c r="H36" s="71">
        <v>2</v>
      </c>
      <c r="I36" s="57"/>
      <c r="J36" s="57"/>
      <c r="M36" s="155" t="s">
        <v>111</v>
      </c>
      <c r="N36" s="530">
        <v>2</v>
      </c>
      <c r="T36" s="98"/>
      <c r="U36" s="15"/>
      <c r="V36" s="16"/>
      <c r="W36" s="223"/>
      <c r="X36" s="227"/>
      <c r="Y36" s="240"/>
    </row>
    <row r="37" spans="1:25">
      <c r="A37" s="68" t="s">
        <v>159</v>
      </c>
      <c r="B37" s="531">
        <v>40000000</v>
      </c>
      <c r="C37" s="57"/>
      <c r="D37" s="57"/>
      <c r="E37" s="57"/>
      <c r="F37" s="57"/>
      <c r="G37" s="68" t="s">
        <v>160</v>
      </c>
      <c r="H37" s="531">
        <v>120000000</v>
      </c>
      <c r="I37" s="57"/>
      <c r="J37" s="57"/>
      <c r="M37" s="154" t="s">
        <v>159</v>
      </c>
      <c r="N37" s="533">
        <v>220300000</v>
      </c>
      <c r="T37" s="98"/>
      <c r="U37" s="15"/>
      <c r="V37" s="15"/>
      <c r="W37" s="218"/>
      <c r="X37" s="227"/>
      <c r="Y37" s="240"/>
    </row>
    <row r="38" spans="1:25">
      <c r="A38" s="70" t="s">
        <v>115</v>
      </c>
      <c r="B38" s="79" t="s">
        <v>116</v>
      </c>
      <c r="C38" s="57"/>
      <c r="D38" s="57"/>
      <c r="E38" s="57"/>
      <c r="F38" s="57"/>
      <c r="G38" s="70" t="s">
        <v>115</v>
      </c>
      <c r="H38" s="79">
        <v>240000</v>
      </c>
      <c r="I38" s="57"/>
      <c r="J38" s="57" t="s">
        <v>161</v>
      </c>
      <c r="M38" s="155" t="s">
        <v>115</v>
      </c>
      <c r="N38" s="544">
        <v>338000</v>
      </c>
      <c r="O38" t="s">
        <v>162</v>
      </c>
      <c r="T38" s="98"/>
      <c r="U38" s="15"/>
      <c r="V38" s="15"/>
      <c r="W38" s="218"/>
      <c r="X38" s="227"/>
      <c r="Y38" s="240"/>
    </row>
    <row r="39" spans="1:25">
      <c r="A39" s="68" t="s">
        <v>118</v>
      </c>
      <c r="B39" s="78">
        <v>103000</v>
      </c>
      <c r="C39" s="57"/>
      <c r="D39" s="57"/>
      <c r="E39" s="57"/>
      <c r="F39" s="57"/>
      <c r="G39" s="68" t="s">
        <v>118</v>
      </c>
      <c r="H39" s="78">
        <v>93500</v>
      </c>
      <c r="I39" s="57"/>
      <c r="J39" s="57"/>
      <c r="M39" s="154" t="s">
        <v>118</v>
      </c>
      <c r="N39" s="528">
        <v>186800</v>
      </c>
      <c r="T39" s="96" t="s">
        <v>163</v>
      </c>
      <c r="U39" s="15">
        <v>1</v>
      </c>
      <c r="V39" s="15">
        <v>1.1000000000000001</v>
      </c>
      <c r="W39" s="218">
        <v>1.1000000000000001</v>
      </c>
      <c r="X39" s="227">
        <v>1.1000000000000001</v>
      </c>
      <c r="Y39" s="240">
        <v>1.1000000000000001</v>
      </c>
    </row>
    <row r="40" spans="1:25" ht="15" thickBot="1">
      <c r="A40" s="70" t="s">
        <v>120</v>
      </c>
      <c r="B40" s="79">
        <v>59300</v>
      </c>
      <c r="C40" s="57"/>
      <c r="D40" s="57"/>
      <c r="E40" s="57"/>
      <c r="F40" s="57"/>
      <c r="G40" s="70" t="s">
        <v>120</v>
      </c>
      <c r="H40" s="79">
        <v>48500</v>
      </c>
      <c r="I40" s="57"/>
      <c r="J40" s="57"/>
      <c r="M40" s="155" t="s">
        <v>120</v>
      </c>
      <c r="N40" s="530">
        <v>87180</v>
      </c>
      <c r="T40" s="100" t="s">
        <v>145</v>
      </c>
      <c r="U40" s="101">
        <v>11</v>
      </c>
      <c r="V40" s="101">
        <v>11</v>
      </c>
      <c r="W40" s="219">
        <v>11</v>
      </c>
      <c r="X40" s="219">
        <v>11</v>
      </c>
      <c r="Y40" s="102">
        <v>11</v>
      </c>
    </row>
    <row r="41" spans="1:25">
      <c r="A41" s="68" t="s">
        <v>122</v>
      </c>
      <c r="B41" s="78">
        <v>80300</v>
      </c>
      <c r="C41" s="57"/>
      <c r="D41" s="57"/>
      <c r="E41" s="57"/>
      <c r="F41" s="57"/>
      <c r="G41" s="68" t="s">
        <v>122</v>
      </c>
      <c r="H41" s="78">
        <v>73800</v>
      </c>
      <c r="I41" s="57"/>
      <c r="J41" s="57"/>
      <c r="M41" s="154" t="s">
        <v>122</v>
      </c>
      <c r="N41" s="528">
        <v>140160</v>
      </c>
    </row>
    <row r="42" spans="1:25">
      <c r="A42" s="70" t="s">
        <v>124</v>
      </c>
      <c r="B42" s="79" t="s">
        <v>116</v>
      </c>
      <c r="C42" s="57"/>
      <c r="D42" s="57"/>
      <c r="E42" s="57"/>
      <c r="F42" s="57"/>
      <c r="G42" s="70" t="s">
        <v>124</v>
      </c>
      <c r="H42" s="79">
        <v>37397</v>
      </c>
      <c r="I42" s="57"/>
      <c r="J42" s="57"/>
      <c r="M42" s="155" t="s">
        <v>124</v>
      </c>
      <c r="N42" s="530">
        <v>90640</v>
      </c>
    </row>
    <row r="43" spans="1:25">
      <c r="A43" s="68" t="s">
        <v>126</v>
      </c>
      <c r="B43" s="69">
        <v>850</v>
      </c>
      <c r="C43" s="57"/>
      <c r="D43" s="57"/>
      <c r="E43" s="57"/>
      <c r="F43" s="57"/>
      <c r="G43" s="68" t="s">
        <v>126</v>
      </c>
      <c r="H43" s="69">
        <v>737</v>
      </c>
      <c r="I43" s="57"/>
      <c r="J43" s="57"/>
      <c r="M43" s="154" t="s">
        <v>126</v>
      </c>
      <c r="N43" s="528">
        <v>750.64</v>
      </c>
    </row>
    <row r="44" spans="1:25">
      <c r="A44" s="70" t="s">
        <v>128</v>
      </c>
      <c r="B44" s="534" t="s">
        <v>116</v>
      </c>
      <c r="C44" s="57"/>
      <c r="D44" s="57"/>
      <c r="E44" s="57"/>
      <c r="F44" s="57"/>
      <c r="G44" s="70" t="s">
        <v>128</v>
      </c>
      <c r="H44" s="534" t="s">
        <v>116</v>
      </c>
      <c r="I44" s="57"/>
      <c r="J44" s="57"/>
      <c r="M44" s="155" t="s">
        <v>128</v>
      </c>
      <c r="N44" s="156" t="s">
        <v>116</v>
      </c>
    </row>
    <row r="45" spans="1:25">
      <c r="A45" s="68" t="s">
        <v>131</v>
      </c>
      <c r="B45" s="69">
        <v>39099.660000000003</v>
      </c>
      <c r="C45" s="57"/>
      <c r="D45" s="57"/>
      <c r="E45" s="57"/>
      <c r="F45" s="57"/>
      <c r="G45" s="68" t="s">
        <v>131</v>
      </c>
      <c r="H45" s="69">
        <f>121000*2/9.81</f>
        <v>24668.705402650354</v>
      </c>
      <c r="I45" s="57"/>
      <c r="J45" s="57" t="s">
        <v>164</v>
      </c>
      <c r="M45" s="154" t="s">
        <v>131</v>
      </c>
      <c r="N45" s="528">
        <v>42813.46</v>
      </c>
    </row>
    <row r="46" spans="1:25">
      <c r="A46" s="70" t="s">
        <v>133</v>
      </c>
      <c r="B46" s="71">
        <v>182.4</v>
      </c>
      <c r="C46" s="57"/>
      <c r="D46" s="57"/>
      <c r="E46" s="57"/>
      <c r="F46" s="57"/>
      <c r="G46" s="70" t="s">
        <v>133</v>
      </c>
      <c r="H46" s="71">
        <v>122.4</v>
      </c>
      <c r="I46" s="57"/>
      <c r="J46" s="57" t="s">
        <v>165</v>
      </c>
      <c r="M46" s="155" t="s">
        <v>133</v>
      </c>
      <c r="N46" s="530">
        <v>302.94</v>
      </c>
    </row>
    <row r="47" spans="1:25">
      <c r="A47" s="68" t="s">
        <v>135</v>
      </c>
      <c r="B47" s="69">
        <v>30</v>
      </c>
      <c r="C47" s="57"/>
      <c r="D47" s="57"/>
      <c r="E47" s="57"/>
      <c r="F47" s="57"/>
      <c r="G47" s="68" t="s">
        <v>135</v>
      </c>
      <c r="H47" s="69">
        <v>28</v>
      </c>
      <c r="I47" s="57"/>
      <c r="J47" s="57"/>
      <c r="M47" s="68" t="s">
        <v>135</v>
      </c>
      <c r="N47" s="528">
        <v>51.93</v>
      </c>
    </row>
    <row r="48" spans="1:25">
      <c r="A48" s="70" t="s">
        <v>136</v>
      </c>
      <c r="B48" s="71">
        <v>4600</v>
      </c>
      <c r="C48" s="57"/>
      <c r="D48" s="57"/>
      <c r="E48" s="57"/>
      <c r="F48" s="57"/>
      <c r="G48" s="70" t="s">
        <v>136</v>
      </c>
      <c r="H48" s="71">
        <v>3800</v>
      </c>
      <c r="I48" s="57"/>
      <c r="J48" s="57"/>
      <c r="M48" s="70" t="s">
        <v>136</v>
      </c>
      <c r="N48" s="530">
        <v>6111.6</v>
      </c>
    </row>
    <row r="49" spans="1:14">
      <c r="A49" s="72" t="s">
        <v>138</v>
      </c>
      <c r="B49" s="73" t="s">
        <v>139</v>
      </c>
      <c r="C49" s="57"/>
      <c r="D49" s="57"/>
      <c r="E49" s="57"/>
      <c r="F49" s="57"/>
      <c r="G49" s="72" t="s">
        <v>138</v>
      </c>
      <c r="H49" s="73" t="s">
        <v>139</v>
      </c>
      <c r="I49" s="57"/>
      <c r="J49" s="57"/>
      <c r="M49" s="157" t="s">
        <v>138</v>
      </c>
      <c r="N49" s="158" t="s">
        <v>139</v>
      </c>
    </row>
    <row r="50" spans="1:14">
      <c r="A50" s="72" t="s">
        <v>141</v>
      </c>
      <c r="B50" s="73" t="s">
        <v>11</v>
      </c>
      <c r="C50" s="57"/>
      <c r="D50" s="57"/>
      <c r="E50" s="57"/>
      <c r="F50" s="57"/>
      <c r="G50" s="72" t="s">
        <v>141</v>
      </c>
      <c r="H50" s="73" t="s">
        <v>11</v>
      </c>
      <c r="I50" s="57"/>
      <c r="J50" s="57"/>
      <c r="M50" s="157" t="s">
        <v>141</v>
      </c>
      <c r="N50" s="158" t="s">
        <v>11</v>
      </c>
    </row>
    <row r="51" spans="1:14">
      <c r="A51" s="74" t="s">
        <v>143</v>
      </c>
      <c r="B51" s="535">
        <v>3760</v>
      </c>
      <c r="C51" s="57"/>
      <c r="D51" s="57"/>
      <c r="E51" s="57"/>
      <c r="F51" s="57"/>
      <c r="G51" s="74" t="s">
        <v>143</v>
      </c>
      <c r="H51" s="535">
        <v>2028.47</v>
      </c>
      <c r="I51" s="57"/>
      <c r="J51" s="57"/>
      <c r="M51" s="159" t="s">
        <v>143</v>
      </c>
      <c r="N51" s="537">
        <v>5200</v>
      </c>
    </row>
    <row r="52" spans="1:14">
      <c r="A52" s="538" t="s">
        <v>144</v>
      </c>
      <c r="B52" s="71">
        <v>350.2</v>
      </c>
      <c r="C52" s="57"/>
      <c r="D52" s="57"/>
      <c r="E52" s="57"/>
      <c r="F52" s="57"/>
      <c r="G52" s="538" t="s">
        <v>166</v>
      </c>
      <c r="H52" s="71">
        <v>215.05</v>
      </c>
      <c r="I52" s="57"/>
      <c r="J52" s="57"/>
      <c r="M52" s="160" t="s">
        <v>144</v>
      </c>
      <c r="N52" s="530">
        <f>0.0034*N39</f>
        <v>635.12</v>
      </c>
    </row>
    <row r="53" spans="1:14">
      <c r="A53" s="68" t="s">
        <v>145</v>
      </c>
      <c r="B53" s="69">
        <v>12</v>
      </c>
      <c r="C53" s="57"/>
      <c r="D53" s="57"/>
      <c r="E53" s="57"/>
      <c r="F53" s="57"/>
      <c r="G53" s="68" t="s">
        <v>145</v>
      </c>
      <c r="H53" s="69">
        <v>12</v>
      </c>
      <c r="I53" s="57"/>
      <c r="J53" s="57"/>
      <c r="M53" s="154" t="s">
        <v>145</v>
      </c>
      <c r="N53" s="528">
        <v>12</v>
      </c>
    </row>
    <row r="54" spans="1:14">
      <c r="A54" s="72" t="s">
        <v>146</v>
      </c>
      <c r="B54" s="539">
        <v>3.0617999999999999</v>
      </c>
      <c r="C54" s="57"/>
      <c r="D54" s="57"/>
      <c r="E54" s="57"/>
      <c r="F54" s="57"/>
      <c r="G54" s="72" t="s">
        <v>146</v>
      </c>
      <c r="H54" s="539">
        <v>3.0617999999999999</v>
      </c>
      <c r="I54" s="57"/>
      <c r="J54" s="57"/>
      <c r="M54" s="161" t="s">
        <v>146</v>
      </c>
      <c r="N54" s="365">
        <v>3.0617999999999999</v>
      </c>
    </row>
    <row r="55" spans="1:14">
      <c r="A55" s="75" t="s">
        <v>147</v>
      </c>
      <c r="B55" s="541">
        <v>1.9</v>
      </c>
      <c r="C55" s="57"/>
      <c r="D55" s="57"/>
      <c r="E55" s="57"/>
      <c r="F55" s="57"/>
      <c r="G55" s="75" t="s">
        <v>147</v>
      </c>
      <c r="H55" s="541">
        <v>1.9</v>
      </c>
      <c r="I55" s="57"/>
      <c r="J55" s="57"/>
      <c r="M55" s="162" t="s">
        <v>147</v>
      </c>
      <c r="N55" s="543">
        <v>1.9</v>
      </c>
    </row>
    <row r="56" spans="1:14" ht="16.149999999999999">
      <c r="A56" s="76" t="s">
        <v>148</v>
      </c>
      <c r="B56" s="77" t="s">
        <v>149</v>
      </c>
      <c r="C56" s="57"/>
      <c r="D56" s="57"/>
      <c r="E56" s="57"/>
      <c r="F56" s="57"/>
      <c r="G56" s="76" t="s">
        <v>148</v>
      </c>
      <c r="H56" s="77" t="s">
        <v>149</v>
      </c>
      <c r="I56" s="57"/>
      <c r="J56" s="57"/>
      <c r="M56" s="163" t="s">
        <v>148</v>
      </c>
      <c r="N56" s="164" t="s">
        <v>149</v>
      </c>
    </row>
    <row r="57" spans="1:14">
      <c r="A57" s="57"/>
      <c r="B57" s="57"/>
      <c r="C57" s="57"/>
      <c r="D57" s="57"/>
      <c r="E57" s="57"/>
      <c r="F57" s="57"/>
      <c r="G57" s="57"/>
      <c r="H57" s="57"/>
      <c r="I57" s="57"/>
      <c r="J57" s="57"/>
    </row>
    <row r="58" spans="1:14">
      <c r="A58" s="57"/>
      <c r="B58" s="57"/>
      <c r="C58" s="57"/>
      <c r="D58" s="57"/>
      <c r="E58" s="57"/>
      <c r="F58" s="57"/>
      <c r="G58" s="57"/>
      <c r="H58" s="57"/>
      <c r="I58" s="57"/>
      <c r="J58" s="57"/>
      <c r="M58" t="s">
        <v>167</v>
      </c>
      <c r="N58">
        <v>2400</v>
      </c>
    </row>
    <row r="59" spans="1:14">
      <c r="A59" s="57"/>
      <c r="B59" s="57"/>
      <c r="C59" s="57"/>
      <c r="D59" s="57"/>
      <c r="E59" s="57"/>
      <c r="F59" s="57"/>
      <c r="G59" s="57"/>
      <c r="H59" s="57"/>
      <c r="I59" s="57"/>
      <c r="J59" s="57"/>
    </row>
    <row r="60" spans="1:14">
      <c r="A60" s="1291" t="s">
        <v>97</v>
      </c>
      <c r="B60" s="1292"/>
      <c r="C60" s="57"/>
      <c r="D60" s="57"/>
      <c r="E60" s="57"/>
      <c r="F60" s="57"/>
      <c r="G60" s="1290"/>
      <c r="H60" s="1290"/>
      <c r="I60" s="57"/>
      <c r="J60" s="57"/>
    </row>
    <row r="61" spans="1:14">
      <c r="A61" s="1293"/>
      <c r="B61" s="1294"/>
      <c r="C61" s="57"/>
      <c r="D61" s="57"/>
      <c r="E61" s="57"/>
      <c r="F61" s="57"/>
      <c r="G61" s="1290"/>
      <c r="H61" s="1290"/>
      <c r="I61" s="57"/>
      <c r="J61" s="57"/>
    </row>
    <row r="62" spans="1:14">
      <c r="A62" s="1295"/>
      <c r="B62" s="1296"/>
      <c r="C62" s="57"/>
      <c r="D62" s="57"/>
      <c r="E62" s="57"/>
      <c r="F62" s="57"/>
      <c r="G62" s="1290"/>
      <c r="H62" s="1290"/>
      <c r="I62" s="57"/>
      <c r="J62" s="57"/>
    </row>
    <row r="63" spans="1:14">
      <c r="A63" s="67" t="s">
        <v>101</v>
      </c>
      <c r="B63" s="526" t="s">
        <v>97</v>
      </c>
      <c r="C63" s="57"/>
      <c r="D63" s="57"/>
      <c r="E63" s="57"/>
      <c r="F63" s="57"/>
      <c r="G63" s="193"/>
      <c r="H63" s="194"/>
      <c r="I63" s="57"/>
      <c r="J63" s="57"/>
    </row>
    <row r="64" spans="1:14">
      <c r="A64" s="68" t="s">
        <v>104</v>
      </c>
      <c r="B64" s="69" t="s">
        <v>106</v>
      </c>
      <c r="C64" s="57"/>
      <c r="D64" s="57"/>
      <c r="E64" s="57"/>
      <c r="F64" s="57"/>
      <c r="G64" s="193"/>
      <c r="H64" s="545"/>
      <c r="I64" s="57"/>
      <c r="J64" s="57"/>
    </row>
    <row r="65" spans="1:10">
      <c r="A65" s="70" t="s">
        <v>111</v>
      </c>
      <c r="B65" s="71">
        <v>2</v>
      </c>
      <c r="C65" s="57"/>
      <c r="D65" s="57"/>
      <c r="E65" s="57"/>
      <c r="F65" s="57"/>
      <c r="G65" s="193"/>
      <c r="H65" s="545"/>
      <c r="I65" s="57"/>
      <c r="J65" s="57"/>
    </row>
    <row r="66" spans="1:10">
      <c r="A66" s="68" t="s">
        <v>168</v>
      </c>
      <c r="B66" s="531">
        <v>82000000</v>
      </c>
      <c r="C66" s="57"/>
      <c r="D66" s="57"/>
      <c r="E66" s="57"/>
      <c r="F66" s="57"/>
      <c r="G66" s="193"/>
      <c r="H66" s="546"/>
      <c r="I66" s="57"/>
      <c r="J66" s="57"/>
    </row>
    <row r="67" spans="1:10">
      <c r="A67" s="70" t="s">
        <v>115</v>
      </c>
      <c r="B67" s="79">
        <v>200000</v>
      </c>
      <c r="C67" s="57"/>
      <c r="D67" s="57" t="s">
        <v>169</v>
      </c>
      <c r="E67" s="57"/>
      <c r="F67" s="57"/>
      <c r="G67" s="193"/>
      <c r="H67" s="545"/>
      <c r="I67" s="57"/>
      <c r="J67" s="57"/>
    </row>
    <row r="68" spans="1:10">
      <c r="A68" s="68" t="s">
        <v>118</v>
      </c>
      <c r="B68" s="78">
        <v>79000</v>
      </c>
      <c r="C68" s="57"/>
      <c r="D68" s="57"/>
      <c r="E68" s="57"/>
      <c r="F68" s="57"/>
      <c r="G68" s="193"/>
      <c r="H68" s="545"/>
      <c r="I68" s="57"/>
      <c r="J68" s="57"/>
    </row>
    <row r="69" spans="1:10">
      <c r="A69" s="70" t="s">
        <v>120</v>
      </c>
      <c r="B69" s="79">
        <v>41410</v>
      </c>
      <c r="C69" s="57"/>
      <c r="D69" s="57"/>
      <c r="E69" s="57"/>
      <c r="F69" s="57"/>
      <c r="G69" s="193"/>
      <c r="H69" s="545"/>
      <c r="I69" s="57"/>
      <c r="J69" s="57"/>
    </row>
    <row r="70" spans="1:10">
      <c r="A70" s="68" t="s">
        <v>122</v>
      </c>
      <c r="B70" s="78">
        <v>61700</v>
      </c>
      <c r="C70" s="57"/>
      <c r="D70" s="57"/>
      <c r="E70" s="57"/>
      <c r="F70" s="57"/>
      <c r="G70" s="193"/>
      <c r="H70" s="545"/>
      <c r="I70" s="57"/>
      <c r="J70" s="57"/>
    </row>
    <row r="71" spans="1:10">
      <c r="A71" s="70" t="s">
        <v>124</v>
      </c>
      <c r="B71" s="79">
        <v>26020</v>
      </c>
      <c r="C71" s="57"/>
      <c r="D71" s="57"/>
      <c r="E71" s="57"/>
      <c r="F71" s="57"/>
      <c r="G71" s="193"/>
      <c r="H71" s="545"/>
      <c r="I71" s="57"/>
      <c r="J71" s="57"/>
    </row>
    <row r="72" spans="1:10">
      <c r="A72" s="68" t="s">
        <v>126</v>
      </c>
      <c r="B72" s="69">
        <v>740.96</v>
      </c>
      <c r="C72" s="57"/>
      <c r="D72" s="57"/>
      <c r="E72" s="57"/>
      <c r="F72" s="57"/>
      <c r="G72" s="193"/>
      <c r="H72" s="545"/>
      <c r="I72" s="57"/>
      <c r="J72" s="57"/>
    </row>
    <row r="73" spans="1:10">
      <c r="A73" s="70" t="s">
        <v>128</v>
      </c>
      <c r="B73" s="534" t="s">
        <v>116</v>
      </c>
      <c r="C73" s="57"/>
      <c r="D73" s="57"/>
      <c r="E73" s="57"/>
      <c r="F73" s="57"/>
      <c r="G73" s="193"/>
      <c r="H73" s="195"/>
      <c r="I73" s="57"/>
      <c r="J73" s="57"/>
    </row>
    <row r="74" spans="1:10">
      <c r="A74" s="68" t="s">
        <v>131</v>
      </c>
      <c r="B74" s="80">
        <v>12383.072</v>
      </c>
      <c r="C74" s="57"/>
      <c r="D74" s="57"/>
      <c r="E74" s="57"/>
      <c r="F74" s="57"/>
      <c r="G74" s="193"/>
      <c r="H74" s="545"/>
      <c r="I74" s="57"/>
      <c r="J74" s="57"/>
    </row>
    <row r="75" spans="1:10">
      <c r="A75" s="70" t="s">
        <v>133</v>
      </c>
      <c r="B75" s="71">
        <v>125</v>
      </c>
      <c r="C75" s="57"/>
      <c r="D75" s="57"/>
      <c r="E75" s="57"/>
      <c r="F75" s="57"/>
      <c r="G75" s="193"/>
      <c r="H75" s="545"/>
      <c r="I75" s="57"/>
      <c r="J75" s="57"/>
    </row>
    <row r="76" spans="1:10">
      <c r="A76" s="68" t="s">
        <v>135</v>
      </c>
      <c r="B76" s="69">
        <v>20.77</v>
      </c>
      <c r="C76" s="57"/>
      <c r="D76" s="57"/>
      <c r="E76" s="57"/>
      <c r="F76" s="57"/>
      <c r="G76" s="196"/>
      <c r="H76" s="547"/>
      <c r="I76" s="57"/>
      <c r="J76" s="57"/>
    </row>
    <row r="77" spans="1:10">
      <c r="A77" s="70" t="s">
        <v>136</v>
      </c>
      <c r="B77" s="71">
        <v>3700</v>
      </c>
      <c r="C77" s="57"/>
      <c r="D77" s="57"/>
      <c r="E77" s="57"/>
      <c r="F77" s="57"/>
      <c r="G77" s="196"/>
      <c r="H77" s="547"/>
      <c r="I77" s="57"/>
      <c r="J77" s="57"/>
    </row>
    <row r="78" spans="1:10">
      <c r="A78" s="72" t="s">
        <v>138</v>
      </c>
      <c r="B78" s="73" t="s">
        <v>139</v>
      </c>
      <c r="C78" s="57"/>
      <c r="D78" s="57"/>
      <c r="E78" s="57"/>
      <c r="F78" s="57"/>
      <c r="G78" s="193"/>
      <c r="H78" s="194"/>
      <c r="I78" s="57"/>
      <c r="J78" s="57"/>
    </row>
    <row r="79" spans="1:10">
      <c r="A79" s="72" t="s">
        <v>141</v>
      </c>
      <c r="B79" s="73" t="s">
        <v>11</v>
      </c>
      <c r="C79" s="57"/>
      <c r="D79" s="57"/>
      <c r="E79" s="57"/>
      <c r="F79" s="57"/>
      <c r="G79" s="193"/>
      <c r="H79" s="194"/>
      <c r="I79" s="57"/>
      <c r="J79" s="57"/>
    </row>
    <row r="80" spans="1:10">
      <c r="A80" s="74" t="s">
        <v>143</v>
      </c>
      <c r="B80" s="535">
        <v>2602.5300000000002</v>
      </c>
      <c r="C80" s="57"/>
      <c r="D80" s="57"/>
      <c r="E80" s="57"/>
      <c r="F80" s="57"/>
      <c r="G80" s="194"/>
      <c r="H80" s="548"/>
      <c r="I80" s="57"/>
      <c r="J80" s="57"/>
    </row>
    <row r="81" spans="1:10">
      <c r="A81" s="538" t="s">
        <v>166</v>
      </c>
      <c r="B81" s="71">
        <v>181.7</v>
      </c>
      <c r="C81" s="57"/>
      <c r="D81" s="57"/>
      <c r="E81" s="57"/>
      <c r="F81" s="57"/>
      <c r="G81" s="194"/>
      <c r="H81" s="545"/>
      <c r="I81" s="57"/>
      <c r="J81" s="57"/>
    </row>
    <row r="82" spans="1:10">
      <c r="A82" s="68" t="s">
        <v>145</v>
      </c>
      <c r="B82" s="69">
        <v>12</v>
      </c>
      <c r="C82" s="57"/>
      <c r="D82" s="57"/>
      <c r="E82" s="57"/>
      <c r="F82" s="57"/>
      <c r="G82" s="193"/>
      <c r="H82" s="545"/>
      <c r="I82" s="57"/>
      <c r="J82" s="57"/>
    </row>
    <row r="83" spans="1:10">
      <c r="A83" s="72" t="s">
        <v>146</v>
      </c>
      <c r="B83" s="539">
        <v>3.0617999999999999</v>
      </c>
      <c r="C83" s="57"/>
      <c r="D83" s="57"/>
      <c r="E83" s="57"/>
      <c r="F83" s="57"/>
      <c r="G83" s="197"/>
      <c r="H83" s="545"/>
      <c r="I83" s="57"/>
      <c r="J83" s="57"/>
    </row>
    <row r="84" spans="1:10">
      <c r="A84" s="75" t="s">
        <v>147</v>
      </c>
      <c r="B84" s="541">
        <v>1.9</v>
      </c>
      <c r="C84" s="57"/>
      <c r="D84" s="57"/>
      <c r="E84" s="57"/>
      <c r="F84" s="57"/>
      <c r="G84" s="197"/>
      <c r="H84" s="545"/>
      <c r="I84" s="57"/>
      <c r="J84" s="57"/>
    </row>
    <row r="85" spans="1:10" ht="16.149999999999999">
      <c r="A85" s="76" t="s">
        <v>148</v>
      </c>
      <c r="B85" s="77" t="s">
        <v>149</v>
      </c>
      <c r="C85" s="57"/>
      <c r="D85" s="57"/>
      <c r="E85" s="57"/>
      <c r="F85" s="57"/>
      <c r="G85" s="198"/>
      <c r="H85" s="58"/>
      <c r="I85" s="57"/>
      <c r="J85" s="57"/>
    </row>
    <row r="86" spans="1:10">
      <c r="D86">
        <v>850</v>
      </c>
      <c r="E86" t="s">
        <v>170</v>
      </c>
    </row>
    <row r="87" spans="1:10">
      <c r="D87">
        <f>D86*B83</f>
        <v>2602.5299999999997</v>
      </c>
    </row>
    <row r="98" spans="1:2">
      <c r="A98" s="1291" t="s">
        <v>171</v>
      </c>
      <c r="B98" s="1292"/>
    </row>
    <row r="99" spans="1:2">
      <c r="A99" s="1293"/>
      <c r="B99" s="1294"/>
    </row>
    <row r="100" spans="1:2">
      <c r="A100" s="1295"/>
      <c r="B100" s="1296"/>
    </row>
    <row r="101" spans="1:2">
      <c r="A101" s="67" t="s">
        <v>101</v>
      </c>
      <c r="B101" s="526" t="s">
        <v>171</v>
      </c>
    </row>
    <row r="102" spans="1:2">
      <c r="A102" s="68" t="s">
        <v>104</v>
      </c>
      <c r="B102" s="69" t="s">
        <v>172</v>
      </c>
    </row>
    <row r="103" spans="1:2">
      <c r="A103" s="70" t="s">
        <v>111</v>
      </c>
      <c r="B103" s="71">
        <v>2</v>
      </c>
    </row>
    <row r="104" spans="1:2">
      <c r="A104" s="68" t="s">
        <v>173</v>
      </c>
      <c r="B104" s="531">
        <v>6750000</v>
      </c>
    </row>
    <row r="105" spans="1:2">
      <c r="A105" s="70" t="s">
        <v>115</v>
      </c>
      <c r="B105" s="79">
        <v>169235</v>
      </c>
    </row>
    <row r="106" spans="1:2">
      <c r="A106" s="68" t="s">
        <v>118</v>
      </c>
      <c r="B106" s="78">
        <v>19505</v>
      </c>
    </row>
    <row r="107" spans="1:2">
      <c r="A107" s="70" t="s">
        <v>120</v>
      </c>
      <c r="B107" s="79">
        <v>11793</v>
      </c>
    </row>
    <row r="108" spans="1:2">
      <c r="A108" s="68" t="s">
        <v>122</v>
      </c>
      <c r="B108" s="78">
        <v>17920</v>
      </c>
    </row>
    <row r="109" spans="1:2">
      <c r="A109" s="70" t="s">
        <v>124</v>
      </c>
      <c r="B109" s="79">
        <v>3160</v>
      </c>
    </row>
    <row r="110" spans="1:2">
      <c r="A110" s="68" t="s">
        <v>126</v>
      </c>
      <c r="B110" s="69">
        <v>532</v>
      </c>
    </row>
    <row r="111" spans="1:2">
      <c r="A111" s="70" t="s">
        <v>128</v>
      </c>
      <c r="B111" s="534" t="s">
        <v>116</v>
      </c>
    </row>
    <row r="112" spans="1:2">
      <c r="A112" s="68" t="s">
        <v>131</v>
      </c>
      <c r="B112" s="69" t="s">
        <v>116</v>
      </c>
    </row>
    <row r="113" spans="1:2">
      <c r="A113" s="70" t="s">
        <v>133</v>
      </c>
      <c r="B113" s="71">
        <v>54.4</v>
      </c>
    </row>
    <row r="114" spans="1:2">
      <c r="A114" s="68"/>
      <c r="B114" s="69"/>
    </row>
    <row r="115" spans="1:2">
      <c r="A115" s="70"/>
      <c r="B115" s="71"/>
    </row>
    <row r="116" spans="1:2">
      <c r="A116" s="72" t="s">
        <v>138</v>
      </c>
      <c r="B116" s="73" t="s">
        <v>139</v>
      </c>
    </row>
    <row r="117" spans="1:2">
      <c r="A117" s="72" t="s">
        <v>141</v>
      </c>
      <c r="B117" s="73" t="s">
        <v>11</v>
      </c>
    </row>
    <row r="118" spans="1:2">
      <c r="A118" s="74" t="s">
        <v>143</v>
      </c>
      <c r="B118" s="535">
        <v>361.8</v>
      </c>
    </row>
    <row r="119" spans="1:2">
      <c r="A119" s="538" t="s">
        <v>166</v>
      </c>
      <c r="B119" s="71">
        <v>44.861499999999999</v>
      </c>
    </row>
    <row r="120" spans="1:2">
      <c r="A120" s="68" t="s">
        <v>145</v>
      </c>
      <c r="B120" s="69">
        <v>12</v>
      </c>
    </row>
    <row r="121" spans="1:2">
      <c r="A121" s="72" t="s">
        <v>146</v>
      </c>
      <c r="B121" s="539">
        <v>3.0617999999999999</v>
      </c>
    </row>
    <row r="122" spans="1:2">
      <c r="A122" s="75" t="s">
        <v>147</v>
      </c>
      <c r="B122" s="541">
        <v>1.9</v>
      </c>
    </row>
    <row r="123" spans="1:2" ht="16.149999999999999">
      <c r="A123" s="76" t="s">
        <v>148</v>
      </c>
      <c r="B123" s="77" t="s">
        <v>174</v>
      </c>
    </row>
  </sheetData>
  <mergeCells count="16">
    <mergeCell ref="A98:B100"/>
    <mergeCell ref="U19:Y19"/>
    <mergeCell ref="U20:Y20"/>
    <mergeCell ref="U24:W24"/>
    <mergeCell ref="U25:W25"/>
    <mergeCell ref="U32:W32"/>
    <mergeCell ref="U35:W35"/>
    <mergeCell ref="AB14:AF14"/>
    <mergeCell ref="M1:N3"/>
    <mergeCell ref="M31:N33"/>
    <mergeCell ref="G60:H62"/>
    <mergeCell ref="A1:B3"/>
    <mergeCell ref="G1:H3"/>
    <mergeCell ref="A31:B33"/>
    <mergeCell ref="G31:H33"/>
    <mergeCell ref="A60:B6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4ACE8-B9BC-4E3F-9F09-7520582E2DAE}">
  <sheetPr codeName="Sheet9"/>
  <dimension ref="A1:S43"/>
  <sheetViews>
    <sheetView workbookViewId="0">
      <selection activeCell="A10" sqref="A10"/>
    </sheetView>
  </sheetViews>
  <sheetFormatPr defaultRowHeight="14.45"/>
  <cols>
    <col min="1" max="1" width="40.42578125" bestFit="1" customWidth="1"/>
    <col min="2" max="2" width="22.28515625" bestFit="1" customWidth="1"/>
    <col min="3" max="3" width="17.5703125" bestFit="1" customWidth="1"/>
    <col min="4" max="4" width="22.7109375" bestFit="1" customWidth="1"/>
    <col min="5" max="5" width="14.5703125" bestFit="1" customWidth="1"/>
    <col min="15" max="15" width="39.5703125" bestFit="1" customWidth="1"/>
    <col min="16" max="16" width="22.28515625" bestFit="1" customWidth="1"/>
    <col min="17" max="17" width="17.5703125" bestFit="1" customWidth="1"/>
    <col min="18" max="18" width="22.7109375" bestFit="1" customWidth="1"/>
    <col min="19" max="19" width="14.5703125" bestFit="1" customWidth="1"/>
  </cols>
  <sheetData>
    <row r="1" spans="1:19" ht="15" thickBot="1">
      <c r="O1" t="s">
        <v>175</v>
      </c>
      <c r="P1">
        <v>130175000</v>
      </c>
      <c r="Q1">
        <v>105795000</v>
      </c>
      <c r="R1">
        <v>253249800</v>
      </c>
      <c r="S1">
        <v>208360000</v>
      </c>
    </row>
    <row r="2" spans="1:19" ht="15" thickBot="1">
      <c r="A2" s="1310" t="s">
        <v>176</v>
      </c>
      <c r="B2" s="1312" t="s">
        <v>177</v>
      </c>
      <c r="C2" s="1312"/>
      <c r="D2" s="1312"/>
      <c r="E2" s="1313"/>
      <c r="O2" t="s">
        <v>178</v>
      </c>
      <c r="P2">
        <v>13755719.087019963</v>
      </c>
      <c r="Q2">
        <v>11179460.732178045</v>
      </c>
      <c r="R2">
        <v>26761153.12190504</v>
      </c>
      <c r="S2">
        <v>22017604.217180561</v>
      </c>
    </row>
    <row r="3" spans="1:19" ht="15" thickBot="1">
      <c r="A3" s="1311"/>
      <c r="B3" s="321" t="s">
        <v>96</v>
      </c>
      <c r="C3" s="321" t="s">
        <v>97</v>
      </c>
      <c r="D3" s="321" t="s">
        <v>99</v>
      </c>
      <c r="E3" s="321" t="s">
        <v>179</v>
      </c>
      <c r="P3" t="s">
        <v>96</v>
      </c>
      <c r="Q3" t="s">
        <v>97</v>
      </c>
      <c r="R3" t="s">
        <v>99</v>
      </c>
      <c r="S3" t="s">
        <v>179</v>
      </c>
    </row>
    <row r="4" spans="1:19">
      <c r="A4" s="492" t="s">
        <v>110</v>
      </c>
      <c r="B4" s="322">
        <v>2</v>
      </c>
      <c r="C4" s="322">
        <v>2</v>
      </c>
      <c r="D4" s="322">
        <v>2</v>
      </c>
      <c r="E4" s="322">
        <v>2</v>
      </c>
      <c r="O4" t="s">
        <v>104</v>
      </c>
      <c r="P4" t="s">
        <v>105</v>
      </c>
      <c r="Q4" t="s">
        <v>106</v>
      </c>
      <c r="R4" t="s">
        <v>107</v>
      </c>
      <c r="S4" t="s">
        <v>158</v>
      </c>
    </row>
    <row r="5" spans="1:19">
      <c r="A5" s="493" t="s">
        <v>104</v>
      </c>
      <c r="B5" s="323" t="s">
        <v>105</v>
      </c>
      <c r="C5" s="323" t="s">
        <v>106</v>
      </c>
      <c r="D5" s="323" t="s">
        <v>107</v>
      </c>
      <c r="E5" s="323" t="s">
        <v>158</v>
      </c>
    </row>
    <row r="6" spans="1:19">
      <c r="A6" s="493" t="s">
        <v>163</v>
      </c>
      <c r="B6" s="323">
        <v>2</v>
      </c>
      <c r="C6" s="323">
        <v>2</v>
      </c>
      <c r="D6" s="323">
        <v>1.5</v>
      </c>
      <c r="E6" s="323">
        <v>2</v>
      </c>
      <c r="O6" t="s">
        <v>180</v>
      </c>
      <c r="P6">
        <v>2020</v>
      </c>
      <c r="Q6">
        <v>2018</v>
      </c>
      <c r="R6">
        <v>2010</v>
      </c>
      <c r="S6">
        <v>1995</v>
      </c>
    </row>
    <row r="7" spans="1:19">
      <c r="A7" s="493" t="s">
        <v>181</v>
      </c>
      <c r="B7" s="495">
        <v>8750000</v>
      </c>
      <c r="C7" s="495">
        <v>8750000</v>
      </c>
      <c r="D7" s="495">
        <v>5970000</v>
      </c>
      <c r="E7" s="495">
        <v>8000000</v>
      </c>
    </row>
    <row r="8" spans="1:19">
      <c r="A8" s="493" t="s">
        <v>182</v>
      </c>
      <c r="B8" s="495">
        <v>120000000</v>
      </c>
      <c r="C8" s="495">
        <v>97000000</v>
      </c>
      <c r="D8" s="495">
        <v>237000000</v>
      </c>
      <c r="E8" s="495">
        <v>194000000</v>
      </c>
      <c r="O8" t="s">
        <v>183</v>
      </c>
      <c r="P8">
        <v>120000000</v>
      </c>
      <c r="Q8">
        <v>97000000</v>
      </c>
      <c r="R8">
        <v>237000000</v>
      </c>
      <c r="S8">
        <v>194000000</v>
      </c>
    </row>
    <row r="9" spans="1:19">
      <c r="A9" s="493" t="s">
        <v>184</v>
      </c>
      <c r="B9" s="323">
        <v>2</v>
      </c>
      <c r="C9" s="323">
        <v>3</v>
      </c>
      <c r="D9" s="323">
        <v>5</v>
      </c>
      <c r="E9" s="323">
        <v>5</v>
      </c>
    </row>
    <row r="10" spans="1:19">
      <c r="A10" s="493" t="s">
        <v>185</v>
      </c>
      <c r="B10" s="323">
        <v>0.753</v>
      </c>
      <c r="C10" s="323">
        <v>0.86199999999999999</v>
      </c>
      <c r="D10" s="323">
        <v>0.95699999999999996</v>
      </c>
      <c r="E10" s="323">
        <v>0.95699999999999996</v>
      </c>
    </row>
    <row r="11" spans="1:19">
      <c r="A11" s="493" t="s">
        <v>175</v>
      </c>
      <c r="B11" s="495">
        <v>130175000</v>
      </c>
      <c r="C11" s="495">
        <v>105795000</v>
      </c>
      <c r="D11" s="495">
        <v>253249800</v>
      </c>
      <c r="E11" s="495">
        <v>208360000</v>
      </c>
      <c r="O11" t="s">
        <v>186</v>
      </c>
      <c r="P11">
        <v>2052605.657852933</v>
      </c>
      <c r="Q11">
        <v>1668180.645842528</v>
      </c>
      <c r="R11">
        <v>3993255.02078067</v>
      </c>
      <c r="S11">
        <v>3285430.4964105021</v>
      </c>
    </row>
    <row r="12" spans="1:19">
      <c r="A12" s="493" t="s">
        <v>187</v>
      </c>
      <c r="B12" s="495">
        <v>2052605.657852933</v>
      </c>
      <c r="C12" s="495">
        <v>1668180.645842528</v>
      </c>
      <c r="D12" s="495">
        <v>3993255.02078067</v>
      </c>
      <c r="E12" s="495">
        <v>3285430.4964105021</v>
      </c>
      <c r="O12" t="s">
        <v>119</v>
      </c>
      <c r="P12">
        <v>93500</v>
      </c>
      <c r="Q12">
        <v>79000</v>
      </c>
      <c r="R12">
        <v>233000</v>
      </c>
      <c r="S12">
        <v>186800</v>
      </c>
    </row>
    <row r="13" spans="1:19">
      <c r="A13" s="493" t="s">
        <v>188</v>
      </c>
      <c r="B13" s="495">
        <v>13755719.087019963</v>
      </c>
      <c r="C13" s="495">
        <v>11179460.732178045</v>
      </c>
      <c r="D13" s="495">
        <v>26761153.12190504</v>
      </c>
      <c r="E13" s="495">
        <v>22017604.217180561</v>
      </c>
      <c r="O13" t="s">
        <v>121</v>
      </c>
      <c r="P13">
        <v>48500</v>
      </c>
      <c r="Q13">
        <v>41410</v>
      </c>
      <c r="R13">
        <v>119600</v>
      </c>
      <c r="S13">
        <v>87180</v>
      </c>
    </row>
    <row r="14" spans="1:19">
      <c r="A14" s="493" t="s">
        <v>189</v>
      </c>
      <c r="B14" s="498">
        <v>93500</v>
      </c>
      <c r="C14" s="498">
        <v>79000</v>
      </c>
      <c r="D14" s="498">
        <v>233000</v>
      </c>
      <c r="E14" s="498">
        <v>186800</v>
      </c>
      <c r="O14" t="s">
        <v>123</v>
      </c>
      <c r="P14">
        <v>77800</v>
      </c>
      <c r="Q14">
        <v>66350</v>
      </c>
      <c r="R14">
        <v>187000</v>
      </c>
      <c r="S14">
        <v>147870</v>
      </c>
    </row>
    <row r="15" spans="1:19">
      <c r="A15" s="493" t="s">
        <v>190</v>
      </c>
      <c r="B15" s="498">
        <v>48500</v>
      </c>
      <c r="C15" s="498">
        <v>41410</v>
      </c>
      <c r="D15" s="498">
        <v>119600</v>
      </c>
      <c r="E15" s="498">
        <v>87180</v>
      </c>
      <c r="O15" t="s">
        <v>125</v>
      </c>
      <c r="P15">
        <v>28000</v>
      </c>
      <c r="Q15">
        <v>16616</v>
      </c>
      <c r="R15">
        <v>70000</v>
      </c>
      <c r="S15">
        <v>51930</v>
      </c>
    </row>
    <row r="16" spans="1:19">
      <c r="A16" s="493" t="s">
        <v>191</v>
      </c>
      <c r="B16" s="498">
        <v>77800</v>
      </c>
      <c r="C16" s="498">
        <v>66350</v>
      </c>
      <c r="D16" s="498">
        <v>187000</v>
      </c>
      <c r="E16" s="498">
        <v>147870</v>
      </c>
      <c r="O16" t="s">
        <v>127</v>
      </c>
      <c r="P16">
        <v>3800</v>
      </c>
      <c r="Q16">
        <v>3700</v>
      </c>
      <c r="R16">
        <v>7400</v>
      </c>
      <c r="S16">
        <v>6111.6</v>
      </c>
    </row>
    <row r="17" spans="1:19">
      <c r="A17" s="493" t="s">
        <v>192</v>
      </c>
      <c r="B17" s="498">
        <v>28000</v>
      </c>
      <c r="C17" s="498">
        <v>16616</v>
      </c>
      <c r="D17" s="498">
        <v>70000</v>
      </c>
      <c r="E17" s="498">
        <v>51930</v>
      </c>
      <c r="O17" t="s">
        <v>129</v>
      </c>
    </row>
    <row r="18" spans="1:19">
      <c r="A18" s="493" t="s">
        <v>193</v>
      </c>
      <c r="B18" s="499">
        <v>3800</v>
      </c>
      <c r="C18" s="499">
        <v>3700</v>
      </c>
      <c r="D18" s="499">
        <v>7400</v>
      </c>
      <c r="E18" s="497">
        <v>6111.6</v>
      </c>
      <c r="O18" t="s">
        <v>132</v>
      </c>
    </row>
    <row r="19" spans="1:19">
      <c r="A19" s="493" t="s">
        <v>194</v>
      </c>
      <c r="B19" s="497">
        <v>733.04</v>
      </c>
      <c r="C19" s="497">
        <v>740.96</v>
      </c>
      <c r="D19" s="497">
        <v>803.44</v>
      </c>
      <c r="E19" s="497">
        <v>750.64</v>
      </c>
      <c r="O19" t="s">
        <v>134</v>
      </c>
      <c r="P19">
        <v>2028.47</v>
      </c>
      <c r="Q19">
        <v>3092.4</v>
      </c>
      <c r="R19">
        <v>5590</v>
      </c>
      <c r="S19">
        <v>5200</v>
      </c>
    </row>
    <row r="20" spans="1:19">
      <c r="A20" s="493" t="s">
        <v>195</v>
      </c>
      <c r="B20" s="500">
        <v>2028.47</v>
      </c>
      <c r="C20" s="500">
        <v>3092.4</v>
      </c>
      <c r="D20" s="500">
        <v>5590</v>
      </c>
      <c r="E20" s="500">
        <v>5200</v>
      </c>
    </row>
    <row r="21" spans="1:19">
      <c r="A21" s="493" t="s">
        <v>196</v>
      </c>
      <c r="B21" s="496">
        <v>398.54781820343686</v>
      </c>
      <c r="C21" s="496">
        <v>370.43758862877206</v>
      </c>
      <c r="D21" s="496">
        <v>759.01382373771798</v>
      </c>
      <c r="E21" s="496">
        <v>696.53885479103201</v>
      </c>
      <c r="O21" t="s">
        <v>137</v>
      </c>
      <c r="P21">
        <v>38</v>
      </c>
      <c r="Q21">
        <v>33</v>
      </c>
      <c r="R21">
        <v>79</v>
      </c>
      <c r="S21">
        <v>66</v>
      </c>
    </row>
    <row r="22" spans="1:19">
      <c r="A22" s="493" t="s">
        <v>197</v>
      </c>
      <c r="B22" s="496">
        <v>431.20422020569737</v>
      </c>
      <c r="C22" s="496">
        <v>434.64374207046342</v>
      </c>
      <c r="D22" s="496">
        <v>754.15549019939181</v>
      </c>
      <c r="E22" s="496">
        <v>688.3252182503046</v>
      </c>
      <c r="O22" t="s">
        <v>140</v>
      </c>
      <c r="P22">
        <v>0.48999999999999994</v>
      </c>
    </row>
    <row r="23" spans="1:19">
      <c r="A23" s="493" t="s">
        <v>137</v>
      </c>
      <c r="B23" s="323">
        <v>38</v>
      </c>
      <c r="C23" s="323">
        <v>33</v>
      </c>
      <c r="D23" s="323">
        <v>79</v>
      </c>
      <c r="E23" s="323">
        <v>66</v>
      </c>
      <c r="O23" t="s">
        <v>142</v>
      </c>
      <c r="P23">
        <v>4.2349999999999994</v>
      </c>
    </row>
    <row r="24" spans="1:19" ht="15" thickBot="1">
      <c r="A24" s="494" t="s">
        <v>145</v>
      </c>
      <c r="B24" s="324">
        <v>11</v>
      </c>
      <c r="C24" s="324">
        <v>11</v>
      </c>
      <c r="D24" s="324">
        <v>14</v>
      </c>
      <c r="E24" s="324">
        <v>14</v>
      </c>
    </row>
    <row r="25" spans="1:19" ht="15" thickBot="1">
      <c r="A25" s="64" t="s">
        <v>198</v>
      </c>
      <c r="B25" s="348">
        <v>2800</v>
      </c>
      <c r="C25" s="348">
        <v>1830</v>
      </c>
      <c r="D25" s="348">
        <v>2770</v>
      </c>
      <c r="E25" s="349">
        <f>'[1]Aircrafts candidate data'!N58</f>
        <v>2400</v>
      </c>
      <c r="O25" t="s">
        <v>199</v>
      </c>
      <c r="P25">
        <v>2.1</v>
      </c>
    </row>
    <row r="26" spans="1:19">
      <c r="O26" t="s">
        <v>200</v>
      </c>
      <c r="P26">
        <v>16.2</v>
      </c>
      <c r="Q26">
        <v>16.2</v>
      </c>
      <c r="R26">
        <v>16.95</v>
      </c>
      <c r="S26">
        <v>16.95</v>
      </c>
    </row>
    <row r="27" spans="1:19">
      <c r="O27" t="s">
        <v>201</v>
      </c>
      <c r="P27">
        <v>105</v>
      </c>
      <c r="Q27">
        <v>100</v>
      </c>
      <c r="R27">
        <v>130</v>
      </c>
      <c r="S27">
        <v>127</v>
      </c>
    </row>
    <row r="28" spans="1:19">
      <c r="O28" t="s">
        <v>28</v>
      </c>
      <c r="P28">
        <v>0.65</v>
      </c>
      <c r="Q28">
        <v>0.62</v>
      </c>
      <c r="R28">
        <v>0.69</v>
      </c>
      <c r="S28">
        <v>0.69</v>
      </c>
    </row>
    <row r="29" spans="1:19">
      <c r="B29" t="s">
        <v>0</v>
      </c>
      <c r="O29" t="s">
        <v>30</v>
      </c>
      <c r="P29">
        <v>0</v>
      </c>
      <c r="Q29">
        <v>0</v>
      </c>
      <c r="R29">
        <v>0</v>
      </c>
      <c r="S29">
        <v>0</v>
      </c>
    </row>
    <row r="30" spans="1:19">
      <c r="O30" t="s">
        <v>47</v>
      </c>
      <c r="P30">
        <v>1</v>
      </c>
      <c r="Q30">
        <v>1</v>
      </c>
      <c r="R30">
        <v>1</v>
      </c>
      <c r="S30">
        <v>1</v>
      </c>
    </row>
    <row r="32" spans="1:19">
      <c r="O32" t="s">
        <v>202</v>
      </c>
      <c r="P32">
        <v>150.39192</v>
      </c>
      <c r="Q32">
        <v>150.272976</v>
      </c>
      <c r="R32">
        <v>150.550512</v>
      </c>
      <c r="S32">
        <v>150.550512</v>
      </c>
    </row>
    <row r="33" spans="15:19">
      <c r="O33" t="s">
        <v>152</v>
      </c>
      <c r="P33">
        <v>529.27997105370071</v>
      </c>
      <c r="Q33">
        <v>429.74198216794889</v>
      </c>
      <c r="R33">
        <v>793.11789314286136</v>
      </c>
      <c r="S33">
        <v>727.83579393002287</v>
      </c>
    </row>
    <row r="34" spans="15:19">
      <c r="O34" t="s">
        <v>154</v>
      </c>
      <c r="P34">
        <v>572.6483668070349</v>
      </c>
      <c r="Q34">
        <v>504.22707896805463</v>
      </c>
      <c r="R34">
        <v>788.04126457616724</v>
      </c>
      <c r="S34">
        <v>719.25310161996288</v>
      </c>
    </row>
    <row r="35" spans="15:19">
      <c r="O35" t="s">
        <v>203</v>
      </c>
      <c r="P35">
        <v>0.95699999999999996</v>
      </c>
      <c r="Q35">
        <v>0.95699999999999996</v>
      </c>
      <c r="R35">
        <v>0.95699999999999996</v>
      </c>
      <c r="S35">
        <v>0.95699999999999996</v>
      </c>
    </row>
    <row r="41" spans="15:19">
      <c r="O41" t="s">
        <v>204</v>
      </c>
      <c r="P41">
        <v>1</v>
      </c>
      <c r="Q41">
        <v>3</v>
      </c>
      <c r="R41">
        <v>5</v>
      </c>
      <c r="S41">
        <v>5</v>
      </c>
    </row>
    <row r="42" spans="15:19">
      <c r="O42" t="s">
        <v>163</v>
      </c>
      <c r="P42">
        <v>2</v>
      </c>
      <c r="Q42">
        <v>2</v>
      </c>
      <c r="R42">
        <v>1.5</v>
      </c>
      <c r="S42">
        <v>2</v>
      </c>
    </row>
    <row r="43" spans="15:19">
      <c r="O43" t="s">
        <v>145</v>
      </c>
      <c r="P43">
        <v>14</v>
      </c>
      <c r="Q43">
        <v>14</v>
      </c>
      <c r="R43">
        <v>14</v>
      </c>
      <c r="S43">
        <v>14</v>
      </c>
    </row>
  </sheetData>
  <mergeCells count="2">
    <mergeCell ref="A2:A3"/>
    <mergeCell ref="B2:E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8D242-7137-4F3F-A5EE-4314A9BAF542}">
  <sheetPr codeName="Sheet4"/>
  <dimension ref="A1:U46"/>
  <sheetViews>
    <sheetView zoomScale="85" workbookViewId="0">
      <selection activeCell="K23" sqref="K23"/>
    </sheetView>
  </sheetViews>
  <sheetFormatPr defaultColWidth="8.7109375" defaultRowHeight="14.45"/>
  <cols>
    <col min="1" max="1" width="3.42578125" style="58" bestFit="1" customWidth="1"/>
    <col min="2" max="2" width="16.7109375" style="58" bestFit="1" customWidth="1"/>
    <col min="3" max="3" width="15.5703125" style="58" bestFit="1" customWidth="1"/>
    <col min="4" max="4" width="16.42578125" style="58" bestFit="1" customWidth="1"/>
    <col min="5" max="6" width="16.7109375" style="58" bestFit="1" customWidth="1"/>
    <col min="7" max="7" width="13.5703125" style="58" bestFit="1" customWidth="1"/>
    <col min="8" max="8" width="17.42578125" style="58" bestFit="1" customWidth="1"/>
    <col min="9" max="9" width="16.42578125" style="58" bestFit="1" customWidth="1"/>
    <col min="10" max="11" width="16.7109375" style="58" bestFit="1" customWidth="1"/>
    <col min="12" max="12" width="13.5703125" style="58" bestFit="1" customWidth="1"/>
    <col min="13" max="13" width="17.42578125" style="58" bestFit="1" customWidth="1"/>
    <col min="14" max="14" width="13.5703125" style="58" bestFit="1" customWidth="1"/>
    <col min="15" max="15" width="10.42578125" style="58" bestFit="1" customWidth="1"/>
    <col min="16" max="16384" width="8.7109375" style="58"/>
  </cols>
  <sheetData>
    <row r="1" spans="1:16" ht="15" thickBot="1">
      <c r="A1" s="1320" t="s">
        <v>205</v>
      </c>
      <c r="B1" s="1320" t="s">
        <v>206</v>
      </c>
      <c r="C1" s="1322" t="s">
        <v>207</v>
      </c>
      <c r="D1" s="1317" t="s">
        <v>208</v>
      </c>
      <c r="E1" s="1318"/>
      <c r="F1" s="1318"/>
      <c r="G1" s="1318"/>
      <c r="H1" s="1319"/>
      <c r="I1" s="1317" t="s">
        <v>10</v>
      </c>
      <c r="J1" s="1318"/>
      <c r="K1" s="1318"/>
      <c r="L1" s="1318"/>
      <c r="M1" s="1319"/>
      <c r="N1" s="199"/>
      <c r="O1" s="200"/>
    </row>
    <row r="2" spans="1:16" ht="15" thickBot="1">
      <c r="A2" s="1321"/>
      <c r="B2" s="1321"/>
      <c r="C2" s="1323"/>
      <c r="D2" s="1278" t="s">
        <v>94</v>
      </c>
      <c r="E2" s="201" t="s">
        <v>100</v>
      </c>
      <c r="F2" s="1279" t="s">
        <v>97</v>
      </c>
      <c r="G2" s="104" t="s">
        <v>96</v>
      </c>
      <c r="H2" s="1246" t="s">
        <v>155</v>
      </c>
      <c r="I2" s="1244" t="s">
        <v>94</v>
      </c>
      <c r="J2" s="1245" t="s">
        <v>100</v>
      </c>
      <c r="K2" s="1279" t="s">
        <v>97</v>
      </c>
      <c r="L2" s="104" t="s">
        <v>96</v>
      </c>
      <c r="M2" s="1246" t="s">
        <v>155</v>
      </c>
    </row>
    <row r="3" spans="1:16">
      <c r="A3" s="83">
        <v>1</v>
      </c>
      <c r="B3" s="665" t="s">
        <v>209</v>
      </c>
      <c r="C3" s="299">
        <v>1024</v>
      </c>
      <c r="D3" s="1280">
        <f>C3/'Aircrafts candidate data'!$N$13+0.5</f>
        <v>1.7745195658667727</v>
      </c>
      <c r="E3" s="1281">
        <f>C3/'Aircrafts candidate data'!$N$43+0.5</f>
        <v>1.8641692422466163</v>
      </c>
      <c r="F3" s="1282">
        <f>C3/'Aircrafts candidate data'!$B$72+0.5</f>
        <v>1.8819909306845173</v>
      </c>
      <c r="G3" s="85">
        <f>C3/'Aircrafts candidate data'!$H$43+0.5</f>
        <v>1.889416553595658</v>
      </c>
      <c r="H3" s="1247">
        <f>C3/'Aircrafts candidate data'!$B$43+0.5</f>
        <v>1.7047058823529411</v>
      </c>
      <c r="I3" s="597">
        <f>('Aircrafts candidate data'!$N$21*(D3-0.5)+(0.34%*'Aircrafts candidate data'!$N$9))*((1+'Cost Structure'!$B$39/100)^'Block time &amp; Fuel'!$I$23)</f>
        <v>8401.3336869497944</v>
      </c>
      <c r="J3" s="598">
        <f>('Aircrafts candidate data'!$N$51*(E3-0.5)+(0.34%*'Aircrafts candidate data'!$N$39))*((1+'Cost Structure'!$F$39/100)^'Block time &amp; Fuel'!$J$23)</f>
        <v>8201.8644537354448</v>
      </c>
      <c r="K3" s="1283">
        <f>('Aircrafts candidate data'!$B$80*(F3-0.5)+(0.23%*'Aircrafts candidate data'!$B$68))*((1+'Cost Structure'!$C$39/100)^'Block time &amp; Fuel'!$K$23)</f>
        <v>4089.8322927086051</v>
      </c>
      <c r="L3" s="205">
        <f>('Aircrafts candidate data'!$H$51*(G3-0.5)+(0.23%*'Aircrafts candidate data'!$H$39))*((1+'Cost Structure'!$B$39/100)^'Block time &amp; Fuel'!$L$23)</f>
        <v>3219.1105795346539</v>
      </c>
      <c r="M3" s="600">
        <f>('Aircrafts candidate data'!$B$51*(H3-0.5)+(0.23%*'Aircrafts candidate data'!$B$39))*((1+'Cost Structure'!$D$39/100)^'Block time &amp; Fuel'!$M$23)</f>
        <v>5058.3478103999987</v>
      </c>
      <c r="N3" s="1314">
        <v>1</v>
      </c>
      <c r="O3" s="279" t="s">
        <v>209</v>
      </c>
      <c r="P3" s="296">
        <f>SUM(G3:G7)</f>
        <v>7.8839891451831754</v>
      </c>
    </row>
    <row r="4" spans="1:16">
      <c r="A4" s="86">
        <v>2</v>
      </c>
      <c r="B4" s="665" t="s">
        <v>210</v>
      </c>
      <c r="C4" s="301">
        <v>692</v>
      </c>
      <c r="D4" s="278">
        <f>C4/'Aircrafts candidate data'!$N$13+0.5</f>
        <v>1.361296425370905</v>
      </c>
      <c r="E4" s="278">
        <f>C4/'Aircrafts candidate data'!$N$43+0.5</f>
        <v>1.4218799957369712</v>
      </c>
      <c r="F4" s="278">
        <f>C4/'Aircrafts candidate data'!$B$72+0.5</f>
        <v>1.4339235586266463</v>
      </c>
      <c r="G4" s="88">
        <f>C4/'Aircrafts candidate data'!$H$43+0.5</f>
        <v>1.4389416553595658</v>
      </c>
      <c r="H4" s="596">
        <f>C4/'Aircrafts candidate data'!$B$43+0.5</f>
        <v>1.3141176470588234</v>
      </c>
      <c r="I4" s="597">
        <f>('Aircrafts candidate data'!$N$21*(D4-0.5)+(0.34%*'Aircrafts candidate data'!$N$9))*((1+'Cost Structure'!$B$39/100)^'Block time &amp; Fuel'!$I$23)</f>
        <v>5950.0309100902914</v>
      </c>
      <c r="J4" s="598">
        <f>('Aircrafts candidate data'!$N$51*(E4-0.5)+(0.34%*'Aircrafts candidate data'!$N$39))*((1+'Cost Structure'!$F$39/100)^'Block time &amp; Fuel'!$J$23)</f>
        <v>5761.1878428434065</v>
      </c>
      <c r="K4" s="1283">
        <f>('Aircrafts candidate data'!$B$80*(F4-0.5)+(0.23%*'Aircrafts candidate data'!$B$68))*((1+'Cost Structure'!$C$39/100)^'Block time &amp; Fuel'!$K$23)</f>
        <v>2827.5986495576744</v>
      </c>
      <c r="L4" s="205">
        <f>('Aircrafts candidate data'!$H$51*(G4-0.5)+(0.23%*'Aircrafts candidate data'!$H$39))*((1+'Cost Structure'!$B$39/100)^'Block time &amp; Fuel'!$L$23)</f>
        <v>2249.4054337214652</v>
      </c>
      <c r="M4" s="600">
        <f>('Aircrafts candidate data'!$B$51*(H4-0.5)+(0.23%*'Aircrafts candidate data'!$B$39))*((1+'Cost Structure'!$D$39/100)^'Block time &amp; Fuel'!$M$23)</f>
        <v>3499.8452567999993</v>
      </c>
      <c r="N4" s="1314"/>
      <c r="O4" s="280" t="s">
        <v>210</v>
      </c>
    </row>
    <row r="5" spans="1:16">
      <c r="A5" s="86">
        <v>3</v>
      </c>
      <c r="B5" s="665" t="s">
        <v>211</v>
      </c>
      <c r="C5" s="301">
        <v>917</v>
      </c>
      <c r="D5" s="278">
        <f>C5/'Aircrafts candidate data'!$N$13+0.5</f>
        <v>1.6413422284178034</v>
      </c>
      <c r="E5" s="278">
        <f>C5/'Aircrafts candidate data'!$N$43+0.5</f>
        <v>1.7216242140040499</v>
      </c>
      <c r="F5" s="278">
        <f>C5/'Aircrafts candidate data'!$B$72+0.5</f>
        <v>1.7375836752321312</v>
      </c>
      <c r="G5" s="88">
        <f>C5/'Aircrafts candidate data'!$H$43+0.5</f>
        <v>1.7442333785617368</v>
      </c>
      <c r="H5" s="596">
        <f>C5/'Aircrafts candidate data'!$B$43+0.5</f>
        <v>1.5788235294117647</v>
      </c>
      <c r="I5" s="597">
        <f>('Aircrafts candidate data'!$N$21*(D5-0.5)+(0.34%*'Aircrafts candidate data'!$N$9))*((1+'Cost Structure'!$B$39/100)^'Block time &amp; Fuel'!$I$23)</f>
        <v>7611.3053823595328</v>
      </c>
      <c r="J5" s="598">
        <f>('Aircrafts candidate data'!$N$51*(E5-0.5)+(0.34%*'Aircrafts candidate data'!$N$39))*((1+'Cost Structure'!$F$39/100)^'Block time &amp; Fuel'!$J$23)</f>
        <v>7415.2608472130096</v>
      </c>
      <c r="K5" s="1283">
        <f>('Aircrafts candidate data'!$B$80*(F5-0.5)+(0.23%*'Aircrafts candidate data'!$B$68))*((1+'Cost Structure'!$C$39/100)^'Block time &amp; Fuel'!$K$23)</f>
        <v>3683.0280763918895</v>
      </c>
      <c r="L5" s="205">
        <f>('Aircrafts candidate data'!$H$51*(G5-0.5)+(0.23%*'Aircrafts candidate data'!$H$39))*((1+'Cost Structure'!$B$39/100)^'Block time &amp; Fuel'!$L$23)</f>
        <v>2906.5851259141382</v>
      </c>
      <c r="M5" s="600">
        <f>('Aircrafts candidate data'!$B$51*(H5-0.5)+(0.23%*'Aircrafts candidate data'!$B$39))*((1+'Cost Structure'!$D$39/100)^'Block time &amp; Fuel'!$M$23)</f>
        <v>4556.0593368</v>
      </c>
      <c r="N5" s="1314"/>
      <c r="O5" s="280" t="s">
        <v>211</v>
      </c>
    </row>
    <row r="6" spans="1:16">
      <c r="A6" s="86">
        <v>4</v>
      </c>
      <c r="B6" s="665" t="s">
        <v>212</v>
      </c>
      <c r="C6" s="301">
        <v>917</v>
      </c>
      <c r="D6" s="278">
        <f>C6/'Aircrafts candidate data'!$N$13+0.5</f>
        <v>1.6413422284178034</v>
      </c>
      <c r="E6" s="278">
        <f>C6/'Aircrafts candidate data'!$N$43+0.5</f>
        <v>1.7216242140040499</v>
      </c>
      <c r="F6" s="278">
        <f>C6/'Aircrafts candidate data'!$B$72+0.5</f>
        <v>1.7375836752321312</v>
      </c>
      <c r="G6" s="88">
        <f>C6/'Aircrafts candidate data'!$H$43+0.5</f>
        <v>1.7442333785617368</v>
      </c>
      <c r="H6" s="596">
        <f>C6/'Aircrafts candidate data'!$B$43+0.5</f>
        <v>1.5788235294117647</v>
      </c>
      <c r="I6" s="597">
        <f>('Aircrafts candidate data'!$N$21*(D6-0.5)+(0.34%*'Aircrafts candidate data'!$N$9))*((1+'Cost Structure'!$B$39/100)^'Block time &amp; Fuel'!$I$23)</f>
        <v>7611.3053823595328</v>
      </c>
      <c r="J6" s="598">
        <f>('Aircrafts candidate data'!$N$51*(E6-0.5)+(0.34%*'Aircrafts candidate data'!$N$39))*((1+'Cost Structure'!$F$39/100)^'Block time &amp; Fuel'!$J$23)</f>
        <v>7415.2608472130096</v>
      </c>
      <c r="K6" s="1283">
        <f>('Aircrafts candidate data'!$B$80*(F6-0.5)+(0.23%*'Aircrafts candidate data'!$B$68))*((1+'Cost Structure'!$C$39/100)^'Block time &amp; Fuel'!$K$23)</f>
        <v>3683.0280763918895</v>
      </c>
      <c r="L6" s="205">
        <f>('Aircrafts candidate data'!$H$51*(G6-0.5)+(0.23%*'Aircrafts candidate data'!$H$39))*((1+'Cost Structure'!$B$39/100)^'Block time &amp; Fuel'!$L$23)</f>
        <v>2906.5851259141382</v>
      </c>
      <c r="M6" s="600">
        <f>('Aircrafts candidate data'!$B$51*(H6-0.5)+(0.23%*'Aircrafts candidate data'!$B$39))*((1+'Cost Structure'!$D$39/100)^'Block time &amp; Fuel'!$M$23)</f>
        <v>4556.0593368</v>
      </c>
      <c r="N6" s="1314"/>
      <c r="O6" s="279" t="s">
        <v>212</v>
      </c>
    </row>
    <row r="7" spans="1:16">
      <c r="A7" s="86">
        <v>5</v>
      </c>
      <c r="B7" s="665" t="s">
        <v>213</v>
      </c>
      <c r="C7" s="301">
        <v>418</v>
      </c>
      <c r="D7" s="278">
        <f>C7/'Aircrafts candidate data'!$N$13+0.5</f>
        <v>1.0202628696604599</v>
      </c>
      <c r="E7" s="278">
        <f>C7/'Aircrafts candidate data'!$N$43+0.5</f>
        <v>1.0568581477139509</v>
      </c>
      <c r="F7" s="278">
        <f>C7/'Aircrafts candidate data'!$B$72+0.5</f>
        <v>1.0641330166270784</v>
      </c>
      <c r="G7" s="88">
        <f>C7/'Aircrafts candidate data'!$H$43+0.5</f>
        <v>1.0671641791044775</v>
      </c>
      <c r="H7" s="596">
        <f>C7/'Aircrafts candidate data'!$B$43+0.5</f>
        <v>0.99176470588235288</v>
      </c>
      <c r="I7" s="597">
        <f>('Aircrafts candidate data'!$N$21*(D7-0.5)+(0.34%*'Aircrafts candidate data'!$N$9))*((1+'Cost Structure'!$B$39/100)^'Block time &amp; Fuel'!$I$23)</f>
        <v>3926.9677749713019</v>
      </c>
      <c r="J7" s="598">
        <f>('Aircrafts candidate data'!$N$51*(E7-0.5)+(0.34%*'Aircrafts candidate data'!$N$39))*((1+'Cost Structure'!$F$39/100)^'Block time &amp; Fuel'!$J$23)</f>
        <v>3746.8944952999768</v>
      </c>
      <c r="K7" s="1283">
        <f>('Aircrafts candidate data'!$B$80*(F7-0.5)+(0.23%*'Aircrafts candidate data'!$B$68))*((1+'Cost Structure'!$C$39/100)^'Block time &amp; Fuel'!$K$23)</f>
        <v>1785.8757031017863</v>
      </c>
      <c r="L7" s="205">
        <f>('Aircrafts candidate data'!$H$51*(G7-0.5)+(0.23%*'Aircrafts candidate data'!$H$39))*((1+'Cost Structure'!$B$39/100)^'Block time &amp; Fuel'!$L$23)</f>
        <v>1449.1066085623877</v>
      </c>
      <c r="M7" s="600">
        <f>('Aircrafts candidate data'!$B$51*(H7-0.5)+(0.23%*'Aircrafts candidate data'!$B$39))*((1+'Cost Structure'!$D$39/100)^'Block time &amp; Fuel'!$M$23)</f>
        <v>2213.6112215999992</v>
      </c>
      <c r="N7" s="1314"/>
      <c r="O7" s="279" t="s">
        <v>213</v>
      </c>
    </row>
    <row r="8" spans="1:16">
      <c r="A8" s="302">
        <v>6</v>
      </c>
      <c r="B8" s="666" t="s">
        <v>214</v>
      </c>
      <c r="C8" s="591">
        <v>1871</v>
      </c>
      <c r="D8" s="278">
        <f>C8/'Aircrafts candidate data'!$N$13+0.5</f>
        <v>2.828736433336652</v>
      </c>
      <c r="E8" s="278">
        <f>C8/'Aircrafts candidate data'!$N$43+0.5</f>
        <v>2.9925396994564637</v>
      </c>
      <c r="F8" s="278">
        <f>C8/'Aircrafts candidate data'!$B$72+0.5</f>
        <v>3.0251025696393867</v>
      </c>
      <c r="G8" s="304">
        <f>C8/'Aircrafts candidate data'!$H$43+0.5</f>
        <v>3.0386702849389415</v>
      </c>
      <c r="H8" s="596">
        <f>C8/'Aircrafts candidate data'!$B$43+0.5</f>
        <v>2.7011764705882353</v>
      </c>
      <c r="I8" s="597">
        <f>('Aircrafts candidate data'!$N$21*(D8-0.5)+(0.34%*'Aircrafts candidate data'!$N$9))*((1+'Cost Structure'!$B$39/100)^'Block time &amp; Fuel'!$I$23)</f>
        <v>14655.109144781118</v>
      </c>
      <c r="J8" s="598">
        <f>('Aircrafts candidate data'!$N$51*(E8-0.5)+(0.34%*'Aircrafts candidate data'!$N$39))*((1+'Cost Structure'!$F$39/100)^'Block time &amp; Fuel'!$J$23)</f>
        <v>14428.530385740132</v>
      </c>
      <c r="K8" s="1283">
        <f>('Aircrafts candidate data'!$B$80*(F8-0.5)+(0.23%*'Aircrafts candidate data'!$B$68))*((1+'Cost Structure'!$C$39/100)^'Block time &amp; Fuel'!$K$23)</f>
        <v>7310.048846168962</v>
      </c>
      <c r="L8" s="205">
        <f>('Aircrafts candidate data'!$H$51*(G8-0.5)+(0.23%*'Aircrafts candidate data'!$H$39))*((1+'Cost Structure'!$B$39/100)^'Block time &amp; Fuel'!$L$23)</f>
        <v>5693.0270208110715</v>
      </c>
      <c r="M8" s="600">
        <f>('Aircrafts candidate data'!$B$51*(H8-0.5)+(0.23%*'Aircrafts candidate data'!$B$39))*((1+'Cost Structure'!$D$39/100)^'Block time &amp; Fuel'!$M$23)</f>
        <v>9034.4070359999987</v>
      </c>
      <c r="N8" s="1315">
        <v>2</v>
      </c>
      <c r="O8" s="303" t="s">
        <v>214</v>
      </c>
      <c r="P8" s="296">
        <f>SUM(G8:G11)</f>
        <v>10.808802170963364</v>
      </c>
    </row>
    <row r="9" spans="1:16">
      <c r="A9" s="302">
        <v>7</v>
      </c>
      <c r="B9" s="666" t="s">
        <v>215</v>
      </c>
      <c r="C9" s="591">
        <v>1372</v>
      </c>
      <c r="D9" s="278">
        <f>C9/'Aircrafts candidate data'!$N$13+0.5</f>
        <v>2.2076570745793092</v>
      </c>
      <c r="E9" s="278">
        <f>C9/'Aircrafts candidate data'!$N$43+0.5</f>
        <v>2.3277736331663648</v>
      </c>
      <c r="F9" s="278">
        <f>C9/'Aircrafts candidate data'!$B$72+0.5</f>
        <v>2.3516519110343337</v>
      </c>
      <c r="G9" s="304">
        <f>C9/'Aircrafts candidate data'!$H$43+0.5</f>
        <v>2.3616010854816825</v>
      </c>
      <c r="H9" s="596">
        <f>C9/'Aircrafts candidate data'!$B$43+0.5</f>
        <v>2.1141176470588237</v>
      </c>
      <c r="I9" s="597">
        <f>('Aircrafts candidate data'!$N$21*(D9-0.5)+(0.34%*'Aircrafts candidate data'!$N$9))*((1+'Cost Structure'!$B$39/100)^'Block time &amp; Fuel'!$I$23)</f>
        <v>10970.771537392891</v>
      </c>
      <c r="J9" s="598">
        <f>('Aircrafts candidate data'!$N$51*(E9-0.5)+(0.34%*'Aircrafts candidate data'!$N$39))*((1+'Cost Structure'!$F$39/100)^'Block time &amp; Fuel'!$J$23)</f>
        <v>10760.164033827099</v>
      </c>
      <c r="K9" s="1283">
        <f>('Aircrafts candidate data'!$B$80*(F9-0.5)+(0.23%*'Aircrafts candidate data'!$B$68))*((1+'Cost Structure'!$C$39/100)^'Block time &amp; Fuel'!$K$23)</f>
        <v>5412.8964728788578</v>
      </c>
      <c r="L9" s="205">
        <f>('Aircrafts candidate data'!$H$51*(G9-0.5)+(0.23%*'Aircrafts candidate data'!$H$39))*((1+'Cost Structure'!$B$39/100)^'Block time &amp; Fuel'!$L$23)</f>
        <v>4235.5485034593212</v>
      </c>
      <c r="M9" s="600">
        <f>('Aircrafts candidate data'!$B$51*(H9-0.5)+(0.23%*'Aircrafts candidate data'!$B$39))*((1+'Cost Structure'!$D$39/100)^'Block time &amp; Fuel'!$M$23)</f>
        <v>6691.9589207999998</v>
      </c>
      <c r="N9" s="1315"/>
      <c r="O9" s="303" t="s">
        <v>215</v>
      </c>
    </row>
    <row r="10" spans="1:16">
      <c r="A10" s="302">
        <v>8</v>
      </c>
      <c r="B10" s="666" t="s">
        <v>216</v>
      </c>
      <c r="C10" s="591">
        <v>1511</v>
      </c>
      <c r="D10" s="278">
        <f>C10/'Aircrafts candidate data'!$N$13+0.5</f>
        <v>2.3806631484616148</v>
      </c>
      <c r="E10" s="278">
        <f>C10/'Aircrafts candidate data'!$N$43+0.5</f>
        <v>2.5129489502291378</v>
      </c>
      <c r="F10" s="278">
        <f>C10/'Aircrafts candidate data'!$B$72+0.5</f>
        <v>2.5392463830706111</v>
      </c>
      <c r="G10" s="304">
        <f>C10/'Aircrafts candidate data'!$H$43+0.5</f>
        <v>2.550203527815468</v>
      </c>
      <c r="H10" s="596">
        <f>C10/'Aircrafts candidate data'!$B$43+0.5</f>
        <v>2.2776470588235291</v>
      </c>
      <c r="I10" s="597">
        <f>('Aircrafts candidate data'!$N$21*(D10-0.5)+(0.34%*'Aircrafts candidate data'!$N$9))*((1+'Cost Structure'!$B$39/100)^'Block time &amp; Fuel'!$I$23)</f>
        <v>11997.069989150332</v>
      </c>
      <c r="J10" s="598">
        <f>('Aircrafts candidate data'!$N$51*(E10-0.5)+(0.34%*'Aircrafts candidate data'!$N$39))*((1+'Cost Structure'!$F$39/100)^'Block time &amp; Fuel'!$J$23)</f>
        <v>11782.013578748767</v>
      </c>
      <c r="K10" s="1283">
        <f>('Aircrafts candidate data'!$B$80*(F10-0.5)+(0.23%*'Aircrafts candidate data'!$B$68))*((1+'Cost Structure'!$C$39/100)^'Block time &amp; Fuel'!$K$23)</f>
        <v>5941.3617632342184</v>
      </c>
      <c r="L10" s="205">
        <f>('Aircrafts candidate data'!$H$51*(G10-0.5)+(0.23%*'Aircrafts candidate data'!$H$39))*((1+'Cost Structure'!$B$39/100)^'Block time &amp; Fuel'!$L$23)</f>
        <v>4641.5395133027941</v>
      </c>
      <c r="M10" s="600">
        <f>('Aircrafts candidate data'!$B$51*(H10-0.5)+(0.23%*'Aircrafts candidate data'!$B$39))*((1+'Cost Structure'!$D$39/100)^'Block time &amp; Fuel'!$M$23)</f>
        <v>7344.4645079999982</v>
      </c>
      <c r="N10" s="1315"/>
      <c r="O10" s="303" t="s">
        <v>216</v>
      </c>
    </row>
    <row r="11" spans="1:16">
      <c r="A11" s="302">
        <v>9</v>
      </c>
      <c r="B11" s="667" t="s">
        <v>217</v>
      </c>
      <c r="C11" s="591">
        <v>1738.0871999999999</v>
      </c>
      <c r="D11" s="278">
        <f>C11/'Aircrafts candidate data'!$N$13+0.5</f>
        <v>2.6633067808423774</v>
      </c>
      <c r="E11" s="278">
        <f>C11/'Aircrafts candidate data'!$N$43+0.5</f>
        <v>2.8154737290845144</v>
      </c>
      <c r="F11" s="278">
        <f>C11/'Aircrafts candidate data'!$B$72+0.5</f>
        <v>2.84572338587778</v>
      </c>
      <c r="G11" s="304">
        <f>C11/'Aircrafts candidate data'!$H$43+0.5</f>
        <v>2.8583272727272728</v>
      </c>
      <c r="H11" s="596">
        <f>C11/'Aircrafts candidate data'!$B$43+0.5</f>
        <v>2.5448084705882352</v>
      </c>
      <c r="I11" s="597">
        <f>('Aircrafts candidate data'!$N$21*(D11-0.5)+(0.34%*'Aircrafts candidate data'!$N$9))*((1+'Cost Structure'!$B$39/100)^'Block time &amp; Fuel'!$I$23)</f>
        <v>13673.755181768553</v>
      </c>
      <c r="J11" s="598">
        <f>('Aircrafts candidate data'!$N$51*(E11-0.5)+(0.34%*'Aircrafts candidate data'!$N$39))*((1+'Cost Structure'!$F$39/100)^'Block time &amp; Fuel'!$J$23)</f>
        <v>13451.43049945046</v>
      </c>
      <c r="K11" s="1283">
        <f>('Aircrafts candidate data'!$B$80*(F11-0.5)+(0.23%*'Aircrafts candidate data'!$B$68))*((1+'Cost Structure'!$C$39/100)^'Block time &amp; Fuel'!$K$23)</f>
        <v>6804.7265336226028</v>
      </c>
      <c r="L11" s="205">
        <f>('Aircrafts candidate data'!$H$51*(G11-0.5)+(0.23%*'Aircrafts candidate data'!$H$39))*((1+'Cost Structure'!$B$39/100)^'Block time &amp; Fuel'!$L$23)</f>
        <v>5304.8154964001114</v>
      </c>
      <c r="M11" s="600">
        <f>('Aircrafts candidate data'!$B$51*(H11-0.5)+(0.23%*'Aircrafts candidate data'!$B$39))*((1+'Cost Structure'!$D$39/100)^'Block time &amp; Fuel'!$M$23)</f>
        <v>8410.476499234559</v>
      </c>
      <c r="N11" s="1315"/>
      <c r="O11" s="305" t="s">
        <v>217</v>
      </c>
    </row>
    <row r="12" spans="1:16">
      <c r="A12" s="202">
        <v>10</v>
      </c>
      <c r="B12" s="668" t="s">
        <v>218</v>
      </c>
      <c r="C12" s="306">
        <v>3185</v>
      </c>
      <c r="D12" s="278">
        <f>C12/'Aircrafts candidate data'!$N$13+0.5</f>
        <v>4.4642039231305386</v>
      </c>
      <c r="E12" s="278">
        <f>C12/'Aircrafts candidate data'!$N$43+0.5</f>
        <v>4.7430459341362035</v>
      </c>
      <c r="F12" s="278">
        <f>C12/'Aircrafts candidate data'!$B$72+0.5</f>
        <v>4.7984776506154176</v>
      </c>
      <c r="G12" s="204">
        <f>C12/'Aircrafts candidate data'!$H$43+0.5</f>
        <v>4.8215739484396201</v>
      </c>
      <c r="H12" s="596">
        <f>C12/'Aircrafts candidate data'!$B$43+0.5</f>
        <v>4.2470588235294118</v>
      </c>
      <c r="I12" s="597">
        <f>('Aircrafts candidate data'!$N$21*(D12-0.5)+(0.34%*'Aircrafts candidate data'!$N$9))*((1+'Cost Structure'!$B$39/100)^'Block time &amp; Fuel'!$I$23)</f>
        <v>24356.952062833494</v>
      </c>
      <c r="J12" s="598">
        <f>('Aircrafts candidate data'!$N$51*(E12-0.5)+(0.34%*'Aircrafts candidate data'!$N$39))*((1+'Cost Structure'!$F$39/100)^'Block time &amp; Fuel'!$J$23)</f>
        <v>24088.316731258619</v>
      </c>
      <c r="K12" s="1283">
        <f>('Aircrafts candidate data'!$B$80*(F12-0.5)+(0.23%*'Aircrafts candidate data'!$B$68))*((1+'Cost Structure'!$C$39/100)^'Block time &amp; Fuel'!$K$23)</f>
        <v>12305.756698880778</v>
      </c>
      <c r="L12" s="205">
        <f>('Aircrafts candidate data'!$H$51*(G12-0.5)+(0.23%*'Aircrafts candidate data'!$H$39))*((1+'Cost Structure'!$B$39/100)^'Block time &amp; Fuel'!$L$23)</f>
        <v>9530.9564232162811</v>
      </c>
      <c r="M12" s="600">
        <f>('Aircrafts candidate data'!$B$51*(H12-0.5)+(0.23%*'Aircrafts candidate data'!$B$39))*((1+'Cost Structure'!$D$39/100)^'Block time &amp; Fuel'!$M$23)</f>
        <v>15202.697263199998</v>
      </c>
      <c r="N12" s="1315">
        <v>3</v>
      </c>
      <c r="O12" s="203" t="s">
        <v>218</v>
      </c>
      <c r="P12" s="296">
        <f>SUM(G12:G15)</f>
        <v>11.492537313432836</v>
      </c>
    </row>
    <row r="13" spans="1:16">
      <c r="A13" s="202">
        <v>11</v>
      </c>
      <c r="B13" s="668" t="s">
        <v>219</v>
      </c>
      <c r="C13" s="306">
        <v>453</v>
      </c>
      <c r="D13" s="278">
        <f>C13/'Aircrafts candidate data'!$N$13+0.5</f>
        <v>1.063825550134422</v>
      </c>
      <c r="E13" s="278">
        <f>C13/'Aircrafts candidate data'!$N$43+0.5</f>
        <v>1.103485026111052</v>
      </c>
      <c r="F13" s="278">
        <f>C13/'Aircrafts candidate data'!$B$72+0.5</f>
        <v>1.1113690347657093</v>
      </c>
      <c r="G13" s="204">
        <f>C13/'Aircrafts candidate data'!$H$43+0.5</f>
        <v>1.1146540027137042</v>
      </c>
      <c r="H13" s="596">
        <f>C13/'Aircrafts candidate data'!$B$43+0.5</f>
        <v>1.0329411764705883</v>
      </c>
      <c r="I13" s="597">
        <f>('Aircrafts candidate data'!$N$21*(D13-0.5)+(0.34%*'Aircrafts candidate data'!$N$9))*((1+'Cost Structure'!$B$39/100)^'Block time &amp; Fuel'!$I$23)</f>
        <v>4185.3882484354081</v>
      </c>
      <c r="J13" s="598">
        <f>('Aircrafts candidate data'!$N$51*(E13-0.5)+(0.34%*'Aircrafts candidate data'!$N$39))*((1+'Cost Structure'!$F$39/100)^'Block time &amp; Fuel'!$J$23)</f>
        <v>4004.1947404241378</v>
      </c>
      <c r="K13" s="1283">
        <f>('Aircrafts candidate data'!$B$80*(F13-0.5)+(0.23%*'Aircrafts candidate data'!$B$68))*((1+'Cost Structure'!$C$39/100)^'Block time &amp; Fuel'!$K$23)</f>
        <v>1918.9425028315529</v>
      </c>
      <c r="L13" s="205">
        <f>('Aircrafts candidate data'!$H$51*(G13-0.5)+(0.23%*'Aircrafts candidate data'!$H$39))*((1+'Cost Structure'!$B$39/100)^'Block time &amp; Fuel'!$L$23)</f>
        <v>1551.3345606812481</v>
      </c>
      <c r="M13" s="600">
        <f>('Aircrafts candidate data'!$B$51*(H13-0.5)+(0.23%*'Aircrafts candidate data'!$B$39))*((1+'Cost Structure'!$D$39/100)^'Block time &amp; Fuel'!$M$23)</f>
        <v>2377.9111895999999</v>
      </c>
      <c r="N13" s="1315"/>
      <c r="O13" s="203" t="s">
        <v>219</v>
      </c>
    </row>
    <row r="14" spans="1:16">
      <c r="A14" s="202">
        <v>12</v>
      </c>
      <c r="B14" s="668" t="s">
        <v>220</v>
      </c>
      <c r="C14" s="1243">
        <v>930</v>
      </c>
      <c r="D14" s="278">
        <f>C14/'Aircrafts candidate data'!$N$13+0.5</f>
        <v>1.6575226525938465</v>
      </c>
      <c r="E14" s="278">
        <f>C14/'Aircrafts candidate data'!$N$43+0.5</f>
        <v>1.738942768837259</v>
      </c>
      <c r="F14" s="278">
        <f>C14/'Aircrafts candidate data'!$B$72+0.5</f>
        <v>1.7551284819693369</v>
      </c>
      <c r="G14" s="204">
        <f>C14/'Aircrafts candidate data'!$H$43+0.5</f>
        <v>1.7618724559023067</v>
      </c>
      <c r="H14" s="596">
        <f>C14/'Aircrafts candidate data'!$B$43+0.5</f>
        <v>1.5941176470588236</v>
      </c>
      <c r="I14" s="597">
        <f>('Aircrafts candidate data'!$N$21*(D14-0.5)+(0.34%*'Aircrafts candidate data'!$N$9))*((1+'Cost Structure'!$B$39/100)^'Block time &amp; Fuel'!$I$23)</f>
        <v>7707.2901296462005</v>
      </c>
      <c r="J14" s="598">
        <f>('Aircrafts candidate data'!$N$51*(E14-0.5)+(0.34%*'Aircrafts candidate data'!$N$39))*((1+'Cost Structure'!$F$39/100)^'Block time &amp; Fuel'!$J$23)</f>
        <v>7510.8295096876991</v>
      </c>
      <c r="K14" s="1283">
        <f>('Aircrafts candidate data'!$B$80*(F14-0.5)+(0.23%*'Aircrafts candidate data'!$B$68))*((1+'Cost Structure'!$C$39/100)^'Block time &amp; Fuel'!$K$23)</f>
        <v>3732.4528877200883</v>
      </c>
      <c r="L14" s="205">
        <f>('Aircrafts candidate data'!$H$51*(G14-0.5)+(0.23%*'Aircrafts candidate data'!$H$39))*((1+'Cost Structure'!$B$39/100)^'Block time &amp; Fuel'!$L$23)</f>
        <v>2944.5555081297152</v>
      </c>
      <c r="M14" s="600">
        <f>('Aircrafts candidate data'!$B$51*(H14-0.5)+(0.23%*'Aircrafts candidate data'!$B$39))*((1+'Cost Structure'!$D$39/100)^'Block time &amp; Fuel'!$M$23)</f>
        <v>4617.0850391999993</v>
      </c>
      <c r="N14" s="1315"/>
      <c r="O14" s="203" t="s">
        <v>220</v>
      </c>
    </row>
    <row r="15" spans="1:16">
      <c r="A15" s="202">
        <v>13</v>
      </c>
      <c r="B15" s="668" t="s">
        <v>221</v>
      </c>
      <c r="C15" s="1243">
        <v>2428</v>
      </c>
      <c r="D15" s="278">
        <f>C15/'Aircrafts candidate data'!$N$13+0.5</f>
        <v>3.5220053768794184</v>
      </c>
      <c r="E15" s="278">
        <f>C15/'Aircrafts candidate data'!$N$43+0.5</f>
        <v>3.7345731642331876</v>
      </c>
      <c r="F15" s="278">
        <f>C15/'Aircrafts candidate data'!$B$72+0.5</f>
        <v>3.7768300583027421</v>
      </c>
      <c r="G15" s="204">
        <f>C15/'Aircrafts candidate data'!$H$43+0.5</f>
        <v>3.794436906377205</v>
      </c>
      <c r="H15" s="596">
        <f>C15/'Aircrafts candidate data'!$B$43+0.5</f>
        <v>3.3564705882352941</v>
      </c>
      <c r="I15" s="597">
        <f>('Aircrafts candidate data'!$N$21*(D15-0.5)+(0.34%*'Aircrafts candidate data'!$N$9))*((1+'Cost Structure'!$B$39/100)^'Block time &amp; Fuel'!$I$23)</f>
        <v>18767.686393909866</v>
      </c>
      <c r="J15" s="598">
        <f>('Aircrafts candidate data'!$N$51*(E15-0.5)+(0.34%*'Aircrafts candidate data'!$N$39))*((1+'Cost Structure'!$F$39/100)^'Block time &amp; Fuel'!$J$23)</f>
        <v>18523.280001001775</v>
      </c>
      <c r="K15" s="1283">
        <f>('Aircrafts candidate data'!$B$80*(F15-0.5)+(0.23%*'Aircrafts candidate data'!$B$68))*((1+'Cost Structure'!$C$39/100)^'Block time &amp; Fuel'!$K$23)</f>
        <v>9427.7119161541086</v>
      </c>
      <c r="L15" s="205">
        <f>('Aircrafts candidate data'!$H$51*(G15-0.5)+(0.23%*'Aircrafts candidate data'!$H$39))*((1+'Cost Structure'!$B$39/100)^'Block time &amp; Fuel'!$L$23)</f>
        <v>7319.9118588169331</v>
      </c>
      <c r="M15" s="600">
        <f>('Aircrafts candidate data'!$B$51*(H15-0.5)+(0.23%*'Aircrafts candidate data'!$B$39))*((1+'Cost Structure'!$D$39/100)^'Block time &amp; Fuel'!$M$23)</f>
        <v>11649.123669599998</v>
      </c>
      <c r="N15" s="1315"/>
      <c r="O15" s="203" t="s">
        <v>221</v>
      </c>
    </row>
    <row r="16" spans="1:16">
      <c r="A16" s="308">
        <v>14</v>
      </c>
      <c r="B16" s="669" t="s">
        <v>222</v>
      </c>
      <c r="C16" s="308">
        <v>2326</v>
      </c>
      <c r="D16" s="278">
        <f>C16/'Aircrafts candidate data'!$N$13+0.5</f>
        <v>3.3950512794981575</v>
      </c>
      <c r="E16" s="278">
        <f>C16/'Aircrafts candidate data'!$N$43+0.5</f>
        <v>3.5986891186187786</v>
      </c>
      <c r="F16" s="278">
        <f>C16/'Aircrafts candidate data'!$B$72+0.5</f>
        <v>3.639170805441589</v>
      </c>
      <c r="G16" s="592">
        <f>C16/'Aircrafts candidate data'!$H$43+0.5</f>
        <v>3.6560379918588874</v>
      </c>
      <c r="H16" s="596">
        <f>C16/'Aircrafts candidate data'!$B$43+0.5</f>
        <v>3.236470588235294</v>
      </c>
      <c r="I16" s="597">
        <f>('Aircrafts candidate data'!$N$21*(D16-0.5)+(0.34%*'Aircrafts candidate data'!$N$9))*((1+'Cost Structure'!$B$39/100)^'Block time &amp; Fuel'!$I$23)</f>
        <v>18014.575299814474</v>
      </c>
      <c r="J16" s="598">
        <f>('Aircrafts candidate data'!$N$51*(E16-0.5)+(0.34%*'Aircrafts candidate data'!$N$39))*((1+'Cost Structure'!$F$39/100)^'Block time &amp; Fuel'!$J$23)</f>
        <v>17773.433572354221</v>
      </c>
      <c r="K16" s="1283">
        <f>('Aircrafts candidate data'!$B$80*(F16-0.5)+(0.23%*'Aircrafts candidate data'!$B$68))*((1+'Cost Structure'!$C$39/100)^'Block time &amp; Fuel'!$K$23)</f>
        <v>9039.9172426559307</v>
      </c>
      <c r="L16" s="205">
        <f>('Aircrafts candidate data'!$H$51*(G16-0.5)+(0.23%*'Aircrafts candidate data'!$H$39))*((1+'Cost Structure'!$B$39/100)^'Block time &amp; Fuel'!$L$23)</f>
        <v>7021.9903983562554</v>
      </c>
      <c r="M16" s="600">
        <f>('Aircrafts candidate data'!$B$51*(H16-0.5)+(0.23%*'Aircrafts candidate data'!$B$39))*((1+'Cost Structure'!$D$39/100)^'Block time &amp; Fuel'!$M$23)</f>
        <v>11170.306619999998</v>
      </c>
      <c r="N16" s="1315">
        <v>4</v>
      </c>
      <c r="O16" s="307" t="s">
        <v>222</v>
      </c>
      <c r="P16" s="296">
        <f>SUM(G16:G19)</f>
        <v>11.226594301221166</v>
      </c>
    </row>
    <row r="17" spans="1:21">
      <c r="A17" s="308">
        <v>15</v>
      </c>
      <c r="B17" s="670" t="s">
        <v>223</v>
      </c>
      <c r="C17" s="308">
        <v>981</v>
      </c>
      <c r="D17" s="278">
        <f>C17/'Aircrafts candidate data'!$N$13+0.5</f>
        <v>1.7209997012844767</v>
      </c>
      <c r="E17" s="278">
        <f>C17/'Aircrafts candidate data'!$N$43+0.5</f>
        <v>1.8068847916444635</v>
      </c>
      <c r="F17" s="278">
        <f>C17/'Aircrafts candidate data'!$B$72+0.5</f>
        <v>1.8239581083999135</v>
      </c>
      <c r="G17" s="592">
        <f>C17/'Aircrafts candidate data'!$H$43+0.5</f>
        <v>1.8310719131614654</v>
      </c>
      <c r="H17" s="596">
        <f>C17/'Aircrafts candidate data'!$B$43+0.5</f>
        <v>1.6541176470588235</v>
      </c>
      <c r="I17" s="597">
        <f>('Aircrafts candidate data'!$N$21*(D17-0.5)+(0.34%*'Aircrafts candidate data'!$N$9))*((1+'Cost Structure'!$B$39/100)^'Block time &amp; Fuel'!$I$23)</f>
        <v>8083.8456766938943</v>
      </c>
      <c r="J17" s="598">
        <f>('Aircrafts candidate data'!$N$51*(E17-0.5)+(0.34%*'Aircrafts candidate data'!$N$39))*((1+'Cost Structure'!$F$39/100)^'Block time &amp; Fuel'!$J$23)</f>
        <v>7885.7527240114759</v>
      </c>
      <c r="K17" s="1283">
        <f>('Aircrafts candidate data'!$B$80*(F17-0.5)+(0.23%*'Aircrafts candidate data'!$B$68))*((1+'Cost Structure'!$C$39/100)^'Block time &amp; Fuel'!$K$23)</f>
        <v>3926.3502244691772</v>
      </c>
      <c r="L17" s="205">
        <f>('Aircrafts candidate data'!$H$51*(G17-0.5)+(0.23%*'Aircrafts candidate data'!$H$39))*((1+'Cost Structure'!$B$39/100)^'Block time &amp; Fuel'!$L$23)</f>
        <v>3093.5162383600541</v>
      </c>
      <c r="M17" s="600">
        <f>('Aircrafts candidate data'!$B$51*(H17-0.5)+(0.23%*'Aircrafts candidate data'!$B$39))*((1+'Cost Structure'!$D$39/100)^'Block time &amp; Fuel'!$M$23)</f>
        <v>4856.4935639999985</v>
      </c>
      <c r="N17" s="1315"/>
      <c r="O17" s="308" t="s">
        <v>223</v>
      </c>
    </row>
    <row r="18" spans="1:21">
      <c r="A18" s="308">
        <v>16</v>
      </c>
      <c r="B18" s="670" t="s">
        <v>224</v>
      </c>
      <c r="C18" s="308">
        <v>2392</v>
      </c>
      <c r="D18" s="278">
        <f>C18/'Aircrafts candidate data'!$N$13+0.5</f>
        <v>3.4771980483919145</v>
      </c>
      <c r="E18" s="278">
        <f>C18/'Aircrafts candidate data'!$N$43+0.5</f>
        <v>3.6866140893104551</v>
      </c>
      <c r="F18" s="278">
        <f>C18/'Aircrafts candidate data'!$B$72+0.5</f>
        <v>3.7282444396458647</v>
      </c>
      <c r="G18" s="592">
        <f>C18/'Aircrafts candidate data'!$H$43+0.5</f>
        <v>3.7455902306648574</v>
      </c>
      <c r="H18" s="596">
        <f>C18/'Aircrafts candidate data'!$B$43+0.5</f>
        <v>3.3141176470588234</v>
      </c>
      <c r="I18" s="597">
        <f>('Aircrafts candidate data'!$N$21*(D18-0.5)+(0.34%*'Aircrafts candidate data'!$N$9))*((1+'Cost Structure'!$B$39/100)^'Block time &amp; Fuel'!$I$23)</f>
        <v>18501.882478346786</v>
      </c>
      <c r="J18" s="598">
        <f>('Aircrafts candidate data'!$N$51*(E18-0.5)+(0.34%*'Aircrafts candidate data'!$N$39))*((1+'Cost Structure'!$F$39/100)^'Block time &amp; Fuel'!$J$23)</f>
        <v>18258.62832030264</v>
      </c>
      <c r="K18" s="1283">
        <f>('Aircrafts candidate data'!$B$80*(F18-0.5)+(0.23%*'Aircrafts candidate data'!$B$68))*((1+'Cost Structure'!$C$39/100)^'Block time &amp; Fuel'!$K$23)</f>
        <v>9290.8432078606329</v>
      </c>
      <c r="L18" s="205">
        <f>('Aircrafts candidate data'!$H$51*(G18-0.5)+(0.23%*'Aircrafts candidate data'!$H$39))*((1+'Cost Structure'!$B$39/100)^'Block time &amp; Fuel'!$L$23)</f>
        <v>7214.7631080661058</v>
      </c>
      <c r="M18" s="600">
        <f>('Aircrafts candidate data'!$B$51*(H18-0.5)+(0.23%*'Aircrafts candidate data'!$B$39))*((1+'Cost Structure'!$D$39/100)^'Block time &amp; Fuel'!$M$23)</f>
        <v>11480.129416799999</v>
      </c>
      <c r="N18" s="1315"/>
      <c r="O18" s="308" t="s">
        <v>224</v>
      </c>
    </row>
    <row r="19" spans="1:21" ht="15" thickBot="1">
      <c r="A19" s="308">
        <v>17</v>
      </c>
      <c r="B19" s="671" t="s">
        <v>225</v>
      </c>
      <c r="C19" s="308">
        <v>1101</v>
      </c>
      <c r="D19" s="278">
        <f>C19/'Aircrafts candidate data'!$N$13+0.5</f>
        <v>1.870357462909489</v>
      </c>
      <c r="E19" s="278">
        <f>C19/'Aircrafts candidate data'!$N$43+0.5</f>
        <v>1.9667483747202388</v>
      </c>
      <c r="F19" s="278">
        <f>C19/'Aircrafts candidate data'!$B$72+0.5</f>
        <v>1.9859101705895055</v>
      </c>
      <c r="G19" s="592">
        <f>C19/'Aircrafts candidate data'!$H$43+0.5</f>
        <v>1.9938941655359566</v>
      </c>
      <c r="H19" s="596">
        <f>C19/'Aircrafts candidate data'!$B$43+0.5</f>
        <v>1.7952941176470589</v>
      </c>
      <c r="I19" s="597">
        <f>('Aircrafts candidate data'!$N$21*(D19-0.5)+(0.34%*'Aircrafts candidate data'!$N$9))*((1+'Cost Structure'!$B$39/100)^'Block time &amp; Fuel'!$I$23)</f>
        <v>8969.8587285708236</v>
      </c>
      <c r="J19" s="598">
        <f>('Aircrafts candidate data'!$N$51*(E19-0.5)+(0.34%*'Aircrafts candidate data'!$N$39))*((1+'Cost Structure'!$F$39/100)^'Block time &amp; Fuel'!$J$23)</f>
        <v>8767.9249930085971</v>
      </c>
      <c r="K19" s="1283">
        <f>('Aircrafts candidate data'!$B$80*(F19-0.5)+(0.23%*'Aircrafts candidate data'!$B$68))*((1+'Cost Structure'!$C$39/100)^'Block time &amp; Fuel'!$K$23)</f>
        <v>4382.579252114092</v>
      </c>
      <c r="L19" s="205">
        <f>('Aircrafts candidate data'!$H$51*(G19-0.5)+(0.23%*'Aircrafts candidate data'!$H$39))*((1+'Cost Structure'!$B$39/100)^'Block time &amp; Fuel'!$L$23)</f>
        <v>3444.0120741961464</v>
      </c>
      <c r="M19" s="600">
        <f>('Aircrafts candidate data'!$B$51*(H19-0.5)+(0.23%*'Aircrafts candidate data'!$B$39))*((1+'Cost Structure'!$D$39/100)^'Block time &amp; Fuel'!$M$23)</f>
        <v>5419.8077400000002</v>
      </c>
      <c r="N19" s="1315"/>
      <c r="O19" s="308" t="s">
        <v>225</v>
      </c>
    </row>
    <row r="20" spans="1:21">
      <c r="A20" s="594"/>
      <c r="B20" s="593"/>
      <c r="C20" s="595"/>
      <c r="D20" s="596"/>
      <c r="E20" s="596"/>
      <c r="F20" s="596"/>
      <c r="G20" s="596"/>
      <c r="H20" s="596"/>
      <c r="I20" s="597"/>
      <c r="J20" s="598"/>
      <c r="K20" s="599"/>
      <c r="L20" s="598"/>
      <c r="M20" s="600"/>
      <c r="N20" s="610"/>
      <c r="O20" s="611" t="s">
        <v>216</v>
      </c>
    </row>
    <row r="21" spans="1:21">
      <c r="A21" s="594"/>
      <c r="B21" s="601"/>
      <c r="C21" s="595"/>
      <c r="D21" s="596"/>
      <c r="E21" s="596"/>
      <c r="F21" s="596"/>
      <c r="G21" s="596"/>
      <c r="H21" s="596"/>
      <c r="I21" s="597"/>
      <c r="J21" s="598"/>
      <c r="K21" s="599"/>
      <c r="L21" s="598"/>
      <c r="M21" s="600"/>
      <c r="N21" s="610"/>
      <c r="O21" s="611" t="s">
        <v>226</v>
      </c>
    </row>
    <row r="22" spans="1:21">
      <c r="A22" s="602"/>
      <c r="B22" s="603"/>
      <c r="C22" s="604"/>
      <c r="D22" s="605"/>
      <c r="E22" s="605"/>
      <c r="F22" s="605"/>
      <c r="G22" s="605"/>
      <c r="H22" s="605"/>
      <c r="I22" s="606"/>
      <c r="J22" s="607"/>
      <c r="K22" s="608"/>
      <c r="L22" s="607"/>
      <c r="M22" s="609"/>
      <c r="N22" s="610"/>
      <c r="O22" s="612" t="s">
        <v>225</v>
      </c>
    </row>
    <row r="23" spans="1:21">
      <c r="A23" s="1316" t="s">
        <v>227</v>
      </c>
      <c r="B23" s="1316"/>
      <c r="C23" s="1316"/>
      <c r="D23" s="1316"/>
      <c r="E23" s="1316"/>
      <c r="F23" s="1316"/>
      <c r="G23" s="1316"/>
      <c r="H23" s="1316"/>
      <c r="I23" s="372">
        <v>3</v>
      </c>
      <c r="J23" s="372">
        <v>3</v>
      </c>
      <c r="K23" s="372">
        <v>4</v>
      </c>
      <c r="L23" s="372">
        <v>3</v>
      </c>
      <c r="M23" s="372">
        <v>3</v>
      </c>
    </row>
    <row r="24" spans="1:21" ht="15" thickBot="1">
      <c r="C24" s="125" t="s">
        <v>228</v>
      </c>
      <c r="D24" s="368" t="s">
        <v>94</v>
      </c>
      <c r="E24" s="369" t="s">
        <v>100</v>
      </c>
      <c r="F24" s="370" t="s">
        <v>97</v>
      </c>
      <c r="G24" s="371" t="s">
        <v>96</v>
      </c>
      <c r="H24" s="58" t="s">
        <v>229</v>
      </c>
    </row>
    <row r="25" spans="1:21">
      <c r="C25" s="125" t="s">
        <v>230</v>
      </c>
      <c r="D25" s="296">
        <f>SUM(D3:D7)</f>
        <v>7.4387633177337449</v>
      </c>
      <c r="E25" s="296">
        <f t="shared" ref="E25:G25" si="0">SUM(E3:E7)</f>
        <v>7.7861558137056388</v>
      </c>
      <c r="F25" s="296">
        <f t="shared" si="0"/>
        <v>7.8552148564025046</v>
      </c>
      <c r="G25" s="296">
        <f t="shared" si="0"/>
        <v>7.8839891451831754</v>
      </c>
      <c r="H25" s="81">
        <f>AVERAGE(D25:G25)</f>
        <v>7.7410307832562664</v>
      </c>
      <c r="I25" s="81"/>
    </row>
    <row r="26" spans="1:21">
      <c r="B26" s="125"/>
      <c r="C26" s="58" t="s">
        <v>231</v>
      </c>
      <c r="D26" s="296">
        <f>SUM(D8:D11)</f>
        <v>10.080363437219953</v>
      </c>
      <c r="E26" s="296">
        <f t="shared" ref="E26:G26" si="1">SUM(E8:E11)</f>
        <v>10.648736011936482</v>
      </c>
      <c r="F26" s="296">
        <f t="shared" si="1"/>
        <v>10.761724249622112</v>
      </c>
      <c r="G26" s="296">
        <f t="shared" si="1"/>
        <v>10.808802170963364</v>
      </c>
      <c r="H26" s="81">
        <f t="shared" ref="H26:H28" si="2">AVERAGE(D26:G26)</f>
        <v>10.574906467435479</v>
      </c>
    </row>
    <row r="27" spans="1:21">
      <c r="B27" s="125"/>
      <c r="C27" s="58" t="s">
        <v>232</v>
      </c>
      <c r="D27" s="296">
        <f>SUM(D12:D16)</f>
        <v>14.102608782236384</v>
      </c>
      <c r="E27" s="296">
        <f t="shared" ref="E27:G27" si="3">SUM(E12:E16)</f>
        <v>14.918736011936481</v>
      </c>
      <c r="F27" s="296">
        <f t="shared" si="3"/>
        <v>15.080976031094796</v>
      </c>
      <c r="G27" s="296">
        <f t="shared" si="3"/>
        <v>15.148575305291724</v>
      </c>
      <c r="H27" s="81">
        <f t="shared" si="2"/>
        <v>14.812724032639846</v>
      </c>
    </row>
    <row r="28" spans="1:21">
      <c r="B28" s="125"/>
      <c r="C28" s="58" t="s">
        <v>233</v>
      </c>
      <c r="D28" s="296">
        <f>SUM(D17:D22)</f>
        <v>7.0685552125858795</v>
      </c>
      <c r="E28" s="296">
        <f t="shared" ref="E28:G28" si="4">SUM(E17:E22)</f>
        <v>7.4602472556751573</v>
      </c>
      <c r="F28" s="296">
        <f t="shared" si="4"/>
        <v>7.5381127186352836</v>
      </c>
      <c r="G28" s="296">
        <f t="shared" si="4"/>
        <v>7.5705563093622796</v>
      </c>
      <c r="H28" s="81">
        <f t="shared" si="2"/>
        <v>7.4093678740646496</v>
      </c>
    </row>
    <row r="29" spans="1:21">
      <c r="B29" s="125"/>
    </row>
    <row r="31" spans="1:21">
      <c r="B31" s="84" t="s">
        <v>209</v>
      </c>
      <c r="C31" s="87" t="s">
        <v>210</v>
      </c>
      <c r="D31" s="87" t="s">
        <v>211</v>
      </c>
      <c r="E31" s="87" t="s">
        <v>212</v>
      </c>
      <c r="F31" s="87" t="s">
        <v>213</v>
      </c>
      <c r="G31" s="303" t="s">
        <v>214</v>
      </c>
      <c r="H31" s="303" t="s">
        <v>234</v>
      </c>
      <c r="I31" s="303" t="s">
        <v>224</v>
      </c>
      <c r="J31" s="305" t="s">
        <v>235</v>
      </c>
      <c r="K31" s="203" t="s">
        <v>218</v>
      </c>
      <c r="L31" s="203" t="s">
        <v>219</v>
      </c>
      <c r="M31" s="203" t="s">
        <v>220</v>
      </c>
      <c r="N31" s="203" t="s">
        <v>236</v>
      </c>
      <c r="O31" s="203" t="s">
        <v>237</v>
      </c>
      <c r="P31" s="307" t="s">
        <v>222</v>
      </c>
      <c r="Q31" s="308" t="s">
        <v>238</v>
      </c>
      <c r="R31" s="308" t="s">
        <v>239</v>
      </c>
      <c r="S31" s="308" t="s">
        <v>216</v>
      </c>
      <c r="T31" s="307" t="s">
        <v>226</v>
      </c>
      <c r="U31" s="309" t="s">
        <v>225</v>
      </c>
    </row>
    <row r="32" spans="1:21">
      <c r="B32" s="125" t="s">
        <v>240</v>
      </c>
      <c r="C32" s="58" t="s">
        <v>241</v>
      </c>
      <c r="D32" s="58" t="s">
        <v>242</v>
      </c>
      <c r="E32" s="58" t="s">
        <v>243</v>
      </c>
    </row>
    <row r="33" spans="2:10">
      <c r="B33" s="125"/>
    </row>
    <row r="34" spans="2:10">
      <c r="B34" s="125"/>
    </row>
    <row r="35" spans="2:10">
      <c r="B35" s="125"/>
    </row>
    <row r="37" spans="2:10">
      <c r="C37" s="81"/>
      <c r="G37" s="81"/>
      <c r="H37" s="81"/>
      <c r="I37" s="81"/>
      <c r="J37" s="81"/>
    </row>
    <row r="39" spans="2:10">
      <c r="C39" s="81"/>
      <c r="D39" s="81"/>
      <c r="E39" s="81"/>
      <c r="F39" s="81"/>
      <c r="G39" s="81"/>
      <c r="H39" s="81"/>
      <c r="I39" s="81"/>
      <c r="J39" s="81"/>
    </row>
    <row r="44" spans="2:10">
      <c r="C44" s="81"/>
      <c r="G44" s="81"/>
      <c r="H44" s="81"/>
      <c r="I44" s="81"/>
      <c r="J44" s="81"/>
    </row>
    <row r="46" spans="2:10">
      <c r="C46" s="81"/>
      <c r="D46" s="81"/>
      <c r="E46" s="81"/>
      <c r="F46" s="81"/>
      <c r="G46" s="81"/>
      <c r="H46" s="81"/>
      <c r="I46" s="81"/>
      <c r="J46" s="81"/>
    </row>
  </sheetData>
  <mergeCells count="10">
    <mergeCell ref="D1:H1"/>
    <mergeCell ref="I1:M1"/>
    <mergeCell ref="A1:A2"/>
    <mergeCell ref="B1:B2"/>
    <mergeCell ref="C1:C2"/>
    <mergeCell ref="N3:N7"/>
    <mergeCell ref="N8:N11"/>
    <mergeCell ref="N12:N15"/>
    <mergeCell ref="N16:N19"/>
    <mergeCell ref="A23:H23"/>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CF31B-7E44-4DF7-85AD-4427806F5F0D}">
  <sheetPr codeName="Sheet5"/>
  <dimension ref="A1:AU67"/>
  <sheetViews>
    <sheetView topLeftCell="T11" zoomScale="72" zoomScaleNormal="145" workbookViewId="0">
      <selection activeCell="AB27" sqref="AB27"/>
    </sheetView>
  </sheetViews>
  <sheetFormatPr defaultRowHeight="14.45"/>
  <cols>
    <col min="1" max="1" width="11.5703125" bestFit="1" customWidth="1"/>
    <col min="2" max="2" width="25.5703125" bestFit="1" customWidth="1"/>
    <col min="3" max="3" width="18.5703125" customWidth="1"/>
    <col min="4" max="4" width="22.5703125" bestFit="1" customWidth="1"/>
    <col min="5" max="5" width="29.42578125" bestFit="1" customWidth="1"/>
    <col min="6" max="6" width="19.5703125" bestFit="1" customWidth="1"/>
    <col min="7" max="7" width="21.5703125" bestFit="1" customWidth="1"/>
    <col min="8" max="8" width="18.28515625" bestFit="1" customWidth="1"/>
    <col min="9" max="9" width="15.42578125" bestFit="1" customWidth="1"/>
    <col min="10" max="10" width="16.7109375" bestFit="1" customWidth="1"/>
    <col min="11" max="11" width="10.42578125" customWidth="1"/>
    <col min="27" max="27" width="27.5703125" bestFit="1" customWidth="1"/>
    <col min="28" max="29" width="11.28515625" bestFit="1" customWidth="1"/>
    <col min="30" max="30" width="12" bestFit="1" customWidth="1"/>
    <col min="36" max="36" width="11.28515625" bestFit="1" customWidth="1"/>
  </cols>
  <sheetData>
    <row r="1" spans="1:31">
      <c r="A1" s="93"/>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row>
    <row r="2" spans="1:31">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row>
    <row r="3" spans="1:31">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row>
    <row r="4" spans="1:31">
      <c r="A4" s="93"/>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row>
    <row r="5" spans="1:31">
      <c r="A5" s="93"/>
      <c r="B5" s="93"/>
      <c r="C5" s="93"/>
      <c r="D5" s="93"/>
      <c r="E5" s="93"/>
      <c r="F5" s="93"/>
      <c r="G5" s="93"/>
      <c r="H5" s="93"/>
      <c r="I5" s="93"/>
      <c r="J5" s="93"/>
      <c r="K5" s="93"/>
      <c r="L5" s="93"/>
      <c r="M5" s="93"/>
      <c r="N5" s="93"/>
      <c r="O5" s="93"/>
      <c r="P5" s="93"/>
      <c r="Q5" s="93"/>
      <c r="R5" s="93"/>
      <c r="S5" s="93"/>
      <c r="T5" s="93"/>
      <c r="U5" s="93"/>
      <c r="V5" s="93"/>
      <c r="W5" s="93"/>
      <c r="X5" s="93"/>
      <c r="Y5" s="93"/>
      <c r="Z5" s="93"/>
      <c r="AA5" s="93"/>
      <c r="AB5" s="93"/>
      <c r="AC5" s="93"/>
      <c r="AD5" s="93"/>
      <c r="AE5" s="93"/>
    </row>
    <row r="6" spans="1:31">
      <c r="A6" s="93"/>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row>
    <row r="7" spans="1:31">
      <c r="A7" s="93"/>
      <c r="B7" s="93"/>
      <c r="C7" s="93"/>
      <c r="D7" s="93"/>
      <c r="E7" s="93"/>
      <c r="F7" s="93"/>
      <c r="G7" s="93"/>
      <c r="H7" s="93"/>
      <c r="I7" s="93"/>
      <c r="J7" s="93"/>
      <c r="K7" s="93"/>
      <c r="L7" s="93"/>
      <c r="M7" s="93"/>
      <c r="N7" s="93"/>
      <c r="O7" s="93"/>
      <c r="P7" s="93"/>
      <c r="Q7" s="93"/>
      <c r="R7" s="93"/>
      <c r="S7" s="93"/>
      <c r="T7" s="93"/>
      <c r="U7" s="93"/>
      <c r="V7" s="93"/>
      <c r="W7" s="93"/>
      <c r="X7" s="93"/>
      <c r="Y7" s="93"/>
      <c r="Z7" s="93"/>
      <c r="AA7" s="93"/>
      <c r="AB7" s="93"/>
      <c r="AC7" s="93"/>
      <c r="AD7" s="93"/>
      <c r="AE7" s="93"/>
    </row>
    <row r="8" spans="1:31">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93"/>
      <c r="AE8" s="93"/>
    </row>
    <row r="9" spans="1:31">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93"/>
      <c r="AE9" s="93"/>
    </row>
    <row r="10" spans="1:31">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row>
    <row r="11" spans="1:31">
      <c r="A11" s="93"/>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row>
    <row r="12" spans="1:31">
      <c r="A12" s="93"/>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row>
    <row r="13" spans="1:31">
      <c r="A13" s="93"/>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row>
    <row r="14" spans="1:31">
      <c r="A14" s="93"/>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row>
    <row r="15" spans="1:31">
      <c r="A15" s="93"/>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row>
    <row r="16" spans="1:31">
      <c r="A16" s="93"/>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row>
    <row r="17" spans="1:47">
      <c r="A17" s="93"/>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row>
    <row r="18" spans="1:47">
      <c r="A18" s="93"/>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row>
    <row r="19" spans="1:47">
      <c r="A19" s="93"/>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row>
    <row r="20" spans="1:47">
      <c r="A20" s="93"/>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row>
    <row r="21" spans="1:47">
      <c r="A21" s="93"/>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row>
    <row r="22" spans="1:47" ht="15" thickBot="1">
      <c r="AA22" s="1329" t="s">
        <v>244</v>
      </c>
      <c r="AB22" s="1329"/>
      <c r="AC22" s="1329"/>
      <c r="AD22" s="1329"/>
      <c r="AE22" s="1329"/>
      <c r="AF22" s="1329"/>
      <c r="AG22" s="1329"/>
      <c r="AH22" s="1329"/>
      <c r="AI22" s="1329"/>
      <c r="AJ22" s="1329"/>
      <c r="AK22" s="1329"/>
      <c r="AL22" s="1329"/>
      <c r="AM22" s="1329"/>
      <c r="AN22" s="1329"/>
      <c r="AO22" s="1329"/>
      <c r="AP22" s="1329"/>
    </row>
    <row r="23" spans="1:47" ht="15.6" customHeight="1" thickBot="1">
      <c r="A23" s="1310" t="s">
        <v>245</v>
      </c>
      <c r="B23" s="1324"/>
      <c r="C23" s="1325"/>
      <c r="D23" s="338"/>
      <c r="F23" t="s">
        <v>246</v>
      </c>
      <c r="AA23" s="1329"/>
      <c r="AB23" s="1329"/>
      <c r="AC23" s="1329"/>
      <c r="AD23" s="1329"/>
      <c r="AE23" s="1329"/>
      <c r="AF23" s="1329"/>
      <c r="AG23" s="1329"/>
      <c r="AH23" s="1329"/>
      <c r="AI23" s="1329"/>
      <c r="AJ23" s="1329"/>
      <c r="AK23" s="1329"/>
      <c r="AL23" s="1329"/>
      <c r="AM23" s="1329"/>
      <c r="AN23" s="1329"/>
      <c r="AO23" s="1329"/>
      <c r="AP23" s="1329"/>
    </row>
    <row r="24" spans="1:47" ht="15" thickBot="1">
      <c r="A24" s="1326"/>
      <c r="B24" s="1327"/>
      <c r="C24" s="1328"/>
      <c r="D24" s="338"/>
      <c r="AA24" s="621" t="s">
        <v>247</v>
      </c>
      <c r="AB24" s="624" t="str" cm="1">
        <f t="array" ref="AB24:AU24">'Cost Structure'!AD8:AW8</f>
        <v>PLM-SUB</v>
      </c>
      <c r="AC24" s="624" t="str">
        <v>SUB-CGK</v>
      </c>
      <c r="AD24" s="624" t="str">
        <v>CGK-PKY</v>
      </c>
      <c r="AE24" s="624" t="str">
        <v>PKY-CGK</v>
      </c>
      <c r="AF24" s="624" t="str">
        <v>CGK-PLM</v>
      </c>
      <c r="AG24" s="1255" t="str">
        <v>MDC-SRG</v>
      </c>
      <c r="AH24" s="1255" t="str">
        <v>SRG-KDI</v>
      </c>
      <c r="AI24" s="1255" t="str">
        <v>KDI-PNK</v>
      </c>
      <c r="AJ24" s="1255" t="str">
        <v>PNK-MDC</v>
      </c>
      <c r="AK24" s="1256" t="str">
        <v>TTE-KNO</v>
      </c>
      <c r="AL24" s="1256" t="str">
        <v>KNO-PKU</v>
      </c>
      <c r="AM24" s="1256" t="str">
        <v>PKU-BDO</v>
      </c>
      <c r="AN24" s="1256" t="str">
        <v>BDO-TTE</v>
      </c>
      <c r="AO24" s="624" t="str">
        <v>LOP-TIM</v>
      </c>
      <c r="AP24" s="624" t="str">
        <v>TIM-AMQ</v>
      </c>
      <c r="AQ24" s="624" t="str">
        <v>AMQ-CGK</v>
      </c>
      <c r="AR24" s="624" t="str">
        <v>CGK-LOP</v>
      </c>
      <c r="AS24" s="104">
        <v>0</v>
      </c>
      <c r="AT24" s="104">
        <v>0</v>
      </c>
      <c r="AU24" s="105">
        <v>0</v>
      </c>
    </row>
    <row r="25" spans="1:47" ht="15" thickBot="1">
      <c r="A25" s="103" t="s">
        <v>248</v>
      </c>
      <c r="B25" s="104" t="s">
        <v>249</v>
      </c>
      <c r="C25" s="105" t="s">
        <v>250</v>
      </c>
      <c r="D25" s="58"/>
      <c r="AA25" s="622" t="s">
        <v>54</v>
      </c>
      <c r="AB25" s="614">
        <f>C26+C27</f>
        <v>0.20040999999999998</v>
      </c>
      <c r="AC25" s="613">
        <f>C27+C29</f>
        <v>0.21790999999999999</v>
      </c>
      <c r="AD25" s="613">
        <f>C29+C28</f>
        <v>0.13824999999999998</v>
      </c>
      <c r="AE25" s="613">
        <f>C29+C28</f>
        <v>0.13824999999999998</v>
      </c>
      <c r="AF25" s="613">
        <f>C29+C26</f>
        <v>0.21349999999999997</v>
      </c>
      <c r="AG25" s="1240">
        <f>C30+C31</f>
        <v>0.15651999999999999</v>
      </c>
      <c r="AH25" s="1240">
        <f>C31+C38</f>
        <v>0.16932999999999998</v>
      </c>
      <c r="AI25" s="1240">
        <f>C38+C39</f>
        <v>0.20348999999999998</v>
      </c>
      <c r="AJ25" s="1257">
        <f>C30+C38</f>
        <v>0.19200999999999996</v>
      </c>
      <c r="AK25" s="1258">
        <f>C33+C34</f>
        <v>0.21875</v>
      </c>
      <c r="AL25" s="1258">
        <f>C34+C41</f>
        <v>0.22924999999999998</v>
      </c>
      <c r="AM25" s="1258">
        <f>C41+C29</f>
        <v>0.20299999999999999</v>
      </c>
      <c r="AN25" s="1258">
        <f>C29+C33</f>
        <v>0.1925</v>
      </c>
      <c r="AO25" s="613">
        <f>C37+C36</f>
        <v>0.12914999999999999</v>
      </c>
      <c r="AP25" s="613">
        <f>C32+C37</f>
        <v>0.13047999999999998</v>
      </c>
      <c r="AQ25" s="613">
        <f>C29+C32</f>
        <v>0.18073999999999998</v>
      </c>
      <c r="AR25" s="613">
        <f>C29+C36</f>
        <v>0.17940999999999999</v>
      </c>
      <c r="AS25" s="104"/>
      <c r="AT25" s="104"/>
      <c r="AU25" s="105"/>
    </row>
    <row r="26" spans="1:47">
      <c r="A26" s="59" t="s">
        <v>251</v>
      </c>
      <c r="B26" s="60">
        <v>1400</v>
      </c>
      <c r="C26" s="61">
        <f>B26*0.00007</f>
        <v>9.799999999999999E-2</v>
      </c>
      <c r="D26" s="58"/>
      <c r="AA26" s="623" t="s">
        <v>252</v>
      </c>
      <c r="AB26" s="615">
        <f>AE47</f>
        <v>35.302651999999995</v>
      </c>
      <c r="AC26" s="84">
        <f>AG47</f>
        <v>45.629989999999999</v>
      </c>
      <c r="AD26" s="84">
        <f>AF47</f>
        <v>18.983999999999998</v>
      </c>
      <c r="AE26" s="84">
        <f>AG47</f>
        <v>45.629989999999999</v>
      </c>
      <c r="AF26" s="84">
        <f>AD47</f>
        <v>35.434055999999998</v>
      </c>
      <c r="AG26" s="1259">
        <f>AI47</f>
        <v>24.566807999999998</v>
      </c>
      <c r="AH26" s="1259">
        <f>AP47</f>
        <v>33.913851999999999</v>
      </c>
      <c r="AI26" s="1259">
        <f>AQ47</f>
        <v>35.434055999999998</v>
      </c>
      <c r="AJ26" s="1259">
        <f>AH47</f>
        <v>32.664939999999994</v>
      </c>
      <c r="AK26" s="1260">
        <f>AL47</f>
        <v>49.479443999999994</v>
      </c>
      <c r="AL26" s="1260">
        <f>AR47</f>
        <v>27.489755999999996</v>
      </c>
      <c r="AM26" s="1260">
        <f>AG47</f>
        <v>45.629989999999999</v>
      </c>
      <c r="AN26" s="1260">
        <f>AK47</f>
        <v>24.351208</v>
      </c>
      <c r="AO26" s="84">
        <f>AO47</f>
        <v>24.351208</v>
      </c>
      <c r="AP26" s="84">
        <f>AO47</f>
        <v>24.351208</v>
      </c>
      <c r="AQ26" s="84">
        <f>AG47</f>
        <v>45.629989999999999</v>
      </c>
      <c r="AR26" s="84">
        <f>AN47</f>
        <v>22.254973999999994</v>
      </c>
      <c r="AS26" s="60"/>
      <c r="AT26" s="60"/>
      <c r="AU26" s="61"/>
    </row>
    <row r="27" spans="1:47">
      <c r="A27" s="62" t="s">
        <v>253</v>
      </c>
      <c r="B27" s="300">
        <v>1463</v>
      </c>
      <c r="C27" s="65">
        <f t="shared" ref="C27:C39" si="0">B27*0.00007</f>
        <v>0.10240999999999999</v>
      </c>
      <c r="D27" s="58"/>
      <c r="AA27" s="1284" t="s">
        <v>254</v>
      </c>
      <c r="AB27" s="264">
        <f t="shared" ref="AB27" si="1">AE48</f>
        <v>29.642458999999995</v>
      </c>
      <c r="AC27" s="300">
        <f t="shared" ref="AC27:AC30" si="2">AG48</f>
        <v>38.424504999999996</v>
      </c>
      <c r="AD27" s="300">
        <f t="shared" ref="AD27:AE30" si="3">AF48</f>
        <v>15.777999999999997</v>
      </c>
      <c r="AE27" s="300">
        <f t="shared" si="3"/>
        <v>38.424504999999996</v>
      </c>
      <c r="AF27" s="300">
        <f t="shared" ref="AF27:AF30" si="4">AD48</f>
        <v>29.838784499999996</v>
      </c>
      <c r="AG27" s="300">
        <f>AI48</f>
        <v>20.600985999999999</v>
      </c>
      <c r="AH27" s="300">
        <f>AP48</f>
        <v>28.253658999999995</v>
      </c>
      <c r="AI27" s="300">
        <f>AQ48</f>
        <v>29.838784499999996</v>
      </c>
      <c r="AJ27" s="300">
        <f>AH48</f>
        <v>27.383054999999999</v>
      </c>
      <c r="AK27" s="300">
        <f>AL48</f>
        <v>41.132622999999988</v>
      </c>
      <c r="AL27" s="300">
        <f t="shared" ref="AL27:AL30" si="5">AR48</f>
        <v>22.852276999999997</v>
      </c>
      <c r="AM27" s="300">
        <f t="shared" ref="AM27:AM30" si="6">AM48</f>
        <v>24.605836499999995</v>
      </c>
      <c r="AN27" s="300">
        <f>AK48</f>
        <v>20.385385999999997</v>
      </c>
      <c r="AO27" s="300">
        <f t="shared" ref="AO27:AO30" si="7">AK48</f>
        <v>20.385385999999997</v>
      </c>
      <c r="AP27" s="300">
        <f t="shared" ref="AP27:AP30" si="8">AO48</f>
        <v>20.385385999999997</v>
      </c>
      <c r="AQ27" s="300">
        <f>AG48</f>
        <v>38.424504999999996</v>
      </c>
      <c r="AR27" s="300">
        <f>AN48</f>
        <v>18.673070499999994</v>
      </c>
      <c r="AS27" s="300"/>
      <c r="AT27" s="300"/>
      <c r="AU27" s="65"/>
    </row>
    <row r="28" spans="1:47">
      <c r="A28" s="62" t="s">
        <v>255</v>
      </c>
      <c r="B28" s="300">
        <v>325</v>
      </c>
      <c r="C28" s="65">
        <f t="shared" si="0"/>
        <v>2.2749999999999999E-2</v>
      </c>
      <c r="D28" s="58"/>
      <c r="AA28" s="1261" t="s">
        <v>256</v>
      </c>
      <c r="AB28" s="1262">
        <f>AE49</f>
        <v>40.344919999999995</v>
      </c>
      <c r="AC28" s="593">
        <f>AG49</f>
        <v>52.048849999999995</v>
      </c>
      <c r="AD28" s="593">
        <f>AF49</f>
        <v>21.84</v>
      </c>
      <c r="AE28" s="593">
        <f>AG49</f>
        <v>52.048849999999995</v>
      </c>
      <c r="AF28" s="593">
        <f>AD49</f>
        <v>40.418489999999998</v>
      </c>
      <c r="AG28" s="593">
        <f>AI49</f>
        <v>28.099679999999996</v>
      </c>
      <c r="AH28" s="593">
        <f>AJ49</f>
        <v>27.884079999999997</v>
      </c>
      <c r="AI28" s="593">
        <f>AG49</f>
        <v>52.048849999999995</v>
      </c>
      <c r="AJ28" s="593">
        <f>AH49</f>
        <v>37.370199999999997</v>
      </c>
      <c r="AK28" s="593">
        <f>AL49</f>
        <v>56.915039999999998</v>
      </c>
      <c r="AL28" s="593">
        <f>AR49</f>
        <v>31.620959999999997</v>
      </c>
      <c r="AM28" s="593">
        <f>AM49</f>
        <v>33.330569999999994</v>
      </c>
      <c r="AN28" s="593">
        <f>AS49</f>
        <v>40.344919999999995</v>
      </c>
      <c r="AO28" s="593">
        <f>AK49</f>
        <v>27.884079999999997</v>
      </c>
      <c r="AP28" s="593">
        <f>AO49</f>
        <v>27.884079999999997</v>
      </c>
      <c r="AQ28" s="593">
        <f>AS49</f>
        <v>40.344919999999995</v>
      </c>
      <c r="AR28" s="593">
        <f>AP49</f>
        <v>38.956119999999999</v>
      </c>
      <c r="AS28" s="619"/>
      <c r="AT28" s="619"/>
      <c r="AU28" s="620"/>
    </row>
    <row r="29" spans="1:47">
      <c r="A29" s="62" t="s">
        <v>257</v>
      </c>
      <c r="B29" s="300">
        <v>1650</v>
      </c>
      <c r="C29" s="65">
        <f t="shared" si="0"/>
        <v>0.11549999999999999</v>
      </c>
      <c r="D29" s="58"/>
      <c r="AA29" s="1261" t="s">
        <v>258</v>
      </c>
      <c r="AB29" s="1262">
        <f t="shared" ref="AB29" si="9">AE50</f>
        <v>93.584119999999999</v>
      </c>
      <c r="AC29" s="593">
        <f t="shared" si="2"/>
        <v>119.82263999999999</v>
      </c>
      <c r="AD29" s="593">
        <f t="shared" si="3"/>
        <v>55.65</v>
      </c>
      <c r="AE29" s="593">
        <f t="shared" si="3"/>
        <v>119.82263999999999</v>
      </c>
      <c r="AF29" s="593">
        <f t="shared" si="4"/>
        <v>93.048059999999992</v>
      </c>
      <c r="AG29" s="593">
        <f>AI51</f>
        <v>50.491597800000001</v>
      </c>
      <c r="AH29" s="593">
        <f>AP50</f>
        <v>90.42340999999999</v>
      </c>
      <c r="AI29" s="593">
        <f>AQ50</f>
        <v>93.048059999999992</v>
      </c>
      <c r="AJ29" s="593">
        <f>AH50</f>
        <v>87.052209999999988</v>
      </c>
      <c r="AK29" s="593">
        <f t="shared" ref="AK29:AK30" si="10">AL50</f>
        <v>139.68633</v>
      </c>
      <c r="AL29" s="593">
        <f t="shared" si="5"/>
        <v>79.70487</v>
      </c>
      <c r="AM29" s="593">
        <f t="shared" si="6"/>
        <v>76.726579999999998</v>
      </c>
      <c r="AN29" s="593">
        <f>AK50</f>
        <v>65.182179999999988</v>
      </c>
      <c r="AO29" s="593">
        <f t="shared" si="7"/>
        <v>65.182179999999988</v>
      </c>
      <c r="AP29" s="593">
        <f t="shared" si="8"/>
        <v>65.182179999999988</v>
      </c>
      <c r="AQ29" s="593">
        <f>AG50</f>
        <v>119.82263999999999</v>
      </c>
      <c r="AR29" s="593">
        <f>AN50</f>
        <v>59.132149999999996</v>
      </c>
      <c r="AS29" s="300"/>
      <c r="AT29" s="300"/>
      <c r="AU29" s="65"/>
    </row>
    <row r="30" spans="1:47" ht="15" thickBot="1">
      <c r="A30" s="62" t="s">
        <v>259</v>
      </c>
      <c r="B30" s="300">
        <v>1280</v>
      </c>
      <c r="C30" s="65">
        <f t="shared" si="0"/>
        <v>8.9599999999999985E-2</v>
      </c>
      <c r="D30" s="58"/>
      <c r="AA30" s="1263" t="s">
        <v>260</v>
      </c>
      <c r="AB30" s="1264">
        <f>AE51</f>
        <v>72.306791199999992</v>
      </c>
      <c r="AC30" s="1265">
        <f t="shared" si="2"/>
        <v>92.73568010000001</v>
      </c>
      <c r="AD30" s="1265">
        <f t="shared" si="3"/>
        <v>41.954499999999996</v>
      </c>
      <c r="AE30" s="1265">
        <f t="shared" si="3"/>
        <v>92.73568010000001</v>
      </c>
      <c r="AF30" s="1265">
        <f t="shared" si="4"/>
        <v>72.014511099999993</v>
      </c>
      <c r="AG30" s="1265">
        <f>AI50</f>
        <v>65.397779999999997</v>
      </c>
      <c r="AH30" s="1265">
        <f>AP51</f>
        <v>70.567674099999991</v>
      </c>
      <c r="AI30" s="1265">
        <f>AQ51</f>
        <v>72.014511099999993</v>
      </c>
      <c r="AJ30" s="1265">
        <f>AH51</f>
        <v>67.196474099999989</v>
      </c>
      <c r="AK30" s="1265">
        <f t="shared" si="10"/>
        <v>106.44187329999998</v>
      </c>
      <c r="AL30" s="1265">
        <f t="shared" si="5"/>
        <v>61.235118699999994</v>
      </c>
      <c r="AM30" s="1265">
        <f t="shared" si="6"/>
        <v>59.382598800000004</v>
      </c>
      <c r="AN30" s="1265">
        <f>AK51</f>
        <v>50.275997799999999</v>
      </c>
      <c r="AO30" s="1265">
        <f t="shared" si="7"/>
        <v>50.275997799999999</v>
      </c>
      <c r="AP30" s="1265">
        <f t="shared" si="8"/>
        <v>50.275997799999999</v>
      </c>
      <c r="AQ30" s="1265">
        <f>AG51</f>
        <v>92.73568010000001</v>
      </c>
      <c r="AR30" s="1265">
        <f>AN51</f>
        <v>45.669473500000002</v>
      </c>
      <c r="AS30" s="66"/>
      <c r="AT30" s="66"/>
      <c r="AU30" s="82"/>
    </row>
    <row r="31" spans="1:47">
      <c r="A31" s="62" t="s">
        <v>261</v>
      </c>
      <c r="B31" s="300">
        <v>956</v>
      </c>
      <c r="C31" s="65">
        <f t="shared" si="0"/>
        <v>6.6919999999999993E-2</v>
      </c>
      <c r="D31" s="58"/>
    </row>
    <row r="32" spans="1:47">
      <c r="A32" s="62" t="s">
        <v>262</v>
      </c>
      <c r="B32" s="300">
        <v>932</v>
      </c>
      <c r="C32" s="65">
        <f t="shared" si="0"/>
        <v>6.5239999999999992E-2</v>
      </c>
      <c r="D32" s="58"/>
      <c r="K32" s="94"/>
      <c r="L32" s="57"/>
    </row>
    <row r="33" spans="1:45">
      <c r="A33" s="62" t="s">
        <v>263</v>
      </c>
      <c r="B33" s="300">
        <v>1100</v>
      </c>
      <c r="C33" s="65">
        <f t="shared" si="0"/>
        <v>7.6999999999999999E-2</v>
      </c>
      <c r="D33" s="58"/>
      <c r="K33" s="94"/>
      <c r="L33" s="57"/>
    </row>
    <row r="34" spans="1:45">
      <c r="A34" s="62" t="s">
        <v>264</v>
      </c>
      <c r="B34" s="300">
        <v>2025</v>
      </c>
      <c r="C34" s="65">
        <f t="shared" si="0"/>
        <v>0.14174999999999999</v>
      </c>
      <c r="D34" s="58"/>
      <c r="K34" s="94"/>
      <c r="L34" s="57"/>
    </row>
    <row r="35" spans="1:45">
      <c r="A35" s="62" t="s">
        <v>265</v>
      </c>
      <c r="B35" s="300">
        <v>1155</v>
      </c>
      <c r="C35" s="65">
        <f t="shared" si="0"/>
        <v>8.0849999999999991E-2</v>
      </c>
      <c r="D35" s="58"/>
      <c r="K35" s="94"/>
      <c r="L35" s="57"/>
    </row>
    <row r="36" spans="1:45">
      <c r="A36" s="62" t="s">
        <v>266</v>
      </c>
      <c r="B36" s="300">
        <v>913</v>
      </c>
      <c r="C36" s="65">
        <f t="shared" si="0"/>
        <v>6.3909999999999995E-2</v>
      </c>
      <c r="D36" s="58"/>
      <c r="K36" s="94"/>
      <c r="L36" s="57"/>
    </row>
    <row r="37" spans="1:45">
      <c r="A37" s="62" t="s">
        <v>267</v>
      </c>
      <c r="B37" s="300">
        <v>932</v>
      </c>
      <c r="C37" s="65">
        <f t="shared" si="0"/>
        <v>6.5239999999999992E-2</v>
      </c>
      <c r="D37" s="58"/>
      <c r="K37" s="94"/>
      <c r="L37" s="57"/>
    </row>
    <row r="38" spans="1:45">
      <c r="A38" s="62" t="s">
        <v>268</v>
      </c>
      <c r="B38" s="300">
        <v>1463</v>
      </c>
      <c r="C38" s="65">
        <f t="shared" si="0"/>
        <v>0.10240999999999999</v>
      </c>
      <c r="D38" s="58"/>
      <c r="K38" s="94"/>
      <c r="L38" s="57"/>
    </row>
    <row r="39" spans="1:45" ht="15" thickBot="1">
      <c r="A39" s="64" t="s">
        <v>269</v>
      </c>
      <c r="B39" s="66">
        <v>1444</v>
      </c>
      <c r="C39" s="82">
        <f t="shared" si="0"/>
        <v>0.10107999999999999</v>
      </c>
      <c r="D39" s="58"/>
      <c r="K39" s="94"/>
      <c r="L39" s="57"/>
    </row>
    <row r="40" spans="1:45" ht="15" thickBot="1">
      <c r="A40" s="58" t="s">
        <v>270</v>
      </c>
      <c r="B40" s="315">
        <v>1463</v>
      </c>
      <c r="C40" s="82">
        <f>B40*0.00007</f>
        <v>0.10240999999999999</v>
      </c>
      <c r="K40" s="94"/>
      <c r="L40" s="57"/>
    </row>
    <row r="41" spans="1:45" ht="15" thickBot="1">
      <c r="A41" s="58" t="s">
        <v>271</v>
      </c>
      <c r="B41" s="58">
        <v>1250</v>
      </c>
      <c r="C41" s="82">
        <f>B41*0.00007</f>
        <v>8.7499999999999994E-2</v>
      </c>
      <c r="K41" s="94"/>
      <c r="L41" s="57"/>
    </row>
    <row r="42" spans="1:45">
      <c r="F42">
        <v>20.329999999999998</v>
      </c>
      <c r="H42">
        <v>23</v>
      </c>
      <c r="K42" s="94"/>
      <c r="L42" s="57"/>
    </row>
    <row r="43" spans="1:45">
      <c r="K43" s="94"/>
      <c r="L43" s="57"/>
    </row>
    <row r="44" spans="1:45">
      <c r="A44" s="1330" t="s">
        <v>272</v>
      </c>
      <c r="B44" s="1331"/>
      <c r="C44" s="1331"/>
      <c r="D44" s="1331"/>
      <c r="E44" s="1331"/>
      <c r="F44" s="1331"/>
      <c r="G44" s="1331"/>
      <c r="H44" s="1331"/>
      <c r="I44" s="1331"/>
      <c r="J44" s="1331"/>
      <c r="K44" s="94"/>
      <c r="L44" s="57"/>
    </row>
    <row r="45" spans="1:45" ht="15" thickBot="1">
      <c r="A45" s="1323"/>
      <c r="B45" s="1332"/>
      <c r="C45" s="1332"/>
      <c r="D45" s="1332"/>
      <c r="E45" s="1332"/>
      <c r="F45" s="1332"/>
      <c r="G45" s="1332"/>
      <c r="H45" s="1332"/>
      <c r="I45" s="1331"/>
      <c r="J45" s="1331"/>
      <c r="K45" s="94"/>
      <c r="L45" s="57"/>
    </row>
    <row r="46" spans="1:45" ht="29.45" thickBot="1">
      <c r="A46" s="1238" t="s">
        <v>248</v>
      </c>
      <c r="B46" s="336" t="s">
        <v>273</v>
      </c>
      <c r="C46" s="19" t="s">
        <v>274</v>
      </c>
      <c r="D46" s="336" t="s">
        <v>275</v>
      </c>
      <c r="E46" s="336" t="s">
        <v>276</v>
      </c>
      <c r="F46" s="336" t="s">
        <v>277</v>
      </c>
      <c r="G46" s="336" t="s">
        <v>278</v>
      </c>
      <c r="H46" s="336" t="s">
        <v>279</v>
      </c>
      <c r="I46" s="336" t="s">
        <v>99</v>
      </c>
      <c r="J46" s="1239" t="s">
        <v>100</v>
      </c>
      <c r="K46" s="57"/>
      <c r="L46" s="57"/>
      <c r="AD46" t="str" cm="1">
        <f t="array" ref="AD46:AS46">TRANSPOSE(A47:A62)</f>
        <v>PLM</v>
      </c>
      <c r="AE46" t="str">
        <v>SUB</v>
      </c>
      <c r="AF46" t="str">
        <v>PKY</v>
      </c>
      <c r="AG46" t="str">
        <v>CGK</v>
      </c>
      <c r="AH46" t="str">
        <v>MDC</v>
      </c>
      <c r="AI46" t="str">
        <v>SRG</v>
      </c>
      <c r="AJ46" t="str">
        <v>AMQ</v>
      </c>
      <c r="AK46" t="str">
        <v>TTE</v>
      </c>
      <c r="AL46" t="str">
        <v>KNO</v>
      </c>
      <c r="AM46" t="str">
        <v>BDO</v>
      </c>
      <c r="AN46" t="str">
        <v xml:space="preserve">SWQ </v>
      </c>
      <c r="AO46" t="str">
        <v>TIM</v>
      </c>
      <c r="AP46" t="str">
        <v>KDI</v>
      </c>
      <c r="AQ46" t="str">
        <v>PNK</v>
      </c>
      <c r="AR46" t="str">
        <v>PKU</v>
      </c>
      <c r="AS46" t="str">
        <v>UPG</v>
      </c>
    </row>
    <row r="47" spans="1:45">
      <c r="A47" s="316" t="s">
        <v>251</v>
      </c>
      <c r="B47" s="58">
        <v>661185</v>
      </c>
      <c r="C47" s="58">
        <v>242319</v>
      </c>
      <c r="D47" s="58">
        <v>7679</v>
      </c>
      <c r="E47" s="58">
        <v>6981</v>
      </c>
      <c r="F47" s="1269">
        <f>($C47+$E47*('Cost Structure'!$B$11/1000-40))*0.00007</f>
        <v>35.434055999999998</v>
      </c>
      <c r="G47" s="1269">
        <f>($C47+$E47*('Cost Structure'!$C$11/1000-40))*0.00007</f>
        <v>29.838784499999996</v>
      </c>
      <c r="H47" s="1269">
        <f>($C47+$E47*('Cost Structure'!$D$11/1000-40))*0.00007</f>
        <v>40.418489999999998</v>
      </c>
      <c r="I47" s="1269">
        <f>($B47+$D47*('Cost Structure'!$E$11/1000-100))*0.00007</f>
        <v>93.048059999999992</v>
      </c>
      <c r="J47" s="1270">
        <f>($B47+$D47*('Cost Structure'!$F$11/1000-100))*0.00007</f>
        <v>72.014511099999993</v>
      </c>
      <c r="AC47" t="s">
        <v>280</v>
      </c>
      <c r="AD47" cm="1">
        <f t="array" ref="AD47:AS51">TRANSPOSE(F47:J62)</f>
        <v>35.434055999999998</v>
      </c>
      <c r="AE47">
        <v>35.302651999999995</v>
      </c>
      <c r="AF47">
        <v>18.983999999999998</v>
      </c>
      <c r="AG47">
        <v>45.629989999999999</v>
      </c>
      <c r="AH47">
        <v>32.664939999999994</v>
      </c>
      <c r="AI47">
        <v>24.566807999999998</v>
      </c>
      <c r="AJ47">
        <v>24.351208</v>
      </c>
      <c r="AK47">
        <v>24.351208</v>
      </c>
      <c r="AL47">
        <v>49.479443999999994</v>
      </c>
      <c r="AM47">
        <v>29.220071999999995</v>
      </c>
      <c r="AN47">
        <v>22.254973999999994</v>
      </c>
      <c r="AO47">
        <v>24.351208</v>
      </c>
      <c r="AP47">
        <v>33.913851999999999</v>
      </c>
      <c r="AQ47">
        <v>35.434055999999998</v>
      </c>
      <c r="AR47">
        <v>27.489755999999996</v>
      </c>
      <c r="AS47">
        <v>35.302651999999995</v>
      </c>
    </row>
    <row r="48" spans="1:45">
      <c r="A48" s="316" t="s">
        <v>253</v>
      </c>
      <c r="B48" s="58">
        <v>661100</v>
      </c>
      <c r="C48" s="58">
        <v>237380</v>
      </c>
      <c r="D48" s="58">
        <v>7768</v>
      </c>
      <c r="E48" s="58">
        <v>7062</v>
      </c>
      <c r="F48" s="1269">
        <f>($C48+$E48*('Cost Structure'!$B$11/1000-40))*0.00007</f>
        <v>35.302651999999995</v>
      </c>
      <c r="G48" s="1269">
        <f>($C48+$E48*('Cost Structure'!$C$11/1000-40))*0.00007</f>
        <v>29.642458999999995</v>
      </c>
      <c r="H48" s="1269">
        <f>($C48+$E48*('Cost Structure'!$D$11/1000-40))*0.00007</f>
        <v>40.344919999999995</v>
      </c>
      <c r="I48" s="1269">
        <f>($B48+$D48*('Cost Structure'!$E$11/1000-100))*0.00007</f>
        <v>93.584119999999999</v>
      </c>
      <c r="J48" s="1270">
        <f>($B48+$D48*('Cost Structure'!$F$11/1000-100))*0.00007</f>
        <v>72.306791199999992</v>
      </c>
      <c r="AC48" s="93" t="s">
        <v>281</v>
      </c>
      <c r="AD48" s="93">
        <v>29.838784499999996</v>
      </c>
      <c r="AE48" s="93">
        <v>29.642458999999995</v>
      </c>
      <c r="AF48" s="93">
        <v>15.777999999999997</v>
      </c>
      <c r="AG48" s="93">
        <v>38.424504999999996</v>
      </c>
      <c r="AH48" s="93">
        <v>27.383054999999999</v>
      </c>
      <c r="AI48" s="93">
        <v>20.600985999999999</v>
      </c>
      <c r="AJ48" s="93">
        <v>20.385385999999997</v>
      </c>
      <c r="AK48" s="93">
        <v>20.385385999999997</v>
      </c>
      <c r="AL48" s="93">
        <v>41.132622999999988</v>
      </c>
      <c r="AM48" s="93">
        <v>24.605836499999995</v>
      </c>
      <c r="AN48" s="93">
        <v>18.673070499999994</v>
      </c>
      <c r="AO48" s="93">
        <v>20.385385999999997</v>
      </c>
      <c r="AP48" s="93">
        <v>28.253658999999995</v>
      </c>
      <c r="AQ48" s="93">
        <v>29.838784499999996</v>
      </c>
      <c r="AR48" s="93">
        <v>22.852276999999997</v>
      </c>
      <c r="AS48" s="93">
        <v>29.642458999999995</v>
      </c>
    </row>
    <row r="49" spans="1:45">
      <c r="A49" s="316" t="s">
        <v>255</v>
      </c>
      <c r="B49" s="58">
        <v>360000</v>
      </c>
      <c r="C49" s="58">
        <v>120000</v>
      </c>
      <c r="D49" s="58">
        <v>5000</v>
      </c>
      <c r="E49" s="58">
        <v>4000</v>
      </c>
      <c r="F49" s="1269">
        <f>($C49+$E49*('Cost Structure'!$B$11/1000-40))*0.00007</f>
        <v>18.983999999999998</v>
      </c>
      <c r="G49" s="1269">
        <f>($C49+$E49*('Cost Structure'!$C$11/1000-40))*0.00007</f>
        <v>15.777999999999997</v>
      </c>
      <c r="H49" s="1269">
        <f>($C49+$E49*('Cost Structure'!$D$11/1000-40))*0.00007</f>
        <v>21.84</v>
      </c>
      <c r="I49" s="1269">
        <f>($B49+$D49*('Cost Structure'!$E$11/1000-100))*0.00007</f>
        <v>55.65</v>
      </c>
      <c r="J49" s="1270">
        <f>($B49+$D49*('Cost Structure'!$F$11/1000-100))*0.00007</f>
        <v>41.954499999999996</v>
      </c>
      <c r="AC49" s="93" t="s">
        <v>282</v>
      </c>
      <c r="AD49" s="93">
        <v>40.418489999999998</v>
      </c>
      <c r="AE49" s="93">
        <v>40.344919999999995</v>
      </c>
      <c r="AF49" s="93">
        <v>21.84</v>
      </c>
      <c r="AG49" s="93">
        <v>52.048849999999995</v>
      </c>
      <c r="AH49" s="93">
        <v>37.370199999999997</v>
      </c>
      <c r="AI49" s="93">
        <v>28.099679999999996</v>
      </c>
      <c r="AJ49" s="93">
        <v>27.884079999999997</v>
      </c>
      <c r="AK49" s="93">
        <v>27.884079999999997</v>
      </c>
      <c r="AL49" s="93">
        <v>56.915039999999998</v>
      </c>
      <c r="AM49" s="93">
        <v>33.330569999999994</v>
      </c>
      <c r="AN49" s="93">
        <v>25.445839999999997</v>
      </c>
      <c r="AO49" s="93">
        <v>27.884079999999997</v>
      </c>
      <c r="AP49" s="93">
        <v>38.956119999999999</v>
      </c>
      <c r="AQ49" s="93">
        <v>40.418489999999998</v>
      </c>
      <c r="AR49" s="93">
        <v>31.620959999999997</v>
      </c>
      <c r="AS49" s="93">
        <v>40.344919999999995</v>
      </c>
    </row>
    <row r="50" spans="1:45">
      <c r="A50" s="316" t="s">
        <v>257</v>
      </c>
      <c r="B50" s="58">
        <v>851409</v>
      </c>
      <c r="C50" s="58">
        <v>312035</v>
      </c>
      <c r="D50" s="58">
        <v>9889</v>
      </c>
      <c r="E50" s="58">
        <v>8990</v>
      </c>
      <c r="F50" s="1269">
        <f>($C50+$E50*('Cost Structure'!$B$11/1000-40))*0.00007</f>
        <v>45.629989999999999</v>
      </c>
      <c r="G50" s="1269">
        <f>($C50+$E50*('Cost Structure'!$C$11/1000-40))*0.00007</f>
        <v>38.424504999999996</v>
      </c>
      <c r="H50" s="1269">
        <f>($C50+$E50*('Cost Structure'!$D$11/1000-40))*0.00007</f>
        <v>52.048849999999995</v>
      </c>
      <c r="I50" s="1269">
        <f>($B50+$D50*('Cost Structure'!$E$11/1000-100))*0.00007</f>
        <v>119.82263999999999</v>
      </c>
      <c r="J50" s="1270">
        <f>($B50+$D50*('Cost Structure'!$F$11/1000-100))*0.00007</f>
        <v>92.73568010000001</v>
      </c>
      <c r="AC50" s="93" t="s">
        <v>283</v>
      </c>
      <c r="AD50" s="93">
        <v>93.048059999999992</v>
      </c>
      <c r="AE50" s="93">
        <v>93.584119999999999</v>
      </c>
      <c r="AF50" s="93">
        <v>55.65</v>
      </c>
      <c r="AG50" s="93">
        <v>119.82263999999999</v>
      </c>
      <c r="AH50" s="93">
        <v>87.052209999999988</v>
      </c>
      <c r="AI50" s="93">
        <v>65.397779999999997</v>
      </c>
      <c r="AJ50" s="93">
        <v>65.182179999999988</v>
      </c>
      <c r="AK50" s="93">
        <v>65.182179999999988</v>
      </c>
      <c r="AL50" s="93">
        <v>139.68633</v>
      </c>
      <c r="AM50" s="93">
        <v>76.726579999999998</v>
      </c>
      <c r="AN50" s="93">
        <v>59.132149999999996</v>
      </c>
      <c r="AO50" s="93">
        <v>65.182179999999988</v>
      </c>
      <c r="AP50" s="93">
        <v>90.42340999999999</v>
      </c>
      <c r="AQ50" s="93">
        <v>93.048059999999992</v>
      </c>
      <c r="AR50" s="93">
        <v>79.70487</v>
      </c>
      <c r="AS50" s="93">
        <v>93.577119999999994</v>
      </c>
    </row>
    <row r="51" spans="1:45">
      <c r="A51" s="316" t="s">
        <v>259</v>
      </c>
      <c r="B51" s="58">
        <v>612940</v>
      </c>
      <c r="C51" s="58">
        <v>217540</v>
      </c>
      <c r="D51" s="58">
        <v>7249</v>
      </c>
      <c r="E51" s="58">
        <v>6590</v>
      </c>
      <c r="F51" s="1269">
        <f>($C51+$E51*('Cost Structure'!$B$11/1000-40))*0.00007</f>
        <v>32.664939999999994</v>
      </c>
      <c r="G51" s="1269">
        <f>($C51+$E51*('Cost Structure'!$C$11/1000-40))*0.00007</f>
        <v>27.383054999999999</v>
      </c>
      <c r="H51" s="1269">
        <f>($C51+$E51*('Cost Structure'!$D$11/1000-40))*0.00007</f>
        <v>37.370199999999997</v>
      </c>
      <c r="I51" s="1269">
        <f>($B51+$D51*('Cost Structure'!$E$11/1000-100))*0.00007</f>
        <v>87.052209999999988</v>
      </c>
      <c r="J51" s="1270">
        <f>($B51+$D51*('Cost Structure'!$F$11/1000-100))*0.00007</f>
        <v>67.196474099999989</v>
      </c>
      <c r="AC51" s="93">
        <v>767</v>
      </c>
      <c r="AD51" s="93">
        <v>72.014511099999993</v>
      </c>
      <c r="AE51" s="93">
        <v>72.306791199999992</v>
      </c>
      <c r="AF51" s="93">
        <v>41.954499999999996</v>
      </c>
      <c r="AG51" s="93">
        <v>92.73568010000001</v>
      </c>
      <c r="AH51" s="93">
        <v>67.196474099999989</v>
      </c>
      <c r="AI51" s="93">
        <v>50.491597800000001</v>
      </c>
      <c r="AJ51" s="93">
        <v>50.275997799999999</v>
      </c>
      <c r="AK51" s="93">
        <v>50.275997799999999</v>
      </c>
      <c r="AL51" s="93">
        <v>106.44187329999998</v>
      </c>
      <c r="AM51" s="93">
        <v>59.382598800000004</v>
      </c>
      <c r="AN51" s="93">
        <v>45.669473500000002</v>
      </c>
      <c r="AO51" s="93">
        <v>50.275997799999999</v>
      </c>
      <c r="AP51" s="93">
        <v>70.567674099999991</v>
      </c>
      <c r="AQ51" s="93">
        <v>72.014511099999993</v>
      </c>
      <c r="AR51" s="93">
        <v>61.235118699999994</v>
      </c>
      <c r="AS51" s="93">
        <v>72.299791200000001</v>
      </c>
    </row>
    <row r="52" spans="1:45">
      <c r="A52" s="316" t="s">
        <v>261</v>
      </c>
      <c r="B52" s="58">
        <v>460800</v>
      </c>
      <c r="C52" s="58">
        <v>163920</v>
      </c>
      <c r="D52" s="58">
        <v>5442</v>
      </c>
      <c r="E52" s="58">
        <v>4948</v>
      </c>
      <c r="F52" s="1269">
        <f>($C52+$E52*('Cost Structure'!$B$11/1000-40))*0.00007</f>
        <v>24.566807999999998</v>
      </c>
      <c r="G52" s="1269">
        <f>($C52+$E52*('Cost Structure'!$C$11/1000-40))*0.00007</f>
        <v>20.600985999999999</v>
      </c>
      <c r="H52" s="1269">
        <f>($C52+$E52*('Cost Structure'!$D$11/1000-40))*0.00007</f>
        <v>28.099679999999996</v>
      </c>
      <c r="I52" s="1269">
        <f>($B52+$D52*('Cost Structure'!$E$11/1000-100))*0.00007</f>
        <v>65.397779999999997</v>
      </c>
      <c r="J52" s="1270">
        <f>($B52+$D52*('Cost Structure'!$F$11/1000-100))*0.00007</f>
        <v>50.491597800000001</v>
      </c>
    </row>
    <row r="53" spans="1:45">
      <c r="A53" s="316" t="s">
        <v>262</v>
      </c>
      <c r="B53" s="58">
        <v>457720</v>
      </c>
      <c r="C53" s="58">
        <v>160840</v>
      </c>
      <c r="D53" s="58">
        <v>5442</v>
      </c>
      <c r="E53" s="58">
        <v>4948</v>
      </c>
      <c r="F53" s="1269">
        <f>($C53+$E53*('Cost Structure'!$B$11/1000-40))*0.00007</f>
        <v>24.351208</v>
      </c>
      <c r="G53" s="1269">
        <f>($C53+$E53*('Cost Structure'!$C$11/1000-40))*0.00007</f>
        <v>20.385385999999997</v>
      </c>
      <c r="H53" s="1269">
        <f>($C53+$E53*('Cost Structure'!$D$11/1000-40))*0.00007</f>
        <v>27.884079999999997</v>
      </c>
      <c r="I53" s="1269">
        <f>($B53+$D53*('Cost Structure'!$E$11/1000-100))*0.00007</f>
        <v>65.182179999999988</v>
      </c>
      <c r="J53" s="1270">
        <f>($B53+$D53*('Cost Structure'!$F$11/1000-100))*0.00007</f>
        <v>50.275997799999999</v>
      </c>
    </row>
    <row r="54" spans="1:45">
      <c r="A54" s="316" t="s">
        <v>263</v>
      </c>
      <c r="B54" s="58">
        <v>457720</v>
      </c>
      <c r="C54" s="58">
        <v>160840</v>
      </c>
      <c r="D54" s="58">
        <v>5442</v>
      </c>
      <c r="E54" s="58">
        <v>4948</v>
      </c>
      <c r="F54" s="1269">
        <f>($C54+$E54*('Cost Structure'!$B$11/1000-40))*0.00007</f>
        <v>24.351208</v>
      </c>
      <c r="G54" s="1269">
        <f>($C54+$E54*('Cost Structure'!$C$11/1000-40))*0.00007</f>
        <v>20.385385999999997</v>
      </c>
      <c r="H54" s="1269">
        <f>($C54+$E54*('Cost Structure'!$D$11/1000-40))*0.00007</f>
        <v>27.884079999999997</v>
      </c>
      <c r="I54" s="1269">
        <f>($B54+$D54*('Cost Structure'!$E$11/1000-100))*0.00007</f>
        <v>65.182179999999988</v>
      </c>
      <c r="J54" s="1270">
        <f>($B54+$D54*('Cost Structure'!$F$11/1000-100))*0.00007</f>
        <v>50.275997799999999</v>
      </c>
    </row>
    <row r="55" spans="1:45">
      <c r="A55" s="316" t="s">
        <v>264</v>
      </c>
      <c r="B55" s="58">
        <v>939600</v>
      </c>
      <c r="C55" s="58">
        <v>313200</v>
      </c>
      <c r="D55" s="58">
        <v>12137</v>
      </c>
      <c r="E55" s="58">
        <v>10414</v>
      </c>
      <c r="F55" s="1269">
        <f>($C55+$E55*('Cost Structure'!$B$11/1000-40))*0.00007</f>
        <v>49.479443999999994</v>
      </c>
      <c r="G55" s="1269">
        <f>($C55+$E55*('Cost Structure'!$C$11/1000-40))*0.00007</f>
        <v>41.132622999999988</v>
      </c>
      <c r="H55" s="1269">
        <f>($C55+$E55*('Cost Structure'!$D$11/1000-40))*0.00007</f>
        <v>56.915039999999998</v>
      </c>
      <c r="I55" s="1269">
        <f>($B55+$D55*('Cost Structure'!$E$11/1000-100))*0.00007</f>
        <v>139.68633</v>
      </c>
      <c r="J55" s="1270">
        <f>($B55+$D55*('Cost Structure'!$F$11/1000-100))*0.00007</f>
        <v>106.44187329999998</v>
      </c>
    </row>
    <row r="56" spans="1:45">
      <c r="A56" s="316" t="s">
        <v>265</v>
      </c>
      <c r="B56" s="58">
        <v>545210</v>
      </c>
      <c r="C56" s="58">
        <v>199815</v>
      </c>
      <c r="D56" s="58">
        <v>6332</v>
      </c>
      <c r="E56" s="58">
        <v>5757</v>
      </c>
      <c r="F56" s="1269">
        <f>($C56+$E56*('Cost Structure'!$B$11/1000-40))*0.00007</f>
        <v>29.220071999999995</v>
      </c>
      <c r="G56" s="1269">
        <f>($C56+$E56*('Cost Structure'!$C$11/1000-40))*0.00007</f>
        <v>24.605836499999995</v>
      </c>
      <c r="H56" s="1269">
        <f>($C56+$E56*('Cost Structure'!$D$11/1000-40))*0.00007</f>
        <v>33.330569999999994</v>
      </c>
      <c r="I56" s="1269">
        <f>($B56+$D56*('Cost Structure'!$E$11/1000-100))*0.00007</f>
        <v>76.726579999999998</v>
      </c>
      <c r="J56" s="1270">
        <f>($B56+$D56*('Cost Structure'!$F$11/1000-100))*0.00007</f>
        <v>59.382598800000004</v>
      </c>
    </row>
    <row r="57" spans="1:45">
      <c r="A57" s="316" t="s">
        <v>284</v>
      </c>
      <c r="B57" s="58">
        <v>417140</v>
      </c>
      <c r="C57" s="58">
        <v>149000</v>
      </c>
      <c r="D57" s="58">
        <v>4915</v>
      </c>
      <c r="E57" s="58">
        <v>4469</v>
      </c>
      <c r="F57" s="1269">
        <f>($C57+$E57*('Cost Structure'!$B$11/1000-40))*0.00007</f>
        <v>22.254973999999994</v>
      </c>
      <c r="G57" s="1269">
        <f>($C57+$E57*('Cost Structure'!$C$11/1000-40))*0.00007</f>
        <v>18.673070499999994</v>
      </c>
      <c r="H57" s="1269">
        <f>($C57+$E57*('Cost Structure'!$D$11/1000-40))*0.00007</f>
        <v>25.445839999999997</v>
      </c>
      <c r="I57" s="1269">
        <f>($B57+$D57*('Cost Structure'!$E$11/1000-100))*0.00007</f>
        <v>59.132149999999996</v>
      </c>
      <c r="J57" s="1270">
        <f>($B57+$D57*('Cost Structure'!$F$11/1000-100))*0.00007</f>
        <v>45.669473500000002</v>
      </c>
    </row>
    <row r="58" spans="1:45">
      <c r="A58" s="316" t="s">
        <v>267</v>
      </c>
      <c r="B58" s="58">
        <v>457720</v>
      </c>
      <c r="C58" s="58">
        <v>160840</v>
      </c>
      <c r="D58" s="58">
        <v>5442</v>
      </c>
      <c r="E58" s="58">
        <v>4948</v>
      </c>
      <c r="F58" s="1269">
        <f>($C58+$E58*('Cost Structure'!$B$11/1000-40))*0.00007</f>
        <v>24.351208</v>
      </c>
      <c r="G58" s="1269">
        <f>($C58+$E58*('Cost Structure'!$C$11/1000-40))*0.00007</f>
        <v>20.385385999999997</v>
      </c>
      <c r="H58" s="1269">
        <f>($C58+$E58*('Cost Structure'!$D$11/1000-40))*0.00007</f>
        <v>27.884079999999997</v>
      </c>
      <c r="I58" s="1269">
        <f>($B58+$D58*('Cost Structure'!$E$11/1000-100))*0.00007</f>
        <v>65.182179999999988</v>
      </c>
      <c r="J58" s="1270">
        <f>($B58+$D58*('Cost Structure'!$F$11/1000-100))*0.00007</f>
        <v>50.275997799999999</v>
      </c>
    </row>
    <row r="59" spans="1:45">
      <c r="A59" s="316" t="s">
        <v>268</v>
      </c>
      <c r="B59" s="58">
        <v>661100</v>
      </c>
      <c r="C59" s="58">
        <v>217540</v>
      </c>
      <c r="D59" s="58">
        <v>7249</v>
      </c>
      <c r="E59" s="58">
        <v>7062</v>
      </c>
      <c r="F59" s="1269">
        <f>($C59+$E59*('Cost Structure'!$B$11/1000-40))*0.00007</f>
        <v>33.913851999999999</v>
      </c>
      <c r="G59" s="1269">
        <f>($C59+$E59*('Cost Structure'!$C$11/1000-40))*0.00007</f>
        <v>28.253658999999995</v>
      </c>
      <c r="H59" s="1269">
        <f>($C59+$E59*('Cost Structure'!$D$11/1000-40))*0.00007</f>
        <v>38.956119999999999</v>
      </c>
      <c r="I59" s="1269">
        <f>($B59+$D59*('Cost Structure'!$E$11/1000-100))*0.00007</f>
        <v>90.42340999999999</v>
      </c>
      <c r="J59" s="1270">
        <f>($B59+$D59*('Cost Structure'!$F$11/1000-100))*0.00007</f>
        <v>70.567674099999991</v>
      </c>
    </row>
    <row r="60" spans="1:45">
      <c r="A60" s="316" t="s">
        <v>269</v>
      </c>
      <c r="B60" s="58">
        <v>661185</v>
      </c>
      <c r="C60" s="58">
        <v>242319</v>
      </c>
      <c r="D60" s="58">
        <v>7679</v>
      </c>
      <c r="E60" s="58">
        <v>6981</v>
      </c>
      <c r="F60" s="1269">
        <f>($C60+$E60*('Cost Structure'!$B$11/1000-40))*0.00007</f>
        <v>35.434055999999998</v>
      </c>
      <c r="G60" s="1269">
        <f>($C60+$E60*('Cost Structure'!$C$11/1000-40))*0.00007</f>
        <v>29.838784499999996</v>
      </c>
      <c r="H60" s="1269">
        <f>($C60+$E60*('Cost Structure'!$D$11/1000-40))*0.00007</f>
        <v>40.418489999999998</v>
      </c>
      <c r="I60" s="1269">
        <f>($B60+$D60*('Cost Structure'!$E$11/1000-100))*0.00007</f>
        <v>93.048059999999992</v>
      </c>
      <c r="J60" s="1270">
        <f>($B60+$D60*('Cost Structure'!$F$11/1000-100))*0.00007</f>
        <v>72.014511099999993</v>
      </c>
    </row>
    <row r="61" spans="1:45">
      <c r="A61" s="316" t="s">
        <v>271</v>
      </c>
      <c r="B61" s="58">
        <v>552000</v>
      </c>
      <c r="C61" s="58">
        <v>174000</v>
      </c>
      <c r="D61" s="58">
        <v>6743</v>
      </c>
      <c r="E61" s="58">
        <v>5786</v>
      </c>
      <c r="F61" s="1269">
        <f>($C61+$E61*('Cost Structure'!$B$11/1000-40))*0.00007</f>
        <v>27.489755999999996</v>
      </c>
      <c r="G61" s="1269">
        <f>($C61+$E61*('Cost Structure'!$C$11/1000-40))*0.00007</f>
        <v>22.852276999999997</v>
      </c>
      <c r="H61" s="1269">
        <f>($C61+$E61*('Cost Structure'!$D$11/1000-40))*0.00007</f>
        <v>31.620959999999997</v>
      </c>
      <c r="I61" s="1269">
        <f>($B61+$D61*('Cost Structure'!$E$11/1000-100))*0.00007</f>
        <v>79.70487</v>
      </c>
      <c r="J61" s="1270">
        <f>($B61+$D61*('Cost Structure'!$F$11/1000-100))*0.00007</f>
        <v>61.235118699999994</v>
      </c>
    </row>
    <row r="62" spans="1:45" ht="15" thickBot="1">
      <c r="A62" s="1242" t="s">
        <v>270</v>
      </c>
      <c r="B62" s="1241">
        <v>661000</v>
      </c>
      <c r="C62" s="1241">
        <v>237380</v>
      </c>
      <c r="D62" s="1241">
        <v>7768</v>
      </c>
      <c r="E62" s="1241">
        <v>7062</v>
      </c>
      <c r="F62" s="1269">
        <f>($C62+$E62*('Cost Structure'!$B$11/1000-40))*0.00007</f>
        <v>35.302651999999995</v>
      </c>
      <c r="G62" s="1269">
        <f>($C62+$E62*('Cost Structure'!$C$11/1000-40))*0.00007</f>
        <v>29.642458999999995</v>
      </c>
      <c r="H62" s="1269">
        <f>($C62+$E62*('Cost Structure'!$D$11/1000-40))*0.00007</f>
        <v>40.344919999999995</v>
      </c>
      <c r="I62" s="1269">
        <f>($B62+$D62*('Cost Structure'!$E$11/1000-100))*0.00007</f>
        <v>93.577119999999994</v>
      </c>
      <c r="J62" s="1270">
        <f>($B62+$D62*('Cost Structure'!$F$11/1000-100))*0.00007</f>
        <v>72.299791200000001</v>
      </c>
    </row>
    <row r="65" spans="2:4">
      <c r="B65" t="s">
        <v>285</v>
      </c>
      <c r="D65" t="s">
        <v>286</v>
      </c>
    </row>
    <row r="66" spans="2:4">
      <c r="B66" t="s">
        <v>287</v>
      </c>
      <c r="D66" t="s">
        <v>287</v>
      </c>
    </row>
    <row r="67" spans="2:4">
      <c r="B67" t="s">
        <v>288</v>
      </c>
      <c r="D67" t="s">
        <v>288</v>
      </c>
    </row>
  </sheetData>
  <mergeCells count="3">
    <mergeCell ref="A23:C24"/>
    <mergeCell ref="AA22:AP23"/>
    <mergeCell ref="A44:J45"/>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34098-452A-426A-B03A-8E260B7E688E}">
  <dimension ref="A1:AG24"/>
  <sheetViews>
    <sheetView topLeftCell="R1" workbookViewId="0">
      <selection activeCell="W26" sqref="W26"/>
    </sheetView>
  </sheetViews>
  <sheetFormatPr defaultRowHeight="14.45"/>
  <cols>
    <col min="2" max="2" width="14.7109375" customWidth="1"/>
    <col min="4" max="4" width="8.42578125" customWidth="1"/>
    <col min="5" max="5" width="14.85546875" bestFit="1" customWidth="1"/>
    <col min="9" max="9" width="14.28515625" bestFit="1" customWidth="1"/>
    <col min="11" max="11" width="16.85546875" bestFit="1" customWidth="1"/>
    <col min="12" max="20" width="16.85546875" customWidth="1"/>
    <col min="23" max="23" width="7.5703125" bestFit="1" customWidth="1"/>
    <col min="24" max="24" width="14.28515625" bestFit="1" customWidth="1"/>
  </cols>
  <sheetData>
    <row r="1" spans="1:33" ht="15" thickBot="1">
      <c r="A1" s="1337" t="s">
        <v>289</v>
      </c>
      <c r="B1" s="1338" t="s">
        <v>75</v>
      </c>
      <c r="C1" s="1339"/>
      <c r="D1" s="1340"/>
      <c r="F1" t="s">
        <v>290</v>
      </c>
      <c r="H1">
        <v>6.9999999999999994E-5</v>
      </c>
    </row>
    <row r="2" spans="1:33" ht="15" thickBot="1">
      <c r="A2" s="1337"/>
      <c r="B2" s="1341"/>
      <c r="C2" s="1342"/>
      <c r="D2" s="1343"/>
      <c r="I2" s="1346" t="s">
        <v>291</v>
      </c>
      <c r="J2" s="1344" t="s">
        <v>206</v>
      </c>
      <c r="K2" s="1348" t="s">
        <v>292</v>
      </c>
      <c r="L2" s="1349"/>
      <c r="M2" s="1349"/>
      <c r="N2" s="1349"/>
      <c r="O2" s="1349"/>
      <c r="P2" s="1349"/>
      <c r="Q2" s="1349"/>
      <c r="R2" s="1349"/>
      <c r="S2" s="1349"/>
      <c r="T2" s="1350"/>
      <c r="X2" s="1334" t="s">
        <v>293</v>
      </c>
      <c r="Y2" s="1335"/>
      <c r="Z2" s="1335"/>
      <c r="AA2" s="1335"/>
      <c r="AB2" s="1335"/>
      <c r="AC2" s="1335"/>
      <c r="AD2" s="1335"/>
      <c r="AE2" s="1335"/>
      <c r="AF2" s="1335"/>
      <c r="AG2" s="1336"/>
    </row>
    <row r="3" spans="1:33" ht="15" thickBot="1">
      <c r="A3" s="1337"/>
      <c r="B3" s="164" t="s">
        <v>294</v>
      </c>
      <c r="C3" s="164" t="s">
        <v>295</v>
      </c>
      <c r="D3" s="164" t="s">
        <v>296</v>
      </c>
      <c r="E3" s="58"/>
      <c r="I3" s="1347"/>
      <c r="J3" s="1345"/>
      <c r="K3" s="103">
        <v>2023</v>
      </c>
      <c r="L3" s="201">
        <v>2024</v>
      </c>
      <c r="M3" s="104">
        <v>2025</v>
      </c>
      <c r="N3" s="201">
        <v>2026</v>
      </c>
      <c r="O3" s="104">
        <v>2027</v>
      </c>
      <c r="P3" s="201">
        <v>2028</v>
      </c>
      <c r="Q3" s="104">
        <v>2029</v>
      </c>
      <c r="R3" s="201">
        <v>2030</v>
      </c>
      <c r="S3" s="104">
        <v>2031</v>
      </c>
      <c r="T3" s="734">
        <v>2032</v>
      </c>
      <c r="U3" s="58" t="s">
        <v>297</v>
      </c>
      <c r="V3" s="58" t="s">
        <v>289</v>
      </c>
      <c r="W3" s="58" t="s">
        <v>298</v>
      </c>
      <c r="X3" s="103">
        <v>2023</v>
      </c>
      <c r="Y3" s="201">
        <v>2024</v>
      </c>
      <c r="Z3" s="104">
        <v>2025</v>
      </c>
      <c r="AA3" s="201">
        <v>2026</v>
      </c>
      <c r="AB3" s="104">
        <v>2027</v>
      </c>
      <c r="AC3" s="201">
        <v>2028</v>
      </c>
      <c r="AD3" s="104">
        <v>2029</v>
      </c>
      <c r="AE3" s="201">
        <v>2030</v>
      </c>
      <c r="AF3" s="104">
        <v>2031</v>
      </c>
      <c r="AG3" s="734">
        <v>2032</v>
      </c>
    </row>
    <row r="4" spans="1:33">
      <c r="A4" s="164">
        <v>1</v>
      </c>
      <c r="B4" s="164" t="s">
        <v>251</v>
      </c>
      <c r="C4" s="164">
        <v>800</v>
      </c>
      <c r="D4" s="1035">
        <f>C4*$H$1</f>
        <v>5.5999999999999994E-2</v>
      </c>
      <c r="I4" s="1333">
        <v>1</v>
      </c>
      <c r="J4" s="1095" t="s">
        <v>209</v>
      </c>
      <c r="K4" s="81" cm="1">
        <f t="array" ref="K4:T20">Profitability!AU4:BD20</f>
        <v>9.1743079999999964</v>
      </c>
      <c r="L4" s="81">
        <v>9.8950036799999985</v>
      </c>
      <c r="M4" s="81">
        <v>10.387836345599998</v>
      </c>
      <c r="N4" s="81">
        <v>11.119672765727998</v>
      </c>
      <c r="O4" s="81">
        <v>12.325594389719038</v>
      </c>
      <c r="P4" s="81">
        <v>13.710076153449023</v>
      </c>
      <c r="Q4" s="81">
        <v>14.523055052491307</v>
      </c>
      <c r="R4" s="81">
        <v>14.523055052491307</v>
      </c>
      <c r="S4" s="81">
        <v>14.464520571760263</v>
      </c>
      <c r="T4" s="81">
        <v>14.386474597452203</v>
      </c>
      <c r="U4" s="991" t="str">
        <f t="shared" ref="U4:U20" si="0">LEFT(J4, SEARCH("-",J4,1)-1)</f>
        <v>PLM</v>
      </c>
      <c r="V4">
        <f>MATCH(U4,$B$4:$B$18,0)</f>
        <v>1</v>
      </c>
      <c r="W4" cm="1">
        <f t="array" ref="W4">INDEX($D$4:$D$18,V4)</f>
        <v>5.5999999999999994E-2</v>
      </c>
      <c r="X4" s="1116">
        <f>$W4*K4*1000</f>
        <v>513.7612479999998</v>
      </c>
      <c r="Y4" s="1117">
        <f>$W4*L4*1000</f>
        <v>554.12020607999989</v>
      </c>
      <c r="Z4" s="1117">
        <f t="shared" ref="Z4:AG19" si="1">$W4*M4*1000</f>
        <v>581.71883535359984</v>
      </c>
      <c r="AA4" s="1117">
        <f t="shared" si="1"/>
        <v>622.70167488076777</v>
      </c>
      <c r="AB4" s="1117">
        <f t="shared" si="1"/>
        <v>690.23328582426598</v>
      </c>
      <c r="AC4" s="1117">
        <f t="shared" si="1"/>
        <v>767.76426459314519</v>
      </c>
      <c r="AD4" s="1117">
        <f t="shared" si="1"/>
        <v>813.2910829395131</v>
      </c>
      <c r="AE4" s="1117">
        <f t="shared" si="1"/>
        <v>813.2910829395131</v>
      </c>
      <c r="AF4" s="1117">
        <f t="shared" si="1"/>
        <v>810.0131520185746</v>
      </c>
      <c r="AG4" s="1118">
        <f t="shared" si="1"/>
        <v>805.64257745732323</v>
      </c>
    </row>
    <row r="5" spans="1:33">
      <c r="A5" s="164">
        <v>2</v>
      </c>
      <c r="B5" s="164" t="s">
        <v>253</v>
      </c>
      <c r="C5" s="164">
        <v>200</v>
      </c>
      <c r="D5" s="1035">
        <f t="shared" ref="D5:D18" si="2">C5*$H$1</f>
        <v>1.3999999999999999E-2</v>
      </c>
      <c r="I5" s="1333"/>
      <c r="J5" s="1095" t="s">
        <v>210</v>
      </c>
      <c r="K5" s="81">
        <v>12.041999999999998</v>
      </c>
      <c r="L5" s="81">
        <v>13.404640046350194</v>
      </c>
      <c r="M5" s="81">
        <v>15.784100031226473</v>
      </c>
      <c r="N5" s="81">
        <v>18.400133730045024</v>
      </c>
      <c r="O5" s="81">
        <v>21.156371179121507</v>
      </c>
      <c r="P5" s="81">
        <v>21.6</v>
      </c>
      <c r="Q5" s="81">
        <v>21.6</v>
      </c>
      <c r="R5" s="81">
        <v>21.6</v>
      </c>
      <c r="S5" s="81">
        <v>21.6</v>
      </c>
      <c r="T5" s="81">
        <v>21.6</v>
      </c>
      <c r="U5" s="991" t="str">
        <f t="shared" si="0"/>
        <v>SUB</v>
      </c>
      <c r="V5">
        <f t="shared" ref="V5:V20" si="3">MATCH(U5,$B$4:$B$18,0)</f>
        <v>2</v>
      </c>
      <c r="W5" cm="1">
        <f t="array" ref="W5">INDEX($D$4:$D$18,V5)</f>
        <v>1.3999999999999999E-2</v>
      </c>
      <c r="X5" s="1109">
        <f t="shared" ref="X5:X20" si="4">$W5*K5*1000</f>
        <v>168.58799999999997</v>
      </c>
      <c r="Y5" s="1107">
        <f t="shared" ref="Y5:Y20" si="5">$W5*L5*1000</f>
        <v>187.66496064890271</v>
      </c>
      <c r="Z5" s="1107">
        <f t="shared" si="1"/>
        <v>220.97740043717059</v>
      </c>
      <c r="AA5" s="1107">
        <f t="shared" si="1"/>
        <v>257.6018722206303</v>
      </c>
      <c r="AB5" s="1107">
        <f t="shared" si="1"/>
        <v>296.18919650770107</v>
      </c>
      <c r="AC5" s="1107">
        <f t="shared" si="1"/>
        <v>302.39999999999998</v>
      </c>
      <c r="AD5" s="1107">
        <f t="shared" si="1"/>
        <v>302.39999999999998</v>
      </c>
      <c r="AE5" s="1107">
        <f t="shared" si="1"/>
        <v>302.39999999999998</v>
      </c>
      <c r="AF5" s="1107">
        <f t="shared" si="1"/>
        <v>302.39999999999998</v>
      </c>
      <c r="AG5" s="1110">
        <f t="shared" si="1"/>
        <v>302.39999999999998</v>
      </c>
    </row>
    <row r="6" spans="1:33">
      <c r="A6" s="164">
        <v>3</v>
      </c>
      <c r="B6" s="164" t="s">
        <v>257</v>
      </c>
      <c r="C6" s="164">
        <v>180</v>
      </c>
      <c r="D6" s="1035">
        <f t="shared" si="2"/>
        <v>1.2599999999999998E-2</v>
      </c>
      <c r="I6" s="1333"/>
      <c r="J6" s="1095" t="s">
        <v>211</v>
      </c>
      <c r="K6" s="81">
        <v>7.055979999999999</v>
      </c>
      <c r="L6" s="81">
        <v>8.4947366024822699</v>
      </c>
      <c r="M6" s="81">
        <v>9.1454801909652534</v>
      </c>
      <c r="N6" s="81">
        <v>9.4347936095768379</v>
      </c>
      <c r="O6" s="81">
        <v>9.6247703598243728</v>
      </c>
      <c r="P6" s="81">
        <v>9.8300730232108791</v>
      </c>
      <c r="Q6" s="81">
        <v>10.030315769747265</v>
      </c>
      <c r="R6" s="81">
        <v>10.221043416535306</v>
      </c>
      <c r="S6" s="81">
        <v>10.392931151991696</v>
      </c>
      <c r="T6" s="81">
        <v>10.549878831608222</v>
      </c>
      <c r="U6" s="991" t="str">
        <f t="shared" si="0"/>
        <v>CGK</v>
      </c>
      <c r="V6">
        <f t="shared" si="3"/>
        <v>3</v>
      </c>
      <c r="W6" cm="1">
        <f t="array" ref="W6">INDEX($D$4:$D$18,V6)</f>
        <v>1.2599999999999998E-2</v>
      </c>
      <c r="X6" s="1109">
        <f t="shared" si="4"/>
        <v>88.905347999999975</v>
      </c>
      <c r="Y6" s="1107">
        <f t="shared" si="5"/>
        <v>107.03368119127659</v>
      </c>
      <c r="Z6" s="1107">
        <f t="shared" si="1"/>
        <v>115.23305040616218</v>
      </c>
      <c r="AA6" s="1107">
        <f t="shared" si="1"/>
        <v>118.87839948066814</v>
      </c>
      <c r="AB6" s="1107">
        <f t="shared" si="1"/>
        <v>121.27210653378708</v>
      </c>
      <c r="AC6" s="1107">
        <f t="shared" si="1"/>
        <v>123.85892009245705</v>
      </c>
      <c r="AD6" s="1107">
        <f t="shared" si="1"/>
        <v>126.38197869881552</v>
      </c>
      <c r="AE6" s="1107">
        <f t="shared" si="1"/>
        <v>128.78514704834484</v>
      </c>
      <c r="AF6" s="1107">
        <f t="shared" si="1"/>
        <v>130.95093251509536</v>
      </c>
      <c r="AG6" s="1110">
        <f t="shared" si="1"/>
        <v>132.92847327826357</v>
      </c>
    </row>
    <row r="7" spans="1:33">
      <c r="A7" s="164">
        <v>4</v>
      </c>
      <c r="B7" s="164" t="s">
        <v>255</v>
      </c>
      <c r="C7" s="164">
        <v>800</v>
      </c>
      <c r="D7" s="1035">
        <f t="shared" si="2"/>
        <v>5.5999999999999994E-2</v>
      </c>
      <c r="I7" s="1333"/>
      <c r="J7" s="1095" t="s">
        <v>212</v>
      </c>
      <c r="K7" s="81">
        <v>12.5298</v>
      </c>
      <c r="L7" s="81">
        <v>14.713137159639874</v>
      </c>
      <c r="M7" s="81">
        <v>16.065484846644527</v>
      </c>
      <c r="N7" s="81">
        <v>16.270143925044525</v>
      </c>
      <c r="O7" s="81">
        <v>16.322120833844526</v>
      </c>
      <c r="P7" s="81">
        <v>16.452063105844527</v>
      </c>
      <c r="Q7" s="81">
        <v>16.237612807298351</v>
      </c>
      <c r="R7" s="81">
        <v>16.27497121049835</v>
      </c>
      <c r="S7" s="81">
        <v>16.489421509044526</v>
      </c>
      <c r="T7" s="81">
        <v>16.430947486644527</v>
      </c>
      <c r="U7" s="991" t="str">
        <f t="shared" si="0"/>
        <v>PKY</v>
      </c>
      <c r="V7">
        <f t="shared" si="3"/>
        <v>4</v>
      </c>
      <c r="W7" cm="1">
        <f t="array" ref="W7">INDEX($D$4:$D$18,V7)</f>
        <v>5.5999999999999994E-2</v>
      </c>
      <c r="X7" s="1109">
        <f t="shared" si="4"/>
        <v>701.66879999999992</v>
      </c>
      <c r="Y7" s="1107">
        <f t="shared" si="5"/>
        <v>823.93568093983288</v>
      </c>
      <c r="Z7" s="1107">
        <f t="shared" si="1"/>
        <v>899.6671514120934</v>
      </c>
      <c r="AA7" s="1107">
        <f t="shared" si="1"/>
        <v>911.12805980249334</v>
      </c>
      <c r="AB7" s="1107">
        <f t="shared" si="1"/>
        <v>914.03876669529336</v>
      </c>
      <c r="AC7" s="1107">
        <f t="shared" si="1"/>
        <v>921.31553392729336</v>
      </c>
      <c r="AD7" s="1107">
        <f t="shared" si="1"/>
        <v>909.30631720870758</v>
      </c>
      <c r="AE7" s="1107">
        <f t="shared" si="1"/>
        <v>911.3983877879075</v>
      </c>
      <c r="AF7" s="1107">
        <f t="shared" si="1"/>
        <v>923.40760450649339</v>
      </c>
      <c r="AG7" s="1110">
        <f t="shared" si="1"/>
        <v>920.1330592520934</v>
      </c>
    </row>
    <row r="8" spans="1:33">
      <c r="A8" s="164">
        <v>5</v>
      </c>
      <c r="B8" s="164" t="s">
        <v>259</v>
      </c>
      <c r="C8" s="164">
        <v>550</v>
      </c>
      <c r="D8" s="1035">
        <f t="shared" si="2"/>
        <v>3.85E-2</v>
      </c>
      <c r="I8" s="1333"/>
      <c r="J8" s="1095" t="s">
        <v>213</v>
      </c>
      <c r="K8" s="81">
        <v>16.853149999999999</v>
      </c>
      <c r="L8" s="81">
        <v>19.449545171500574</v>
      </c>
      <c r="M8" s="81">
        <v>21.58574849736069</v>
      </c>
      <c r="N8" s="81">
        <v>21.6</v>
      </c>
      <c r="O8" s="81">
        <v>21.6</v>
      </c>
      <c r="P8" s="81">
        <v>21.6</v>
      </c>
      <c r="Q8" s="81">
        <v>21.6</v>
      </c>
      <c r="R8" s="81">
        <v>21.6</v>
      </c>
      <c r="S8" s="81">
        <v>21.6</v>
      </c>
      <c r="T8" s="81">
        <v>21.6</v>
      </c>
      <c r="U8" s="991" t="str">
        <f t="shared" si="0"/>
        <v>CGK</v>
      </c>
      <c r="V8">
        <f t="shared" si="3"/>
        <v>3</v>
      </c>
      <c r="W8" cm="1">
        <f t="array" ref="W8">INDEX($D$4:$D$18,V8)</f>
        <v>1.2599999999999998E-2</v>
      </c>
      <c r="X8" s="1109">
        <f t="shared" si="4"/>
        <v>212.34968999999995</v>
      </c>
      <c r="Y8" s="1107">
        <f t="shared" si="5"/>
        <v>245.0642691609072</v>
      </c>
      <c r="Z8" s="1107">
        <f t="shared" si="1"/>
        <v>271.98043106674464</v>
      </c>
      <c r="AA8" s="1107">
        <f t="shared" si="1"/>
        <v>272.15999999999997</v>
      </c>
      <c r="AB8" s="1107">
        <f t="shared" si="1"/>
        <v>272.15999999999997</v>
      </c>
      <c r="AC8" s="1107">
        <f t="shared" si="1"/>
        <v>272.15999999999997</v>
      </c>
      <c r="AD8" s="1107">
        <f t="shared" si="1"/>
        <v>272.15999999999997</v>
      </c>
      <c r="AE8" s="1107">
        <f t="shared" si="1"/>
        <v>272.15999999999997</v>
      </c>
      <c r="AF8" s="1107">
        <f t="shared" si="1"/>
        <v>272.15999999999997</v>
      </c>
      <c r="AG8" s="1110">
        <f t="shared" si="1"/>
        <v>272.15999999999997</v>
      </c>
    </row>
    <row r="9" spans="1:33">
      <c r="A9" s="164">
        <v>6</v>
      </c>
      <c r="B9" s="164" t="s">
        <v>261</v>
      </c>
      <c r="C9" s="164">
        <v>550</v>
      </c>
      <c r="D9" s="1035">
        <f t="shared" si="2"/>
        <v>3.85E-2</v>
      </c>
      <c r="I9" s="1333">
        <v>2</v>
      </c>
      <c r="J9" s="1096" t="s">
        <v>214</v>
      </c>
      <c r="K9" s="81">
        <v>3.3264000000000005</v>
      </c>
      <c r="L9" s="81">
        <v>3.7554854559714808</v>
      </c>
      <c r="M9" s="81">
        <v>4.2217063118958178</v>
      </c>
      <c r="N9" s="81">
        <v>4.7277805915487896</v>
      </c>
      <c r="O9" s="81">
        <v>5.2766080053867528</v>
      </c>
      <c r="P9" s="81">
        <v>5.424871572747767</v>
      </c>
      <c r="Q9" s="81">
        <v>5.5183848397416435</v>
      </c>
      <c r="R9" s="81">
        <v>5.6571840598030034</v>
      </c>
      <c r="S9" s="81">
        <v>5.8100976029208971</v>
      </c>
      <c r="T9" s="81">
        <v>5.8976174946425672</v>
      </c>
      <c r="U9" s="991" t="str">
        <f t="shared" si="0"/>
        <v>MDC</v>
      </c>
      <c r="V9">
        <f t="shared" si="3"/>
        <v>5</v>
      </c>
      <c r="W9" cm="1">
        <f t="array" ref="W9">INDEX($D$4:$D$18,V9)</f>
        <v>3.85E-2</v>
      </c>
      <c r="X9" s="1109">
        <f t="shared" si="4"/>
        <v>128.06640000000002</v>
      </c>
      <c r="Y9" s="1107">
        <f t="shared" si="5"/>
        <v>144.586190054902</v>
      </c>
      <c r="Z9" s="1107">
        <f t="shared" si="1"/>
        <v>162.53569300798898</v>
      </c>
      <c r="AA9" s="1107">
        <f t="shared" si="1"/>
        <v>182.01955277462838</v>
      </c>
      <c r="AB9" s="1107">
        <f t="shared" si="1"/>
        <v>203.14940820738997</v>
      </c>
      <c r="AC9" s="1107">
        <f t="shared" si="1"/>
        <v>208.85755555078902</v>
      </c>
      <c r="AD9" s="1107">
        <f t="shared" si="1"/>
        <v>212.45781633005328</v>
      </c>
      <c r="AE9" s="1107">
        <f t="shared" si="1"/>
        <v>217.80158630241564</v>
      </c>
      <c r="AF9" s="1107">
        <f t="shared" si="1"/>
        <v>223.68875771245453</v>
      </c>
      <c r="AG9" s="1110">
        <f t="shared" si="1"/>
        <v>227.05827354373884</v>
      </c>
    </row>
    <row r="10" spans="1:33">
      <c r="A10" s="164">
        <v>7</v>
      </c>
      <c r="B10" s="164" t="s">
        <v>268</v>
      </c>
      <c r="C10" s="164">
        <v>800</v>
      </c>
      <c r="D10" s="1035">
        <f t="shared" si="2"/>
        <v>5.5999999999999994E-2</v>
      </c>
      <c r="I10" s="1333"/>
      <c r="J10" s="1096" t="s">
        <v>215</v>
      </c>
      <c r="K10" s="81">
        <v>5.1959454545454546</v>
      </c>
      <c r="L10" s="81">
        <v>5.8021693117928512</v>
      </c>
      <c r="M10" s="81">
        <v>6.4595585698077924</v>
      </c>
      <c r="N10" s="81">
        <v>7.1718186511420257</v>
      </c>
      <c r="O10" s="81">
        <v>7.9429011906161602</v>
      </c>
      <c r="P10" s="81">
        <v>8.3547306174101639</v>
      </c>
      <c r="Q10" s="81">
        <v>8.7221854686877656</v>
      </c>
      <c r="R10" s="81">
        <v>9.1855928434978082</v>
      </c>
      <c r="S10" s="81">
        <v>9.4683031144894834</v>
      </c>
      <c r="T10" s="81">
        <v>9.6421433863397503</v>
      </c>
      <c r="U10" s="991" t="str">
        <f t="shared" si="0"/>
        <v>SRG</v>
      </c>
      <c r="V10">
        <f t="shared" si="3"/>
        <v>6</v>
      </c>
      <c r="W10" cm="1">
        <f t="array" ref="W10">INDEX($D$4:$D$18,V10)</f>
        <v>3.85E-2</v>
      </c>
      <c r="X10" s="1109">
        <f t="shared" si="4"/>
        <v>200.04390000000001</v>
      </c>
      <c r="Y10" s="1107">
        <f t="shared" si="5"/>
        <v>223.38351850402478</v>
      </c>
      <c r="Z10" s="1107">
        <f t="shared" si="1"/>
        <v>248.69300493759999</v>
      </c>
      <c r="AA10" s="1107">
        <f t="shared" si="1"/>
        <v>276.11501806896797</v>
      </c>
      <c r="AB10" s="1107">
        <f t="shared" si="1"/>
        <v>305.8016958387222</v>
      </c>
      <c r="AC10" s="1107">
        <f t="shared" si="1"/>
        <v>321.65712877029131</v>
      </c>
      <c r="AD10" s="1107">
        <f t="shared" si="1"/>
        <v>335.80414054447897</v>
      </c>
      <c r="AE10" s="1107">
        <f t="shared" si="1"/>
        <v>353.64532447466564</v>
      </c>
      <c r="AF10" s="1107">
        <f t="shared" si="1"/>
        <v>364.52966990784506</v>
      </c>
      <c r="AG10" s="1110">
        <f t="shared" si="1"/>
        <v>371.22252037408037</v>
      </c>
    </row>
    <row r="11" spans="1:33">
      <c r="A11" s="164">
        <v>8</v>
      </c>
      <c r="B11" s="164" t="s">
        <v>269</v>
      </c>
      <c r="C11" s="164">
        <v>800</v>
      </c>
      <c r="D11" s="1035">
        <f t="shared" si="2"/>
        <v>5.5999999999999994E-2</v>
      </c>
      <c r="I11" s="1333"/>
      <c r="J11" s="1096" t="s">
        <v>216</v>
      </c>
      <c r="K11" s="81">
        <v>8.4735999999999994</v>
      </c>
      <c r="L11" s="81">
        <v>9.6286423578947371</v>
      </c>
      <c r="M11" s="81">
        <v>10.896611061991436</v>
      </c>
      <c r="N11" s="81">
        <v>12.286370863870948</v>
      </c>
      <c r="O11" s="81">
        <v>13.807402692653874</v>
      </c>
      <c r="P11" s="81">
        <v>14.223546963517094</v>
      </c>
      <c r="Q11" s="81">
        <v>14.582718763204637</v>
      </c>
      <c r="R11" s="81">
        <v>15.141713205377016</v>
      </c>
      <c r="S11" s="81">
        <v>15.830093170398584</v>
      </c>
      <c r="T11" s="81">
        <v>16.265363421407272</v>
      </c>
      <c r="U11" s="991" t="str">
        <f t="shared" si="0"/>
        <v>KDI</v>
      </c>
      <c r="V11">
        <f t="shared" si="3"/>
        <v>7</v>
      </c>
      <c r="W11" cm="1">
        <f t="array" ref="W11">INDEX($D$4:$D$18,V11)</f>
        <v>5.5999999999999994E-2</v>
      </c>
      <c r="X11" s="1109">
        <f t="shared" si="4"/>
        <v>474.52159999999992</v>
      </c>
      <c r="Y11" s="1107">
        <f t="shared" si="5"/>
        <v>539.20397204210519</v>
      </c>
      <c r="Z11" s="1107">
        <f t="shared" si="1"/>
        <v>610.2102194715203</v>
      </c>
      <c r="AA11" s="1107">
        <f t="shared" si="1"/>
        <v>688.03676837677301</v>
      </c>
      <c r="AB11" s="1107">
        <f t="shared" si="1"/>
        <v>773.21455078861675</v>
      </c>
      <c r="AC11" s="1107">
        <f t="shared" si="1"/>
        <v>796.51862995695717</v>
      </c>
      <c r="AD11" s="1107">
        <f t="shared" si="1"/>
        <v>816.63225073945955</v>
      </c>
      <c r="AE11" s="1107">
        <f t="shared" si="1"/>
        <v>847.93593950111278</v>
      </c>
      <c r="AF11" s="1107">
        <f t="shared" si="1"/>
        <v>886.48521754232058</v>
      </c>
      <c r="AG11" s="1110">
        <f t="shared" si="1"/>
        <v>910.86035159880714</v>
      </c>
    </row>
    <row r="12" spans="1:33">
      <c r="A12" s="164">
        <v>9</v>
      </c>
      <c r="B12" s="164" t="s">
        <v>263</v>
      </c>
      <c r="C12" s="164">
        <v>800</v>
      </c>
      <c r="D12" s="1035">
        <f t="shared" si="2"/>
        <v>5.5999999999999994E-2</v>
      </c>
      <c r="I12" s="1333"/>
      <c r="J12" s="1097" t="s">
        <v>217</v>
      </c>
      <c r="K12" s="81">
        <v>9.1340800000000009</v>
      </c>
      <c r="L12" s="81">
        <v>10.003784267942585</v>
      </c>
      <c r="M12" s="81">
        <v>10.918386633539722</v>
      </c>
      <c r="N12" s="81">
        <v>11.87982745296372</v>
      </c>
      <c r="O12" s="81">
        <v>12.602460248394504</v>
      </c>
      <c r="P12" s="81">
        <v>12.602460248394504</v>
      </c>
      <c r="Q12" s="81">
        <v>12.602460248394504</v>
      </c>
      <c r="R12" s="81">
        <v>12.591310248394505</v>
      </c>
      <c r="S12" s="81">
        <v>12.548940248394505</v>
      </c>
      <c r="T12" s="81">
        <v>12.508800248394504</v>
      </c>
      <c r="U12" s="991" t="str">
        <f t="shared" si="0"/>
        <v>PNK</v>
      </c>
      <c r="V12">
        <f t="shared" si="3"/>
        <v>8</v>
      </c>
      <c r="W12" cm="1">
        <f t="array" ref="W12">INDEX($D$4:$D$18,V12)</f>
        <v>5.5999999999999994E-2</v>
      </c>
      <c r="X12" s="1109">
        <f t="shared" si="4"/>
        <v>511.50848000000002</v>
      </c>
      <c r="Y12" s="1107">
        <f t="shared" si="5"/>
        <v>560.2119190047847</v>
      </c>
      <c r="Z12" s="1107">
        <f t="shared" si="1"/>
        <v>611.4296514782244</v>
      </c>
      <c r="AA12" s="1107">
        <f t="shared" si="1"/>
        <v>665.27033736596832</v>
      </c>
      <c r="AB12" s="1107">
        <f t="shared" si="1"/>
        <v>705.73777391009219</v>
      </c>
      <c r="AC12" s="1107">
        <f t="shared" si="1"/>
        <v>705.73777391009219</v>
      </c>
      <c r="AD12" s="1107">
        <f t="shared" si="1"/>
        <v>705.73777391009219</v>
      </c>
      <c r="AE12" s="1107">
        <f t="shared" si="1"/>
        <v>705.11337391009226</v>
      </c>
      <c r="AF12" s="1107">
        <f t="shared" si="1"/>
        <v>702.74065391009219</v>
      </c>
      <c r="AG12" s="1110">
        <f t="shared" si="1"/>
        <v>700.49281391009208</v>
      </c>
    </row>
    <row r="13" spans="1:33">
      <c r="A13" s="164">
        <v>10</v>
      </c>
      <c r="B13" s="164" t="s">
        <v>264</v>
      </c>
      <c r="C13" s="164">
        <v>800</v>
      </c>
      <c r="D13" s="1035">
        <f t="shared" si="2"/>
        <v>5.5999999999999994E-2</v>
      </c>
      <c r="I13" s="1333">
        <v>3</v>
      </c>
      <c r="J13" s="1098" t="s">
        <v>218</v>
      </c>
      <c r="K13" s="1105">
        <v>0</v>
      </c>
      <c r="L13" s="1105">
        <v>0</v>
      </c>
      <c r="M13" s="81">
        <v>16.6404685792</v>
      </c>
      <c r="N13" s="81">
        <v>17.516169750399996</v>
      </c>
      <c r="O13" s="81">
        <v>18.381139289599997</v>
      </c>
      <c r="P13" s="81">
        <v>19.239669849599998</v>
      </c>
      <c r="Q13" s="81">
        <v>19.401095144669945</v>
      </c>
      <c r="R13" s="81">
        <v>19.743713487479777</v>
      </c>
      <c r="S13" s="81">
        <v>19.854420830139887</v>
      </c>
      <c r="T13" s="81">
        <v>19.836348588799996</v>
      </c>
      <c r="U13" s="991" t="str">
        <f t="shared" si="0"/>
        <v>TTE</v>
      </c>
      <c r="V13">
        <f t="shared" si="3"/>
        <v>9</v>
      </c>
      <c r="W13" cm="1">
        <f t="array" ref="W13">INDEX($D$4:$D$18,V13)</f>
        <v>5.5999999999999994E-2</v>
      </c>
      <c r="X13" s="1111">
        <f t="shared" si="4"/>
        <v>0</v>
      </c>
      <c r="Y13" s="1108">
        <f>$W13*L13*1000</f>
        <v>0</v>
      </c>
      <c r="Z13" s="1107">
        <f t="shared" si="1"/>
        <v>931.86624043519998</v>
      </c>
      <c r="AA13" s="1107">
        <f t="shared" si="1"/>
        <v>980.90550602239966</v>
      </c>
      <c r="AB13" s="1107">
        <f t="shared" si="1"/>
        <v>1029.3438002175997</v>
      </c>
      <c r="AC13" s="1107">
        <f t="shared" si="1"/>
        <v>1077.4215115775999</v>
      </c>
      <c r="AD13" s="1107">
        <f t="shared" si="1"/>
        <v>1086.4613281015168</v>
      </c>
      <c r="AE13" s="1107">
        <f t="shared" si="1"/>
        <v>1105.6479552988674</v>
      </c>
      <c r="AF13" s="1107">
        <f t="shared" si="1"/>
        <v>1111.8475664878335</v>
      </c>
      <c r="AG13" s="1110">
        <f t="shared" si="1"/>
        <v>1110.8355209727995</v>
      </c>
    </row>
    <row r="14" spans="1:33">
      <c r="A14" s="164">
        <v>11</v>
      </c>
      <c r="B14" s="164" t="s">
        <v>271</v>
      </c>
      <c r="C14" s="164">
        <v>880</v>
      </c>
      <c r="D14" s="1035">
        <f t="shared" si="2"/>
        <v>6.1599999999999995E-2</v>
      </c>
      <c r="I14" s="1333"/>
      <c r="J14" s="1098" t="s">
        <v>219</v>
      </c>
      <c r="K14" s="1105">
        <v>0</v>
      </c>
      <c r="L14" s="1105">
        <v>0</v>
      </c>
      <c r="M14" s="81">
        <v>16.902187380956903</v>
      </c>
      <c r="N14" s="81">
        <v>18.268277478228953</v>
      </c>
      <c r="O14" s="81">
        <v>19.680541942068839</v>
      </c>
      <c r="P14" s="81">
        <v>20.773633048133263</v>
      </c>
      <c r="Q14" s="81">
        <v>21.291034353777331</v>
      </c>
      <c r="R14" s="81">
        <v>21.6</v>
      </c>
      <c r="S14" s="81">
        <v>21.6</v>
      </c>
      <c r="T14" s="81">
        <v>21.6</v>
      </c>
      <c r="U14" s="991" t="str">
        <f t="shared" si="0"/>
        <v>KNO</v>
      </c>
      <c r="V14">
        <f t="shared" si="3"/>
        <v>10</v>
      </c>
      <c r="W14" cm="1">
        <f t="array" ref="W14">INDEX($D$4:$D$18,V14)</f>
        <v>5.5999999999999994E-2</v>
      </c>
      <c r="X14" s="1111">
        <f t="shared" si="4"/>
        <v>0</v>
      </c>
      <c r="Y14" s="1108">
        <f t="shared" si="5"/>
        <v>0</v>
      </c>
      <c r="Z14" s="1107">
        <f t="shared" si="1"/>
        <v>946.52249333358657</v>
      </c>
      <c r="AA14" s="1107">
        <f t="shared" si="1"/>
        <v>1023.0235387808214</v>
      </c>
      <c r="AB14" s="1107">
        <f t="shared" si="1"/>
        <v>1102.1103487558548</v>
      </c>
      <c r="AC14" s="1107">
        <f t="shared" si="1"/>
        <v>1163.3234506954627</v>
      </c>
      <c r="AD14" s="1107">
        <f t="shared" si="1"/>
        <v>1192.2979238115304</v>
      </c>
      <c r="AE14" s="1107">
        <f t="shared" si="1"/>
        <v>1209.5999999999999</v>
      </c>
      <c r="AF14" s="1107">
        <f t="shared" si="1"/>
        <v>1209.5999999999999</v>
      </c>
      <c r="AG14" s="1110">
        <f t="shared" si="1"/>
        <v>1209.5999999999999</v>
      </c>
    </row>
    <row r="15" spans="1:33">
      <c r="A15" s="164">
        <v>12</v>
      </c>
      <c r="B15" s="164" t="s">
        <v>265</v>
      </c>
      <c r="C15" s="164">
        <v>550</v>
      </c>
      <c r="D15" s="1035">
        <f t="shared" si="2"/>
        <v>3.85E-2</v>
      </c>
      <c r="I15" s="1333"/>
      <c r="J15" s="1098" t="s">
        <v>220</v>
      </c>
      <c r="K15" s="1105">
        <v>0</v>
      </c>
      <c r="L15" s="1105">
        <v>0</v>
      </c>
      <c r="M15" s="81">
        <v>2.6767235040136605</v>
      </c>
      <c r="N15" s="81">
        <v>2.9886251014534504</v>
      </c>
      <c r="O15" s="81">
        <v>3.3267208006630069</v>
      </c>
      <c r="P15" s="81">
        <v>3.4206657353597638</v>
      </c>
      <c r="Q15" s="81">
        <v>3.4777433340040051</v>
      </c>
      <c r="R15" s="81">
        <v>3.5682279181234842</v>
      </c>
      <c r="S15" s="81">
        <v>3.687187095950585</v>
      </c>
      <c r="T15" s="81">
        <v>3.7720579622752899</v>
      </c>
      <c r="U15" s="991" t="str">
        <f t="shared" si="0"/>
        <v>PKU</v>
      </c>
      <c r="V15">
        <f t="shared" si="3"/>
        <v>11</v>
      </c>
      <c r="W15" cm="1">
        <f t="array" ref="W15">INDEX($D$4:$D$18,V15)</f>
        <v>6.1599999999999995E-2</v>
      </c>
      <c r="X15" s="1111">
        <f t="shared" si="4"/>
        <v>0</v>
      </c>
      <c r="Y15" s="1108">
        <f t="shared" si="5"/>
        <v>0</v>
      </c>
      <c r="Z15" s="1107">
        <f t="shared" si="1"/>
        <v>164.88616784724147</v>
      </c>
      <c r="AA15" s="1107">
        <f t="shared" si="1"/>
        <v>184.09930624953253</v>
      </c>
      <c r="AB15" s="1107">
        <f t="shared" si="1"/>
        <v>204.92600132084121</v>
      </c>
      <c r="AC15" s="1107">
        <f t="shared" si="1"/>
        <v>210.71300929816144</v>
      </c>
      <c r="AD15" s="1107">
        <f t="shared" si="1"/>
        <v>214.22898937464672</v>
      </c>
      <c r="AE15" s="1107">
        <f t="shared" si="1"/>
        <v>219.8028397564066</v>
      </c>
      <c r="AF15" s="1107">
        <f t="shared" si="1"/>
        <v>227.13072511055603</v>
      </c>
      <c r="AG15" s="1110">
        <f t="shared" si="1"/>
        <v>232.35877047615782</v>
      </c>
    </row>
    <row r="16" spans="1:33">
      <c r="A16" s="164">
        <v>13</v>
      </c>
      <c r="B16" s="164" t="s">
        <v>299</v>
      </c>
      <c r="C16" s="164">
        <v>880</v>
      </c>
      <c r="D16" s="1035">
        <f t="shared" si="2"/>
        <v>6.1599999999999995E-2</v>
      </c>
      <c r="I16" s="1333"/>
      <c r="J16" s="1098" t="s">
        <v>221</v>
      </c>
      <c r="K16" s="1105">
        <v>0</v>
      </c>
      <c r="L16" s="1105">
        <v>0</v>
      </c>
      <c r="M16" s="81">
        <v>4.656292558853881</v>
      </c>
      <c r="N16" s="81">
        <v>5.1701579253094927</v>
      </c>
      <c r="O16" s="81">
        <v>5.7049522853997843</v>
      </c>
      <c r="P16" s="81">
        <v>5.9036077353740524</v>
      </c>
      <c r="Q16" s="81">
        <v>6.0016762679311748</v>
      </c>
      <c r="R16" s="81">
        <v>6.1903062208601174</v>
      </c>
      <c r="S16" s="81">
        <v>6.4297568458917738</v>
      </c>
      <c r="T16" s="81">
        <v>6.5457830474570384</v>
      </c>
      <c r="U16" s="991" t="str">
        <f t="shared" si="0"/>
        <v>BDO</v>
      </c>
      <c r="V16">
        <f t="shared" si="3"/>
        <v>12</v>
      </c>
      <c r="W16" cm="1">
        <f t="array" ref="W16">INDEX($D$4:$D$18,V16)</f>
        <v>3.85E-2</v>
      </c>
      <c r="X16" s="1111">
        <f t="shared" si="4"/>
        <v>0</v>
      </c>
      <c r="Y16" s="1108">
        <f t="shared" si="5"/>
        <v>0</v>
      </c>
      <c r="Z16" s="1107">
        <f t="shared" si="1"/>
        <v>179.26726351587442</v>
      </c>
      <c r="AA16" s="1107">
        <f t="shared" si="1"/>
        <v>199.05108012441548</v>
      </c>
      <c r="AB16" s="1107">
        <f t="shared" si="1"/>
        <v>219.64066298789169</v>
      </c>
      <c r="AC16" s="1107">
        <f t="shared" si="1"/>
        <v>227.28889781190099</v>
      </c>
      <c r="AD16" s="1107">
        <f t="shared" si="1"/>
        <v>231.06453631535024</v>
      </c>
      <c r="AE16" s="1107">
        <f t="shared" si="1"/>
        <v>238.3267895031145</v>
      </c>
      <c r="AF16" s="1107">
        <f t="shared" si="1"/>
        <v>247.54563856683328</v>
      </c>
      <c r="AG16" s="1110">
        <f t="shared" si="1"/>
        <v>252.012647327096</v>
      </c>
    </row>
    <row r="17" spans="1:33">
      <c r="A17" s="164">
        <v>14</v>
      </c>
      <c r="B17" s="164" t="s">
        <v>267</v>
      </c>
      <c r="C17" s="164">
        <v>800</v>
      </c>
      <c r="D17" s="1035">
        <f t="shared" si="2"/>
        <v>5.5999999999999994E-2</v>
      </c>
      <c r="I17" s="1333">
        <v>4</v>
      </c>
      <c r="J17" s="1099" t="s">
        <v>222</v>
      </c>
      <c r="K17" s="1105">
        <v>0</v>
      </c>
      <c r="L17" s="1105">
        <v>0</v>
      </c>
      <c r="M17" s="1105">
        <v>0</v>
      </c>
      <c r="N17" s="81">
        <v>6.6056964496003108</v>
      </c>
      <c r="O17" s="81">
        <v>7.1522986840411784</v>
      </c>
      <c r="P17" s="81">
        <v>7.531769790592624</v>
      </c>
      <c r="Q17" s="81">
        <v>7.6559574628636895</v>
      </c>
      <c r="R17" s="81">
        <v>7.8521586886855914</v>
      </c>
      <c r="S17" s="81">
        <v>8.0854637769747306</v>
      </c>
      <c r="T17" s="81">
        <v>8.1225212922585115</v>
      </c>
      <c r="U17" s="991" t="str">
        <f t="shared" si="0"/>
        <v>LOP</v>
      </c>
      <c r="V17">
        <f t="shared" si="3"/>
        <v>13</v>
      </c>
      <c r="W17" cm="1">
        <f t="array" ref="W17">INDEX($D$4:$D$18,V17)</f>
        <v>6.1599999999999995E-2</v>
      </c>
      <c r="X17" s="1111">
        <f t="shared" si="4"/>
        <v>0</v>
      </c>
      <c r="Y17" s="1108">
        <f t="shared" si="5"/>
        <v>0</v>
      </c>
      <c r="Z17" s="1108">
        <f t="shared" si="1"/>
        <v>0</v>
      </c>
      <c r="AA17" s="1107">
        <f t="shared" si="1"/>
        <v>406.91090129537912</v>
      </c>
      <c r="AB17" s="1107">
        <f t="shared" si="1"/>
        <v>440.58159893693653</v>
      </c>
      <c r="AC17" s="1107">
        <f t="shared" si="1"/>
        <v>463.95701910050559</v>
      </c>
      <c r="AD17" s="1107">
        <f t="shared" si="1"/>
        <v>471.60697971240324</v>
      </c>
      <c r="AE17" s="1107">
        <f t="shared" si="1"/>
        <v>483.69297522303242</v>
      </c>
      <c r="AF17" s="1107">
        <f t="shared" si="1"/>
        <v>498.06456866164342</v>
      </c>
      <c r="AG17" s="1110">
        <f t="shared" si="1"/>
        <v>500.3473116031243</v>
      </c>
    </row>
    <row r="18" spans="1:33">
      <c r="A18" s="164">
        <v>15</v>
      </c>
      <c r="B18" s="164" t="s">
        <v>262</v>
      </c>
      <c r="C18" s="164">
        <v>880</v>
      </c>
      <c r="D18" s="1035">
        <f t="shared" si="2"/>
        <v>6.1599999999999995E-2</v>
      </c>
      <c r="I18" s="1333"/>
      <c r="J18" s="1100" t="s">
        <v>223</v>
      </c>
      <c r="K18" s="1105">
        <v>0</v>
      </c>
      <c r="L18" s="1105">
        <v>0</v>
      </c>
      <c r="M18" s="1105">
        <v>0</v>
      </c>
      <c r="N18" s="81">
        <v>3.0110120541728547</v>
      </c>
      <c r="O18" s="81">
        <v>3.6057334178918503</v>
      </c>
      <c r="P18" s="81">
        <v>4.0357245431995459</v>
      </c>
      <c r="Q18" s="81">
        <v>4.3550289643975084</v>
      </c>
      <c r="R18" s="81">
        <v>4.4664635282948151</v>
      </c>
      <c r="S18" s="81">
        <v>4.5930610403458729</v>
      </c>
      <c r="T18" s="81">
        <v>4.6080864564220763</v>
      </c>
      <c r="U18" s="991" t="str">
        <f t="shared" si="0"/>
        <v>TIM</v>
      </c>
      <c r="V18">
        <f t="shared" si="3"/>
        <v>14</v>
      </c>
      <c r="W18" cm="1">
        <f t="array" ref="W18">INDEX($D$4:$D$18,V18)</f>
        <v>5.5999999999999994E-2</v>
      </c>
      <c r="X18" s="1111">
        <f t="shared" si="4"/>
        <v>0</v>
      </c>
      <c r="Y18" s="1108">
        <f t="shared" si="5"/>
        <v>0</v>
      </c>
      <c r="Z18" s="1108">
        <f t="shared" si="1"/>
        <v>0</v>
      </c>
      <c r="AA18" s="1107">
        <f t="shared" si="1"/>
        <v>168.61667503367983</v>
      </c>
      <c r="AB18" s="1107">
        <f t="shared" si="1"/>
        <v>201.92107140194361</v>
      </c>
      <c r="AC18" s="1107">
        <f t="shared" si="1"/>
        <v>226.00057441917454</v>
      </c>
      <c r="AD18" s="1107">
        <f t="shared" si="1"/>
        <v>243.88162200626044</v>
      </c>
      <c r="AE18" s="1107">
        <f t="shared" si="1"/>
        <v>250.1219575845096</v>
      </c>
      <c r="AF18" s="1107">
        <f t="shared" si="1"/>
        <v>257.21141825936888</v>
      </c>
      <c r="AG18" s="1110">
        <f t="shared" si="1"/>
        <v>258.05284155963625</v>
      </c>
    </row>
    <row r="19" spans="1:33">
      <c r="I19" s="1333"/>
      <c r="J19" s="1100" t="s">
        <v>224</v>
      </c>
      <c r="K19" s="1105">
        <v>0</v>
      </c>
      <c r="L19" s="1105">
        <v>0</v>
      </c>
      <c r="M19" s="1105">
        <v>0</v>
      </c>
      <c r="N19" s="81">
        <v>4.4160684885148989</v>
      </c>
      <c r="O19" s="81">
        <v>5.3348358791439665</v>
      </c>
      <c r="P19" s="81">
        <v>5.9550170924239456</v>
      </c>
      <c r="Q19" s="81">
        <v>6.4139663069198463</v>
      </c>
      <c r="R19" s="81">
        <v>6.5995575254041299</v>
      </c>
      <c r="S19" s="81">
        <v>6.9380103770415547</v>
      </c>
      <c r="T19" s="81">
        <v>6.9725632942460631</v>
      </c>
      <c r="U19" s="991" t="str">
        <f t="shared" si="0"/>
        <v>AMQ</v>
      </c>
      <c r="V19">
        <f t="shared" si="3"/>
        <v>15</v>
      </c>
      <c r="W19" cm="1">
        <f t="array" ref="W19">INDEX($D$4:$D$18,V19)</f>
        <v>6.1599999999999995E-2</v>
      </c>
      <c r="X19" s="1111">
        <f t="shared" si="4"/>
        <v>0</v>
      </c>
      <c r="Y19" s="1108">
        <f t="shared" si="5"/>
        <v>0</v>
      </c>
      <c r="Z19" s="1108">
        <f t="shared" si="1"/>
        <v>0</v>
      </c>
      <c r="AA19" s="1107">
        <f t="shared" si="1"/>
        <v>272.02981889251777</v>
      </c>
      <c r="AB19" s="1107">
        <f t="shared" si="1"/>
        <v>328.62589015526834</v>
      </c>
      <c r="AC19" s="1107">
        <f t="shared" si="1"/>
        <v>366.82905289331501</v>
      </c>
      <c r="AD19" s="1107">
        <f t="shared" si="1"/>
        <v>395.1003245062625</v>
      </c>
      <c r="AE19" s="1107">
        <f t="shared" si="1"/>
        <v>406.53274356489436</v>
      </c>
      <c r="AF19" s="1107">
        <f t="shared" si="1"/>
        <v>427.38143922575972</v>
      </c>
      <c r="AG19" s="1110">
        <f t="shared" si="1"/>
        <v>429.50989892555748</v>
      </c>
    </row>
    <row r="20" spans="1:33" ht="15" thickBot="1">
      <c r="I20" s="1326"/>
      <c r="J20" s="1101" t="s">
        <v>225</v>
      </c>
      <c r="K20" s="1105">
        <v>0</v>
      </c>
      <c r="L20" s="1105">
        <v>0</v>
      </c>
      <c r="M20" s="1105">
        <v>0</v>
      </c>
      <c r="N20" s="81">
        <v>15.248456546599357</v>
      </c>
      <c r="O20" s="81">
        <v>16.258303335212752</v>
      </c>
      <c r="P20" s="81">
        <v>17.111807243174798</v>
      </c>
      <c r="Q20" s="81">
        <v>17.755180471765428</v>
      </c>
      <c r="R20" s="81">
        <v>18.29818634462162</v>
      </c>
      <c r="S20" s="81">
        <v>18.898884768556957</v>
      </c>
      <c r="T20" s="81">
        <v>18.989588357883839</v>
      </c>
      <c r="U20" s="991" t="str">
        <f t="shared" si="0"/>
        <v>CGK</v>
      </c>
      <c r="V20">
        <f t="shared" si="3"/>
        <v>3</v>
      </c>
      <c r="W20" cm="1">
        <f t="array" ref="W20">INDEX($D$4:$D$18,V20)</f>
        <v>1.2599999999999998E-2</v>
      </c>
      <c r="X20" s="1112">
        <f t="shared" si="4"/>
        <v>0</v>
      </c>
      <c r="Y20" s="1113">
        <f t="shared" si="5"/>
        <v>0</v>
      </c>
      <c r="Z20" s="1113">
        <f t="shared" ref="Z20" si="6">$W20*M20*1000</f>
        <v>0</v>
      </c>
      <c r="AA20" s="1114">
        <f t="shared" ref="AA20" si="7">$W20*N20*1000</f>
        <v>192.13055248715187</v>
      </c>
      <c r="AB20" s="1114">
        <f t="shared" ref="AB20" si="8">$W20*O20*1000</f>
        <v>204.85462202368066</v>
      </c>
      <c r="AC20" s="1114">
        <f t="shared" ref="AC20" si="9">$W20*P20*1000</f>
        <v>215.60877126400243</v>
      </c>
      <c r="AD20" s="1114">
        <f t="shared" ref="AD20" si="10">$W20*Q20*1000</f>
        <v>223.71527394424436</v>
      </c>
      <c r="AE20" s="1114">
        <f t="shared" ref="AE20" si="11">$W20*R20*1000</f>
        <v>230.55714794223238</v>
      </c>
      <c r="AF20" s="1114">
        <f t="shared" ref="AF20" si="12">$W20*S20*1000</f>
        <v>238.12594808381763</v>
      </c>
      <c r="AG20" s="1115">
        <f t="shared" ref="AG20" si="13">$W20*T20*1000</f>
        <v>239.26881330933634</v>
      </c>
    </row>
    <row r="23" spans="1:33">
      <c r="I23" s="58" t="s">
        <v>206</v>
      </c>
      <c r="J23" t="str" cm="1">
        <f t="array" ref="J23:Z23">TRANSPOSE(J4:J20)</f>
        <v>PLM-SUB</v>
      </c>
      <c r="K23" t="str">
        <v>SUB-CGK</v>
      </c>
      <c r="L23" t="str">
        <v>CGK-PKY</v>
      </c>
      <c r="M23" t="str">
        <v>PKY-CGK</v>
      </c>
      <c r="N23" t="str">
        <v>CGK-PLM</v>
      </c>
      <c r="O23" t="str">
        <v>MDC-SRG</v>
      </c>
      <c r="P23" t="str">
        <v>SRG-KDI</v>
      </c>
      <c r="Q23" t="str">
        <v>KDI-PNK</v>
      </c>
      <c r="R23" t="str">
        <v>PNK-MDC</v>
      </c>
      <c r="S23" t="str">
        <v>TTE-KNO</v>
      </c>
      <c r="T23" t="str">
        <v>KNO-PKU</v>
      </c>
      <c r="U23" t="str">
        <v>PKU-BDO</v>
      </c>
      <c r="V23" t="str">
        <v>BDO-TTE</v>
      </c>
      <c r="W23" t="str">
        <v>LOP-TIM</v>
      </c>
      <c r="X23" t="str">
        <v>TIM-AMQ</v>
      </c>
      <c r="Y23" t="str">
        <v>AMQ-CGK</v>
      </c>
      <c r="Z23" t="str">
        <v>CGK-LOP</v>
      </c>
    </row>
    <row r="24" spans="1:33">
      <c r="I24" s="58" t="s">
        <v>293</v>
      </c>
      <c r="J24" cm="1">
        <f t="array" ref="J24:Z24">TRANSPOSE(X4:X20)</f>
        <v>513.7612479999998</v>
      </c>
      <c r="K24">
        <v>168.58799999999997</v>
      </c>
      <c r="L24">
        <v>88.905347999999975</v>
      </c>
      <c r="M24">
        <v>701.66879999999992</v>
      </c>
      <c r="N24">
        <v>212.34968999999995</v>
      </c>
      <c r="O24">
        <v>128.06640000000002</v>
      </c>
      <c r="P24">
        <v>200.04390000000001</v>
      </c>
      <c r="Q24">
        <v>474.52159999999992</v>
      </c>
      <c r="R24">
        <v>511.50848000000002</v>
      </c>
      <c r="S24">
        <v>0</v>
      </c>
      <c r="T24">
        <v>0</v>
      </c>
      <c r="U24">
        <v>0</v>
      </c>
      <c r="V24">
        <v>0</v>
      </c>
      <c r="W24">
        <v>0</v>
      </c>
      <c r="X24">
        <v>0</v>
      </c>
      <c r="Y24">
        <v>0</v>
      </c>
      <c r="Z24">
        <v>0</v>
      </c>
    </row>
  </sheetData>
  <mergeCells count="10">
    <mergeCell ref="A1:A3"/>
    <mergeCell ref="B1:D2"/>
    <mergeCell ref="J2:J3"/>
    <mergeCell ref="I2:I3"/>
    <mergeCell ref="K2:T2"/>
    <mergeCell ref="I4:I8"/>
    <mergeCell ref="I9:I12"/>
    <mergeCell ref="I13:I16"/>
    <mergeCell ref="I17:I20"/>
    <mergeCell ref="X2:AG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DA14-C27E-4927-A066-40F12A3BDA81}">
  <sheetPr codeName="Sheet10"/>
  <dimension ref="A1:CY234"/>
  <sheetViews>
    <sheetView zoomScale="77" zoomScaleNormal="70" workbookViewId="0">
      <selection activeCell="B4" sqref="B4:B20"/>
    </sheetView>
  </sheetViews>
  <sheetFormatPr defaultRowHeight="14.45"/>
  <cols>
    <col min="1" max="1" width="13.5703125" customWidth="1"/>
    <col min="2" max="2" width="11.5703125" bestFit="1" customWidth="1"/>
    <col min="3" max="3" width="16.5703125" bestFit="1" customWidth="1"/>
    <col min="4" max="4" width="12.5703125" bestFit="1" customWidth="1"/>
    <col min="5" max="5" width="9.42578125" bestFit="1" customWidth="1"/>
    <col min="6" max="6" width="14.42578125" bestFit="1" customWidth="1"/>
    <col min="7" max="7" width="10" bestFit="1" customWidth="1"/>
    <col min="8" max="8" width="9" bestFit="1" customWidth="1"/>
    <col min="9" max="10" width="9.42578125" bestFit="1" customWidth="1"/>
    <col min="11" max="12" width="11.7109375" bestFit="1" customWidth="1"/>
    <col min="13" max="13" width="13" bestFit="1" customWidth="1"/>
    <col min="14" max="14" width="11.7109375" bestFit="1" customWidth="1"/>
    <col min="15" max="22" width="9.42578125" bestFit="1" customWidth="1"/>
    <col min="24" max="24" width="14" bestFit="1" customWidth="1"/>
    <col min="25" max="25" width="9.42578125" bestFit="1" customWidth="1"/>
    <col min="31" max="31" width="11.42578125" bestFit="1" customWidth="1"/>
    <col min="63" max="63" width="13.42578125" bestFit="1" customWidth="1"/>
    <col min="69" max="69" width="8.7109375" customWidth="1"/>
    <col min="71" max="71" width="13.42578125" bestFit="1" customWidth="1"/>
    <col min="79" max="79" width="14.42578125" customWidth="1"/>
    <col min="87" max="87" width="13.5703125" customWidth="1"/>
    <col min="97" max="97" width="8.7109375" customWidth="1"/>
    <col min="98" max="98" width="11" bestFit="1" customWidth="1"/>
  </cols>
  <sheetData>
    <row r="1" spans="1:63" ht="15" thickBot="1">
      <c r="A1" s="57"/>
      <c r="B1" s="57"/>
      <c r="C1" s="1367" t="s">
        <v>300</v>
      </c>
      <c r="D1" s="1367"/>
      <c r="E1" s="1367"/>
      <c r="F1" s="1367"/>
      <c r="G1" s="1367"/>
      <c r="H1" s="1367"/>
      <c r="I1" s="1367"/>
      <c r="J1" s="1367"/>
      <c r="K1" s="1367"/>
      <c r="L1" s="1367"/>
      <c r="M1" s="1367"/>
      <c r="N1" s="1367"/>
      <c r="O1" s="1367"/>
      <c r="P1" s="1367"/>
      <c r="Q1" s="1367"/>
      <c r="R1" s="1367"/>
      <c r="S1" s="1367"/>
      <c r="T1" s="1367"/>
      <c r="U1" s="1367"/>
      <c r="V1" s="1367"/>
      <c r="W1" s="57"/>
    </row>
    <row r="2" spans="1:63">
      <c r="A2" s="318"/>
      <c r="B2" s="319"/>
      <c r="C2" s="1368">
        <v>2023</v>
      </c>
      <c r="D2" s="1369"/>
      <c r="E2" s="1369"/>
      <c r="F2" s="1370"/>
      <c r="G2" s="1371">
        <v>2024</v>
      </c>
      <c r="H2" s="1372"/>
      <c r="I2" s="1372"/>
      <c r="J2" s="1373"/>
      <c r="K2" s="1374">
        <v>2025</v>
      </c>
      <c r="L2" s="1375"/>
      <c r="M2" s="1375"/>
      <c r="N2" s="1376"/>
      <c r="O2" s="1371">
        <v>2026</v>
      </c>
      <c r="P2" s="1372"/>
      <c r="Q2" s="1372"/>
      <c r="R2" s="1373"/>
      <c r="S2" s="1377">
        <v>2027</v>
      </c>
      <c r="T2" s="1378"/>
      <c r="U2" s="1378"/>
      <c r="V2" s="1379"/>
      <c r="W2" s="1393"/>
    </row>
    <row r="3" spans="1:63">
      <c r="A3" s="320"/>
      <c r="B3" s="317"/>
      <c r="C3" s="77">
        <v>1</v>
      </c>
      <c r="D3" s="77">
        <v>2</v>
      </c>
      <c r="E3" s="77">
        <v>3</v>
      </c>
      <c r="F3" s="77">
        <v>4</v>
      </c>
      <c r="G3" s="77">
        <v>1</v>
      </c>
      <c r="H3" s="77">
        <v>2</v>
      </c>
      <c r="I3" s="77">
        <v>3</v>
      </c>
      <c r="J3" s="77">
        <v>4</v>
      </c>
      <c r="K3" s="77">
        <v>1</v>
      </c>
      <c r="L3" s="77">
        <v>2</v>
      </c>
      <c r="M3" s="77">
        <v>3</v>
      </c>
      <c r="N3" s="77">
        <v>4</v>
      </c>
      <c r="O3" s="77">
        <v>1</v>
      </c>
      <c r="P3" s="77">
        <v>2</v>
      </c>
      <c r="Q3" s="77">
        <v>3</v>
      </c>
      <c r="R3" s="77">
        <v>4</v>
      </c>
      <c r="S3" s="77">
        <v>1</v>
      </c>
      <c r="T3" s="77">
        <v>2</v>
      </c>
      <c r="U3" s="77">
        <v>3</v>
      </c>
      <c r="V3" s="578">
        <v>4</v>
      </c>
      <c r="W3" s="1393"/>
    </row>
    <row r="4" spans="1:63">
      <c r="A4" s="1333">
        <v>1</v>
      </c>
      <c r="B4" s="87" t="s">
        <v>209</v>
      </c>
      <c r="C4" s="625">
        <v>25.149684727719276</v>
      </c>
      <c r="D4" s="313">
        <v>28.293395318684183</v>
      </c>
      <c r="E4" s="313">
        <v>30</v>
      </c>
      <c r="F4" s="313">
        <v>30</v>
      </c>
      <c r="G4" s="313">
        <v>30</v>
      </c>
      <c r="H4" s="313">
        <v>30</v>
      </c>
      <c r="I4" s="313">
        <v>35</v>
      </c>
      <c r="J4" s="313">
        <v>35</v>
      </c>
      <c r="K4" s="313">
        <v>35</v>
      </c>
      <c r="L4" s="313">
        <v>35</v>
      </c>
      <c r="M4" s="313">
        <v>35</v>
      </c>
      <c r="N4" s="313">
        <v>35</v>
      </c>
      <c r="O4" s="313">
        <v>35</v>
      </c>
      <c r="P4" s="313">
        <v>35</v>
      </c>
      <c r="Q4" s="313">
        <v>40</v>
      </c>
      <c r="R4" s="313">
        <v>40</v>
      </c>
      <c r="S4" s="313">
        <v>40</v>
      </c>
      <c r="T4" s="313">
        <v>40</v>
      </c>
      <c r="U4" s="313">
        <v>40</v>
      </c>
      <c r="V4" s="626">
        <v>40</v>
      </c>
      <c r="W4" s="106"/>
      <c r="BJ4" t="s">
        <v>301</v>
      </c>
      <c r="BK4" t="s">
        <v>302</v>
      </c>
    </row>
    <row r="5" spans="1:63">
      <c r="A5" s="1333"/>
      <c r="B5" s="87" t="s">
        <v>210</v>
      </c>
      <c r="C5" s="625">
        <v>12.28</v>
      </c>
      <c r="D5" s="313">
        <v>13.379999999999999</v>
      </c>
      <c r="E5" s="313">
        <v>14.479999999999999</v>
      </c>
      <c r="F5" s="313">
        <v>15.579999999999998</v>
      </c>
      <c r="G5" s="313">
        <v>16.68</v>
      </c>
      <c r="H5" s="313">
        <v>17.78</v>
      </c>
      <c r="I5" s="313">
        <v>18.880000000000003</v>
      </c>
      <c r="J5" s="313">
        <v>19.980000000000004</v>
      </c>
      <c r="K5" s="313">
        <v>21.080000000000005</v>
      </c>
      <c r="L5" s="313">
        <v>22.180000000000007</v>
      </c>
      <c r="M5" s="313">
        <v>23.280000000000008</v>
      </c>
      <c r="N5" s="313">
        <v>24.38000000000001</v>
      </c>
      <c r="O5" s="313">
        <v>25.480000000000011</v>
      </c>
      <c r="P5" s="313">
        <v>26.580000000000013</v>
      </c>
      <c r="Q5" s="313">
        <v>27.680000000000014</v>
      </c>
      <c r="R5" s="313">
        <v>28.780000000000015</v>
      </c>
      <c r="S5" s="313">
        <v>29.880000000000017</v>
      </c>
      <c r="T5" s="313">
        <v>30.980000000000018</v>
      </c>
      <c r="U5" s="313">
        <v>30.980000000000018</v>
      </c>
      <c r="V5" s="626">
        <v>30.980000000000018</v>
      </c>
      <c r="W5" s="106"/>
      <c r="BJ5" t="s">
        <v>303</v>
      </c>
      <c r="BK5">
        <v>1</v>
      </c>
    </row>
    <row r="6" spans="1:63">
      <c r="A6" s="1333"/>
      <c r="B6" s="87" t="s">
        <v>211</v>
      </c>
      <c r="C6" s="625">
        <v>7.8982948664334707</v>
      </c>
      <c r="D6" s="313">
        <v>8.6982948664334714</v>
      </c>
      <c r="E6" s="313">
        <v>9.4982948664334721</v>
      </c>
      <c r="F6" s="313">
        <v>10.298294866433473</v>
      </c>
      <c r="G6" s="313">
        <v>11.098294866433474</v>
      </c>
      <c r="H6" s="313">
        <v>11.898294866433474</v>
      </c>
      <c r="I6" s="313">
        <v>12.698294866433475</v>
      </c>
      <c r="J6" s="313">
        <v>13.498294866433476</v>
      </c>
      <c r="K6" s="313">
        <v>14.298294866433476</v>
      </c>
      <c r="L6" s="313">
        <v>15.098294866433477</v>
      </c>
      <c r="M6" s="313">
        <v>15.898294866433478</v>
      </c>
      <c r="N6" s="313">
        <v>16.698294866433478</v>
      </c>
      <c r="O6" s="313">
        <v>17.498294866433479</v>
      </c>
      <c r="P6" s="313">
        <v>18.29829486643348</v>
      </c>
      <c r="Q6" s="313">
        <v>19.098294866433481</v>
      </c>
      <c r="R6" s="313">
        <v>19.898294866433481</v>
      </c>
      <c r="S6" s="313">
        <v>20.698294866433482</v>
      </c>
      <c r="T6" s="313">
        <v>21.498294866433483</v>
      </c>
      <c r="U6" s="313">
        <v>21.498294866433483</v>
      </c>
      <c r="V6" s="626">
        <v>21.498294866433483</v>
      </c>
      <c r="W6" s="106"/>
      <c r="BJ6" t="s">
        <v>304</v>
      </c>
      <c r="BK6">
        <v>2</v>
      </c>
    </row>
    <row r="7" spans="1:63">
      <c r="A7" s="1333"/>
      <c r="B7" s="87" t="s">
        <v>212</v>
      </c>
      <c r="C7" s="625">
        <v>30</v>
      </c>
      <c r="D7" s="313">
        <v>30</v>
      </c>
      <c r="E7" s="313">
        <v>30</v>
      </c>
      <c r="F7" s="313">
        <v>30</v>
      </c>
      <c r="G7" s="313">
        <v>30</v>
      </c>
      <c r="H7" s="313">
        <v>30</v>
      </c>
      <c r="I7" s="313">
        <v>35</v>
      </c>
      <c r="J7" s="313">
        <v>35</v>
      </c>
      <c r="K7" s="313">
        <v>35</v>
      </c>
      <c r="L7" s="313">
        <v>35</v>
      </c>
      <c r="M7" s="313">
        <v>35</v>
      </c>
      <c r="N7" s="313">
        <v>35</v>
      </c>
      <c r="O7" s="313">
        <v>35</v>
      </c>
      <c r="P7" s="313">
        <v>35</v>
      </c>
      <c r="Q7" s="313">
        <v>40</v>
      </c>
      <c r="R7" s="313">
        <v>40</v>
      </c>
      <c r="S7" s="313">
        <v>40</v>
      </c>
      <c r="T7" s="313">
        <v>40</v>
      </c>
      <c r="U7" s="313">
        <v>40</v>
      </c>
      <c r="V7" s="626">
        <v>40</v>
      </c>
      <c r="W7" s="106"/>
      <c r="BJ7" t="s">
        <v>305</v>
      </c>
      <c r="BK7">
        <v>3</v>
      </c>
    </row>
    <row r="8" spans="1:63">
      <c r="A8" s="1333"/>
      <c r="B8" s="87" t="s">
        <v>213</v>
      </c>
      <c r="C8" s="625">
        <v>1.2004047</v>
      </c>
      <c r="D8" s="313">
        <v>1.2804316800000002</v>
      </c>
      <c r="E8" s="313">
        <v>1.5645274590000002</v>
      </c>
      <c r="F8" s="313">
        <v>1.6565584860000002</v>
      </c>
      <c r="G8" s="313">
        <v>1.7485895130000004</v>
      </c>
      <c r="H8" s="313">
        <v>1.8406205400000004</v>
      </c>
      <c r="I8" s="313">
        <v>2.2225493020500005</v>
      </c>
      <c r="J8" s="313">
        <v>2.3283849831000003</v>
      </c>
      <c r="K8" s="313">
        <v>2.4342206641500006</v>
      </c>
      <c r="L8" s="313">
        <v>2.5400563452000005</v>
      </c>
      <c r="M8" s="313">
        <v>3.0427758301875003</v>
      </c>
      <c r="N8" s="313">
        <v>3.1644868633950001</v>
      </c>
      <c r="O8" s="313">
        <v>3.2861978966025003</v>
      </c>
      <c r="P8" s="313">
        <v>3.4079089298100005</v>
      </c>
      <c r="Q8" s="313">
        <v>4.0590629574701254</v>
      </c>
      <c r="R8" s="313">
        <v>4.1990306456587501</v>
      </c>
      <c r="S8" s="313">
        <v>4.1990306456587501</v>
      </c>
      <c r="T8" s="313">
        <v>4.1990306456587501</v>
      </c>
      <c r="U8" s="313">
        <v>4.1990306456587501</v>
      </c>
      <c r="V8" s="626">
        <v>4.1990306456587501</v>
      </c>
      <c r="W8" s="106"/>
      <c r="BJ8" t="s">
        <v>306</v>
      </c>
      <c r="BK8">
        <v>4</v>
      </c>
    </row>
    <row r="9" spans="1:63">
      <c r="A9" s="1333">
        <v>2</v>
      </c>
      <c r="B9" s="303" t="s">
        <v>214</v>
      </c>
      <c r="C9" s="327">
        <v>0</v>
      </c>
      <c r="D9" s="328">
        <v>0</v>
      </c>
      <c r="E9" s="328">
        <v>0</v>
      </c>
      <c r="F9" s="330">
        <v>0</v>
      </c>
      <c r="G9" s="625">
        <v>16.586682724706499</v>
      </c>
      <c r="H9" s="313">
        <v>17.416016860941824</v>
      </c>
      <c r="I9" s="313">
        <v>20.982153646753719</v>
      </c>
      <c r="J9" s="313">
        <v>21.935887903424344</v>
      </c>
      <c r="K9" s="313">
        <v>22.889622160094969</v>
      </c>
      <c r="L9" s="313">
        <v>23.843356416765591</v>
      </c>
      <c r="M9" s="313">
        <v>28.516654274451646</v>
      </c>
      <c r="N9" s="313">
        <v>29.613448669622866</v>
      </c>
      <c r="O9" s="313">
        <v>30.710243064794081</v>
      </c>
      <c r="P9" s="313">
        <v>31.807037459965301</v>
      </c>
      <c r="Q9" s="313">
        <v>37.839406633406995</v>
      </c>
      <c r="R9" s="313">
        <v>37.839406633406981</v>
      </c>
      <c r="S9" s="313">
        <v>37.839406633406981</v>
      </c>
      <c r="T9" s="313">
        <v>37.839406633406981</v>
      </c>
      <c r="U9" s="313">
        <v>37.839406633406981</v>
      </c>
      <c r="V9" s="626">
        <v>37.839406633406981</v>
      </c>
      <c r="W9" s="106"/>
    </row>
    <row r="10" spans="1:63">
      <c r="A10" s="1333"/>
      <c r="B10" s="303" t="s">
        <v>215</v>
      </c>
      <c r="C10" s="327">
        <v>0</v>
      </c>
      <c r="D10" s="328">
        <v>0</v>
      </c>
      <c r="E10" s="328">
        <v>0</v>
      </c>
      <c r="F10" s="330">
        <v>0</v>
      </c>
      <c r="G10" s="625">
        <v>1.5</v>
      </c>
      <c r="H10" s="313">
        <v>2.5</v>
      </c>
      <c r="I10" s="313">
        <v>3.5</v>
      </c>
      <c r="J10" s="313">
        <v>4.5</v>
      </c>
      <c r="K10" s="313">
        <v>5.5</v>
      </c>
      <c r="L10" s="313">
        <v>6.5</v>
      </c>
      <c r="M10" s="313">
        <v>7.5</v>
      </c>
      <c r="N10" s="313">
        <v>8.5</v>
      </c>
      <c r="O10" s="313">
        <v>9.5</v>
      </c>
      <c r="P10" s="313">
        <v>10.5</v>
      </c>
      <c r="Q10" s="313">
        <v>11.5</v>
      </c>
      <c r="R10" s="313">
        <v>12.5</v>
      </c>
      <c r="S10" s="313">
        <v>13.5</v>
      </c>
      <c r="T10" s="313">
        <v>14.5</v>
      </c>
      <c r="U10" s="313">
        <v>15.5</v>
      </c>
      <c r="V10" s="626">
        <v>16.5</v>
      </c>
      <c r="W10" s="106"/>
    </row>
    <row r="11" spans="1:63">
      <c r="A11" s="1333"/>
      <c r="B11" s="303" t="s">
        <v>216</v>
      </c>
      <c r="C11" s="327">
        <v>0</v>
      </c>
      <c r="D11" s="328">
        <v>0</v>
      </c>
      <c r="E11" s="328">
        <v>0</v>
      </c>
      <c r="F11" s="330">
        <v>0</v>
      </c>
      <c r="G11" s="625">
        <v>12.272273211555067</v>
      </c>
      <c r="H11" s="313">
        <v>13.294962645851323</v>
      </c>
      <c r="I11" s="313">
        <v>16.465299892169714</v>
      </c>
      <c r="J11" s="313">
        <v>17.64139274161041</v>
      </c>
      <c r="K11" s="313">
        <v>18.817485591051106</v>
      </c>
      <c r="L11" s="313">
        <v>18.817485591051103</v>
      </c>
      <c r="M11" s="313">
        <v>18.817485591051103</v>
      </c>
      <c r="N11" s="313">
        <v>18.817485591051103</v>
      </c>
      <c r="O11" s="313">
        <v>18.817485591051103</v>
      </c>
      <c r="P11" s="313">
        <v>18.817485591051103</v>
      </c>
      <c r="Q11" s="313">
        <v>18.817485591051103</v>
      </c>
      <c r="R11" s="313">
        <v>18.817485591051103</v>
      </c>
      <c r="S11" s="313">
        <v>18.817485591051103</v>
      </c>
      <c r="T11" s="313">
        <v>18.817485591051103</v>
      </c>
      <c r="U11" s="313">
        <v>18.817485591051103</v>
      </c>
      <c r="V11" s="626">
        <v>18.817485591051103</v>
      </c>
      <c r="W11" s="106"/>
    </row>
    <row r="12" spans="1:63">
      <c r="A12" s="1333"/>
      <c r="B12" s="305" t="s">
        <v>217</v>
      </c>
      <c r="C12" s="327">
        <v>0</v>
      </c>
      <c r="D12" s="328">
        <v>0</v>
      </c>
      <c r="E12" s="328">
        <v>0</v>
      </c>
      <c r="F12" s="330">
        <v>0</v>
      </c>
      <c r="G12" s="625">
        <v>1.5</v>
      </c>
      <c r="H12" s="313">
        <v>2.5</v>
      </c>
      <c r="I12" s="313">
        <v>3.5</v>
      </c>
      <c r="J12" s="313">
        <v>4.5</v>
      </c>
      <c r="K12" s="313">
        <v>5.5</v>
      </c>
      <c r="L12" s="313">
        <v>6.5</v>
      </c>
      <c r="M12" s="313">
        <v>7.5</v>
      </c>
      <c r="N12" s="313">
        <v>8.5</v>
      </c>
      <c r="O12" s="313">
        <v>9.5</v>
      </c>
      <c r="P12" s="313">
        <v>10.5</v>
      </c>
      <c r="Q12" s="313">
        <v>11.5</v>
      </c>
      <c r="R12" s="313">
        <v>12.5</v>
      </c>
      <c r="S12" s="313">
        <v>13.5</v>
      </c>
      <c r="T12" s="313">
        <v>14.5</v>
      </c>
      <c r="U12" s="313">
        <v>15.5</v>
      </c>
      <c r="V12" s="626">
        <v>16.5</v>
      </c>
      <c r="W12" s="106"/>
      <c r="X12" t="s">
        <v>94</v>
      </c>
      <c r="Y12" t="s">
        <v>100</v>
      </c>
      <c r="Z12" t="s">
        <v>97</v>
      </c>
      <c r="AA12" t="s">
        <v>96</v>
      </c>
    </row>
    <row r="13" spans="1:63">
      <c r="A13" s="1333">
        <v>3</v>
      </c>
      <c r="B13" s="203" t="s">
        <v>218</v>
      </c>
      <c r="C13" s="327">
        <v>0</v>
      </c>
      <c r="D13" s="328">
        <v>0</v>
      </c>
      <c r="E13" s="328">
        <v>0</v>
      </c>
      <c r="F13" s="330">
        <v>0</v>
      </c>
      <c r="G13" s="327">
        <v>0</v>
      </c>
      <c r="H13" s="328">
        <v>0</v>
      </c>
      <c r="I13" s="328">
        <v>0</v>
      </c>
      <c r="J13" s="330">
        <v>0</v>
      </c>
      <c r="K13" s="625">
        <v>30</v>
      </c>
      <c r="L13" s="313">
        <v>30</v>
      </c>
      <c r="M13" s="313">
        <v>30</v>
      </c>
      <c r="N13" s="313">
        <v>30</v>
      </c>
      <c r="O13" s="313">
        <v>30</v>
      </c>
      <c r="P13" s="313">
        <v>30</v>
      </c>
      <c r="Q13" s="313">
        <v>35</v>
      </c>
      <c r="R13" s="313">
        <v>35</v>
      </c>
      <c r="S13" s="313">
        <v>35</v>
      </c>
      <c r="T13" s="313">
        <v>35</v>
      </c>
      <c r="U13" s="313">
        <v>35</v>
      </c>
      <c r="V13" s="626">
        <v>35</v>
      </c>
      <c r="W13" s="106"/>
      <c r="X13">
        <v>7.4387633177337449</v>
      </c>
      <c r="Y13">
        <v>7.7861558137056388</v>
      </c>
      <c r="Z13">
        <v>7.8552148564025046</v>
      </c>
      <c r="AA13">
        <v>7.9130743206373459</v>
      </c>
    </row>
    <row r="14" spans="1:63">
      <c r="A14" s="1333"/>
      <c r="B14" s="203" t="s">
        <v>219</v>
      </c>
      <c r="C14" s="327">
        <v>0</v>
      </c>
      <c r="D14" s="328">
        <v>0</v>
      </c>
      <c r="E14" s="328">
        <v>0</v>
      </c>
      <c r="F14" s="330">
        <v>0</v>
      </c>
      <c r="G14" s="327">
        <v>0</v>
      </c>
      <c r="H14" s="328">
        <v>0</v>
      </c>
      <c r="I14" s="328">
        <v>0</v>
      </c>
      <c r="J14" s="330">
        <v>0</v>
      </c>
      <c r="K14" s="625">
        <v>12.41</v>
      </c>
      <c r="L14" s="313">
        <v>12.71</v>
      </c>
      <c r="M14" s="313">
        <v>13.010000000000002</v>
      </c>
      <c r="N14" s="313">
        <v>13.310000000000002</v>
      </c>
      <c r="O14" s="313">
        <v>13.610000000000003</v>
      </c>
      <c r="P14" s="313">
        <v>13.910000000000004</v>
      </c>
      <c r="Q14" s="313">
        <v>14.210000000000004</v>
      </c>
      <c r="R14" s="313">
        <v>14.510000000000005</v>
      </c>
      <c r="S14" s="313">
        <v>14.810000000000006</v>
      </c>
      <c r="T14" s="313">
        <v>15.110000000000007</v>
      </c>
      <c r="U14" s="313">
        <v>15.110000000000007</v>
      </c>
      <c r="V14" s="626">
        <v>15.110000000000007</v>
      </c>
      <c r="W14" s="106"/>
      <c r="X14">
        <v>12.529722194563377</v>
      </c>
      <c r="Y14">
        <v>13.270382606842162</v>
      </c>
      <c r="Z14">
        <v>13.417620384366227</v>
      </c>
      <c r="AA14">
        <v>13.540980028374987</v>
      </c>
    </row>
    <row r="15" spans="1:63">
      <c r="A15" s="1333"/>
      <c r="B15" s="203" t="s">
        <v>220</v>
      </c>
      <c r="C15" s="327">
        <v>0</v>
      </c>
      <c r="D15" s="328">
        <v>0</v>
      </c>
      <c r="E15" s="328">
        <v>0</v>
      </c>
      <c r="F15" s="330">
        <v>0</v>
      </c>
      <c r="G15" s="327">
        <v>0</v>
      </c>
      <c r="H15" s="328">
        <v>0</v>
      </c>
      <c r="I15" s="328">
        <v>0</v>
      </c>
      <c r="J15" s="330">
        <v>0</v>
      </c>
      <c r="K15" s="625">
        <v>0.53733209555077555</v>
      </c>
      <c r="L15" s="313">
        <v>1.0373320955507754</v>
      </c>
      <c r="M15" s="313">
        <v>1.5373320955507754</v>
      </c>
      <c r="N15" s="313">
        <v>2.0373320955507754</v>
      </c>
      <c r="O15" s="313">
        <v>2.5373320955507754</v>
      </c>
      <c r="P15" s="313">
        <v>3.0373320955507754</v>
      </c>
      <c r="Q15" s="313">
        <v>3.5373320955507754</v>
      </c>
      <c r="R15" s="313">
        <v>4.0373320955507754</v>
      </c>
      <c r="S15" s="313">
        <v>4.5373320955507754</v>
      </c>
      <c r="T15" s="313">
        <v>5.0373320955507754</v>
      </c>
      <c r="U15" s="313">
        <v>5.0373320955507754</v>
      </c>
      <c r="V15" s="626">
        <v>5.0373320955507754</v>
      </c>
      <c r="W15" s="106"/>
      <c r="X15">
        <v>11.371851040525739</v>
      </c>
      <c r="Y15">
        <v>11.995896834701055</v>
      </c>
      <c r="Z15">
        <v>12.119952494061756</v>
      </c>
      <c r="AA15">
        <v>12.223889555822328</v>
      </c>
    </row>
    <row r="16" spans="1:63">
      <c r="A16" s="1333"/>
      <c r="B16" s="203" t="s">
        <v>221</v>
      </c>
      <c r="C16" s="327">
        <v>0</v>
      </c>
      <c r="D16" s="328">
        <v>0</v>
      </c>
      <c r="E16" s="328">
        <v>0</v>
      </c>
      <c r="F16" s="330">
        <v>0</v>
      </c>
      <c r="G16" s="327">
        <v>0</v>
      </c>
      <c r="H16" s="328">
        <v>0</v>
      </c>
      <c r="I16" s="328">
        <v>0</v>
      </c>
      <c r="J16" s="330">
        <v>0</v>
      </c>
      <c r="K16" s="625">
        <v>1.5</v>
      </c>
      <c r="L16" s="313">
        <v>2.5</v>
      </c>
      <c r="M16" s="313">
        <v>3.5</v>
      </c>
      <c r="N16" s="313">
        <v>4.5</v>
      </c>
      <c r="O16" s="313">
        <v>5.5</v>
      </c>
      <c r="P16" s="313">
        <v>6.5</v>
      </c>
      <c r="Q16" s="313">
        <v>7.5</v>
      </c>
      <c r="R16" s="313">
        <v>8.5</v>
      </c>
      <c r="S16" s="313">
        <v>9.5</v>
      </c>
      <c r="T16" s="313">
        <v>10.5</v>
      </c>
      <c r="U16" s="313">
        <v>11.5</v>
      </c>
      <c r="V16" s="626">
        <v>12.5</v>
      </c>
      <c r="W16" s="106"/>
      <c r="X16">
        <v>12.86508015533207</v>
      </c>
      <c r="Y16">
        <v>13.558989662154961</v>
      </c>
      <c r="Z16">
        <v>13.696933707622545</v>
      </c>
      <c r="AA16">
        <v>13.812506820910185</v>
      </c>
    </row>
    <row r="17" spans="1:103">
      <c r="A17" s="1333">
        <v>4</v>
      </c>
      <c r="B17" s="307" t="s">
        <v>222</v>
      </c>
      <c r="C17" s="327">
        <v>0</v>
      </c>
      <c r="D17" s="328">
        <v>0</v>
      </c>
      <c r="E17" s="328">
        <v>0</v>
      </c>
      <c r="F17" s="330">
        <v>0</v>
      </c>
      <c r="G17" s="327">
        <v>0</v>
      </c>
      <c r="H17" s="328">
        <v>0</v>
      </c>
      <c r="I17" s="328">
        <v>0</v>
      </c>
      <c r="J17" s="330">
        <v>0</v>
      </c>
      <c r="K17" s="327">
        <v>0</v>
      </c>
      <c r="L17" s="328">
        <v>0</v>
      </c>
      <c r="M17" s="328">
        <v>0</v>
      </c>
      <c r="N17" s="328">
        <v>0</v>
      </c>
      <c r="O17" s="313">
        <v>25</v>
      </c>
      <c r="P17" s="313">
        <v>25</v>
      </c>
      <c r="Q17" s="313">
        <v>25</v>
      </c>
      <c r="R17" s="313">
        <v>25</v>
      </c>
      <c r="S17" s="313">
        <v>25</v>
      </c>
      <c r="T17" s="313">
        <v>25</v>
      </c>
      <c r="U17" s="313">
        <v>25</v>
      </c>
      <c r="V17" s="626">
        <v>25</v>
      </c>
      <c r="W17" s="106"/>
    </row>
    <row r="18" spans="1:103">
      <c r="A18" s="1333"/>
      <c r="B18" s="308" t="s">
        <v>223</v>
      </c>
      <c r="C18" s="327">
        <v>0</v>
      </c>
      <c r="D18" s="328">
        <v>0</v>
      </c>
      <c r="E18" s="328">
        <v>0</v>
      </c>
      <c r="F18" s="330">
        <v>0</v>
      </c>
      <c r="G18" s="327">
        <v>0</v>
      </c>
      <c r="H18" s="328">
        <v>0</v>
      </c>
      <c r="I18" s="328">
        <v>0</v>
      </c>
      <c r="J18" s="330">
        <v>0</v>
      </c>
      <c r="K18" s="327">
        <v>0</v>
      </c>
      <c r="L18" s="328">
        <v>0</v>
      </c>
      <c r="M18" s="328">
        <v>0</v>
      </c>
      <c r="N18" s="330">
        <v>0</v>
      </c>
      <c r="O18" s="625">
        <v>1.5</v>
      </c>
      <c r="P18" s="313">
        <v>3.5</v>
      </c>
      <c r="Q18" s="313">
        <v>5.5</v>
      </c>
      <c r="R18" s="313">
        <v>7.5</v>
      </c>
      <c r="S18" s="313">
        <v>9.5</v>
      </c>
      <c r="T18" s="313">
        <v>11.5</v>
      </c>
      <c r="U18" s="313">
        <v>13.5</v>
      </c>
      <c r="V18" s="626">
        <v>15.5</v>
      </c>
      <c r="W18" s="106"/>
    </row>
    <row r="19" spans="1:103">
      <c r="A19" s="1333"/>
      <c r="B19" s="308" t="s">
        <v>224</v>
      </c>
      <c r="C19" s="327">
        <v>0</v>
      </c>
      <c r="D19" s="328">
        <v>0</v>
      </c>
      <c r="E19" s="328">
        <v>0</v>
      </c>
      <c r="F19" s="330">
        <v>0</v>
      </c>
      <c r="G19" s="327">
        <v>0</v>
      </c>
      <c r="H19" s="328">
        <v>0</v>
      </c>
      <c r="I19" s="328">
        <v>0</v>
      </c>
      <c r="J19" s="330">
        <v>0</v>
      </c>
      <c r="K19" s="327">
        <v>0</v>
      </c>
      <c r="L19" s="328">
        <v>0</v>
      </c>
      <c r="M19" s="328">
        <v>0</v>
      </c>
      <c r="N19" s="330">
        <v>0</v>
      </c>
      <c r="O19" s="625">
        <v>30</v>
      </c>
      <c r="P19" s="313">
        <v>30</v>
      </c>
      <c r="Q19" s="313">
        <v>35</v>
      </c>
      <c r="R19" s="313">
        <v>35</v>
      </c>
      <c r="S19" s="313">
        <v>35</v>
      </c>
      <c r="T19" s="313">
        <v>35</v>
      </c>
      <c r="U19" s="313">
        <v>35</v>
      </c>
      <c r="V19" s="626">
        <v>35</v>
      </c>
      <c r="W19" s="106"/>
    </row>
    <row r="20" spans="1:103" ht="15" thickBot="1">
      <c r="A20" s="1326"/>
      <c r="B20" s="633" t="s">
        <v>225</v>
      </c>
      <c r="C20" s="329">
        <v>0</v>
      </c>
      <c r="D20" s="331">
        <v>0</v>
      </c>
      <c r="E20" s="331">
        <v>0</v>
      </c>
      <c r="F20" s="332">
        <v>0</v>
      </c>
      <c r="G20" s="329">
        <v>0</v>
      </c>
      <c r="H20" s="331">
        <v>0</v>
      </c>
      <c r="I20" s="331">
        <v>0</v>
      </c>
      <c r="J20" s="332">
        <v>0</v>
      </c>
      <c r="K20" s="329">
        <v>0</v>
      </c>
      <c r="L20" s="331">
        <v>0</v>
      </c>
      <c r="M20" s="331">
        <v>0</v>
      </c>
      <c r="N20" s="332">
        <v>0</v>
      </c>
      <c r="O20" s="627">
        <v>1.5</v>
      </c>
      <c r="P20" s="628">
        <v>3.5</v>
      </c>
      <c r="Q20" s="628">
        <v>5.5</v>
      </c>
      <c r="R20" s="628">
        <v>7.5</v>
      </c>
      <c r="S20" s="628">
        <v>9.5</v>
      </c>
      <c r="T20" s="628">
        <v>11.5</v>
      </c>
      <c r="U20" s="628">
        <v>13.5</v>
      </c>
      <c r="V20" s="629">
        <v>15.5</v>
      </c>
      <c r="W20" s="106"/>
    </row>
    <row r="21" spans="1:103">
      <c r="A21" s="94"/>
      <c r="B21" s="637"/>
      <c r="C21" s="106"/>
      <c r="D21" s="106"/>
      <c r="E21" s="106"/>
      <c r="F21" s="106"/>
      <c r="G21" s="106"/>
      <c r="H21" s="106"/>
      <c r="I21" s="106"/>
      <c r="J21" s="106"/>
      <c r="K21" s="106"/>
      <c r="L21" s="106"/>
      <c r="M21" s="106"/>
      <c r="N21" s="106"/>
      <c r="O21" s="106"/>
      <c r="P21" s="106"/>
      <c r="Q21" s="106"/>
      <c r="R21" s="106"/>
      <c r="S21" s="106"/>
      <c r="T21" s="106"/>
      <c r="U21" s="106"/>
      <c r="V21" s="106"/>
      <c r="W21" s="106"/>
    </row>
    <row r="22" spans="1:103">
      <c r="A22" s="94"/>
      <c r="B22" s="637"/>
      <c r="C22" s="106"/>
      <c r="D22" s="106"/>
      <c r="E22" s="106"/>
      <c r="F22" s="106"/>
      <c r="G22" s="106"/>
      <c r="H22" s="106"/>
      <c r="I22" s="106"/>
      <c r="J22" s="106"/>
      <c r="K22" s="106"/>
      <c r="L22" s="106"/>
      <c r="M22" s="106"/>
      <c r="N22" s="106"/>
      <c r="O22" s="106"/>
      <c r="P22" s="106"/>
      <c r="Q22" s="106"/>
      <c r="R22" s="106"/>
      <c r="S22" s="106"/>
      <c r="T22" s="106"/>
      <c r="U22" s="106"/>
      <c r="V22" s="106"/>
      <c r="W22" s="106"/>
    </row>
    <row r="23" spans="1:103">
      <c r="A23" s="94"/>
      <c r="B23" s="638"/>
      <c r="C23" s="106"/>
      <c r="D23" s="106"/>
      <c r="E23" s="106"/>
      <c r="F23" s="106"/>
      <c r="G23" s="106"/>
      <c r="H23" s="106"/>
      <c r="I23" s="106"/>
      <c r="J23" s="106"/>
      <c r="K23" s="106"/>
      <c r="L23" s="106"/>
      <c r="M23" s="106"/>
      <c r="N23" s="106"/>
      <c r="O23" s="106"/>
      <c r="P23" s="106"/>
      <c r="Q23" s="106"/>
      <c r="R23" s="106"/>
      <c r="S23" s="106"/>
      <c r="T23" s="106"/>
      <c r="U23" s="106"/>
      <c r="V23" s="106"/>
      <c r="W23" s="106"/>
    </row>
    <row r="24" spans="1:103">
      <c r="A24" s="133"/>
      <c r="B24" s="57"/>
      <c r="C24" s="57"/>
      <c r="D24" s="57"/>
      <c r="E24" s="57"/>
      <c r="F24" s="57"/>
      <c r="G24" s="57"/>
      <c r="H24" s="57"/>
      <c r="I24" s="57"/>
      <c r="J24" s="57"/>
      <c r="K24" s="57"/>
      <c r="L24" s="57"/>
      <c r="M24" s="57"/>
      <c r="N24" s="57"/>
      <c r="O24" s="57"/>
      <c r="P24" s="57"/>
      <c r="Q24" s="57"/>
      <c r="R24" s="57"/>
      <c r="S24" s="57"/>
      <c r="T24" s="57"/>
      <c r="U24" s="57"/>
      <c r="V24" s="57"/>
      <c r="W24" s="106"/>
    </row>
    <row r="25" spans="1:103">
      <c r="A25" s="133"/>
      <c r="B25" s="57"/>
      <c r="C25" s="57"/>
      <c r="D25" s="57"/>
      <c r="E25" s="57"/>
      <c r="F25" s="57"/>
      <c r="G25" s="57"/>
      <c r="H25" s="57"/>
      <c r="I25" s="57"/>
      <c r="J25" s="57"/>
      <c r="K25" s="57"/>
      <c r="L25" s="57"/>
      <c r="M25" s="57"/>
      <c r="N25" s="57"/>
      <c r="O25" s="57"/>
      <c r="P25" s="57"/>
      <c r="Q25" s="57"/>
      <c r="R25" s="57"/>
      <c r="S25" s="57"/>
      <c r="T25" s="57"/>
      <c r="U25" s="57"/>
      <c r="V25" s="57"/>
      <c r="W25" s="106"/>
    </row>
    <row r="26" spans="1:103">
      <c r="A26" s="133"/>
      <c r="B26" s="57"/>
      <c r="C26" s="57"/>
      <c r="D26" s="57"/>
      <c r="E26" s="57"/>
      <c r="F26" s="57"/>
      <c r="G26" s="57"/>
      <c r="H26" s="57"/>
      <c r="I26" s="57"/>
      <c r="J26" s="57"/>
      <c r="K26" s="57"/>
      <c r="L26" s="57"/>
      <c r="M26" s="57"/>
      <c r="N26" s="57"/>
      <c r="O26" s="57"/>
      <c r="P26" s="57"/>
      <c r="Q26" s="57"/>
      <c r="R26" s="57"/>
      <c r="S26" s="57"/>
      <c r="T26" s="57"/>
      <c r="U26" s="57"/>
      <c r="V26" s="57"/>
      <c r="W26" s="106"/>
    </row>
    <row r="27" spans="1:103">
      <c r="A27" s="133"/>
      <c r="B27" s="57"/>
      <c r="C27" s="57"/>
      <c r="D27" s="57"/>
      <c r="E27" s="57"/>
      <c r="F27" s="57"/>
      <c r="G27" s="57"/>
      <c r="H27" s="57"/>
      <c r="I27" s="57"/>
      <c r="J27" s="57"/>
      <c r="K27" s="57"/>
      <c r="L27" s="57"/>
      <c r="M27" s="57"/>
      <c r="N27" s="57"/>
      <c r="O27" s="57"/>
      <c r="P27" s="57"/>
      <c r="Q27" s="57"/>
      <c r="R27" s="57"/>
      <c r="S27" s="57"/>
      <c r="T27" s="57"/>
      <c r="U27" s="57"/>
      <c r="V27" s="57"/>
      <c r="W27" s="106"/>
    </row>
    <row r="28" spans="1:103" ht="15" thickBot="1"/>
    <row r="29" spans="1:103" ht="15" thickBot="1">
      <c r="A29" s="252" t="s">
        <v>307</v>
      </c>
      <c r="B29" s="253">
        <v>0.9</v>
      </c>
      <c r="X29" s="9"/>
      <c r="Y29" s="9"/>
      <c r="Z29" s="9"/>
      <c r="AA29" s="58"/>
      <c r="AB29" s="58"/>
    </row>
    <row r="30" spans="1:103" ht="15" thickBot="1">
      <c r="BJ30" s="1334" t="s">
        <v>308</v>
      </c>
      <c r="BK30" s="1335"/>
      <c r="BL30" s="1335"/>
      <c r="BM30" s="1335"/>
      <c r="BN30" s="1335"/>
      <c r="BO30" s="1335"/>
      <c r="BP30" s="1336"/>
      <c r="BR30" s="1334" t="s">
        <v>309</v>
      </c>
      <c r="BS30" s="1335"/>
      <c r="BT30" s="1335"/>
      <c r="BU30" s="1335"/>
      <c r="BV30" s="1335"/>
      <c r="BW30" s="1335"/>
      <c r="BX30" s="1336"/>
      <c r="BZ30" s="1334" t="s">
        <v>310</v>
      </c>
      <c r="CA30" s="1335"/>
      <c r="CB30" s="1335"/>
      <c r="CC30" s="1335"/>
      <c r="CD30" s="1335"/>
      <c r="CE30" s="1335"/>
      <c r="CF30" s="1336"/>
      <c r="CH30" s="1334" t="s">
        <v>311</v>
      </c>
      <c r="CI30" s="1335"/>
      <c r="CJ30" s="1335"/>
      <c r="CK30" s="1335"/>
      <c r="CL30" s="1335"/>
      <c r="CM30" s="1335"/>
      <c r="CN30" s="1336"/>
      <c r="CS30" s="1334" t="s">
        <v>312</v>
      </c>
      <c r="CT30" s="1335"/>
      <c r="CU30" s="1335"/>
      <c r="CV30" s="1335"/>
      <c r="CW30" s="1335"/>
      <c r="CX30" s="1335"/>
      <c r="CY30" s="1336"/>
    </row>
    <row r="31" spans="1:103" ht="15" thickBot="1">
      <c r="A31" s="1288" t="s">
        <v>313</v>
      </c>
      <c r="B31" s="1288"/>
      <c r="C31" s="1288"/>
      <c r="D31" s="1288"/>
      <c r="E31" s="1288"/>
      <c r="F31" s="1288"/>
      <c r="G31" s="1288"/>
      <c r="H31" s="1288"/>
      <c r="I31" s="1288"/>
      <c r="J31" s="1288"/>
      <c r="K31" s="1288"/>
      <c r="L31" s="1288"/>
      <c r="M31" s="1288"/>
      <c r="N31" s="1288"/>
      <c r="O31" s="1288"/>
      <c r="P31" s="1288"/>
      <c r="Q31" s="1288"/>
      <c r="R31" s="1288"/>
      <c r="S31" s="1288"/>
      <c r="T31" s="1288"/>
      <c r="U31" s="1288"/>
      <c r="V31" s="1288"/>
      <c r="AD31" s="1404" t="s">
        <v>313</v>
      </c>
      <c r="AE31" s="1405"/>
      <c r="AF31" s="1405"/>
      <c r="AG31" s="1405"/>
      <c r="AH31" s="1405"/>
      <c r="AI31" s="1405"/>
      <c r="AJ31" s="1405"/>
      <c r="AK31" s="1405"/>
      <c r="AL31" s="1405"/>
      <c r="AM31" s="1405"/>
      <c r="AN31" s="1405"/>
      <c r="AO31" s="1405"/>
      <c r="AP31" s="1405"/>
      <c r="AQ31" s="1405"/>
      <c r="AR31" s="1405"/>
      <c r="AS31" s="1405"/>
      <c r="AT31" s="1405"/>
      <c r="AU31" s="1405"/>
      <c r="AV31" s="1405"/>
      <c r="AW31" s="1405"/>
      <c r="AX31" s="1405"/>
      <c r="AY31" s="1406"/>
      <c r="BJ31" s="136"/>
      <c r="BL31" s="1334" t="s">
        <v>314</v>
      </c>
      <c r="BM31" s="1335"/>
      <c r="BN31" s="1335"/>
      <c r="BO31" s="1335"/>
      <c r="BP31" s="1336"/>
      <c r="BR31" s="1322" t="s">
        <v>291</v>
      </c>
      <c r="BS31" s="1401" t="s">
        <v>206</v>
      </c>
      <c r="BT31" s="1334" t="s">
        <v>314</v>
      </c>
      <c r="BU31" s="1335"/>
      <c r="BV31" s="1335"/>
      <c r="BW31" s="1335"/>
      <c r="BX31" s="1336"/>
      <c r="BZ31" s="1320" t="s">
        <v>291</v>
      </c>
      <c r="CA31" s="1401" t="s">
        <v>206</v>
      </c>
      <c r="CB31" s="1334" t="s">
        <v>314</v>
      </c>
      <c r="CC31" s="1335"/>
      <c r="CD31" s="1335"/>
      <c r="CE31" s="1335"/>
      <c r="CF31" s="1336"/>
      <c r="CH31" s="136"/>
      <c r="CJ31" s="1334" t="s">
        <v>314</v>
      </c>
      <c r="CK31" s="1335"/>
      <c r="CL31" s="1335"/>
      <c r="CM31" s="1335"/>
      <c r="CN31" s="1336"/>
      <c r="CS31" s="1322" t="s">
        <v>291</v>
      </c>
      <c r="CT31" s="1401" t="s">
        <v>206</v>
      </c>
      <c r="CU31" s="1334" t="s">
        <v>314</v>
      </c>
      <c r="CV31" s="1335"/>
      <c r="CW31" s="1335"/>
      <c r="CX31" s="1335"/>
      <c r="CY31" s="1336"/>
    </row>
    <row r="32" spans="1:103" ht="15" thickBot="1">
      <c r="A32" s="269"/>
      <c r="B32" s="270"/>
      <c r="C32" s="1380">
        <v>2022</v>
      </c>
      <c r="D32" s="1380"/>
      <c r="E32" s="1380"/>
      <c r="F32" s="1380"/>
      <c r="G32" s="1381">
        <v>2023</v>
      </c>
      <c r="H32" s="1381"/>
      <c r="I32" s="1381"/>
      <c r="J32" s="1381"/>
      <c r="K32" s="1382">
        <v>2024</v>
      </c>
      <c r="L32" s="1382"/>
      <c r="M32" s="1382"/>
      <c r="N32" s="1382"/>
      <c r="O32" s="1381">
        <v>2025</v>
      </c>
      <c r="P32" s="1381"/>
      <c r="Q32" s="1381"/>
      <c r="R32" s="1381"/>
      <c r="S32" s="1383">
        <v>2026</v>
      </c>
      <c r="T32" s="1383"/>
      <c r="U32" s="1383"/>
      <c r="V32" s="1383"/>
      <c r="W32" s="354"/>
      <c r="X32" s="354"/>
      <c r="Y32" s="354"/>
      <c r="AD32" s="639"/>
      <c r="AE32" s="341"/>
      <c r="AF32" s="1366">
        <v>2022</v>
      </c>
      <c r="AG32" s="1366"/>
      <c r="AH32" s="1366"/>
      <c r="AI32" s="1366"/>
      <c r="AJ32" s="1366">
        <v>2023</v>
      </c>
      <c r="AK32" s="1366"/>
      <c r="AL32" s="1366"/>
      <c r="AM32" s="1366"/>
      <c r="AN32" s="1366">
        <v>2024</v>
      </c>
      <c r="AO32" s="1366"/>
      <c r="AP32" s="1366"/>
      <c r="AQ32" s="1366"/>
      <c r="AR32" s="1366">
        <v>2025</v>
      </c>
      <c r="AS32" s="1366"/>
      <c r="AT32" s="1366"/>
      <c r="AU32" s="1366"/>
      <c r="AV32" s="1366">
        <v>2026</v>
      </c>
      <c r="AW32" s="1366"/>
      <c r="AX32" s="1366"/>
      <c r="AY32" s="1407"/>
      <c r="BJ32" s="136"/>
      <c r="BL32" s="506">
        <v>2022</v>
      </c>
      <c r="BM32" s="371">
        <v>2023</v>
      </c>
      <c r="BN32" s="371">
        <v>2024</v>
      </c>
      <c r="BO32" s="371">
        <v>2025</v>
      </c>
      <c r="BP32" s="507">
        <v>2026</v>
      </c>
      <c r="BR32" s="1323"/>
      <c r="BS32" s="1402"/>
      <c r="BT32" s="506">
        <v>2022</v>
      </c>
      <c r="BU32" s="371">
        <v>2023</v>
      </c>
      <c r="BV32" s="371">
        <v>2024</v>
      </c>
      <c r="BW32" s="371">
        <v>2025</v>
      </c>
      <c r="BX32" s="507">
        <v>2026</v>
      </c>
      <c r="BZ32" s="1321"/>
      <c r="CA32" s="1402"/>
      <c r="CB32" s="506">
        <v>2022</v>
      </c>
      <c r="CC32" s="371">
        <v>2023</v>
      </c>
      <c r="CD32" s="371">
        <v>2024</v>
      </c>
      <c r="CE32" s="371">
        <v>2025</v>
      </c>
      <c r="CF32" s="507">
        <v>2026</v>
      </c>
      <c r="CH32" s="136"/>
      <c r="CJ32" s="506">
        <v>2022</v>
      </c>
      <c r="CK32" s="371">
        <v>2023</v>
      </c>
      <c r="CL32" s="371">
        <v>2024</v>
      </c>
      <c r="CM32" s="371">
        <v>2025</v>
      </c>
      <c r="CN32" s="507">
        <v>2026</v>
      </c>
      <c r="CS32" s="1323"/>
      <c r="CT32" s="1402"/>
      <c r="CU32" s="506">
        <v>2022</v>
      </c>
      <c r="CV32" s="371">
        <v>2023</v>
      </c>
      <c r="CW32" s="371">
        <v>2024</v>
      </c>
      <c r="CX32" s="371">
        <v>2025</v>
      </c>
      <c r="CY32" s="507">
        <v>2026</v>
      </c>
    </row>
    <row r="33" spans="1:103" ht="15" thickBot="1">
      <c r="A33" s="271"/>
      <c r="B33" s="272"/>
      <c r="C33" s="273">
        <v>1</v>
      </c>
      <c r="D33" s="273">
        <v>2</v>
      </c>
      <c r="E33" s="273">
        <v>3</v>
      </c>
      <c r="F33" s="273">
        <v>4</v>
      </c>
      <c r="G33" s="273">
        <v>1</v>
      </c>
      <c r="H33" s="273">
        <v>2</v>
      </c>
      <c r="I33" s="273">
        <v>3</v>
      </c>
      <c r="J33" s="273">
        <v>4</v>
      </c>
      <c r="K33" s="273">
        <v>1</v>
      </c>
      <c r="L33" s="273">
        <v>2</v>
      </c>
      <c r="M33" s="273">
        <v>3</v>
      </c>
      <c r="N33" s="273">
        <v>4</v>
      </c>
      <c r="O33" s="273">
        <v>1</v>
      </c>
      <c r="P33" s="273">
        <v>2</v>
      </c>
      <c r="Q33" s="273">
        <v>3</v>
      </c>
      <c r="R33" s="273">
        <v>4</v>
      </c>
      <c r="S33" s="273">
        <v>1</v>
      </c>
      <c r="T33" s="273">
        <v>2</v>
      </c>
      <c r="U33" s="273">
        <v>3</v>
      </c>
      <c r="V33" s="273">
        <v>4</v>
      </c>
      <c r="W33" s="354"/>
      <c r="X33" s="354"/>
      <c r="Y33" s="354"/>
      <c r="AD33" s="639"/>
      <c r="AE33" s="341"/>
      <c r="AF33" s="341">
        <v>1</v>
      </c>
      <c r="AG33" s="341">
        <v>2</v>
      </c>
      <c r="AH33" s="341">
        <v>3</v>
      </c>
      <c r="AI33" s="341">
        <v>4</v>
      </c>
      <c r="AJ33" s="341">
        <v>1</v>
      </c>
      <c r="AK33" s="341">
        <v>2</v>
      </c>
      <c r="AL33" s="341">
        <v>3</v>
      </c>
      <c r="AM33" s="341">
        <v>4</v>
      </c>
      <c r="AN33" s="341">
        <v>1</v>
      </c>
      <c r="AO33" s="341">
        <v>2</v>
      </c>
      <c r="AP33" s="341">
        <v>3</v>
      </c>
      <c r="AQ33" s="341">
        <v>4</v>
      </c>
      <c r="AR33" s="341">
        <v>1</v>
      </c>
      <c r="AS33" s="341">
        <v>2</v>
      </c>
      <c r="AT33" s="341">
        <v>3</v>
      </c>
      <c r="AU33" s="341">
        <v>4</v>
      </c>
      <c r="AV33" s="341">
        <v>1</v>
      </c>
      <c r="AW33" s="341">
        <v>2</v>
      </c>
      <c r="AX33" s="341">
        <v>3</v>
      </c>
      <c r="AY33" s="640">
        <v>4</v>
      </c>
      <c r="BJ33" s="1355">
        <v>1</v>
      </c>
      <c r="BK33" s="501" t="s">
        <v>209</v>
      </c>
      <c r="BL33" s="1310">
        <v>1</v>
      </c>
      <c r="BM33" s="1324">
        <v>1</v>
      </c>
      <c r="BN33" s="1324">
        <v>1</v>
      </c>
      <c r="BO33" s="1324">
        <v>1</v>
      </c>
      <c r="BP33" s="1325">
        <v>1</v>
      </c>
      <c r="BR33" s="1355">
        <v>1</v>
      </c>
      <c r="BS33" s="501" t="s">
        <v>209</v>
      </c>
      <c r="BT33" s="1310">
        <v>1</v>
      </c>
      <c r="BU33" s="1324">
        <v>2</v>
      </c>
      <c r="BV33" s="1324">
        <v>3</v>
      </c>
      <c r="BW33" s="1324">
        <v>4</v>
      </c>
      <c r="BX33" s="1325">
        <v>4</v>
      </c>
      <c r="BZ33" s="1355">
        <v>1</v>
      </c>
      <c r="CA33" s="501" t="s">
        <v>209</v>
      </c>
      <c r="CB33" s="1310">
        <v>1</v>
      </c>
      <c r="CC33" s="1356">
        <v>1</v>
      </c>
      <c r="CD33" s="1356">
        <v>1</v>
      </c>
      <c r="CE33" s="1356">
        <v>1</v>
      </c>
      <c r="CF33" s="1325">
        <v>1</v>
      </c>
      <c r="CH33" s="1355">
        <v>1</v>
      </c>
      <c r="CI33" s="501" t="s">
        <v>209</v>
      </c>
      <c r="CJ33" s="1310">
        <v>1</v>
      </c>
      <c r="CK33" s="1356">
        <v>1</v>
      </c>
      <c r="CL33" s="1356">
        <v>1</v>
      </c>
      <c r="CM33" s="1356">
        <v>1</v>
      </c>
      <c r="CN33" s="1325">
        <v>1</v>
      </c>
      <c r="CS33" s="1355">
        <v>1</v>
      </c>
      <c r="CT33" s="501" t="s">
        <v>209</v>
      </c>
      <c r="CU33" s="1310">
        <v>30</v>
      </c>
      <c r="CV33" s="1324">
        <v>30</v>
      </c>
      <c r="CW33" s="1324">
        <v>35</v>
      </c>
      <c r="CX33" s="1324">
        <v>35</v>
      </c>
      <c r="CY33" s="1325">
        <v>40</v>
      </c>
    </row>
    <row r="34" spans="1:103" ht="15" thickBot="1">
      <c r="A34" s="1333">
        <v>1</v>
      </c>
      <c r="B34" s="87" t="s">
        <v>209</v>
      </c>
      <c r="C34" s="342">
        <f>('No. of aircraft'!C4*1000)/('Cost Structure'!$B$12*'No. of aircraft'!$B$29)</f>
        <v>1.0747728516119348</v>
      </c>
      <c r="D34" s="342">
        <f>('No. of aircraft'!D4*1000)/('Cost Structure'!$B$12*'No. of aircraft'!$B$29)</f>
        <v>1.2091194580634266</v>
      </c>
      <c r="E34" s="342">
        <f>('No. of aircraft'!E4*1000)/('Cost Structure'!$B$12*'No. of aircraft'!$B$29)</f>
        <v>1.2820512820512822</v>
      </c>
      <c r="F34" s="342">
        <f>('No. of aircraft'!F4*1000)/('Cost Structure'!$B$12*'No. of aircraft'!$B$29)</f>
        <v>1.2820512820512822</v>
      </c>
      <c r="G34" s="342">
        <f>('No. of aircraft'!G4*1000)/('Cost Structure'!$B$12*'No. of aircraft'!$B$29)</f>
        <v>1.2820512820512822</v>
      </c>
      <c r="H34" s="342">
        <f>('No. of aircraft'!H4*1000)/('Cost Structure'!$B$12*'No. of aircraft'!$B$29)</f>
        <v>1.2820512820512822</v>
      </c>
      <c r="I34" s="342">
        <f>('No. of aircraft'!I4*1000)/('Cost Structure'!$B$12*'No. of aircraft'!$B$29)</f>
        <v>1.4957264957264957</v>
      </c>
      <c r="J34" s="342">
        <f>('No. of aircraft'!J4*1000)/('Cost Structure'!$B$12*'No. of aircraft'!$B$29)</f>
        <v>1.4957264957264957</v>
      </c>
      <c r="K34" s="342">
        <f>('No. of aircraft'!K4*1000)/('Cost Structure'!$B$12*'No. of aircraft'!$B$29)</f>
        <v>1.4957264957264957</v>
      </c>
      <c r="L34" s="342">
        <f>('No. of aircraft'!L4*1000)/('Cost Structure'!$B$12*'No. of aircraft'!$B$29)</f>
        <v>1.4957264957264957</v>
      </c>
      <c r="M34" s="342">
        <f>('No. of aircraft'!M4*1000)/('Cost Structure'!$B$12*'No. of aircraft'!$B$29)</f>
        <v>1.4957264957264957</v>
      </c>
      <c r="N34" s="342">
        <f>('No. of aircraft'!N4*1000)/('Cost Structure'!$B$12*'No. of aircraft'!$B$29)</f>
        <v>1.4957264957264957</v>
      </c>
      <c r="O34" s="342">
        <f>('No. of aircraft'!O4*1000)/('Cost Structure'!$B$12*'No. of aircraft'!$B$29)</f>
        <v>1.4957264957264957</v>
      </c>
      <c r="P34" s="342">
        <f>('No. of aircraft'!P4*1000)/('Cost Structure'!$B$12*'No. of aircraft'!$B$29)</f>
        <v>1.4957264957264957</v>
      </c>
      <c r="Q34" s="342">
        <f>('No. of aircraft'!Q4*1000)/('Cost Structure'!$B$12*'No. of aircraft'!$B$29)</f>
        <v>1.7094017094017093</v>
      </c>
      <c r="R34" s="342">
        <f>('No. of aircraft'!R4*1000)/('Cost Structure'!$B$12*'No. of aircraft'!$B$29)</f>
        <v>1.7094017094017093</v>
      </c>
      <c r="S34" s="342">
        <f>('No. of aircraft'!S4*1000)/('Cost Structure'!$B$12*'No. of aircraft'!$B$29)</f>
        <v>1.7094017094017093</v>
      </c>
      <c r="T34" s="342">
        <f>('No. of aircraft'!T4*1000)/('Cost Structure'!$B$12*'No. of aircraft'!$B$29)</f>
        <v>1.7094017094017093</v>
      </c>
      <c r="U34" s="342">
        <f>('No. of aircraft'!U4*1000)/('Cost Structure'!$B$12*'No. of aircraft'!$B$29)</f>
        <v>1.7094017094017093</v>
      </c>
      <c r="V34" s="342">
        <f>('No. of aircraft'!V4*1000)/('Cost Structure'!$B$12*'No. of aircraft'!$B$29)</f>
        <v>1.7094017094017093</v>
      </c>
      <c r="W34" s="642"/>
      <c r="X34" s="354"/>
      <c r="Y34" s="354"/>
      <c r="AD34" s="1333">
        <v>1</v>
      </c>
      <c r="AE34" s="87" t="s">
        <v>209</v>
      </c>
      <c r="AF34" s="634">
        <v>1</v>
      </c>
      <c r="AG34" s="634">
        <v>1</v>
      </c>
      <c r="AH34" s="634">
        <v>1</v>
      </c>
      <c r="AI34" s="634">
        <v>1</v>
      </c>
      <c r="AJ34" s="634">
        <v>1</v>
      </c>
      <c r="AK34" s="634">
        <v>1</v>
      </c>
      <c r="AL34" s="634">
        <v>1</v>
      </c>
      <c r="AM34" s="634">
        <v>1</v>
      </c>
      <c r="AN34" s="634">
        <v>1</v>
      </c>
      <c r="AO34" s="634">
        <v>1</v>
      </c>
      <c r="AP34" s="634">
        <v>1</v>
      </c>
      <c r="AQ34" s="634">
        <v>1</v>
      </c>
      <c r="AR34" s="634">
        <v>1</v>
      </c>
      <c r="AS34" s="634">
        <v>1</v>
      </c>
      <c r="AT34" s="634">
        <v>1</v>
      </c>
      <c r="AU34" s="634">
        <v>1</v>
      </c>
      <c r="AV34" s="634">
        <v>1</v>
      </c>
      <c r="AW34" s="634">
        <v>1</v>
      </c>
      <c r="AX34" s="634">
        <v>1</v>
      </c>
      <c r="AY34" s="634">
        <v>1</v>
      </c>
      <c r="BJ34" s="1354"/>
      <c r="BK34" s="65" t="s">
        <v>210</v>
      </c>
      <c r="BL34" s="1333"/>
      <c r="BM34" s="1315"/>
      <c r="BN34" s="1315"/>
      <c r="BO34" s="1315"/>
      <c r="BP34" s="1351"/>
      <c r="BR34" s="1354"/>
      <c r="BS34" s="65" t="s">
        <v>210</v>
      </c>
      <c r="BT34" s="1333"/>
      <c r="BU34" s="1315"/>
      <c r="BV34" s="1315"/>
      <c r="BW34" s="1315"/>
      <c r="BX34" s="1351"/>
      <c r="BZ34" s="1354"/>
      <c r="CA34" s="65" t="s">
        <v>210</v>
      </c>
      <c r="CB34" s="1333"/>
      <c r="CC34" s="1357"/>
      <c r="CD34" s="1357"/>
      <c r="CE34" s="1357"/>
      <c r="CF34" s="1351"/>
      <c r="CH34" s="1354"/>
      <c r="CI34" s="65" t="s">
        <v>210</v>
      </c>
      <c r="CJ34" s="1333"/>
      <c r="CK34" s="1357"/>
      <c r="CL34" s="1357"/>
      <c r="CM34" s="1357"/>
      <c r="CN34" s="1351"/>
      <c r="CS34" s="1354"/>
      <c r="CT34" s="65" t="s">
        <v>210</v>
      </c>
      <c r="CU34" s="1333"/>
      <c r="CV34" s="1315"/>
      <c r="CW34" s="1315"/>
      <c r="CX34" s="1315"/>
      <c r="CY34" s="1351"/>
    </row>
    <row r="35" spans="1:103" ht="15" thickBot="1">
      <c r="A35" s="1333"/>
      <c r="B35" s="87" t="s">
        <v>210</v>
      </c>
      <c r="C35" s="342">
        <f>('No. of aircraft'!C5*1000)/('Cost Structure'!$B$12*'No. of aircraft'!$B$29)</f>
        <v>0.52478632478632481</v>
      </c>
      <c r="D35" s="342">
        <f>('No. of aircraft'!D5*1000)/('Cost Structure'!$B$12*'No. of aircraft'!$B$29)</f>
        <v>0.57179487179487176</v>
      </c>
      <c r="E35" s="342">
        <f>('No. of aircraft'!E5*1000)/('Cost Structure'!$B$12*'No. of aircraft'!$B$29)</f>
        <v>0.61880341880341871</v>
      </c>
      <c r="F35" s="342">
        <f>('No. of aircraft'!F5*1000)/('Cost Structure'!$B$12*'No. of aircraft'!$B$29)</f>
        <v>0.66581196581196578</v>
      </c>
      <c r="G35" s="342">
        <f>('No. of aircraft'!G5*1000)/('Cost Structure'!$B$12*'No. of aircraft'!$B$29)</f>
        <v>0.71282051282051284</v>
      </c>
      <c r="H35" s="342">
        <f>('No. of aircraft'!H5*1000)/('Cost Structure'!$B$12*'No. of aircraft'!$B$29)</f>
        <v>0.75982905982905979</v>
      </c>
      <c r="I35" s="342">
        <f>('No. of aircraft'!I5*1000)/('Cost Structure'!$B$12*'No. of aircraft'!$B$29)</f>
        <v>0.80683760683760697</v>
      </c>
      <c r="J35" s="342">
        <f>('No. of aircraft'!J5*1000)/('Cost Structure'!$B$12*'No. of aircraft'!$B$29)</f>
        <v>0.85384615384615403</v>
      </c>
      <c r="K35" s="342">
        <f>('No. of aircraft'!K5*1000)/('Cost Structure'!$B$12*'No. of aircraft'!$B$29)</f>
        <v>0.90085470085470098</v>
      </c>
      <c r="L35" s="342">
        <f>('No. of aircraft'!L5*1000)/('Cost Structure'!$B$12*'No. of aircraft'!$B$29)</f>
        <v>0.94786324786324816</v>
      </c>
      <c r="M35" s="342">
        <f>('No. of aircraft'!M5*1000)/('Cost Structure'!$B$12*'No. of aircraft'!$B$29)</f>
        <v>0.99487179487179522</v>
      </c>
      <c r="N35" s="342">
        <f>('No. of aircraft'!N5*1000)/('Cost Structure'!$B$12*'No. of aircraft'!$B$29)</f>
        <v>1.0418803418803424</v>
      </c>
      <c r="O35" s="342">
        <f>('No. of aircraft'!O5*1000)/('Cost Structure'!$B$12*'No. of aircraft'!$B$29)</f>
        <v>1.0888888888888895</v>
      </c>
      <c r="P35" s="342">
        <f>('No. of aircraft'!P5*1000)/('Cost Structure'!$B$12*'No. of aircraft'!$B$29)</f>
        <v>1.1358974358974363</v>
      </c>
      <c r="Q35" s="342">
        <f>('No. of aircraft'!Q5*1000)/('Cost Structure'!$B$12*'No. of aircraft'!$B$29)</f>
        <v>1.1829059829059836</v>
      </c>
      <c r="R35" s="342">
        <f>('No. of aircraft'!R5*1000)/('Cost Structure'!$B$12*'No. of aircraft'!$B$29)</f>
        <v>1.2299145299145304</v>
      </c>
      <c r="S35" s="342">
        <f>('No. of aircraft'!S5*1000)/('Cost Structure'!$B$12*'No. of aircraft'!$B$29)</f>
        <v>1.2769230769230777</v>
      </c>
      <c r="T35" s="342">
        <f>('No. of aircraft'!T5*1000)/('Cost Structure'!$B$12*'No. of aircraft'!$B$29)</f>
        <v>1.3239316239316248</v>
      </c>
      <c r="U35" s="342">
        <f>('No. of aircraft'!U5*1000)/('Cost Structure'!$B$12*'No. of aircraft'!$B$29)</f>
        <v>1.3239316239316248</v>
      </c>
      <c r="V35" s="342">
        <f>('No. of aircraft'!V5*1000)/('Cost Structure'!$B$12*'No. of aircraft'!$B$29)</f>
        <v>1.3239316239316248</v>
      </c>
      <c r="W35" s="354"/>
      <c r="X35" s="354"/>
      <c r="Y35" s="354"/>
      <c r="AD35" s="1333"/>
      <c r="AE35" s="87" t="s">
        <v>210</v>
      </c>
      <c r="AF35" s="634">
        <v>1</v>
      </c>
      <c r="AG35" s="634">
        <v>1</v>
      </c>
      <c r="AH35" s="634">
        <v>1</v>
      </c>
      <c r="AI35" s="634">
        <v>1</v>
      </c>
      <c r="AJ35" s="634">
        <v>1</v>
      </c>
      <c r="AK35" s="634">
        <v>1</v>
      </c>
      <c r="AL35" s="634">
        <v>1</v>
      </c>
      <c r="AM35" s="634">
        <v>1</v>
      </c>
      <c r="AN35" s="634">
        <v>1</v>
      </c>
      <c r="AO35" s="634">
        <v>1</v>
      </c>
      <c r="AP35" s="634">
        <v>1</v>
      </c>
      <c r="AQ35" s="634">
        <v>1</v>
      </c>
      <c r="AR35" s="634">
        <v>1</v>
      </c>
      <c r="AS35" s="634">
        <v>1</v>
      </c>
      <c r="AT35" s="634">
        <v>1</v>
      </c>
      <c r="AU35" s="634">
        <v>1</v>
      </c>
      <c r="AV35" s="634">
        <v>1</v>
      </c>
      <c r="AW35" s="634">
        <v>1</v>
      </c>
      <c r="AX35" s="634">
        <v>1</v>
      </c>
      <c r="AY35" s="634">
        <v>1</v>
      </c>
      <c r="BJ35" s="1354"/>
      <c r="BK35" s="65" t="s">
        <v>211</v>
      </c>
      <c r="BL35" s="1333"/>
      <c r="BM35" s="1315"/>
      <c r="BN35" s="1315"/>
      <c r="BO35" s="1315"/>
      <c r="BP35" s="1351"/>
      <c r="BR35" s="1354"/>
      <c r="BS35" s="65" t="s">
        <v>211</v>
      </c>
      <c r="BT35" s="1333"/>
      <c r="BU35" s="1315"/>
      <c r="BV35" s="1315"/>
      <c r="BW35" s="1315"/>
      <c r="BX35" s="1351"/>
      <c r="BZ35" s="1354"/>
      <c r="CA35" s="65" t="s">
        <v>211</v>
      </c>
      <c r="CB35" s="1333"/>
      <c r="CC35" s="1357"/>
      <c r="CD35" s="1357"/>
      <c r="CE35" s="1357"/>
      <c r="CF35" s="1351"/>
      <c r="CH35" s="1354"/>
      <c r="CI35" s="65" t="s">
        <v>211</v>
      </c>
      <c r="CJ35" s="1333"/>
      <c r="CK35" s="1357"/>
      <c r="CL35" s="1357"/>
      <c r="CM35" s="1357"/>
      <c r="CN35" s="1351"/>
      <c r="CS35" s="1354"/>
      <c r="CT35" s="65" t="s">
        <v>211</v>
      </c>
      <c r="CU35" s="1333"/>
      <c r="CV35" s="1315"/>
      <c r="CW35" s="1315"/>
      <c r="CX35" s="1315"/>
      <c r="CY35" s="1351"/>
    </row>
    <row r="36" spans="1:103" ht="15" thickBot="1">
      <c r="A36" s="1333"/>
      <c r="B36" s="87" t="s">
        <v>211</v>
      </c>
      <c r="C36" s="342">
        <f>('No. of aircraft'!C6*1000)/('Cost Structure'!$B$12*'No. of aircraft'!$B$29)</f>
        <v>0.33753396865100305</v>
      </c>
      <c r="D36" s="342">
        <f>('No. of aircraft'!D6*1000)/('Cost Structure'!$B$12*'No. of aircraft'!$B$29)</f>
        <v>0.37172200283903722</v>
      </c>
      <c r="E36" s="342">
        <f>('No. of aircraft'!E6*1000)/('Cost Structure'!$B$12*'No. of aircraft'!$B$29)</f>
        <v>0.40591003702707146</v>
      </c>
      <c r="F36" s="342">
        <f>('No. of aircraft'!F6*1000)/('Cost Structure'!$B$12*'No. of aircraft'!$B$29)</f>
        <v>0.44009807121510569</v>
      </c>
      <c r="G36" s="342">
        <f>('No. of aircraft'!G6*1000)/('Cost Structure'!$B$12*'No. of aircraft'!$B$29)</f>
        <v>0.47428610540313987</v>
      </c>
      <c r="H36" s="342">
        <f>('No. of aircraft'!H6*1000)/('Cost Structure'!$B$12*'No. of aircraft'!$B$29)</f>
        <v>0.50847413959117416</v>
      </c>
      <c r="I36" s="342">
        <f>('No. of aircraft'!I6*1000)/('Cost Structure'!$B$12*'No. of aircraft'!$B$29)</f>
        <v>0.54266217377920833</v>
      </c>
      <c r="J36" s="342">
        <f>('No. of aircraft'!J6*1000)/('Cost Structure'!$B$12*'No. of aircraft'!$B$29)</f>
        <v>0.57685020796724262</v>
      </c>
      <c r="K36" s="342">
        <f>('No. of aircraft'!K6*1000)/('Cost Structure'!$B$12*'No. of aircraft'!$B$29)</f>
        <v>0.6110382421552768</v>
      </c>
      <c r="L36" s="342">
        <f>('No. of aircraft'!L6*1000)/('Cost Structure'!$B$12*'No. of aircraft'!$B$29)</f>
        <v>0.64522627634331098</v>
      </c>
      <c r="M36" s="342">
        <f>('No. of aircraft'!M6*1000)/('Cost Structure'!$B$12*'No. of aircraft'!$B$29)</f>
        <v>0.67941431053134527</v>
      </c>
      <c r="N36" s="342">
        <f>('No. of aircraft'!N6*1000)/('Cost Structure'!$B$12*'No. of aircraft'!$B$29)</f>
        <v>0.71360234471937944</v>
      </c>
      <c r="O36" s="342">
        <f>('No. of aircraft'!O6*1000)/('Cost Structure'!$B$12*'No. of aircraft'!$B$29)</f>
        <v>0.74779037890741362</v>
      </c>
      <c r="P36" s="342">
        <f>('No. of aircraft'!P6*1000)/('Cost Structure'!$B$12*'No. of aircraft'!$B$29)</f>
        <v>0.78197841309544791</v>
      </c>
      <c r="Q36" s="342">
        <f>('No. of aircraft'!Q6*1000)/('Cost Structure'!$B$12*'No. of aircraft'!$B$29)</f>
        <v>0.81616644728348209</v>
      </c>
      <c r="R36" s="342">
        <f>('No. of aircraft'!R6*1000)/('Cost Structure'!$B$12*'No. of aircraft'!$B$29)</f>
        <v>0.85035448147151627</v>
      </c>
      <c r="S36" s="342">
        <f>('No. of aircraft'!S6*1000)/('Cost Structure'!$B$12*'No. of aircraft'!$B$29)</f>
        <v>0.88454251565955055</v>
      </c>
      <c r="T36" s="342">
        <f>('No. of aircraft'!T6*1000)/('Cost Structure'!$B$12*'No. of aircraft'!$B$29)</f>
        <v>0.91873054984758473</v>
      </c>
      <c r="U36" s="342">
        <f>('No. of aircraft'!U6*1000)/('Cost Structure'!$B$12*'No. of aircraft'!$B$29)</f>
        <v>0.91873054984758473</v>
      </c>
      <c r="V36" s="342">
        <f>('No. of aircraft'!V6*1000)/('Cost Structure'!$B$12*'No. of aircraft'!$B$29)</f>
        <v>0.91873054984758473</v>
      </c>
      <c r="W36" s="354"/>
      <c r="X36" s="354"/>
      <c r="Y36" s="354"/>
      <c r="AD36" s="1333"/>
      <c r="AE36" s="87" t="s">
        <v>211</v>
      </c>
      <c r="AF36" s="634">
        <v>1</v>
      </c>
      <c r="AG36" s="634">
        <v>1</v>
      </c>
      <c r="AH36" s="634">
        <v>1</v>
      </c>
      <c r="AI36" s="634">
        <v>1</v>
      </c>
      <c r="AJ36" s="634">
        <v>1</v>
      </c>
      <c r="AK36" s="634">
        <v>1</v>
      </c>
      <c r="AL36" s="634">
        <v>1</v>
      </c>
      <c r="AM36" s="634">
        <v>1</v>
      </c>
      <c r="AN36" s="634">
        <v>1</v>
      </c>
      <c r="AO36" s="634">
        <v>1</v>
      </c>
      <c r="AP36" s="634">
        <v>1</v>
      </c>
      <c r="AQ36" s="634">
        <v>1</v>
      </c>
      <c r="AR36" s="634">
        <v>1</v>
      </c>
      <c r="AS36" s="634">
        <v>1</v>
      </c>
      <c r="AT36" s="634">
        <v>1</v>
      </c>
      <c r="AU36" s="634">
        <v>1</v>
      </c>
      <c r="AV36" s="634">
        <v>1</v>
      </c>
      <c r="AW36" s="634">
        <v>1</v>
      </c>
      <c r="AX36" s="634">
        <v>1</v>
      </c>
      <c r="AY36" s="634">
        <v>1</v>
      </c>
      <c r="BJ36" s="1354"/>
      <c r="BK36" s="502" t="s">
        <v>212</v>
      </c>
      <c r="BL36" s="1333"/>
      <c r="BM36" s="1315"/>
      <c r="BN36" s="1315"/>
      <c r="BO36" s="1315"/>
      <c r="BP36" s="1351"/>
      <c r="BR36" s="1354"/>
      <c r="BS36" s="502" t="s">
        <v>212</v>
      </c>
      <c r="BT36" s="1333"/>
      <c r="BU36" s="1315"/>
      <c r="BV36" s="1315"/>
      <c r="BW36" s="1315"/>
      <c r="BX36" s="1351"/>
      <c r="BZ36" s="1354"/>
      <c r="CA36" s="502" t="s">
        <v>212</v>
      </c>
      <c r="CB36" s="1333"/>
      <c r="CC36" s="1357"/>
      <c r="CD36" s="1357"/>
      <c r="CE36" s="1357"/>
      <c r="CF36" s="1351"/>
      <c r="CH36" s="1354"/>
      <c r="CI36" s="502" t="s">
        <v>212</v>
      </c>
      <c r="CJ36" s="1333"/>
      <c r="CK36" s="1357"/>
      <c r="CL36" s="1357"/>
      <c r="CM36" s="1357"/>
      <c r="CN36" s="1351"/>
      <c r="CS36" s="1354"/>
      <c r="CT36" s="502" t="s">
        <v>212</v>
      </c>
      <c r="CU36" s="1333"/>
      <c r="CV36" s="1315"/>
      <c r="CW36" s="1315"/>
      <c r="CX36" s="1315"/>
      <c r="CY36" s="1351"/>
    </row>
    <row r="37" spans="1:103" ht="15" thickBot="1">
      <c r="A37" s="1333"/>
      <c r="B37" s="87" t="s">
        <v>212</v>
      </c>
      <c r="C37" s="342">
        <f>('No. of aircraft'!C7*1000)/('Cost Structure'!$B$12*'No. of aircraft'!$B$29)</f>
        <v>1.2820512820512822</v>
      </c>
      <c r="D37" s="342">
        <f>('No. of aircraft'!D7*1000)/('Cost Structure'!$B$12*'No. of aircraft'!$B$29)</f>
        <v>1.2820512820512822</v>
      </c>
      <c r="E37" s="342">
        <f>('No. of aircraft'!E7*1000)/('Cost Structure'!$B$12*'No. of aircraft'!$B$29)</f>
        <v>1.2820512820512822</v>
      </c>
      <c r="F37" s="342">
        <f>('No. of aircraft'!F7*1000)/('Cost Structure'!$B$12*'No. of aircraft'!$B$29)</f>
        <v>1.2820512820512822</v>
      </c>
      <c r="G37" s="342">
        <f>('No. of aircraft'!G7*1000)/('Cost Structure'!$B$12*'No. of aircraft'!$B$29)</f>
        <v>1.2820512820512822</v>
      </c>
      <c r="H37" s="342">
        <f>('No. of aircraft'!H7*1000)/('Cost Structure'!$B$12*'No. of aircraft'!$B$29)</f>
        <v>1.2820512820512822</v>
      </c>
      <c r="I37" s="342">
        <f>('No. of aircraft'!I7*1000)/('Cost Structure'!$B$12*'No. of aircraft'!$B$29)</f>
        <v>1.4957264957264957</v>
      </c>
      <c r="J37" s="342">
        <f>('No. of aircraft'!J7*1000)/('Cost Structure'!$B$12*'No. of aircraft'!$B$29)</f>
        <v>1.4957264957264957</v>
      </c>
      <c r="K37" s="342">
        <f>('No. of aircraft'!K7*1000)/('Cost Structure'!$B$12*'No. of aircraft'!$B$29)</f>
        <v>1.4957264957264957</v>
      </c>
      <c r="L37" s="342">
        <f>('No. of aircraft'!L7*1000)/('Cost Structure'!$B$12*'No. of aircraft'!$B$29)</f>
        <v>1.4957264957264957</v>
      </c>
      <c r="M37" s="342">
        <f>('No. of aircraft'!M7*1000)/('Cost Structure'!$B$12*'No. of aircraft'!$B$29)</f>
        <v>1.4957264957264957</v>
      </c>
      <c r="N37" s="342">
        <f>('No. of aircraft'!N7*1000)/('Cost Structure'!$B$12*'No. of aircraft'!$B$29)</f>
        <v>1.4957264957264957</v>
      </c>
      <c r="O37" s="342">
        <f>('No. of aircraft'!O7*1000)/('Cost Structure'!$B$12*'No. of aircraft'!$B$29)</f>
        <v>1.4957264957264957</v>
      </c>
      <c r="P37" s="342">
        <f>('No. of aircraft'!P7*1000)/('Cost Structure'!$B$12*'No. of aircraft'!$B$29)</f>
        <v>1.4957264957264957</v>
      </c>
      <c r="Q37" s="342">
        <f>('No. of aircraft'!Q7*1000)/('Cost Structure'!$B$12*'No. of aircraft'!$B$29)</f>
        <v>1.7094017094017093</v>
      </c>
      <c r="R37" s="342">
        <f>('No. of aircraft'!R7*1000)/('Cost Structure'!$B$12*'No. of aircraft'!$B$29)</f>
        <v>1.7094017094017093</v>
      </c>
      <c r="S37" s="342">
        <f>('No. of aircraft'!S7*1000)/('Cost Structure'!$B$12*'No. of aircraft'!$B$29)</f>
        <v>1.7094017094017093</v>
      </c>
      <c r="T37" s="342">
        <f>('No. of aircraft'!T7*1000)/('Cost Structure'!$B$12*'No. of aircraft'!$B$29)</f>
        <v>1.7094017094017093</v>
      </c>
      <c r="U37" s="342">
        <f>('No. of aircraft'!U7*1000)/('Cost Structure'!$B$12*'No. of aircraft'!$B$29)</f>
        <v>1.7094017094017093</v>
      </c>
      <c r="V37" s="342">
        <f>('No. of aircraft'!V7*1000)/('Cost Structure'!$B$12*'No. of aircraft'!$B$29)</f>
        <v>1.7094017094017093</v>
      </c>
      <c r="W37" s="354"/>
      <c r="X37" s="354"/>
      <c r="Y37" s="354"/>
      <c r="AD37" s="1333"/>
      <c r="AE37" s="87" t="s">
        <v>212</v>
      </c>
      <c r="AF37" s="634">
        <v>1</v>
      </c>
      <c r="AG37" s="634">
        <v>1</v>
      </c>
      <c r="AH37" s="634">
        <v>1</v>
      </c>
      <c r="AI37" s="634">
        <v>1</v>
      </c>
      <c r="AJ37" s="634">
        <v>1</v>
      </c>
      <c r="AK37" s="634">
        <v>1</v>
      </c>
      <c r="AL37" s="634">
        <v>1</v>
      </c>
      <c r="AM37" s="634">
        <v>1</v>
      </c>
      <c r="AN37" s="634">
        <v>1</v>
      </c>
      <c r="AO37" s="634">
        <v>1</v>
      </c>
      <c r="AP37" s="634">
        <v>1</v>
      </c>
      <c r="AQ37" s="634">
        <v>1</v>
      </c>
      <c r="AR37" s="634">
        <v>1</v>
      </c>
      <c r="AS37" s="634">
        <v>1</v>
      </c>
      <c r="AT37" s="634">
        <v>1</v>
      </c>
      <c r="AU37" s="634">
        <v>1</v>
      </c>
      <c r="AV37" s="634">
        <v>1</v>
      </c>
      <c r="AW37" s="634">
        <v>1</v>
      </c>
      <c r="AX37" s="634">
        <v>1</v>
      </c>
      <c r="AY37" s="634">
        <v>1</v>
      </c>
      <c r="BJ37" s="1354"/>
      <c r="BK37" s="502" t="s">
        <v>213</v>
      </c>
      <c r="BL37" s="1333"/>
      <c r="BM37" s="1315"/>
      <c r="BN37" s="1315"/>
      <c r="BO37" s="1315"/>
      <c r="BP37" s="1351"/>
      <c r="BR37" s="1354"/>
      <c r="BS37" s="502" t="s">
        <v>213</v>
      </c>
      <c r="BT37" s="1333"/>
      <c r="BU37" s="1315"/>
      <c r="BV37" s="1315"/>
      <c r="BW37" s="1315"/>
      <c r="BX37" s="1351"/>
      <c r="BZ37" s="1354"/>
      <c r="CA37" s="502" t="s">
        <v>213</v>
      </c>
      <c r="CB37" s="1333"/>
      <c r="CC37" s="1358"/>
      <c r="CD37" s="1358"/>
      <c r="CE37" s="1358"/>
      <c r="CF37" s="1351"/>
      <c r="CH37" s="1354"/>
      <c r="CI37" s="502" t="s">
        <v>213</v>
      </c>
      <c r="CJ37" s="1333"/>
      <c r="CK37" s="1358"/>
      <c r="CL37" s="1358"/>
      <c r="CM37" s="1358"/>
      <c r="CN37" s="1351"/>
      <c r="CS37" s="1354"/>
      <c r="CT37" s="502" t="s">
        <v>213</v>
      </c>
      <c r="CU37" s="1333"/>
      <c r="CV37" s="1315"/>
      <c r="CW37" s="1315"/>
      <c r="CX37" s="1315"/>
      <c r="CY37" s="1351"/>
    </row>
    <row r="38" spans="1:103" ht="15" thickBot="1">
      <c r="A38" s="1333"/>
      <c r="B38" s="87" t="s">
        <v>213</v>
      </c>
      <c r="C38" s="342">
        <f>('No. of aircraft'!C8*1000)/('Cost Structure'!$B$12*'No. of aircraft'!$B$29)</f>
        <v>5.1299346153846154E-2</v>
      </c>
      <c r="D38" s="342">
        <f>('No. of aircraft'!D8*1000)/('Cost Structure'!$B$12*'No. of aircraft'!$B$29)</f>
        <v>5.4719302564102568E-2</v>
      </c>
      <c r="E38" s="342">
        <f>('No. of aircraft'!E8*1000)/('Cost Structure'!$B$12*'No. of aircraft'!$B$29)</f>
        <v>6.6860147820512833E-2</v>
      </c>
      <c r="F38" s="342">
        <f>('No. of aircraft'!F8*1000)/('Cost Structure'!$B$12*'No. of aircraft'!$B$29)</f>
        <v>7.0793097692307697E-2</v>
      </c>
      <c r="G38" s="342">
        <f>('No. of aircraft'!G8*1000)/('Cost Structure'!$B$12*'No. of aircraft'!$B$29)</f>
        <v>7.4726047564102574E-2</v>
      </c>
      <c r="H38" s="342">
        <f>('No. of aircraft'!H8*1000)/('Cost Structure'!$B$12*'No. of aircraft'!$B$29)</f>
        <v>7.8658997435897451E-2</v>
      </c>
      <c r="I38" s="342">
        <f>('No. of aircraft'!I8*1000)/('Cost Structure'!$B$12*'No. of aircraft'!$B$29)</f>
        <v>9.4980739403846159E-2</v>
      </c>
      <c r="J38" s="342">
        <f>('No. of aircraft'!J8*1000)/('Cost Structure'!$B$12*'No. of aircraft'!$B$29)</f>
        <v>9.9503631756410263E-2</v>
      </c>
      <c r="K38" s="342">
        <f>('No. of aircraft'!K8*1000)/('Cost Structure'!$B$12*'No. of aircraft'!$B$29)</f>
        <v>0.10402652410897438</v>
      </c>
      <c r="L38" s="342">
        <f>('No. of aircraft'!L8*1000)/('Cost Structure'!$B$12*'No. of aircraft'!$B$29)</f>
        <v>0.10854941646153848</v>
      </c>
      <c r="M38" s="342">
        <f>('No. of aircraft'!M8*1000)/('Cost Structure'!$B$12*'No. of aircraft'!$B$29)</f>
        <v>0.13003315513621796</v>
      </c>
      <c r="N38" s="342">
        <f>('No. of aircraft'!N8*1000)/('Cost Structure'!$B$12*'No. of aircraft'!$B$29)</f>
        <v>0.13523448134166666</v>
      </c>
      <c r="O38" s="342">
        <f>('No. of aircraft'!O8*1000)/('Cost Structure'!$B$12*'No. of aircraft'!$B$29)</f>
        <v>0.1404358075471154</v>
      </c>
      <c r="P38" s="342">
        <f>('No. of aircraft'!P8*1000)/('Cost Structure'!$B$12*'No. of aircraft'!$B$29)</f>
        <v>0.14563713375256412</v>
      </c>
      <c r="Q38" s="342">
        <f>('No. of aircraft'!Q8*1000)/('Cost Structure'!$B$12*'No. of aircraft'!$B$29)</f>
        <v>0.17346422895171476</v>
      </c>
      <c r="R38" s="342">
        <f>('No. of aircraft'!R8*1000)/('Cost Structure'!$B$12*'No. of aircraft'!$B$29)</f>
        <v>0.1794457540879808</v>
      </c>
      <c r="S38" s="342">
        <f>('No. of aircraft'!S8*1000)/('Cost Structure'!$B$12*'No. of aircraft'!$B$29)</f>
        <v>0.1794457540879808</v>
      </c>
      <c r="T38" s="342">
        <f>('No. of aircraft'!T8*1000)/('Cost Structure'!$B$12*'No. of aircraft'!$B$29)</f>
        <v>0.1794457540879808</v>
      </c>
      <c r="U38" s="342">
        <f>('No. of aircraft'!U8*1000)/('Cost Structure'!$B$12*'No. of aircraft'!$B$29)</f>
        <v>0.1794457540879808</v>
      </c>
      <c r="V38" s="342">
        <f>('No. of aircraft'!V8*1000)/('Cost Structure'!$B$12*'No. of aircraft'!$B$29)</f>
        <v>0.1794457540879808</v>
      </c>
      <c r="W38" s="354"/>
      <c r="X38" s="354"/>
      <c r="Y38" s="354"/>
      <c r="AD38" s="1333"/>
      <c r="AE38" s="87" t="s">
        <v>213</v>
      </c>
      <c r="AF38" s="634">
        <v>1</v>
      </c>
      <c r="AG38" s="634">
        <v>1</v>
      </c>
      <c r="AH38" s="634">
        <v>1</v>
      </c>
      <c r="AI38" s="634">
        <v>1</v>
      </c>
      <c r="AJ38" s="634">
        <v>1</v>
      </c>
      <c r="AK38" s="634">
        <v>1</v>
      </c>
      <c r="AL38" s="634">
        <v>1</v>
      </c>
      <c r="AM38" s="634">
        <v>1</v>
      </c>
      <c r="AN38" s="634">
        <v>1</v>
      </c>
      <c r="AO38" s="634">
        <v>1</v>
      </c>
      <c r="AP38" s="634">
        <v>1</v>
      </c>
      <c r="AQ38" s="634">
        <v>1</v>
      </c>
      <c r="AR38" s="634">
        <v>1</v>
      </c>
      <c r="AS38" s="634">
        <v>1</v>
      </c>
      <c r="AT38" s="634">
        <v>1</v>
      </c>
      <c r="AU38" s="634">
        <v>1</v>
      </c>
      <c r="AV38" s="634">
        <v>1</v>
      </c>
      <c r="AW38" s="634">
        <v>1</v>
      </c>
      <c r="AX38" s="634">
        <v>1</v>
      </c>
      <c r="AY38" s="634">
        <v>1</v>
      </c>
      <c r="AZ38" s="1331" t="s">
        <v>315</v>
      </c>
      <c r="BA38" s="1331"/>
      <c r="BB38" s="1331"/>
      <c r="BC38" s="1331"/>
      <c r="BJ38" s="1352">
        <v>2</v>
      </c>
      <c r="BK38" s="503" t="s">
        <v>214</v>
      </c>
      <c r="BL38" s="1333" t="s">
        <v>116</v>
      </c>
      <c r="BM38" s="1315">
        <v>2</v>
      </c>
      <c r="BN38" s="1315">
        <v>2</v>
      </c>
      <c r="BO38" s="1315">
        <v>2</v>
      </c>
      <c r="BP38" s="1351">
        <v>2</v>
      </c>
      <c r="BR38" s="1352">
        <v>2</v>
      </c>
      <c r="BS38" s="503" t="s">
        <v>214</v>
      </c>
      <c r="BT38" s="1333" t="s">
        <v>116</v>
      </c>
      <c r="BU38" s="1315">
        <v>2</v>
      </c>
      <c r="BV38" s="1315">
        <v>2</v>
      </c>
      <c r="BW38" s="1315">
        <v>4</v>
      </c>
      <c r="BX38" s="1351">
        <v>4</v>
      </c>
      <c r="BZ38" s="1352">
        <v>2</v>
      </c>
      <c r="CA38" s="503" t="s">
        <v>214</v>
      </c>
      <c r="CB38" s="1333" t="s">
        <v>116</v>
      </c>
      <c r="CC38" s="1315">
        <v>1</v>
      </c>
      <c r="CD38" s="1315">
        <v>1</v>
      </c>
      <c r="CE38" s="1315">
        <v>1</v>
      </c>
      <c r="CF38" s="1351">
        <v>1</v>
      </c>
      <c r="CH38" s="1352">
        <v>2</v>
      </c>
      <c r="CI38" s="503" t="s">
        <v>214</v>
      </c>
      <c r="CJ38" s="1333" t="s">
        <v>116</v>
      </c>
      <c r="CK38" s="1315">
        <v>1</v>
      </c>
      <c r="CL38" s="1315">
        <v>1</v>
      </c>
      <c r="CM38" s="1315">
        <v>1</v>
      </c>
      <c r="CN38" s="1351">
        <v>1</v>
      </c>
      <c r="CS38" s="1352">
        <v>2</v>
      </c>
      <c r="CT38" s="503" t="s">
        <v>214</v>
      </c>
      <c r="CU38" s="1333" t="s">
        <v>116</v>
      </c>
      <c r="CV38" s="1315">
        <v>30</v>
      </c>
      <c r="CW38" s="1315">
        <v>35</v>
      </c>
      <c r="CX38" s="1315">
        <v>35</v>
      </c>
      <c r="CY38" s="1351">
        <v>40</v>
      </c>
    </row>
    <row r="39" spans="1:103" ht="15" thickBot="1">
      <c r="A39" s="1333">
        <v>2</v>
      </c>
      <c r="B39" s="303" t="s">
        <v>214</v>
      </c>
      <c r="C39" s="641">
        <f>('No. of aircraft'!C9*1000)/('Cost Structure'!$B$12*'No. of aircraft'!$B$29)</f>
        <v>0</v>
      </c>
      <c r="D39" s="641">
        <f>('No. of aircraft'!D9*1000)/('Cost Structure'!$B$12*'No. of aircraft'!$B$29)</f>
        <v>0</v>
      </c>
      <c r="E39" s="641">
        <f>('No. of aircraft'!E9*1000)/('Cost Structure'!$B$12*'No. of aircraft'!$B$29)</f>
        <v>0</v>
      </c>
      <c r="F39" s="641">
        <f>('No. of aircraft'!F9*1000)/('Cost Structure'!$B$12*'No. of aircraft'!$B$29)</f>
        <v>0</v>
      </c>
      <c r="G39" s="342">
        <f>('No. of aircraft'!G9*1000)/('Cost Structure'!$B$12*'No. of aircraft'!$B$29)</f>
        <v>0.70883259507292729</v>
      </c>
      <c r="H39" s="342">
        <f>('No. of aircraft'!H9*1000)/('Cost Structure'!$B$12*'No. of aircraft'!$B$29)</f>
        <v>0.74427422482657368</v>
      </c>
      <c r="I39" s="342">
        <f>('No. of aircraft'!I9*1000)/('Cost Structure'!$B$12*'No. of aircraft'!$B$29)</f>
        <v>0.89667323276725297</v>
      </c>
      <c r="J39" s="342">
        <f>('No. of aircraft'!J9*1000)/('Cost Structure'!$B$12*'No. of aircraft'!$B$29)</f>
        <v>0.93743110698394627</v>
      </c>
      <c r="K39" s="342">
        <f>('No. of aircraft'!K9*1000)/('Cost Structure'!$B$12*'No. of aircraft'!$B$29)</f>
        <v>0.97818898120063968</v>
      </c>
      <c r="L39" s="342">
        <f>('No. of aircraft'!L9*1000)/('Cost Structure'!$B$12*'No. of aircraft'!$B$29)</f>
        <v>1.0189468554173329</v>
      </c>
      <c r="M39" s="342">
        <f>('No. of aircraft'!M9*1000)/('Cost Structure'!$B$12*'No. of aircraft'!$B$29)</f>
        <v>1.21866043907913</v>
      </c>
      <c r="N39" s="342">
        <f>('No. of aircraft'!N9*1000)/('Cost Structure'!$B$12*'No. of aircraft'!$B$29)</f>
        <v>1.2655319944283276</v>
      </c>
      <c r="O39" s="342">
        <f>('No. of aircraft'!O9*1000)/('Cost Structure'!$B$12*'No. of aircraft'!$B$29)</f>
        <v>1.3124035497775248</v>
      </c>
      <c r="P39" s="342">
        <f>('No. of aircraft'!P9*1000)/('Cost Structure'!$B$12*'No. of aircraft'!$B$29)</f>
        <v>1.3592751051267222</v>
      </c>
      <c r="Q39" s="342">
        <f>('No. of aircraft'!Q9*1000)/('Cost Structure'!$B$12*'No. of aircraft'!$B$29)</f>
        <v>1.6170686595473074</v>
      </c>
      <c r="R39" s="342">
        <f>('No. of aircraft'!R9*1000)/('Cost Structure'!$B$12*'No. of aircraft'!$B$29)</f>
        <v>1.6170686595473067</v>
      </c>
      <c r="S39" s="342">
        <f>('No. of aircraft'!S9*1000)/('Cost Structure'!$B$12*'No. of aircraft'!$B$29)</f>
        <v>1.6170686595473067</v>
      </c>
      <c r="T39" s="342">
        <f>('No. of aircraft'!T9*1000)/('Cost Structure'!$B$12*'No. of aircraft'!$B$29)</f>
        <v>1.6170686595473067</v>
      </c>
      <c r="U39" s="342">
        <f>('No. of aircraft'!U9*1000)/('Cost Structure'!$B$12*'No. of aircraft'!$B$29)</f>
        <v>1.6170686595473067</v>
      </c>
      <c r="V39" s="342">
        <f>('No. of aircraft'!V9*1000)/('Cost Structure'!$B$12*'No. of aircraft'!$B$29)</f>
        <v>1.6170686595473067</v>
      </c>
      <c r="W39" s="642"/>
      <c r="X39" s="354"/>
      <c r="Y39" s="354"/>
      <c r="AD39" s="1333">
        <v>2</v>
      </c>
      <c r="AE39" s="303" t="s">
        <v>214</v>
      </c>
      <c r="AF39" s="653">
        <f t="shared" ref="AF39:AF50" si="0">ROUNDUP(C39,0)</f>
        <v>0</v>
      </c>
      <c r="AG39" s="653">
        <f t="shared" ref="AG39:AO47" si="1">ROUNDUP(D39,0)</f>
        <v>0</v>
      </c>
      <c r="AH39" s="653">
        <f t="shared" si="1"/>
        <v>0</v>
      </c>
      <c r="AI39" s="653">
        <f t="shared" si="1"/>
        <v>0</v>
      </c>
      <c r="AJ39" s="634">
        <f t="shared" si="1"/>
        <v>1</v>
      </c>
      <c r="AK39" s="634">
        <f t="shared" si="1"/>
        <v>1</v>
      </c>
      <c r="AL39" s="634">
        <f t="shared" si="1"/>
        <v>1</v>
      </c>
      <c r="AM39" s="634">
        <f t="shared" si="1"/>
        <v>1</v>
      </c>
      <c r="AN39" s="634">
        <f t="shared" si="1"/>
        <v>1</v>
      </c>
      <c r="AO39" s="634">
        <v>1</v>
      </c>
      <c r="AP39" s="634">
        <v>1</v>
      </c>
      <c r="AQ39" s="634">
        <v>1</v>
      </c>
      <c r="AR39" s="634">
        <v>1</v>
      </c>
      <c r="AS39" s="634">
        <v>1</v>
      </c>
      <c r="AT39" s="634">
        <v>1</v>
      </c>
      <c r="AU39" s="634">
        <v>1</v>
      </c>
      <c r="AV39" s="634">
        <v>1</v>
      </c>
      <c r="AW39" s="634">
        <v>1</v>
      </c>
      <c r="AX39" s="634">
        <v>1</v>
      </c>
      <c r="AY39" s="634">
        <v>1</v>
      </c>
      <c r="AZ39" s="1331"/>
      <c r="BA39" s="1331"/>
      <c r="BB39" s="1331"/>
      <c r="BC39" s="1331"/>
      <c r="BJ39" s="1352"/>
      <c r="BK39" s="503" t="s">
        <v>234</v>
      </c>
      <c r="BL39" s="1333"/>
      <c r="BM39" s="1315"/>
      <c r="BN39" s="1315"/>
      <c r="BO39" s="1315"/>
      <c r="BP39" s="1351"/>
      <c r="BR39" s="1352"/>
      <c r="BS39" s="503" t="s">
        <v>234</v>
      </c>
      <c r="BT39" s="1333"/>
      <c r="BU39" s="1315"/>
      <c r="BV39" s="1315"/>
      <c r="BW39" s="1315"/>
      <c r="BX39" s="1351"/>
      <c r="BZ39" s="1352"/>
      <c r="CA39" s="503" t="s">
        <v>234</v>
      </c>
      <c r="CB39" s="1333"/>
      <c r="CC39" s="1315"/>
      <c r="CD39" s="1315"/>
      <c r="CE39" s="1315"/>
      <c r="CF39" s="1351"/>
      <c r="CH39" s="1352"/>
      <c r="CI39" s="503" t="s">
        <v>234</v>
      </c>
      <c r="CJ39" s="1333"/>
      <c r="CK39" s="1315"/>
      <c r="CL39" s="1315"/>
      <c r="CM39" s="1315"/>
      <c r="CN39" s="1351"/>
      <c r="CS39" s="1352"/>
      <c r="CT39" s="503" t="s">
        <v>234</v>
      </c>
      <c r="CU39" s="1333"/>
      <c r="CV39" s="1315"/>
      <c r="CW39" s="1315"/>
      <c r="CX39" s="1315"/>
      <c r="CY39" s="1351"/>
    </row>
    <row r="40" spans="1:103" ht="15" thickBot="1">
      <c r="A40" s="1333"/>
      <c r="B40" s="303" t="s">
        <v>215</v>
      </c>
      <c r="C40" s="641">
        <f>('No. of aircraft'!C10*1000)/('Cost Structure'!$B$12*'No. of aircraft'!$B$29)</f>
        <v>0</v>
      </c>
      <c r="D40" s="641">
        <f>('No. of aircraft'!D10*1000)/('Cost Structure'!$B$12*'No. of aircraft'!$B$29)</f>
        <v>0</v>
      </c>
      <c r="E40" s="641">
        <f>('No. of aircraft'!E10*1000)/('Cost Structure'!$B$12*'No. of aircraft'!$B$29)</f>
        <v>0</v>
      </c>
      <c r="F40" s="641">
        <f>('No. of aircraft'!F10*1000)/('Cost Structure'!$B$12*'No. of aircraft'!$B$29)</f>
        <v>0</v>
      </c>
      <c r="G40" s="342">
        <f>('No. of aircraft'!G10*1000)/('Cost Structure'!$B$12*'No. of aircraft'!$B$29)</f>
        <v>6.4102564102564097E-2</v>
      </c>
      <c r="H40" s="342">
        <f>('No. of aircraft'!H10*1000)/('Cost Structure'!$B$12*'No. of aircraft'!$B$29)</f>
        <v>0.10683760683760683</v>
      </c>
      <c r="I40" s="342">
        <f>('No. of aircraft'!I10*1000)/('Cost Structure'!$B$12*'No. of aircraft'!$B$29)</f>
        <v>0.14957264957264957</v>
      </c>
      <c r="J40" s="342">
        <f>('No. of aircraft'!J10*1000)/('Cost Structure'!$B$12*'No. of aircraft'!$B$29)</f>
        <v>0.19230769230769232</v>
      </c>
      <c r="K40" s="342">
        <f>('No. of aircraft'!K10*1000)/('Cost Structure'!$B$12*'No. of aircraft'!$B$29)</f>
        <v>0.23504273504273504</v>
      </c>
      <c r="L40" s="342">
        <f>('No. of aircraft'!L10*1000)/('Cost Structure'!$B$12*'No. of aircraft'!$B$29)</f>
        <v>0.27777777777777779</v>
      </c>
      <c r="M40" s="342">
        <f>('No. of aircraft'!M10*1000)/('Cost Structure'!$B$12*'No. of aircraft'!$B$29)</f>
        <v>0.32051282051282054</v>
      </c>
      <c r="N40" s="342">
        <f>('No. of aircraft'!N10*1000)/('Cost Structure'!$B$12*'No. of aircraft'!$B$29)</f>
        <v>0.36324786324786323</v>
      </c>
      <c r="O40" s="342">
        <f>('No. of aircraft'!O10*1000)/('Cost Structure'!$B$12*'No. of aircraft'!$B$29)</f>
        <v>0.40598290598290598</v>
      </c>
      <c r="P40" s="342">
        <f>('No. of aircraft'!P10*1000)/('Cost Structure'!$B$12*'No. of aircraft'!$B$29)</f>
        <v>0.44871794871794873</v>
      </c>
      <c r="Q40" s="342">
        <f>('No. of aircraft'!Q10*1000)/('Cost Structure'!$B$12*'No. of aircraft'!$B$29)</f>
        <v>0.49145299145299143</v>
      </c>
      <c r="R40" s="342">
        <f>('No. of aircraft'!R10*1000)/('Cost Structure'!$B$12*'No. of aircraft'!$B$29)</f>
        <v>0.53418803418803418</v>
      </c>
      <c r="S40" s="342">
        <f>('No. of aircraft'!S10*1000)/('Cost Structure'!$B$12*'No. of aircraft'!$B$29)</f>
        <v>0.57692307692307687</v>
      </c>
      <c r="T40" s="342">
        <f>('No. of aircraft'!T10*1000)/('Cost Structure'!$B$12*'No. of aircraft'!$B$29)</f>
        <v>0.61965811965811968</v>
      </c>
      <c r="U40" s="342">
        <f>('No. of aircraft'!U10*1000)/('Cost Structure'!$B$12*'No. of aircraft'!$B$29)</f>
        <v>0.66239316239316237</v>
      </c>
      <c r="V40" s="342">
        <f>('No. of aircraft'!V10*1000)/('Cost Structure'!$B$12*'No. of aircraft'!$B$29)</f>
        <v>0.70512820512820518</v>
      </c>
      <c r="W40" s="354"/>
      <c r="X40" s="354"/>
      <c r="Y40" s="354"/>
      <c r="AD40" s="1333"/>
      <c r="AE40" s="303" t="s">
        <v>215</v>
      </c>
      <c r="AF40" s="653">
        <f t="shared" si="0"/>
        <v>0</v>
      </c>
      <c r="AG40" s="653">
        <f t="shared" si="1"/>
        <v>0</v>
      </c>
      <c r="AH40" s="653">
        <f t="shared" si="1"/>
        <v>0</v>
      </c>
      <c r="AI40" s="653">
        <f t="shared" si="1"/>
        <v>0</v>
      </c>
      <c r="AJ40" s="634">
        <f t="shared" si="1"/>
        <v>1</v>
      </c>
      <c r="AK40" s="634">
        <f t="shared" si="1"/>
        <v>1</v>
      </c>
      <c r="AL40" s="634">
        <f t="shared" si="1"/>
        <v>1</v>
      </c>
      <c r="AM40" s="634">
        <f t="shared" si="1"/>
        <v>1</v>
      </c>
      <c r="AN40" s="634">
        <f t="shared" si="1"/>
        <v>1</v>
      </c>
      <c r="AO40" s="634">
        <f t="shared" si="1"/>
        <v>1</v>
      </c>
      <c r="AP40" s="634">
        <f t="shared" ref="AP40:AY42" si="2">ROUNDUP(M40,0)</f>
        <v>1</v>
      </c>
      <c r="AQ40" s="634">
        <f t="shared" si="2"/>
        <v>1</v>
      </c>
      <c r="AR40" s="634">
        <f t="shared" si="2"/>
        <v>1</v>
      </c>
      <c r="AS40" s="634">
        <f t="shared" si="2"/>
        <v>1</v>
      </c>
      <c r="AT40" s="634">
        <f t="shared" si="2"/>
        <v>1</v>
      </c>
      <c r="AU40" s="634">
        <f t="shared" si="2"/>
        <v>1</v>
      </c>
      <c r="AV40" s="634">
        <f t="shared" si="2"/>
        <v>1</v>
      </c>
      <c r="AW40" s="634">
        <f t="shared" si="2"/>
        <v>1</v>
      </c>
      <c r="AX40" s="634">
        <f t="shared" si="2"/>
        <v>1</v>
      </c>
      <c r="AY40" s="634">
        <f t="shared" si="2"/>
        <v>1</v>
      </c>
      <c r="AZ40" s="1331"/>
      <c r="BA40" s="1331"/>
      <c r="BB40" s="1331"/>
      <c r="BC40" s="1331"/>
      <c r="BJ40" s="1352"/>
      <c r="BK40" s="503" t="s">
        <v>224</v>
      </c>
      <c r="BL40" s="1333"/>
      <c r="BM40" s="1315"/>
      <c r="BN40" s="1315"/>
      <c r="BO40" s="1315"/>
      <c r="BP40" s="1351"/>
      <c r="BR40" s="1352"/>
      <c r="BS40" s="503" t="s">
        <v>224</v>
      </c>
      <c r="BT40" s="1333"/>
      <c r="BU40" s="1315"/>
      <c r="BV40" s="1315"/>
      <c r="BW40" s="1315"/>
      <c r="BX40" s="1351"/>
      <c r="BZ40" s="1352"/>
      <c r="CA40" s="503" t="s">
        <v>224</v>
      </c>
      <c r="CB40" s="1333"/>
      <c r="CC40" s="1315"/>
      <c r="CD40" s="1315"/>
      <c r="CE40" s="1315"/>
      <c r="CF40" s="1351"/>
      <c r="CH40" s="1352"/>
      <c r="CI40" s="503" t="s">
        <v>224</v>
      </c>
      <c r="CJ40" s="1333"/>
      <c r="CK40" s="1315"/>
      <c r="CL40" s="1315"/>
      <c r="CM40" s="1315"/>
      <c r="CN40" s="1351"/>
      <c r="CS40" s="1352"/>
      <c r="CT40" s="503" t="s">
        <v>224</v>
      </c>
      <c r="CU40" s="1333"/>
      <c r="CV40" s="1315"/>
      <c r="CW40" s="1315"/>
      <c r="CX40" s="1315"/>
      <c r="CY40" s="1351"/>
    </row>
    <row r="41" spans="1:103" ht="15" thickBot="1">
      <c r="A41" s="1333"/>
      <c r="B41" s="303" t="s">
        <v>216</v>
      </c>
      <c r="C41" s="641">
        <f>('No. of aircraft'!C11*1000)/('Cost Structure'!$B$12*'No. of aircraft'!$B$29)</f>
        <v>0</v>
      </c>
      <c r="D41" s="641">
        <f>('No. of aircraft'!D11*1000)/('Cost Structure'!$B$12*'No. of aircraft'!$B$29)</f>
        <v>0</v>
      </c>
      <c r="E41" s="641">
        <f>('No. of aircraft'!E11*1000)/('Cost Structure'!$B$12*'No. of aircraft'!$B$29)</f>
        <v>0</v>
      </c>
      <c r="F41" s="641">
        <f>('No. of aircraft'!F11*1000)/('Cost Structure'!$B$12*'No. of aircraft'!$B$29)</f>
        <v>0</v>
      </c>
      <c r="G41" s="342">
        <f>('No. of aircraft'!G11*1000)/('Cost Structure'!$B$12*'No. of aircraft'!$B$29)</f>
        <v>0.52445612015192589</v>
      </c>
      <c r="H41" s="342">
        <f>('No. of aircraft'!H11*1000)/('Cost Structure'!$B$12*'No. of aircraft'!$B$29)</f>
        <v>0.56816079683125309</v>
      </c>
      <c r="I41" s="342">
        <f>('No. of aircraft'!I11*1000)/('Cost Structure'!$B$12*'No. of aircraft'!$B$29)</f>
        <v>0.70364529453716729</v>
      </c>
      <c r="J41" s="342">
        <f>('No. of aircraft'!J11*1000)/('Cost Structure'!$B$12*'No. of aircraft'!$B$29)</f>
        <v>0.75390567271839359</v>
      </c>
      <c r="K41" s="342">
        <f>('No. of aircraft'!K11*1000)/('Cost Structure'!$B$12*'No. of aircraft'!$B$29)</f>
        <v>0.8041660508996199</v>
      </c>
      <c r="L41" s="342">
        <f>('No. of aircraft'!L11*1000)/('Cost Structure'!$B$12*'No. of aircraft'!$B$29)</f>
        <v>0.80416605089961979</v>
      </c>
      <c r="M41" s="342">
        <f>('No. of aircraft'!M11*1000)/('Cost Structure'!$B$12*'No. of aircraft'!$B$29)</f>
        <v>0.80416605089961979</v>
      </c>
      <c r="N41" s="342">
        <f>('No. of aircraft'!N11*1000)/('Cost Structure'!$B$12*'No. of aircraft'!$B$29)</f>
        <v>0.80416605089961979</v>
      </c>
      <c r="O41" s="342">
        <f>('No. of aircraft'!O11*1000)/('Cost Structure'!$B$12*'No. of aircraft'!$B$29)</f>
        <v>0.80416605089961979</v>
      </c>
      <c r="P41" s="342">
        <f>('No. of aircraft'!P11*1000)/('Cost Structure'!$B$12*'No. of aircraft'!$B$29)</f>
        <v>0.80416605089961979</v>
      </c>
      <c r="Q41" s="342">
        <f>('No. of aircraft'!Q11*1000)/('Cost Structure'!$B$12*'No. of aircraft'!$B$29)</f>
        <v>0.80416605089961979</v>
      </c>
      <c r="R41" s="342">
        <f>('No. of aircraft'!R11*1000)/('Cost Structure'!$B$12*'No. of aircraft'!$B$29)</f>
        <v>0.80416605089961979</v>
      </c>
      <c r="S41" s="342">
        <f>('No. of aircraft'!S11*1000)/('Cost Structure'!$B$12*'No. of aircraft'!$B$29)</f>
        <v>0.80416605089961979</v>
      </c>
      <c r="T41" s="342">
        <f>('No. of aircraft'!T11*1000)/('Cost Structure'!$B$12*'No. of aircraft'!$B$29)</f>
        <v>0.80416605089961979</v>
      </c>
      <c r="U41" s="342">
        <f>('No. of aircraft'!U11*1000)/('Cost Structure'!$B$12*'No. of aircraft'!$B$29)</f>
        <v>0.80416605089961979</v>
      </c>
      <c r="V41" s="342">
        <f>('No. of aircraft'!V11*1000)/('Cost Structure'!$B$12*'No. of aircraft'!$B$29)</f>
        <v>0.80416605089961979</v>
      </c>
      <c r="W41" s="354"/>
      <c r="X41" s="354"/>
      <c r="Y41" s="354"/>
      <c r="AD41" s="1333"/>
      <c r="AE41" s="303" t="s">
        <v>216</v>
      </c>
      <c r="AF41" s="653">
        <f t="shared" si="0"/>
        <v>0</v>
      </c>
      <c r="AG41" s="653">
        <f t="shared" si="1"/>
        <v>0</v>
      </c>
      <c r="AH41" s="653">
        <f t="shared" si="1"/>
        <v>0</v>
      </c>
      <c r="AI41" s="653">
        <f t="shared" si="1"/>
        <v>0</v>
      </c>
      <c r="AJ41" s="634">
        <f t="shared" si="1"/>
        <v>1</v>
      </c>
      <c r="AK41" s="634">
        <f t="shared" si="1"/>
        <v>1</v>
      </c>
      <c r="AL41" s="634">
        <f t="shared" si="1"/>
        <v>1</v>
      </c>
      <c r="AM41" s="634">
        <f t="shared" si="1"/>
        <v>1</v>
      </c>
      <c r="AN41" s="634">
        <f t="shared" si="1"/>
        <v>1</v>
      </c>
      <c r="AO41" s="634">
        <f t="shared" si="1"/>
        <v>1</v>
      </c>
      <c r="AP41" s="634">
        <f t="shared" si="2"/>
        <v>1</v>
      </c>
      <c r="AQ41" s="634">
        <f t="shared" si="2"/>
        <v>1</v>
      </c>
      <c r="AR41" s="634">
        <f t="shared" si="2"/>
        <v>1</v>
      </c>
      <c r="AS41" s="634">
        <f t="shared" si="2"/>
        <v>1</v>
      </c>
      <c r="AT41" s="634">
        <f t="shared" si="2"/>
        <v>1</v>
      </c>
      <c r="AU41" s="634">
        <f t="shared" si="2"/>
        <v>1</v>
      </c>
      <c r="AV41" s="634">
        <f t="shared" si="2"/>
        <v>1</v>
      </c>
      <c r="AW41" s="634">
        <f t="shared" si="2"/>
        <v>1</v>
      </c>
      <c r="AX41" s="634">
        <f t="shared" si="2"/>
        <v>1</v>
      </c>
      <c r="AY41" s="634">
        <f t="shared" si="2"/>
        <v>1</v>
      </c>
      <c r="AZ41" s="1331"/>
      <c r="BA41" s="1331"/>
      <c r="BB41" s="1331"/>
      <c r="BC41" s="1331"/>
      <c r="BJ41" s="1352"/>
      <c r="BK41" s="503" t="s">
        <v>235</v>
      </c>
      <c r="BL41" s="1333"/>
      <c r="BM41" s="1315"/>
      <c r="BN41" s="1315"/>
      <c r="BO41" s="1315"/>
      <c r="BP41" s="1351"/>
      <c r="BR41" s="1352"/>
      <c r="BS41" s="503" t="s">
        <v>235</v>
      </c>
      <c r="BT41" s="1333"/>
      <c r="BU41" s="1315"/>
      <c r="BV41" s="1315"/>
      <c r="BW41" s="1315"/>
      <c r="BX41" s="1351"/>
      <c r="BZ41" s="1352"/>
      <c r="CA41" s="503" t="s">
        <v>235</v>
      </c>
      <c r="CB41" s="1333"/>
      <c r="CC41" s="1315"/>
      <c r="CD41" s="1315"/>
      <c r="CE41" s="1315"/>
      <c r="CF41" s="1351"/>
      <c r="CH41" s="1352"/>
      <c r="CI41" s="503" t="s">
        <v>235</v>
      </c>
      <c r="CJ41" s="1333"/>
      <c r="CK41" s="1315"/>
      <c r="CL41" s="1315"/>
      <c r="CM41" s="1315"/>
      <c r="CN41" s="1351"/>
      <c r="CS41" s="1352"/>
      <c r="CT41" s="503" t="s">
        <v>235</v>
      </c>
      <c r="CU41" s="1333"/>
      <c r="CV41" s="1315"/>
      <c r="CW41" s="1315"/>
      <c r="CX41" s="1315"/>
      <c r="CY41" s="1351"/>
    </row>
    <row r="42" spans="1:103" ht="15" thickBot="1">
      <c r="A42" s="1333"/>
      <c r="B42" s="305" t="s">
        <v>217</v>
      </c>
      <c r="C42" s="641">
        <f>('No. of aircraft'!C12*1000)/('Cost Structure'!$B$12*'No. of aircraft'!$B$29)</f>
        <v>0</v>
      </c>
      <c r="D42" s="641">
        <f>('No. of aircraft'!D12*1000)/('Cost Structure'!$B$12*'No. of aircraft'!$B$29)</f>
        <v>0</v>
      </c>
      <c r="E42" s="641">
        <f>('No. of aircraft'!E12*1000)/('Cost Structure'!$B$12*'No. of aircraft'!$B$29)</f>
        <v>0</v>
      </c>
      <c r="F42" s="641">
        <f>('No. of aircraft'!F12*1000)/('Cost Structure'!$B$12*'No. of aircraft'!$B$29)</f>
        <v>0</v>
      </c>
      <c r="G42" s="342">
        <f>('No. of aircraft'!G12*1000)/('Cost Structure'!$B$12*'No. of aircraft'!$B$29)</f>
        <v>6.4102564102564097E-2</v>
      </c>
      <c r="H42" s="342">
        <f>('No. of aircraft'!H12*1000)/('Cost Structure'!$B$12*'No. of aircraft'!$B$29)</f>
        <v>0.10683760683760683</v>
      </c>
      <c r="I42" s="342">
        <f>('No. of aircraft'!I12*1000)/('Cost Structure'!$B$12*'No. of aircraft'!$B$29)</f>
        <v>0.14957264957264957</v>
      </c>
      <c r="J42" s="342">
        <f>('No. of aircraft'!J12*1000)/('Cost Structure'!$B$12*'No. of aircraft'!$B$29)</f>
        <v>0.19230769230769232</v>
      </c>
      <c r="K42" s="342">
        <f>('No. of aircraft'!K12*1000)/('Cost Structure'!$B$12*'No. of aircraft'!$B$29)</f>
        <v>0.23504273504273504</v>
      </c>
      <c r="L42" s="342">
        <f>('No. of aircraft'!L12*1000)/('Cost Structure'!$B$12*'No. of aircraft'!$B$29)</f>
        <v>0.27777777777777779</v>
      </c>
      <c r="M42" s="342">
        <f>('No. of aircraft'!M12*1000)/('Cost Structure'!$B$12*'No. of aircraft'!$B$29)</f>
        <v>0.32051282051282054</v>
      </c>
      <c r="N42" s="342">
        <f>('No. of aircraft'!N12*1000)/('Cost Structure'!$B$12*'No. of aircraft'!$B$29)</f>
        <v>0.36324786324786323</v>
      </c>
      <c r="O42" s="342">
        <f>('No. of aircraft'!O12*1000)/('Cost Structure'!$B$12*'No. of aircraft'!$B$29)</f>
        <v>0.40598290598290598</v>
      </c>
      <c r="P42" s="342">
        <f>('No. of aircraft'!P12*1000)/('Cost Structure'!$B$12*'No. of aircraft'!$B$29)</f>
        <v>0.44871794871794873</v>
      </c>
      <c r="Q42" s="342">
        <f>('No. of aircraft'!Q12*1000)/('Cost Structure'!$B$12*'No. of aircraft'!$B$29)</f>
        <v>0.49145299145299143</v>
      </c>
      <c r="R42" s="342">
        <f>('No. of aircraft'!R12*1000)/('Cost Structure'!$B$12*'No. of aircraft'!$B$29)</f>
        <v>0.53418803418803418</v>
      </c>
      <c r="S42" s="342">
        <f>('No. of aircraft'!S12*1000)/('Cost Structure'!$B$12*'No. of aircraft'!$B$29)</f>
        <v>0.57692307692307687</v>
      </c>
      <c r="T42" s="342">
        <f>('No. of aircraft'!T12*1000)/('Cost Structure'!$B$12*'No. of aircraft'!$B$29)</f>
        <v>0.61965811965811968</v>
      </c>
      <c r="U42" s="342">
        <f>('No. of aircraft'!U12*1000)/('Cost Structure'!$B$12*'No. of aircraft'!$B$29)</f>
        <v>0.66239316239316237</v>
      </c>
      <c r="V42" s="342">
        <f>('No. of aircraft'!V12*1000)/('Cost Structure'!$B$12*'No. of aircraft'!$B$29)</f>
        <v>0.70512820512820518</v>
      </c>
      <c r="W42" s="354"/>
      <c r="X42" s="354"/>
      <c r="Y42" s="354"/>
      <c r="AD42" s="1333"/>
      <c r="AE42" s="305" t="s">
        <v>217</v>
      </c>
      <c r="AF42" s="653">
        <f t="shared" si="0"/>
        <v>0</v>
      </c>
      <c r="AG42" s="653">
        <f t="shared" si="1"/>
        <v>0</v>
      </c>
      <c r="AH42" s="653">
        <f t="shared" si="1"/>
        <v>0</v>
      </c>
      <c r="AI42" s="653">
        <f t="shared" si="1"/>
        <v>0</v>
      </c>
      <c r="AJ42" s="634">
        <f t="shared" si="1"/>
        <v>1</v>
      </c>
      <c r="AK42" s="634">
        <f t="shared" si="1"/>
        <v>1</v>
      </c>
      <c r="AL42" s="634">
        <f t="shared" si="1"/>
        <v>1</v>
      </c>
      <c r="AM42" s="634">
        <f t="shared" si="1"/>
        <v>1</v>
      </c>
      <c r="AN42" s="634">
        <f t="shared" si="1"/>
        <v>1</v>
      </c>
      <c r="AO42" s="634">
        <f t="shared" si="1"/>
        <v>1</v>
      </c>
      <c r="AP42" s="634">
        <f t="shared" si="2"/>
        <v>1</v>
      </c>
      <c r="AQ42" s="634">
        <f t="shared" si="2"/>
        <v>1</v>
      </c>
      <c r="AR42" s="634">
        <f t="shared" si="2"/>
        <v>1</v>
      </c>
      <c r="AS42" s="634">
        <f t="shared" si="2"/>
        <v>1</v>
      </c>
      <c r="AT42" s="634">
        <f t="shared" si="2"/>
        <v>1</v>
      </c>
      <c r="AU42" s="634">
        <f t="shared" si="2"/>
        <v>1</v>
      </c>
      <c r="AV42" s="634">
        <f t="shared" si="2"/>
        <v>1</v>
      </c>
      <c r="AW42" s="634">
        <f t="shared" si="2"/>
        <v>1</v>
      </c>
      <c r="AX42" s="634">
        <f t="shared" si="2"/>
        <v>1</v>
      </c>
      <c r="AY42" s="634">
        <f t="shared" si="2"/>
        <v>1</v>
      </c>
      <c r="AZ42" s="1331"/>
      <c r="BA42" s="1331"/>
      <c r="BB42" s="1331"/>
      <c r="BC42" s="1331"/>
      <c r="BJ42" s="1354">
        <v>3</v>
      </c>
      <c r="BK42" s="502" t="s">
        <v>218</v>
      </c>
      <c r="BL42" s="1333" t="s">
        <v>116</v>
      </c>
      <c r="BM42" s="1315" t="s">
        <v>116</v>
      </c>
      <c r="BN42" s="1315">
        <v>2</v>
      </c>
      <c r="BO42" s="1315">
        <v>2</v>
      </c>
      <c r="BP42" s="1351">
        <v>2</v>
      </c>
      <c r="BR42" s="1354">
        <v>3</v>
      </c>
      <c r="BS42" s="502" t="s">
        <v>218</v>
      </c>
      <c r="BT42" s="1333" t="s">
        <v>116</v>
      </c>
      <c r="BU42" s="1315" t="s">
        <v>116</v>
      </c>
      <c r="BV42" s="1315">
        <v>2</v>
      </c>
      <c r="BW42" s="1315">
        <v>4</v>
      </c>
      <c r="BX42" s="1351">
        <v>4</v>
      </c>
      <c r="BZ42" s="1354">
        <v>3</v>
      </c>
      <c r="CA42" s="502" t="s">
        <v>218</v>
      </c>
      <c r="CB42" s="1333" t="s">
        <v>116</v>
      </c>
      <c r="CC42" s="1315" t="s">
        <v>116</v>
      </c>
      <c r="CD42" s="1315">
        <v>1</v>
      </c>
      <c r="CE42" s="1315">
        <v>1</v>
      </c>
      <c r="CF42" s="1351">
        <v>1</v>
      </c>
      <c r="CH42" s="1354">
        <v>3</v>
      </c>
      <c r="CI42" s="502" t="s">
        <v>218</v>
      </c>
      <c r="CJ42" s="1333" t="s">
        <v>116</v>
      </c>
      <c r="CK42" s="1315" t="s">
        <v>116</v>
      </c>
      <c r="CL42" s="1315">
        <v>1</v>
      </c>
      <c r="CM42" s="1315">
        <v>1</v>
      </c>
      <c r="CN42" s="1351">
        <v>1</v>
      </c>
      <c r="CS42" s="1354">
        <v>3</v>
      </c>
      <c r="CT42" s="502" t="s">
        <v>218</v>
      </c>
      <c r="CU42" s="1333" t="s">
        <v>116</v>
      </c>
      <c r="CV42" s="1315" t="s">
        <v>116</v>
      </c>
      <c r="CW42" s="1315">
        <v>30</v>
      </c>
      <c r="CX42" s="1315">
        <v>30</v>
      </c>
      <c r="CY42" s="1351">
        <v>35</v>
      </c>
    </row>
    <row r="43" spans="1:103" ht="15" thickBot="1">
      <c r="A43" s="1333">
        <v>3</v>
      </c>
      <c r="B43" s="203" t="s">
        <v>218</v>
      </c>
      <c r="C43" s="641">
        <f>('No. of aircraft'!C13*1000)/('Cost Structure'!$B$12*'No. of aircraft'!$B$29)</f>
        <v>0</v>
      </c>
      <c r="D43" s="641">
        <f>('No. of aircraft'!D13*1000)/('Cost Structure'!$B$12*'No. of aircraft'!$B$29)</f>
        <v>0</v>
      </c>
      <c r="E43" s="641">
        <f>('No. of aircraft'!E13*1000)/('Cost Structure'!$B$12*'No. of aircraft'!$B$29)</f>
        <v>0</v>
      </c>
      <c r="F43" s="641">
        <f>('No. of aircraft'!F13*1000)/('Cost Structure'!$B$12*'No. of aircraft'!$B$29)</f>
        <v>0</v>
      </c>
      <c r="G43" s="641">
        <f>('No. of aircraft'!G13*1000)/('Cost Structure'!$B$12*'No. of aircraft'!$B$29)</f>
        <v>0</v>
      </c>
      <c r="H43" s="641">
        <f>('No. of aircraft'!H13*1000)/('Cost Structure'!$B$12*'No. of aircraft'!$B$29)</f>
        <v>0</v>
      </c>
      <c r="I43" s="641">
        <f>('No. of aircraft'!I13*1000)/('Cost Structure'!$B$12*'No. of aircraft'!$B$29)</f>
        <v>0</v>
      </c>
      <c r="J43" s="641">
        <f>('No. of aircraft'!J13*1000)/('Cost Structure'!$B$12*'No. of aircraft'!$B$29)</f>
        <v>0</v>
      </c>
      <c r="K43" s="342">
        <f>('No. of aircraft'!K13*1000)/('Cost Structure'!$B$12*'No. of aircraft'!$B$29)</f>
        <v>1.2820512820512822</v>
      </c>
      <c r="L43" s="342">
        <f>('No. of aircraft'!L13*1000)/('Cost Structure'!$B$12*'No. of aircraft'!$B$29)</f>
        <v>1.2820512820512822</v>
      </c>
      <c r="M43" s="342">
        <f>('No. of aircraft'!M13*1000)/('Cost Structure'!$B$12*'No. of aircraft'!$B$29)</f>
        <v>1.2820512820512822</v>
      </c>
      <c r="N43" s="342">
        <f>('No. of aircraft'!N13*1000)/('Cost Structure'!$B$12*'No. of aircraft'!$B$29)</f>
        <v>1.2820512820512822</v>
      </c>
      <c r="O43" s="342">
        <f>('No. of aircraft'!O13*1000)/('Cost Structure'!$B$12*'No. of aircraft'!$B$29)</f>
        <v>1.2820512820512822</v>
      </c>
      <c r="P43" s="342">
        <f>('No. of aircraft'!P13*1000)/('Cost Structure'!$B$12*'No. of aircraft'!$B$29)</f>
        <v>1.2820512820512822</v>
      </c>
      <c r="Q43" s="342">
        <f>('No. of aircraft'!Q13*1000)/('Cost Structure'!$B$12*'No. of aircraft'!$B$29)</f>
        <v>1.4957264957264957</v>
      </c>
      <c r="R43" s="342">
        <f>('No. of aircraft'!R13*1000)/('Cost Structure'!$B$12*'No. of aircraft'!$B$29)</f>
        <v>1.4957264957264957</v>
      </c>
      <c r="S43" s="342">
        <f>('No. of aircraft'!S13*1000)/('Cost Structure'!$B$12*'No. of aircraft'!$B$29)</f>
        <v>1.4957264957264957</v>
      </c>
      <c r="T43" s="342">
        <f>('No. of aircraft'!T13*1000)/('Cost Structure'!$B$12*'No. of aircraft'!$B$29)</f>
        <v>1.4957264957264957</v>
      </c>
      <c r="U43" s="342">
        <f>('No. of aircraft'!U13*1000)/('Cost Structure'!$B$12*'No. of aircraft'!$B$29)</f>
        <v>1.4957264957264957</v>
      </c>
      <c r="V43" s="342">
        <f>('No. of aircraft'!V13*1000)/('Cost Structure'!$B$12*'No. of aircraft'!$B$29)</f>
        <v>1.4957264957264957</v>
      </c>
      <c r="W43" s="642"/>
      <c r="X43" s="354"/>
      <c r="Y43" s="354"/>
      <c r="AD43" s="1333">
        <v>3</v>
      </c>
      <c r="AE43" s="203" t="s">
        <v>218</v>
      </c>
      <c r="AF43" s="653">
        <f t="shared" si="0"/>
        <v>0</v>
      </c>
      <c r="AG43" s="653">
        <f t="shared" si="1"/>
        <v>0</v>
      </c>
      <c r="AH43" s="653">
        <f t="shared" si="1"/>
        <v>0</v>
      </c>
      <c r="AI43" s="653">
        <f t="shared" si="1"/>
        <v>0</v>
      </c>
      <c r="AJ43" s="653">
        <f t="shared" si="1"/>
        <v>0</v>
      </c>
      <c r="AK43" s="653">
        <f t="shared" si="1"/>
        <v>0</v>
      </c>
      <c r="AL43" s="653">
        <f t="shared" si="1"/>
        <v>0</v>
      </c>
      <c r="AM43" s="653">
        <f t="shared" si="1"/>
        <v>0</v>
      </c>
      <c r="AN43" s="634">
        <v>1</v>
      </c>
      <c r="AO43" s="634">
        <v>1</v>
      </c>
      <c r="AP43" s="634">
        <v>1</v>
      </c>
      <c r="AQ43" s="634">
        <v>1</v>
      </c>
      <c r="AR43" s="634">
        <v>1</v>
      </c>
      <c r="AS43" s="634">
        <v>1</v>
      </c>
      <c r="AT43" s="634">
        <v>1</v>
      </c>
      <c r="AU43" s="634">
        <v>1</v>
      </c>
      <c r="AV43" s="634">
        <v>1</v>
      </c>
      <c r="AW43" s="634">
        <v>1</v>
      </c>
      <c r="AX43" s="634">
        <v>1</v>
      </c>
      <c r="AY43" s="634">
        <v>1</v>
      </c>
      <c r="AZ43" s="1331"/>
      <c r="BA43" s="1331"/>
      <c r="BB43" s="1331"/>
      <c r="BC43" s="1331"/>
      <c r="BJ43" s="1354"/>
      <c r="BK43" s="65" t="s">
        <v>219</v>
      </c>
      <c r="BL43" s="1333"/>
      <c r="BM43" s="1315"/>
      <c r="BN43" s="1315"/>
      <c r="BO43" s="1315"/>
      <c r="BP43" s="1351"/>
      <c r="BR43" s="1354"/>
      <c r="BS43" s="65" t="s">
        <v>219</v>
      </c>
      <c r="BT43" s="1333"/>
      <c r="BU43" s="1315"/>
      <c r="BV43" s="1315"/>
      <c r="BW43" s="1315"/>
      <c r="BX43" s="1351"/>
      <c r="BZ43" s="1354"/>
      <c r="CA43" s="65" t="s">
        <v>219</v>
      </c>
      <c r="CB43" s="1333"/>
      <c r="CC43" s="1315"/>
      <c r="CD43" s="1315"/>
      <c r="CE43" s="1315"/>
      <c r="CF43" s="1351"/>
      <c r="CH43" s="1354"/>
      <c r="CI43" s="65" t="s">
        <v>219</v>
      </c>
      <c r="CJ43" s="1333"/>
      <c r="CK43" s="1315"/>
      <c r="CL43" s="1315"/>
      <c r="CM43" s="1315"/>
      <c r="CN43" s="1351"/>
      <c r="CS43" s="1354"/>
      <c r="CT43" s="65" t="s">
        <v>219</v>
      </c>
      <c r="CU43" s="1333"/>
      <c r="CV43" s="1315"/>
      <c r="CW43" s="1315"/>
      <c r="CX43" s="1315"/>
      <c r="CY43" s="1351"/>
    </row>
    <row r="44" spans="1:103" ht="15" thickBot="1">
      <c r="A44" s="1333"/>
      <c r="B44" s="203" t="s">
        <v>219</v>
      </c>
      <c r="C44" s="641">
        <f>('No. of aircraft'!C14*1000)/('Cost Structure'!$B$12*'No. of aircraft'!$B$29)</f>
        <v>0</v>
      </c>
      <c r="D44" s="641">
        <f>('No. of aircraft'!D14*1000)/('Cost Structure'!$B$12*'No. of aircraft'!$B$29)</f>
        <v>0</v>
      </c>
      <c r="E44" s="641">
        <f>('No. of aircraft'!E14*1000)/('Cost Structure'!$B$12*'No. of aircraft'!$B$29)</f>
        <v>0</v>
      </c>
      <c r="F44" s="641">
        <f>('No. of aircraft'!F14*1000)/('Cost Structure'!$B$12*'No. of aircraft'!$B$29)</f>
        <v>0</v>
      </c>
      <c r="G44" s="641">
        <f>('No. of aircraft'!G14*1000)/('Cost Structure'!$B$12*'No. of aircraft'!$B$29)</f>
        <v>0</v>
      </c>
      <c r="H44" s="641">
        <f>('No. of aircraft'!H14*1000)/('Cost Structure'!$B$12*'No. of aircraft'!$B$29)</f>
        <v>0</v>
      </c>
      <c r="I44" s="641">
        <f>('No. of aircraft'!I14*1000)/('Cost Structure'!$B$12*'No. of aircraft'!$B$29)</f>
        <v>0</v>
      </c>
      <c r="J44" s="641">
        <f>('No. of aircraft'!J14*1000)/('Cost Structure'!$B$12*'No. of aircraft'!$B$29)</f>
        <v>0</v>
      </c>
      <c r="K44" s="342">
        <f>('No. of aircraft'!K14*1000)/('Cost Structure'!$B$12*'No. of aircraft'!$B$29)</f>
        <v>0.53034188034188035</v>
      </c>
      <c r="L44" s="342">
        <f>('No. of aircraft'!L14*1000)/('Cost Structure'!$B$12*'No. of aircraft'!$B$29)</f>
        <v>0.54316239316239312</v>
      </c>
      <c r="M44" s="342">
        <f>('No. of aircraft'!M14*1000)/('Cost Structure'!$B$12*'No. of aircraft'!$B$29)</f>
        <v>0.55598290598290601</v>
      </c>
      <c r="N44" s="342">
        <f>('No. of aircraft'!N14*1000)/('Cost Structure'!$B$12*'No. of aircraft'!$B$29)</f>
        <v>0.56880341880341889</v>
      </c>
      <c r="O44" s="342">
        <f>('No. of aircraft'!O14*1000)/('Cost Structure'!$B$12*'No. of aircraft'!$B$29)</f>
        <v>0.58162393162393178</v>
      </c>
      <c r="P44" s="342">
        <f>('No. of aircraft'!P14*1000)/('Cost Structure'!$B$12*'No. of aircraft'!$B$29)</f>
        <v>0.59444444444444455</v>
      </c>
      <c r="Q44" s="342">
        <f>('No. of aircraft'!Q14*1000)/('Cost Structure'!$B$12*'No. of aircraft'!$B$29)</f>
        <v>0.60726495726495744</v>
      </c>
      <c r="R44" s="342">
        <f>('No. of aircraft'!R14*1000)/('Cost Structure'!$B$12*'No. of aircraft'!$B$29)</f>
        <v>0.62008547008547032</v>
      </c>
      <c r="S44" s="342">
        <f>('No. of aircraft'!S14*1000)/('Cost Structure'!$B$12*'No. of aircraft'!$B$29)</f>
        <v>0.6329059829059831</v>
      </c>
      <c r="T44" s="342">
        <f>('No. of aircraft'!T14*1000)/('Cost Structure'!$B$12*'No. of aircraft'!$B$29)</f>
        <v>0.64572649572649599</v>
      </c>
      <c r="U44" s="342">
        <f>('No. of aircraft'!U14*1000)/('Cost Structure'!$B$12*'No. of aircraft'!$B$29)</f>
        <v>0.64572649572649599</v>
      </c>
      <c r="V44" s="342">
        <f>('No. of aircraft'!V14*1000)/('Cost Structure'!$B$12*'No. of aircraft'!$B$29)</f>
        <v>0.64572649572649599</v>
      </c>
      <c r="W44" s="354"/>
      <c r="X44" s="354"/>
      <c r="Y44" s="354"/>
      <c r="AD44" s="1333"/>
      <c r="AE44" s="203" t="s">
        <v>219</v>
      </c>
      <c r="AF44" s="653">
        <f t="shared" si="0"/>
        <v>0</v>
      </c>
      <c r="AG44" s="653">
        <f t="shared" si="1"/>
        <v>0</v>
      </c>
      <c r="AH44" s="653">
        <f t="shared" si="1"/>
        <v>0</v>
      </c>
      <c r="AI44" s="653">
        <f t="shared" si="1"/>
        <v>0</v>
      </c>
      <c r="AJ44" s="653">
        <f t="shared" si="1"/>
        <v>0</v>
      </c>
      <c r="AK44" s="653">
        <f t="shared" si="1"/>
        <v>0</v>
      </c>
      <c r="AL44" s="653">
        <f t="shared" si="1"/>
        <v>0</v>
      </c>
      <c r="AM44" s="653">
        <f t="shared" si="1"/>
        <v>0</v>
      </c>
      <c r="AN44" s="634">
        <f t="shared" si="1"/>
        <v>1</v>
      </c>
      <c r="AO44" s="634">
        <f t="shared" ref="AO44:AO46" si="3">ROUNDUP(L44,0)</f>
        <v>1</v>
      </c>
      <c r="AP44" s="634">
        <f t="shared" ref="AP44:AP46" si="4">ROUNDUP(M44,0)</f>
        <v>1</v>
      </c>
      <c r="AQ44" s="634">
        <f t="shared" ref="AQ44:AQ46" si="5">ROUNDUP(N44,0)</f>
        <v>1</v>
      </c>
      <c r="AR44" s="634">
        <f t="shared" ref="AR44:AR46" si="6">ROUNDUP(O44,0)</f>
        <v>1</v>
      </c>
      <c r="AS44" s="634">
        <f t="shared" ref="AS44:AS46" si="7">ROUNDUP(P44,0)</f>
        <v>1</v>
      </c>
      <c r="AT44" s="634">
        <f t="shared" ref="AT44:AT46" si="8">ROUNDUP(Q44,0)</f>
        <v>1</v>
      </c>
      <c r="AU44" s="634">
        <f t="shared" ref="AU44:AU46" si="9">ROUNDUP(R44,0)</f>
        <v>1</v>
      </c>
      <c r="AV44" s="634">
        <f t="shared" ref="AV44:AV46" si="10">ROUNDUP(S44,0)</f>
        <v>1</v>
      </c>
      <c r="AW44" s="634">
        <f t="shared" ref="AW44:AW46" si="11">ROUNDUP(T44,0)</f>
        <v>1</v>
      </c>
      <c r="AX44" s="634">
        <f t="shared" ref="AX44:AX46" si="12">ROUNDUP(U44,0)</f>
        <v>1</v>
      </c>
      <c r="AY44" s="634">
        <f t="shared" ref="AY44:AY46" si="13">ROUNDUP(V44,0)</f>
        <v>1</v>
      </c>
      <c r="AZ44" s="1331"/>
      <c r="BA44" s="1331"/>
      <c r="BB44" s="1331"/>
      <c r="BC44" s="1331"/>
      <c r="BJ44" s="1354"/>
      <c r="BK44" s="65" t="s">
        <v>220</v>
      </c>
      <c r="BL44" s="1333"/>
      <c r="BM44" s="1315"/>
      <c r="BN44" s="1315"/>
      <c r="BO44" s="1315"/>
      <c r="BP44" s="1351"/>
      <c r="BR44" s="1354"/>
      <c r="BS44" s="65" t="s">
        <v>220</v>
      </c>
      <c r="BT44" s="1333"/>
      <c r="BU44" s="1315"/>
      <c r="BV44" s="1315"/>
      <c r="BW44" s="1315"/>
      <c r="BX44" s="1351"/>
      <c r="BZ44" s="1354"/>
      <c r="CA44" s="65" t="s">
        <v>220</v>
      </c>
      <c r="CB44" s="1333"/>
      <c r="CC44" s="1315"/>
      <c r="CD44" s="1315"/>
      <c r="CE44" s="1315"/>
      <c r="CF44" s="1351"/>
      <c r="CH44" s="1354"/>
      <c r="CI44" s="65" t="s">
        <v>220</v>
      </c>
      <c r="CJ44" s="1333"/>
      <c r="CK44" s="1315"/>
      <c r="CL44" s="1315"/>
      <c r="CM44" s="1315"/>
      <c r="CN44" s="1351"/>
      <c r="CS44" s="1354"/>
      <c r="CT44" s="65" t="s">
        <v>220</v>
      </c>
      <c r="CU44" s="1333"/>
      <c r="CV44" s="1315"/>
      <c r="CW44" s="1315"/>
      <c r="CX44" s="1315"/>
      <c r="CY44" s="1351"/>
    </row>
    <row r="45" spans="1:103" ht="15" thickBot="1">
      <c r="A45" s="1333"/>
      <c r="B45" s="203" t="s">
        <v>220</v>
      </c>
      <c r="C45" s="641">
        <f>('No. of aircraft'!C15*1000)/('Cost Structure'!$B$12*'No. of aircraft'!$B$29)</f>
        <v>0</v>
      </c>
      <c r="D45" s="641">
        <f>('No. of aircraft'!D15*1000)/('Cost Structure'!$B$12*'No. of aircraft'!$B$29)</f>
        <v>0</v>
      </c>
      <c r="E45" s="641">
        <f>('No. of aircraft'!E15*1000)/('Cost Structure'!$B$12*'No. of aircraft'!$B$29)</f>
        <v>0</v>
      </c>
      <c r="F45" s="641">
        <f>('No. of aircraft'!F15*1000)/('Cost Structure'!$B$12*'No. of aircraft'!$B$29)</f>
        <v>0</v>
      </c>
      <c r="G45" s="641">
        <f>('No. of aircraft'!G15*1000)/('Cost Structure'!$B$12*'No. of aircraft'!$B$29)</f>
        <v>0</v>
      </c>
      <c r="H45" s="641">
        <f>('No. of aircraft'!H15*1000)/('Cost Structure'!$B$12*'No. of aircraft'!$B$29)</f>
        <v>0</v>
      </c>
      <c r="I45" s="641">
        <f>('No. of aircraft'!I15*1000)/('Cost Structure'!$B$12*'No. of aircraft'!$B$29)</f>
        <v>0</v>
      </c>
      <c r="J45" s="641">
        <f>('No. of aircraft'!J15*1000)/('Cost Structure'!$B$12*'No. of aircraft'!$B$29)</f>
        <v>0</v>
      </c>
      <c r="K45" s="342">
        <f>('No. of aircraft'!K15*1000)/('Cost Structure'!$B$12*'No. of aircraft'!$B$29)</f>
        <v>2.2962910066272459E-2</v>
      </c>
      <c r="L45" s="342">
        <f>('No. of aircraft'!L15*1000)/('Cost Structure'!$B$12*'No. of aircraft'!$B$29)</f>
        <v>4.4330431433793824E-2</v>
      </c>
      <c r="M45" s="342">
        <f>('No. of aircraft'!M15*1000)/('Cost Structure'!$B$12*'No. of aircraft'!$B$29)</f>
        <v>6.5697952801315185E-2</v>
      </c>
      <c r="N45" s="342">
        <f>('No. of aircraft'!N15*1000)/('Cost Structure'!$B$12*'No. of aircraft'!$B$29)</f>
        <v>8.706547416883656E-2</v>
      </c>
      <c r="O45" s="342">
        <f>('No. of aircraft'!O15*1000)/('Cost Structure'!$B$12*'No. of aircraft'!$B$29)</f>
        <v>0.10843299553635793</v>
      </c>
      <c r="P45" s="342">
        <f>('No. of aircraft'!P15*1000)/('Cost Structure'!$B$12*'No. of aircraft'!$B$29)</f>
        <v>0.12980051690387931</v>
      </c>
      <c r="Q45" s="342">
        <f>('No. of aircraft'!Q15*1000)/('Cost Structure'!$B$12*'No. of aircraft'!$B$29)</f>
        <v>0.15116803827140066</v>
      </c>
      <c r="R45" s="342">
        <f>('No. of aircraft'!R15*1000)/('Cost Structure'!$B$12*'No. of aircraft'!$B$29)</f>
        <v>0.17253555963892203</v>
      </c>
      <c r="S45" s="342">
        <f>('No. of aircraft'!S15*1000)/('Cost Structure'!$B$12*'No. of aircraft'!$B$29)</f>
        <v>0.19390308100644338</v>
      </c>
      <c r="T45" s="342">
        <f>('No. of aircraft'!T15*1000)/('Cost Structure'!$B$12*'No. of aircraft'!$B$29)</f>
        <v>0.21527060237396475</v>
      </c>
      <c r="U45" s="342">
        <f>('No. of aircraft'!U15*1000)/('Cost Structure'!$B$12*'No. of aircraft'!$B$29)</f>
        <v>0.21527060237396475</v>
      </c>
      <c r="V45" s="342">
        <f>('No. of aircraft'!V15*1000)/('Cost Structure'!$B$12*'No. of aircraft'!$B$29)</f>
        <v>0.21527060237396475</v>
      </c>
      <c r="W45" s="354"/>
      <c r="X45" s="354"/>
      <c r="Y45" s="354"/>
      <c r="AD45" s="1333"/>
      <c r="AE45" s="203" t="s">
        <v>220</v>
      </c>
      <c r="AF45" s="653">
        <f t="shared" si="0"/>
        <v>0</v>
      </c>
      <c r="AG45" s="653">
        <f t="shared" si="1"/>
        <v>0</v>
      </c>
      <c r="AH45" s="653">
        <f t="shared" si="1"/>
        <v>0</v>
      </c>
      <c r="AI45" s="653">
        <f t="shared" si="1"/>
        <v>0</v>
      </c>
      <c r="AJ45" s="653">
        <f t="shared" si="1"/>
        <v>0</v>
      </c>
      <c r="AK45" s="653">
        <f t="shared" si="1"/>
        <v>0</v>
      </c>
      <c r="AL45" s="653">
        <f t="shared" si="1"/>
        <v>0</v>
      </c>
      <c r="AM45" s="653">
        <f t="shared" si="1"/>
        <v>0</v>
      </c>
      <c r="AN45" s="634">
        <f t="shared" si="1"/>
        <v>1</v>
      </c>
      <c r="AO45" s="634">
        <f t="shared" si="3"/>
        <v>1</v>
      </c>
      <c r="AP45" s="634">
        <f t="shared" si="4"/>
        <v>1</v>
      </c>
      <c r="AQ45" s="634">
        <f t="shared" si="5"/>
        <v>1</v>
      </c>
      <c r="AR45" s="634">
        <f t="shared" si="6"/>
        <v>1</v>
      </c>
      <c r="AS45" s="634">
        <f t="shared" si="7"/>
        <v>1</v>
      </c>
      <c r="AT45" s="634">
        <f t="shared" si="8"/>
        <v>1</v>
      </c>
      <c r="AU45" s="634">
        <f t="shared" si="9"/>
        <v>1</v>
      </c>
      <c r="AV45" s="634">
        <f t="shared" si="10"/>
        <v>1</v>
      </c>
      <c r="AW45" s="634">
        <f t="shared" si="11"/>
        <v>1</v>
      </c>
      <c r="AX45" s="634">
        <f t="shared" si="12"/>
        <v>1</v>
      </c>
      <c r="AY45" s="634">
        <f t="shared" si="13"/>
        <v>1</v>
      </c>
      <c r="AZ45" s="1331"/>
      <c r="BA45" s="1331"/>
      <c r="BB45" s="1331"/>
      <c r="BC45" s="1331"/>
      <c r="BJ45" s="1354"/>
      <c r="BK45" s="65" t="s">
        <v>236</v>
      </c>
      <c r="BL45" s="1333"/>
      <c r="BM45" s="1315"/>
      <c r="BN45" s="1315"/>
      <c r="BO45" s="1315"/>
      <c r="BP45" s="1351"/>
      <c r="BR45" s="1354"/>
      <c r="BS45" s="65" t="s">
        <v>236</v>
      </c>
      <c r="BT45" s="1333"/>
      <c r="BU45" s="1315"/>
      <c r="BV45" s="1315"/>
      <c r="BW45" s="1315"/>
      <c r="BX45" s="1351"/>
      <c r="BZ45" s="1354"/>
      <c r="CA45" s="65" t="s">
        <v>236</v>
      </c>
      <c r="CB45" s="1333"/>
      <c r="CC45" s="1315"/>
      <c r="CD45" s="1315"/>
      <c r="CE45" s="1315"/>
      <c r="CF45" s="1351"/>
      <c r="CH45" s="1354"/>
      <c r="CI45" s="65" t="s">
        <v>236</v>
      </c>
      <c r="CJ45" s="1333"/>
      <c r="CK45" s="1315"/>
      <c r="CL45" s="1315"/>
      <c r="CM45" s="1315"/>
      <c r="CN45" s="1351"/>
      <c r="CS45" s="1354"/>
      <c r="CT45" s="65" t="s">
        <v>236</v>
      </c>
      <c r="CU45" s="1333"/>
      <c r="CV45" s="1315"/>
      <c r="CW45" s="1315"/>
      <c r="CX45" s="1315"/>
      <c r="CY45" s="1351"/>
    </row>
    <row r="46" spans="1:103" ht="15" thickBot="1">
      <c r="A46" s="1333"/>
      <c r="B46" s="203" t="s">
        <v>221</v>
      </c>
      <c r="C46" s="641">
        <f>('No. of aircraft'!C16*1000)/('Cost Structure'!$B$12*'No. of aircraft'!$B$29)</f>
        <v>0</v>
      </c>
      <c r="D46" s="641">
        <f>('No. of aircraft'!D16*1000)/('Cost Structure'!$B$12*'No. of aircraft'!$B$29)</f>
        <v>0</v>
      </c>
      <c r="E46" s="641">
        <f>('No. of aircraft'!E16*1000)/('Cost Structure'!$B$12*'No. of aircraft'!$B$29)</f>
        <v>0</v>
      </c>
      <c r="F46" s="641">
        <f>('No. of aircraft'!F16*1000)/('Cost Structure'!$B$12*'No. of aircraft'!$B$29)</f>
        <v>0</v>
      </c>
      <c r="G46" s="641">
        <f>('No. of aircraft'!G16*1000)/('Cost Structure'!$B$12*'No. of aircraft'!$B$29)</f>
        <v>0</v>
      </c>
      <c r="H46" s="641">
        <f>('No. of aircraft'!H16*1000)/('Cost Structure'!$B$12*'No. of aircraft'!$B$29)</f>
        <v>0</v>
      </c>
      <c r="I46" s="641">
        <f>('No. of aircraft'!I16*1000)/('Cost Structure'!$B$12*'No. of aircraft'!$B$29)</f>
        <v>0</v>
      </c>
      <c r="J46" s="641">
        <f>('No. of aircraft'!J16*1000)/('Cost Structure'!$B$12*'No. of aircraft'!$B$29)</f>
        <v>0</v>
      </c>
      <c r="K46" s="342">
        <f>('No. of aircraft'!K16*1000)/('Cost Structure'!$B$12*'No. of aircraft'!$B$29)</f>
        <v>6.4102564102564097E-2</v>
      </c>
      <c r="L46" s="342">
        <f>('No. of aircraft'!L16*1000)/('Cost Structure'!$B$12*'No. of aircraft'!$B$29)</f>
        <v>0.10683760683760683</v>
      </c>
      <c r="M46" s="342">
        <f>('No. of aircraft'!M16*1000)/('Cost Structure'!$B$12*'No. of aircraft'!$B$29)</f>
        <v>0.14957264957264957</v>
      </c>
      <c r="N46" s="342">
        <f>('No. of aircraft'!N16*1000)/('Cost Structure'!$B$12*'No. of aircraft'!$B$29)</f>
        <v>0.19230769230769232</v>
      </c>
      <c r="O46" s="342">
        <f>('No. of aircraft'!O16*1000)/('Cost Structure'!$B$12*'No. of aircraft'!$B$29)</f>
        <v>0.23504273504273504</v>
      </c>
      <c r="P46" s="342">
        <f>('No. of aircraft'!P16*1000)/('Cost Structure'!$B$12*'No. of aircraft'!$B$29)</f>
        <v>0.27777777777777779</v>
      </c>
      <c r="Q46" s="342">
        <f>('No. of aircraft'!Q16*1000)/('Cost Structure'!$B$12*'No. of aircraft'!$B$29)</f>
        <v>0.32051282051282054</v>
      </c>
      <c r="R46" s="342">
        <f>('No. of aircraft'!R16*1000)/('Cost Structure'!$B$12*'No. of aircraft'!$B$29)</f>
        <v>0.36324786324786323</v>
      </c>
      <c r="S46" s="342">
        <f>('No. of aircraft'!S16*1000)/('Cost Structure'!$B$12*'No. of aircraft'!$B$29)</f>
        <v>0.40598290598290598</v>
      </c>
      <c r="T46" s="342">
        <f>('No. of aircraft'!T16*1000)/('Cost Structure'!$B$12*'No. of aircraft'!$B$29)</f>
        <v>0.44871794871794873</v>
      </c>
      <c r="U46" s="342">
        <f>('No. of aircraft'!U16*1000)/('Cost Structure'!$B$12*'No. of aircraft'!$B$29)</f>
        <v>0.49145299145299143</v>
      </c>
      <c r="V46" s="342">
        <f>('No. of aircraft'!V16*1000)/('Cost Structure'!$B$12*'No. of aircraft'!$B$29)</f>
        <v>0.53418803418803418</v>
      </c>
      <c r="W46" s="354"/>
      <c r="X46" s="354"/>
      <c r="Y46" s="354"/>
      <c r="AD46" s="1333"/>
      <c r="AE46" s="203" t="s">
        <v>221</v>
      </c>
      <c r="AF46" s="653">
        <f t="shared" si="0"/>
        <v>0</v>
      </c>
      <c r="AG46" s="653">
        <f t="shared" si="1"/>
        <v>0</v>
      </c>
      <c r="AH46" s="653">
        <f t="shared" si="1"/>
        <v>0</v>
      </c>
      <c r="AI46" s="653">
        <f t="shared" si="1"/>
        <v>0</v>
      </c>
      <c r="AJ46" s="653">
        <f t="shared" si="1"/>
        <v>0</v>
      </c>
      <c r="AK46" s="653">
        <f t="shared" si="1"/>
        <v>0</v>
      </c>
      <c r="AL46" s="653">
        <f t="shared" si="1"/>
        <v>0</v>
      </c>
      <c r="AM46" s="653">
        <f t="shared" si="1"/>
        <v>0</v>
      </c>
      <c r="AN46" s="634">
        <f t="shared" si="1"/>
        <v>1</v>
      </c>
      <c r="AO46" s="634">
        <f t="shared" si="3"/>
        <v>1</v>
      </c>
      <c r="AP46" s="634">
        <f t="shared" si="4"/>
        <v>1</v>
      </c>
      <c r="AQ46" s="634">
        <f t="shared" si="5"/>
        <v>1</v>
      </c>
      <c r="AR46" s="634">
        <f t="shared" si="6"/>
        <v>1</v>
      </c>
      <c r="AS46" s="634">
        <f t="shared" si="7"/>
        <v>1</v>
      </c>
      <c r="AT46" s="634">
        <f t="shared" si="8"/>
        <v>1</v>
      </c>
      <c r="AU46" s="634">
        <f t="shared" si="9"/>
        <v>1</v>
      </c>
      <c r="AV46" s="634">
        <f t="shared" si="10"/>
        <v>1</v>
      </c>
      <c r="AW46" s="634">
        <f t="shared" si="11"/>
        <v>1</v>
      </c>
      <c r="AX46" s="634">
        <f t="shared" si="12"/>
        <v>1</v>
      </c>
      <c r="AY46" s="634">
        <f t="shared" si="13"/>
        <v>1</v>
      </c>
      <c r="AZ46" s="1331"/>
      <c r="BA46" s="1331"/>
      <c r="BB46" s="1331"/>
      <c r="BC46" s="1331"/>
      <c r="BJ46" s="1354"/>
      <c r="BK46" s="65" t="s">
        <v>237</v>
      </c>
      <c r="BL46" s="1333"/>
      <c r="BM46" s="1315"/>
      <c r="BN46" s="1315"/>
      <c r="BO46" s="1315"/>
      <c r="BP46" s="1351"/>
      <c r="BR46" s="1354"/>
      <c r="BS46" s="65" t="s">
        <v>237</v>
      </c>
      <c r="BT46" s="1333"/>
      <c r="BU46" s="1315"/>
      <c r="BV46" s="1315"/>
      <c r="BW46" s="1315"/>
      <c r="BX46" s="1351"/>
      <c r="BZ46" s="1354"/>
      <c r="CA46" s="65" t="s">
        <v>237</v>
      </c>
      <c r="CB46" s="1333"/>
      <c r="CC46" s="1315"/>
      <c r="CD46" s="1315"/>
      <c r="CE46" s="1315"/>
      <c r="CF46" s="1351"/>
      <c r="CH46" s="1354"/>
      <c r="CI46" s="65" t="s">
        <v>237</v>
      </c>
      <c r="CJ46" s="1333"/>
      <c r="CK46" s="1315"/>
      <c r="CL46" s="1315"/>
      <c r="CM46" s="1315"/>
      <c r="CN46" s="1351"/>
      <c r="CS46" s="1354"/>
      <c r="CT46" s="65" t="s">
        <v>237</v>
      </c>
      <c r="CU46" s="1333"/>
      <c r="CV46" s="1315"/>
      <c r="CW46" s="1315"/>
      <c r="CX46" s="1315"/>
      <c r="CY46" s="1351"/>
    </row>
    <row r="47" spans="1:103" ht="15" thickBot="1">
      <c r="A47" s="1333">
        <v>4</v>
      </c>
      <c r="B47" s="307" t="s">
        <v>222</v>
      </c>
      <c r="C47" s="641">
        <f>('No. of aircraft'!C17*1000)/('Cost Structure'!$B$12*'No. of aircraft'!$B$29)</f>
        <v>0</v>
      </c>
      <c r="D47" s="641">
        <f>('No. of aircraft'!D17*1000)/('Cost Structure'!$B$12*'No. of aircraft'!$B$29)</f>
        <v>0</v>
      </c>
      <c r="E47" s="641">
        <f>('No. of aircraft'!E17*1000)/('Cost Structure'!$B$12*'No. of aircraft'!$B$29)</f>
        <v>0</v>
      </c>
      <c r="F47" s="641">
        <f>('No. of aircraft'!F17*1000)/('Cost Structure'!$B$12*'No. of aircraft'!$B$29)</f>
        <v>0</v>
      </c>
      <c r="G47" s="641">
        <f>('No. of aircraft'!G17*1000)/('Cost Structure'!$B$12*'No. of aircraft'!$B$29)</f>
        <v>0</v>
      </c>
      <c r="H47" s="641">
        <f>('No. of aircraft'!H17*1000)/('Cost Structure'!$B$12*'No. of aircraft'!$B$29)</f>
        <v>0</v>
      </c>
      <c r="I47" s="641">
        <f>('No. of aircraft'!I17*1000)/('Cost Structure'!$B$12*'No. of aircraft'!$B$29)</f>
        <v>0</v>
      </c>
      <c r="J47" s="641">
        <f>('No. of aircraft'!J17*1000)/('Cost Structure'!$B$12*'No. of aircraft'!$B$29)</f>
        <v>0</v>
      </c>
      <c r="K47" s="641">
        <f>('No. of aircraft'!K17*1000)/('Cost Structure'!$B$12*'No. of aircraft'!$B$29)</f>
        <v>0</v>
      </c>
      <c r="L47" s="641">
        <f>('No. of aircraft'!L17*1000)/('Cost Structure'!$B$12*'No. of aircraft'!$B$29)</f>
        <v>0</v>
      </c>
      <c r="M47" s="641">
        <f>('No. of aircraft'!M17*1000)/('Cost Structure'!$B$12*'No. of aircraft'!$B$29)</f>
        <v>0</v>
      </c>
      <c r="N47" s="641">
        <f>('No. of aircraft'!N17*1000)/('Cost Structure'!$B$12*'No. of aircraft'!$B$29)</f>
        <v>0</v>
      </c>
      <c r="O47" s="342">
        <f>('No. of aircraft'!O17*1000)/('Cost Structure'!$B$12*'No. of aircraft'!$B$29)</f>
        <v>1.0683760683760684</v>
      </c>
      <c r="P47" s="342">
        <f>('No. of aircraft'!P17*1000)/('Cost Structure'!$B$12*'No. of aircraft'!$B$29)</f>
        <v>1.0683760683760684</v>
      </c>
      <c r="Q47" s="342">
        <f>('No. of aircraft'!Q17*1000)/('Cost Structure'!$B$12*'No. of aircraft'!$B$29)</f>
        <v>1.0683760683760684</v>
      </c>
      <c r="R47" s="342">
        <f>('No. of aircraft'!R17*1000)/('Cost Structure'!$B$12*'No. of aircraft'!$B$29)</f>
        <v>1.0683760683760684</v>
      </c>
      <c r="S47" s="342">
        <f>('No. of aircraft'!S17*1000)/('Cost Structure'!$B$12*'No. of aircraft'!$B$29)</f>
        <v>1.0683760683760684</v>
      </c>
      <c r="T47" s="342">
        <f>('No. of aircraft'!T17*1000)/('Cost Structure'!$B$12*'No. of aircraft'!$B$29)</f>
        <v>1.0683760683760684</v>
      </c>
      <c r="U47" s="342">
        <f>('No. of aircraft'!U17*1000)/('Cost Structure'!$B$12*'No. of aircraft'!$B$29)</f>
        <v>1.0683760683760684</v>
      </c>
      <c r="V47" s="342">
        <f>('No. of aircraft'!V17*1000)/('Cost Structure'!$B$12*'No. of aircraft'!$B$29)</f>
        <v>1.0683760683760684</v>
      </c>
      <c r="W47" s="354"/>
      <c r="X47" s="354"/>
      <c r="Y47" s="354"/>
      <c r="AD47" s="1333">
        <v>4</v>
      </c>
      <c r="AE47" s="307" t="s">
        <v>222</v>
      </c>
      <c r="AF47" s="653">
        <f t="shared" si="0"/>
        <v>0</v>
      </c>
      <c r="AG47" s="653">
        <f t="shared" si="1"/>
        <v>0</v>
      </c>
      <c r="AH47" s="653">
        <f t="shared" si="1"/>
        <v>0</v>
      </c>
      <c r="AI47" s="653">
        <f t="shared" si="1"/>
        <v>0</v>
      </c>
      <c r="AJ47" s="653">
        <f t="shared" si="1"/>
        <v>0</v>
      </c>
      <c r="AK47" s="653">
        <f t="shared" si="1"/>
        <v>0</v>
      </c>
      <c r="AL47" s="653">
        <f t="shared" si="1"/>
        <v>0</v>
      </c>
      <c r="AM47" s="653">
        <f t="shared" si="1"/>
        <v>0</v>
      </c>
      <c r="AN47" s="653">
        <f t="shared" si="1"/>
        <v>0</v>
      </c>
      <c r="AO47" s="653">
        <f t="shared" ref="AO47:AO50" si="14">ROUNDUP(L47,0)</f>
        <v>0</v>
      </c>
      <c r="AP47" s="653">
        <f t="shared" ref="AP47:AP50" si="15">ROUNDUP(M47,0)</f>
        <v>0</v>
      </c>
      <c r="AQ47" s="653">
        <f t="shared" ref="AQ47:AQ50" si="16">ROUNDUP(N47,0)</f>
        <v>0</v>
      </c>
      <c r="AR47" s="634">
        <v>1</v>
      </c>
      <c r="AS47" s="634">
        <v>1</v>
      </c>
      <c r="AT47" s="634">
        <v>1</v>
      </c>
      <c r="AU47" s="634">
        <v>1</v>
      </c>
      <c r="AV47" s="634">
        <v>1</v>
      </c>
      <c r="AW47" s="634">
        <v>1</v>
      </c>
      <c r="AX47" s="634">
        <v>1</v>
      </c>
      <c r="AY47" s="634">
        <v>1</v>
      </c>
      <c r="AZ47" s="1331"/>
      <c r="BA47" s="1331"/>
      <c r="BB47" s="1331"/>
      <c r="BC47" s="1331"/>
      <c r="BJ47" s="1352">
        <v>4</v>
      </c>
      <c r="BK47" s="503" t="s">
        <v>222</v>
      </c>
      <c r="BL47" s="1333" t="s">
        <v>116</v>
      </c>
      <c r="BM47" s="1315" t="s">
        <v>116</v>
      </c>
      <c r="BN47" s="1315" t="s">
        <v>116</v>
      </c>
      <c r="BO47" s="1315">
        <v>2</v>
      </c>
      <c r="BP47" s="1351">
        <v>2</v>
      </c>
      <c r="BR47" s="1352">
        <v>4</v>
      </c>
      <c r="BS47" s="503" t="s">
        <v>222</v>
      </c>
      <c r="BT47" s="1333" t="s">
        <v>116</v>
      </c>
      <c r="BU47" s="1315" t="s">
        <v>116</v>
      </c>
      <c r="BV47" s="1315"/>
      <c r="BW47" s="1315">
        <v>2</v>
      </c>
      <c r="BX47" s="1351">
        <v>2</v>
      </c>
      <c r="BZ47" s="1352">
        <v>4</v>
      </c>
      <c r="CA47" s="503" t="s">
        <v>222</v>
      </c>
      <c r="CB47" s="1333" t="s">
        <v>116</v>
      </c>
      <c r="CC47" s="1315" t="s">
        <v>116</v>
      </c>
      <c r="CD47" s="1315" t="s">
        <v>116</v>
      </c>
      <c r="CE47" s="1315">
        <v>1</v>
      </c>
      <c r="CF47" s="1351">
        <v>1</v>
      </c>
      <c r="CH47" s="1352">
        <v>4</v>
      </c>
      <c r="CI47" s="503" t="s">
        <v>222</v>
      </c>
      <c r="CJ47" s="1333" t="s">
        <v>116</v>
      </c>
      <c r="CK47" s="1315" t="s">
        <v>116</v>
      </c>
      <c r="CL47" s="1315"/>
      <c r="CM47" s="1315">
        <v>1</v>
      </c>
      <c r="CN47" s="1351">
        <v>1</v>
      </c>
      <c r="CS47" s="1352">
        <v>4</v>
      </c>
      <c r="CT47" s="503" t="s">
        <v>222</v>
      </c>
      <c r="CU47" s="1333" t="s">
        <v>116</v>
      </c>
      <c r="CV47" s="1315" t="s">
        <v>116</v>
      </c>
      <c r="CW47" s="1315"/>
      <c r="CX47" s="1315">
        <v>25</v>
      </c>
      <c r="CY47" s="1351">
        <v>25</v>
      </c>
    </row>
    <row r="48" spans="1:103" ht="15" thickBot="1">
      <c r="A48" s="1333"/>
      <c r="B48" s="308" t="s">
        <v>223</v>
      </c>
      <c r="C48" s="641">
        <f>('No. of aircraft'!C18*1000)/('Cost Structure'!$B$12*'No. of aircraft'!$B$29)</f>
        <v>0</v>
      </c>
      <c r="D48" s="641">
        <f>('No. of aircraft'!D18*1000)/('Cost Structure'!$B$12*'No. of aircraft'!$B$29)</f>
        <v>0</v>
      </c>
      <c r="E48" s="641">
        <f>('No. of aircraft'!E18*1000)/('Cost Structure'!$B$12*'No. of aircraft'!$B$29)</f>
        <v>0</v>
      </c>
      <c r="F48" s="641">
        <f>('No. of aircraft'!F18*1000)/('Cost Structure'!$B$12*'No. of aircraft'!$B$29)</f>
        <v>0</v>
      </c>
      <c r="G48" s="641">
        <f>('No. of aircraft'!G18*1000)/('Cost Structure'!$B$12*'No. of aircraft'!$B$29)</f>
        <v>0</v>
      </c>
      <c r="H48" s="641">
        <f>('No. of aircraft'!H18*1000)/('Cost Structure'!$B$12*'No. of aircraft'!$B$29)</f>
        <v>0</v>
      </c>
      <c r="I48" s="641">
        <f>('No. of aircraft'!I18*1000)/('Cost Structure'!$B$12*'No. of aircraft'!$B$29)</f>
        <v>0</v>
      </c>
      <c r="J48" s="641">
        <f>('No. of aircraft'!J18*1000)/('Cost Structure'!$B$12*'No. of aircraft'!$B$29)</f>
        <v>0</v>
      </c>
      <c r="K48" s="641">
        <f>('No. of aircraft'!K18*1000)/('Cost Structure'!$B$12*'No. of aircraft'!$B$29)</f>
        <v>0</v>
      </c>
      <c r="L48" s="641">
        <f>('No. of aircraft'!L18*1000)/('Cost Structure'!$B$12*'No. of aircraft'!$B$29)</f>
        <v>0</v>
      </c>
      <c r="M48" s="641">
        <f>('No. of aircraft'!M18*1000)/('Cost Structure'!$B$12*'No. of aircraft'!$B$29)</f>
        <v>0</v>
      </c>
      <c r="N48" s="641">
        <f>('No. of aircraft'!N18*1000)/('Cost Structure'!$B$12*'No. of aircraft'!$B$29)</f>
        <v>0</v>
      </c>
      <c r="O48" s="342">
        <f>('No. of aircraft'!O18*1000)/('Cost Structure'!$B$12*'No. of aircraft'!$B$29)</f>
        <v>6.4102564102564097E-2</v>
      </c>
      <c r="P48" s="342">
        <f>('No. of aircraft'!P18*1000)/('Cost Structure'!$B$12*'No. of aircraft'!$B$29)</f>
        <v>0.14957264957264957</v>
      </c>
      <c r="Q48" s="342">
        <f>('No. of aircraft'!Q18*1000)/('Cost Structure'!$B$12*'No. of aircraft'!$B$29)</f>
        <v>0.23504273504273504</v>
      </c>
      <c r="R48" s="342">
        <f>('No. of aircraft'!R18*1000)/('Cost Structure'!$B$12*'No. of aircraft'!$B$29)</f>
        <v>0.32051282051282054</v>
      </c>
      <c r="S48" s="342">
        <f>('No. of aircraft'!S18*1000)/('Cost Structure'!$B$12*'No. of aircraft'!$B$29)</f>
        <v>0.40598290598290598</v>
      </c>
      <c r="T48" s="342">
        <f>('No. of aircraft'!T18*1000)/('Cost Structure'!$B$12*'No. of aircraft'!$B$29)</f>
        <v>0.49145299145299143</v>
      </c>
      <c r="U48" s="342">
        <f>('No. of aircraft'!U18*1000)/('Cost Structure'!$B$12*'No. of aircraft'!$B$29)</f>
        <v>0.57692307692307687</v>
      </c>
      <c r="V48" s="342">
        <f>('No. of aircraft'!V18*1000)/('Cost Structure'!$B$12*'No. of aircraft'!$B$29)</f>
        <v>0.66239316239316237</v>
      </c>
      <c r="W48" s="642"/>
      <c r="X48" s="354"/>
      <c r="Y48" s="354"/>
      <c r="AD48" s="1333"/>
      <c r="AE48" s="308" t="s">
        <v>223</v>
      </c>
      <c r="AF48" s="653">
        <f t="shared" si="0"/>
        <v>0</v>
      </c>
      <c r="AG48" s="653">
        <f t="shared" ref="AG48:AG50" si="17">ROUNDUP(D48,0)</f>
        <v>0</v>
      </c>
      <c r="AH48" s="653">
        <f t="shared" ref="AH48:AH50" si="18">ROUNDUP(E48,0)</f>
        <v>0</v>
      </c>
      <c r="AI48" s="653">
        <f t="shared" ref="AI48:AI50" si="19">ROUNDUP(F48,0)</f>
        <v>0</v>
      </c>
      <c r="AJ48" s="653">
        <f t="shared" ref="AJ48:AJ50" si="20">ROUNDUP(G48,0)</f>
        <v>0</v>
      </c>
      <c r="AK48" s="653">
        <f t="shared" ref="AK48:AK50" si="21">ROUNDUP(H48,0)</f>
        <v>0</v>
      </c>
      <c r="AL48" s="653">
        <f t="shared" ref="AL48:AL50" si="22">ROUNDUP(I48,0)</f>
        <v>0</v>
      </c>
      <c r="AM48" s="653">
        <f t="shared" ref="AM48:AM50" si="23">ROUNDUP(J48,0)</f>
        <v>0</v>
      </c>
      <c r="AN48" s="653">
        <f t="shared" ref="AN48:AN50" si="24">ROUNDUP(K48,0)</f>
        <v>0</v>
      </c>
      <c r="AO48" s="653">
        <f t="shared" si="14"/>
        <v>0</v>
      </c>
      <c r="AP48" s="653">
        <f t="shared" si="15"/>
        <v>0</v>
      </c>
      <c r="AQ48" s="653">
        <f t="shared" si="16"/>
        <v>0</v>
      </c>
      <c r="AR48" s="634">
        <v>1</v>
      </c>
      <c r="AS48" s="634">
        <v>1</v>
      </c>
      <c r="AT48" s="634">
        <v>1</v>
      </c>
      <c r="AU48" s="634">
        <v>1</v>
      </c>
      <c r="AV48" s="634">
        <v>1</v>
      </c>
      <c r="AW48" s="634">
        <v>1</v>
      </c>
      <c r="AX48" s="634">
        <v>1</v>
      </c>
      <c r="AY48" s="634">
        <v>1</v>
      </c>
      <c r="AZ48" s="1331"/>
      <c r="BA48" s="1331"/>
      <c r="BB48" s="1331"/>
      <c r="BC48" s="1331"/>
      <c r="BJ48" s="1352"/>
      <c r="BK48" s="504" t="s">
        <v>238</v>
      </c>
      <c r="BL48" s="1333"/>
      <c r="BM48" s="1315"/>
      <c r="BN48" s="1315"/>
      <c r="BO48" s="1315"/>
      <c r="BP48" s="1351"/>
      <c r="BR48" s="1352"/>
      <c r="BS48" s="504" t="s">
        <v>238</v>
      </c>
      <c r="BT48" s="1333"/>
      <c r="BU48" s="1315"/>
      <c r="BV48" s="1315"/>
      <c r="BW48" s="1315"/>
      <c r="BX48" s="1351"/>
      <c r="BZ48" s="1352"/>
      <c r="CA48" s="504" t="s">
        <v>238</v>
      </c>
      <c r="CB48" s="1333"/>
      <c r="CC48" s="1315"/>
      <c r="CD48" s="1315"/>
      <c r="CE48" s="1315"/>
      <c r="CF48" s="1351"/>
      <c r="CH48" s="1352"/>
      <c r="CI48" s="504" t="s">
        <v>238</v>
      </c>
      <c r="CJ48" s="1333"/>
      <c r="CK48" s="1315"/>
      <c r="CL48" s="1315"/>
      <c r="CM48" s="1315"/>
      <c r="CN48" s="1351"/>
      <c r="CS48" s="1352"/>
      <c r="CT48" s="504" t="s">
        <v>238</v>
      </c>
      <c r="CU48" s="1333"/>
      <c r="CV48" s="1315"/>
      <c r="CW48" s="1315"/>
      <c r="CX48" s="1315"/>
      <c r="CY48" s="1351"/>
    </row>
    <row r="49" spans="1:103" ht="15" thickBot="1">
      <c r="A49" s="1333"/>
      <c r="B49" s="308" t="s">
        <v>224</v>
      </c>
      <c r="C49" s="641">
        <f>('No. of aircraft'!C19*1000)/('Cost Structure'!$B$12*'No. of aircraft'!$B$29)</f>
        <v>0</v>
      </c>
      <c r="D49" s="641">
        <f>('No. of aircraft'!D19*1000)/('Cost Structure'!$B$12*'No. of aircraft'!$B$29)</f>
        <v>0</v>
      </c>
      <c r="E49" s="641">
        <f>('No. of aircraft'!E19*1000)/('Cost Structure'!$B$12*'No. of aircraft'!$B$29)</f>
        <v>0</v>
      </c>
      <c r="F49" s="641">
        <f>('No. of aircraft'!F19*1000)/('Cost Structure'!$B$12*'No. of aircraft'!$B$29)</f>
        <v>0</v>
      </c>
      <c r="G49" s="641">
        <f>('No. of aircraft'!G19*1000)/('Cost Structure'!$B$12*'No. of aircraft'!$B$29)</f>
        <v>0</v>
      </c>
      <c r="H49" s="641">
        <f>('No. of aircraft'!H19*1000)/('Cost Structure'!$B$12*'No. of aircraft'!$B$29)</f>
        <v>0</v>
      </c>
      <c r="I49" s="641">
        <f>('No. of aircraft'!I19*1000)/('Cost Structure'!$B$12*'No. of aircraft'!$B$29)</f>
        <v>0</v>
      </c>
      <c r="J49" s="641">
        <f>('No. of aircraft'!J19*1000)/('Cost Structure'!$B$12*'No. of aircraft'!$B$29)</f>
        <v>0</v>
      </c>
      <c r="K49" s="641">
        <f>('No. of aircraft'!K19*1000)/('Cost Structure'!$B$12*'No. of aircraft'!$B$29)</f>
        <v>0</v>
      </c>
      <c r="L49" s="641">
        <f>('No. of aircraft'!L19*1000)/('Cost Structure'!$B$12*'No. of aircraft'!$B$29)</f>
        <v>0</v>
      </c>
      <c r="M49" s="641">
        <f>('No. of aircraft'!M19*1000)/('Cost Structure'!$B$12*'No. of aircraft'!$B$29)</f>
        <v>0</v>
      </c>
      <c r="N49" s="641">
        <f>('No. of aircraft'!N19*1000)/('Cost Structure'!$B$12*'No. of aircraft'!$B$29)</f>
        <v>0</v>
      </c>
      <c r="O49" s="342">
        <f>('No. of aircraft'!O19*1000)/('Cost Structure'!$B$12*'No. of aircraft'!$B$29)</f>
        <v>1.2820512820512822</v>
      </c>
      <c r="P49" s="342">
        <f>('No. of aircraft'!P19*1000)/('Cost Structure'!$B$12*'No. of aircraft'!$B$29)</f>
        <v>1.2820512820512822</v>
      </c>
      <c r="Q49" s="342">
        <f>('No. of aircraft'!Q19*1000)/('Cost Structure'!$B$12*'No. of aircraft'!$B$29)</f>
        <v>1.4957264957264957</v>
      </c>
      <c r="R49" s="342">
        <f>('No. of aircraft'!R19*1000)/('Cost Structure'!$B$12*'No. of aircraft'!$B$29)</f>
        <v>1.4957264957264957</v>
      </c>
      <c r="S49" s="342">
        <f>('No. of aircraft'!S19*1000)/('Cost Structure'!$B$12*'No. of aircraft'!$B$29)</f>
        <v>1.4957264957264957</v>
      </c>
      <c r="T49" s="342">
        <f>('No. of aircraft'!T19*1000)/('Cost Structure'!$B$12*'No. of aircraft'!$B$29)</f>
        <v>1.4957264957264957</v>
      </c>
      <c r="U49" s="342">
        <f>('No. of aircraft'!U19*1000)/('Cost Structure'!$B$12*'No. of aircraft'!$B$29)</f>
        <v>1.4957264957264957</v>
      </c>
      <c r="V49" s="342">
        <f>('No. of aircraft'!V19*1000)/('Cost Structure'!$B$12*'No. of aircraft'!$B$29)</f>
        <v>1.4957264957264957</v>
      </c>
      <c r="W49" s="354"/>
      <c r="X49" s="354"/>
      <c r="Y49" s="354"/>
      <c r="AD49" s="1333"/>
      <c r="AE49" s="308" t="s">
        <v>224</v>
      </c>
      <c r="AF49" s="653">
        <f t="shared" si="0"/>
        <v>0</v>
      </c>
      <c r="AG49" s="653">
        <f t="shared" si="17"/>
        <v>0</v>
      </c>
      <c r="AH49" s="653">
        <f t="shared" si="18"/>
        <v>0</v>
      </c>
      <c r="AI49" s="653">
        <f t="shared" si="19"/>
        <v>0</v>
      </c>
      <c r="AJ49" s="653">
        <f t="shared" si="20"/>
        <v>0</v>
      </c>
      <c r="AK49" s="653">
        <f t="shared" si="21"/>
        <v>0</v>
      </c>
      <c r="AL49" s="653">
        <f t="shared" si="22"/>
        <v>0</v>
      </c>
      <c r="AM49" s="653">
        <f t="shared" si="23"/>
        <v>0</v>
      </c>
      <c r="AN49" s="653">
        <f t="shared" si="24"/>
        <v>0</v>
      </c>
      <c r="AO49" s="653">
        <f t="shared" si="14"/>
        <v>0</v>
      </c>
      <c r="AP49" s="653">
        <f t="shared" si="15"/>
        <v>0</v>
      </c>
      <c r="AQ49" s="653">
        <f t="shared" si="16"/>
        <v>0</v>
      </c>
      <c r="AR49" s="634">
        <v>1</v>
      </c>
      <c r="AS49" s="634">
        <v>1</v>
      </c>
      <c r="AT49" s="634">
        <v>1</v>
      </c>
      <c r="AU49" s="634">
        <v>1</v>
      </c>
      <c r="AV49" s="634">
        <v>1</v>
      </c>
      <c r="AW49" s="634">
        <v>1</v>
      </c>
      <c r="AX49" s="634">
        <v>1</v>
      </c>
      <c r="AY49" s="634">
        <v>1</v>
      </c>
      <c r="AZ49" s="1331"/>
      <c r="BA49" s="1331"/>
      <c r="BB49" s="1331"/>
      <c r="BC49" s="1331"/>
      <c r="BJ49" s="1352"/>
      <c r="BK49" s="504" t="s">
        <v>239</v>
      </c>
      <c r="BL49" s="1333"/>
      <c r="BM49" s="1315"/>
      <c r="BN49" s="1315"/>
      <c r="BO49" s="1315"/>
      <c r="BP49" s="1351"/>
      <c r="BR49" s="1352"/>
      <c r="BS49" s="504" t="s">
        <v>239</v>
      </c>
      <c r="BT49" s="1333"/>
      <c r="BU49" s="1315"/>
      <c r="BV49" s="1315"/>
      <c r="BW49" s="1315"/>
      <c r="BX49" s="1351"/>
      <c r="BZ49" s="1352"/>
      <c r="CA49" s="504" t="s">
        <v>239</v>
      </c>
      <c r="CB49" s="1333"/>
      <c r="CC49" s="1315"/>
      <c r="CD49" s="1315"/>
      <c r="CE49" s="1315"/>
      <c r="CF49" s="1351"/>
      <c r="CH49" s="1352"/>
      <c r="CI49" s="504" t="s">
        <v>239</v>
      </c>
      <c r="CJ49" s="1333"/>
      <c r="CK49" s="1315"/>
      <c r="CL49" s="1315"/>
      <c r="CM49" s="1315"/>
      <c r="CN49" s="1351"/>
      <c r="CS49" s="1352"/>
      <c r="CT49" s="504" t="s">
        <v>239</v>
      </c>
      <c r="CU49" s="1333"/>
      <c r="CV49" s="1315"/>
      <c r="CW49" s="1315"/>
      <c r="CX49" s="1315"/>
      <c r="CY49" s="1351"/>
    </row>
    <row r="50" spans="1:103" ht="15" thickBot="1">
      <c r="A50" s="1403"/>
      <c r="B50" s="630" t="s">
        <v>225</v>
      </c>
      <c r="C50" s="641">
        <f>('No. of aircraft'!C20*1000)/('Cost Structure'!$B$12*'No. of aircraft'!$B$29)</f>
        <v>0</v>
      </c>
      <c r="D50" s="641">
        <f>('No. of aircraft'!D20*1000)/('Cost Structure'!$B$12*'No. of aircraft'!$B$29)</f>
        <v>0</v>
      </c>
      <c r="E50" s="641">
        <f>('No. of aircraft'!E20*1000)/('Cost Structure'!$B$12*'No. of aircraft'!$B$29)</f>
        <v>0</v>
      </c>
      <c r="F50" s="641">
        <f>('No. of aircraft'!F20*1000)/('Cost Structure'!$B$12*'No. of aircraft'!$B$29)</f>
        <v>0</v>
      </c>
      <c r="G50" s="641">
        <f>('No. of aircraft'!G20*1000)/('Cost Structure'!$B$12*'No. of aircraft'!$B$29)</f>
        <v>0</v>
      </c>
      <c r="H50" s="641">
        <f>('No. of aircraft'!H20*1000)/('Cost Structure'!$B$12*'No. of aircraft'!$B$29)</f>
        <v>0</v>
      </c>
      <c r="I50" s="641">
        <f>('No. of aircraft'!I20*1000)/('Cost Structure'!$B$12*'No. of aircraft'!$B$29)</f>
        <v>0</v>
      </c>
      <c r="J50" s="641">
        <f>('No. of aircraft'!J20*1000)/('Cost Structure'!$B$12*'No. of aircraft'!$B$29)</f>
        <v>0</v>
      </c>
      <c r="K50" s="641">
        <f>('No. of aircraft'!K20*1000)/('Cost Structure'!$B$12*'No. of aircraft'!$B$29)</f>
        <v>0</v>
      </c>
      <c r="L50" s="641">
        <f>('No. of aircraft'!L20*1000)/('Cost Structure'!$B$12*'No. of aircraft'!$B$29)</f>
        <v>0</v>
      </c>
      <c r="M50" s="641">
        <f>('No. of aircraft'!M20*1000)/('Cost Structure'!$B$12*'No. of aircraft'!$B$29)</f>
        <v>0</v>
      </c>
      <c r="N50" s="641">
        <f>('No. of aircraft'!N20*1000)/('Cost Structure'!$B$12*'No. of aircraft'!$B$29)</f>
        <v>0</v>
      </c>
      <c r="O50" s="342">
        <f>('No. of aircraft'!O20*1000)/('Cost Structure'!$B$12*'No. of aircraft'!$B$29)</f>
        <v>6.4102564102564097E-2</v>
      </c>
      <c r="P50" s="342">
        <f>('No. of aircraft'!P20*1000)/('Cost Structure'!$B$12*'No. of aircraft'!$B$29)</f>
        <v>0.14957264957264957</v>
      </c>
      <c r="Q50" s="342">
        <f>('No. of aircraft'!Q20*1000)/('Cost Structure'!$B$12*'No. of aircraft'!$B$29)</f>
        <v>0.23504273504273504</v>
      </c>
      <c r="R50" s="342">
        <f>('No. of aircraft'!R20*1000)/('Cost Structure'!$B$12*'No. of aircraft'!$B$29)</f>
        <v>0.32051282051282054</v>
      </c>
      <c r="S50" s="342">
        <f>('No. of aircraft'!S20*1000)/('Cost Structure'!$B$12*'No. of aircraft'!$B$29)</f>
        <v>0.40598290598290598</v>
      </c>
      <c r="T50" s="342">
        <f>('No. of aircraft'!T20*1000)/('Cost Structure'!$B$12*'No. of aircraft'!$B$29)</f>
        <v>0.49145299145299143</v>
      </c>
      <c r="U50" s="342">
        <f>('No. of aircraft'!U20*1000)/('Cost Structure'!$B$12*'No. of aircraft'!$B$29)</f>
        <v>0.57692307692307687</v>
      </c>
      <c r="V50" s="342">
        <f>('No. of aircraft'!V20*1000)/('Cost Structure'!$B$12*'No. of aircraft'!$B$29)</f>
        <v>0.66239316239316237</v>
      </c>
      <c r="W50" s="354"/>
      <c r="X50" s="354"/>
      <c r="Y50" s="354"/>
      <c r="AD50" s="1326"/>
      <c r="AE50" s="633" t="s">
        <v>225</v>
      </c>
      <c r="AF50" s="653">
        <f t="shared" si="0"/>
        <v>0</v>
      </c>
      <c r="AG50" s="653">
        <f t="shared" si="17"/>
        <v>0</v>
      </c>
      <c r="AH50" s="653">
        <f t="shared" si="18"/>
        <v>0</v>
      </c>
      <c r="AI50" s="653">
        <f t="shared" si="19"/>
        <v>0</v>
      </c>
      <c r="AJ50" s="653">
        <f t="shared" si="20"/>
        <v>0</v>
      </c>
      <c r="AK50" s="653">
        <f t="shared" si="21"/>
        <v>0</v>
      </c>
      <c r="AL50" s="653">
        <f t="shared" si="22"/>
        <v>0</v>
      </c>
      <c r="AM50" s="653">
        <f t="shared" si="23"/>
        <v>0</v>
      </c>
      <c r="AN50" s="653">
        <f t="shared" si="24"/>
        <v>0</v>
      </c>
      <c r="AO50" s="653">
        <f t="shared" si="14"/>
        <v>0</v>
      </c>
      <c r="AP50" s="653">
        <f t="shared" si="15"/>
        <v>0</v>
      </c>
      <c r="AQ50" s="653">
        <f t="shared" si="16"/>
        <v>0</v>
      </c>
      <c r="AR50" s="634">
        <v>1</v>
      </c>
      <c r="AS50" s="634">
        <v>1</v>
      </c>
      <c r="AT50" s="634">
        <v>1</v>
      </c>
      <c r="AU50" s="634">
        <v>1</v>
      </c>
      <c r="AV50" s="634">
        <v>1</v>
      </c>
      <c r="AW50" s="634">
        <v>1</v>
      </c>
      <c r="AX50" s="634">
        <v>1</v>
      </c>
      <c r="AY50" s="634">
        <v>1</v>
      </c>
      <c r="AZ50" s="1331"/>
      <c r="BA50" s="1331"/>
      <c r="BB50" s="1331"/>
      <c r="BC50" s="1331"/>
      <c r="BJ50" s="1352"/>
      <c r="BK50" s="503" t="s">
        <v>216</v>
      </c>
      <c r="BL50" s="1333"/>
      <c r="BM50" s="1315"/>
      <c r="BN50" s="1315"/>
      <c r="BO50" s="1315"/>
      <c r="BP50" s="1351"/>
      <c r="BR50" s="1352"/>
      <c r="BS50" s="503" t="s">
        <v>216</v>
      </c>
      <c r="BT50" s="1333"/>
      <c r="BU50" s="1315"/>
      <c r="BV50" s="1315"/>
      <c r="BW50" s="1315"/>
      <c r="BX50" s="1351"/>
      <c r="BZ50" s="1352"/>
      <c r="CA50" s="503" t="s">
        <v>216</v>
      </c>
      <c r="CB50" s="1333"/>
      <c r="CC50" s="1315"/>
      <c r="CD50" s="1315"/>
      <c r="CE50" s="1315"/>
      <c r="CF50" s="1351"/>
      <c r="CH50" s="1352"/>
      <c r="CI50" s="503" t="s">
        <v>216</v>
      </c>
      <c r="CJ50" s="1333"/>
      <c r="CK50" s="1315"/>
      <c r="CL50" s="1315"/>
      <c r="CM50" s="1315"/>
      <c r="CN50" s="1351"/>
      <c r="CS50" s="1352"/>
      <c r="CT50" s="503" t="s">
        <v>216</v>
      </c>
      <c r="CU50" s="1333"/>
      <c r="CV50" s="1315"/>
      <c r="CW50" s="1315"/>
      <c r="CX50" s="1315"/>
      <c r="CY50" s="1351"/>
    </row>
    <row r="51" spans="1:103">
      <c r="A51" s="94"/>
      <c r="B51" s="637"/>
      <c r="C51" s="296"/>
      <c r="D51" s="296"/>
      <c r="E51" s="296"/>
      <c r="F51" s="296"/>
      <c r="G51" s="296"/>
      <c r="H51" s="296"/>
      <c r="I51" s="296"/>
      <c r="J51" s="296"/>
      <c r="K51" s="296"/>
      <c r="L51" s="296"/>
      <c r="M51" s="296"/>
      <c r="N51" s="296"/>
      <c r="O51" s="296"/>
      <c r="P51" s="296"/>
      <c r="Q51" s="296"/>
      <c r="R51" s="296"/>
      <c r="S51" s="296"/>
      <c r="T51" s="296"/>
      <c r="U51" s="296"/>
      <c r="V51" s="296"/>
      <c r="W51" s="354"/>
      <c r="X51" s="354"/>
      <c r="Y51" s="354"/>
      <c r="AD51" s="94"/>
      <c r="AE51" s="637"/>
      <c r="AF51" s="636"/>
      <c r="AG51" s="636"/>
      <c r="AH51" s="636"/>
      <c r="AI51" s="636"/>
      <c r="AJ51" s="636"/>
      <c r="AK51" s="636"/>
      <c r="AL51" s="636"/>
      <c r="AM51" s="636"/>
      <c r="AN51" s="636"/>
      <c r="AO51" s="636"/>
      <c r="AP51" s="636"/>
      <c r="AQ51" s="636"/>
      <c r="AR51" s="636"/>
      <c r="AS51" s="636"/>
      <c r="AT51" s="636"/>
      <c r="AU51" s="636"/>
      <c r="AV51" s="636"/>
      <c r="AW51" s="636"/>
      <c r="AX51" s="636"/>
      <c r="AY51" s="636"/>
      <c r="AZ51" s="1331"/>
      <c r="BA51" s="1331"/>
      <c r="BB51" s="1331"/>
      <c r="BC51" s="1331"/>
      <c r="BJ51" s="1352"/>
      <c r="BK51" s="503" t="s">
        <v>226</v>
      </c>
      <c r="BL51" s="1333"/>
      <c r="BM51" s="1315"/>
      <c r="BN51" s="1315"/>
      <c r="BO51" s="1315"/>
      <c r="BP51" s="1351"/>
      <c r="BR51" s="1352"/>
      <c r="BS51" s="503" t="s">
        <v>226</v>
      </c>
      <c r="BT51" s="1333"/>
      <c r="BU51" s="1315"/>
      <c r="BV51" s="1315"/>
      <c r="BW51" s="1315"/>
      <c r="BX51" s="1351"/>
      <c r="BZ51" s="1352"/>
      <c r="CA51" s="503" t="s">
        <v>226</v>
      </c>
      <c r="CB51" s="1333"/>
      <c r="CC51" s="1315"/>
      <c r="CD51" s="1315"/>
      <c r="CE51" s="1315"/>
      <c r="CF51" s="1351"/>
      <c r="CH51" s="1352"/>
      <c r="CI51" s="503" t="s">
        <v>226</v>
      </c>
      <c r="CJ51" s="1333"/>
      <c r="CK51" s="1315"/>
      <c r="CL51" s="1315"/>
      <c r="CM51" s="1315"/>
      <c r="CN51" s="1351"/>
      <c r="CS51" s="1352"/>
      <c r="CT51" s="503" t="s">
        <v>226</v>
      </c>
      <c r="CU51" s="1333"/>
      <c r="CV51" s="1315"/>
      <c r="CW51" s="1315"/>
      <c r="CX51" s="1315"/>
      <c r="CY51" s="1351"/>
    </row>
    <row r="52" spans="1:103" ht="15" thickBot="1">
      <c r="A52" s="94"/>
      <c r="B52" s="637"/>
      <c r="C52" s="296"/>
      <c r="D52" s="296"/>
      <c r="E52" s="296"/>
      <c r="F52" s="296"/>
      <c r="G52" s="296"/>
      <c r="H52" s="296"/>
      <c r="I52" s="296"/>
      <c r="J52" s="296"/>
      <c r="K52" s="296"/>
      <c r="L52" s="296"/>
      <c r="M52" s="296"/>
      <c r="N52" s="296"/>
      <c r="O52" s="296"/>
      <c r="P52" s="296"/>
      <c r="Q52" s="296"/>
      <c r="R52" s="296"/>
      <c r="S52" s="296"/>
      <c r="T52" s="296"/>
      <c r="U52" s="296"/>
      <c r="V52" s="296"/>
      <c r="W52" s="354"/>
      <c r="X52" s="354"/>
      <c r="Y52" s="354"/>
      <c r="AD52" s="94"/>
      <c r="AE52" s="637"/>
      <c r="AF52" s="636"/>
      <c r="AG52" s="636"/>
      <c r="AH52" s="636"/>
      <c r="AI52" s="636"/>
      <c r="AJ52" s="636"/>
      <c r="AK52" s="636"/>
      <c r="AL52" s="636"/>
      <c r="AM52" s="636"/>
      <c r="AN52" s="636"/>
      <c r="AO52" s="636"/>
      <c r="AP52" s="636"/>
      <c r="AQ52" s="636"/>
      <c r="AR52" s="636"/>
      <c r="AS52" s="636"/>
      <c r="AT52" s="636"/>
      <c r="AU52" s="636"/>
      <c r="AV52" s="636"/>
      <c r="AW52" s="636"/>
      <c r="AX52" s="636"/>
      <c r="AY52" s="636"/>
      <c r="AZ52" s="1331"/>
      <c r="BA52" s="1331"/>
      <c r="BB52" s="1331"/>
      <c r="BC52" s="1331"/>
      <c r="BJ52" s="1353"/>
      <c r="BK52" s="505" t="s">
        <v>225</v>
      </c>
      <c r="BL52" s="1326"/>
      <c r="BM52" s="1327"/>
      <c r="BN52" s="1327"/>
      <c r="BO52" s="1327"/>
      <c r="BP52" s="1328"/>
      <c r="BR52" s="1353"/>
      <c r="BS52" s="505" t="s">
        <v>225</v>
      </c>
      <c r="BT52" s="1326"/>
      <c r="BU52" s="1327"/>
      <c r="BV52" s="1327"/>
      <c r="BW52" s="1327"/>
      <c r="BX52" s="1328"/>
      <c r="BZ52" s="1353"/>
      <c r="CA52" s="505" t="s">
        <v>225</v>
      </c>
      <c r="CB52" s="1326"/>
      <c r="CC52" s="1327"/>
      <c r="CD52" s="1327"/>
      <c r="CE52" s="1327"/>
      <c r="CF52" s="1328"/>
      <c r="CH52" s="1353"/>
      <c r="CI52" s="505" t="s">
        <v>225</v>
      </c>
      <c r="CJ52" s="1326"/>
      <c r="CK52" s="1327"/>
      <c r="CL52" s="1327"/>
      <c r="CM52" s="1327"/>
      <c r="CN52" s="1328"/>
      <c r="CS52" s="1353"/>
      <c r="CT52" s="505" t="s">
        <v>225</v>
      </c>
      <c r="CU52" s="1326"/>
      <c r="CV52" s="1327"/>
      <c r="CW52" s="1327"/>
      <c r="CX52" s="1327"/>
      <c r="CY52" s="1328"/>
    </row>
    <row r="53" spans="1:103">
      <c r="A53" s="94"/>
      <c r="B53" s="638"/>
      <c r="C53" s="296"/>
      <c r="D53" s="296"/>
      <c r="E53" s="296"/>
      <c r="F53" s="296"/>
      <c r="G53" s="296"/>
      <c r="H53" s="296"/>
      <c r="I53" s="296"/>
      <c r="J53" s="296"/>
      <c r="K53" s="296"/>
      <c r="L53" s="296"/>
      <c r="M53" s="296"/>
      <c r="N53" s="296"/>
      <c r="O53" s="296"/>
      <c r="P53" s="296"/>
      <c r="Q53" s="296"/>
      <c r="R53" s="296"/>
      <c r="S53" s="296"/>
      <c r="T53" s="296"/>
      <c r="U53" s="296"/>
      <c r="V53" s="296"/>
      <c r="W53" s="354"/>
      <c r="X53" s="354"/>
      <c r="Y53" s="354"/>
      <c r="AD53" s="94"/>
      <c r="AE53" s="638"/>
      <c r="AF53" s="636"/>
      <c r="AG53" s="636"/>
      <c r="AH53" s="636"/>
      <c r="AI53" s="636"/>
      <c r="AJ53" s="636"/>
      <c r="AK53" s="636"/>
      <c r="AL53" s="636"/>
      <c r="AM53" s="636"/>
      <c r="AN53" s="636"/>
      <c r="AO53" s="636"/>
      <c r="AP53" s="636"/>
      <c r="AQ53" s="636"/>
      <c r="AR53" s="636"/>
      <c r="AS53" s="636"/>
      <c r="AT53" s="636"/>
      <c r="AU53" s="636"/>
      <c r="AV53" s="636"/>
      <c r="AW53" s="636"/>
      <c r="AX53" s="636"/>
      <c r="AY53" s="636"/>
      <c r="AZ53" s="1331"/>
      <c r="BA53" s="1331"/>
      <c r="BB53" s="1331"/>
      <c r="BC53" s="1331"/>
    </row>
    <row r="54" spans="1:103">
      <c r="A54" s="277"/>
      <c r="B54" s="274"/>
      <c r="C54" s="275"/>
      <c r="D54" s="275"/>
      <c r="E54" s="275"/>
      <c r="F54" s="275"/>
      <c r="G54" s="275"/>
      <c r="H54" s="275"/>
      <c r="I54" s="275"/>
      <c r="J54" s="275"/>
      <c r="K54" s="275"/>
      <c r="L54" s="275"/>
      <c r="M54" s="275"/>
      <c r="N54" s="275"/>
      <c r="O54" s="275"/>
      <c r="P54" s="275"/>
      <c r="Q54" s="275"/>
      <c r="R54" s="275"/>
      <c r="S54" s="275"/>
      <c r="T54" s="275"/>
      <c r="U54" s="275"/>
      <c r="V54" s="275"/>
      <c r="AD54" s="58"/>
      <c r="AE54" s="58"/>
      <c r="AF54" s="58"/>
      <c r="AG54" s="58"/>
      <c r="AH54" s="58"/>
      <c r="AI54" s="58"/>
      <c r="AJ54" s="58"/>
      <c r="AK54" s="58"/>
      <c r="AL54" s="58"/>
      <c r="AM54" s="58"/>
      <c r="AN54" s="58"/>
      <c r="AO54" s="58"/>
      <c r="AP54" s="58"/>
      <c r="AQ54" s="58"/>
      <c r="AR54" s="58"/>
      <c r="AS54" s="58"/>
      <c r="AT54" s="58"/>
      <c r="AU54" s="58"/>
      <c r="AV54" s="58"/>
      <c r="AW54" s="58"/>
      <c r="AX54" s="58"/>
      <c r="AY54" s="58"/>
    </row>
    <row r="55" spans="1:103">
      <c r="A55" s="277"/>
      <c r="B55" s="274"/>
      <c r="C55" s="275"/>
      <c r="D55" s="275"/>
      <c r="E55" s="275"/>
      <c r="F55" s="275"/>
      <c r="G55" s="275"/>
      <c r="H55" s="275"/>
      <c r="I55" s="275"/>
      <c r="J55" s="275"/>
      <c r="K55" s="275"/>
      <c r="L55" s="275"/>
      <c r="M55" s="275"/>
      <c r="N55" s="275"/>
      <c r="O55" s="275"/>
      <c r="P55" s="275"/>
      <c r="Q55" s="275"/>
      <c r="R55" s="275"/>
      <c r="S55" s="275"/>
      <c r="T55" s="275"/>
      <c r="U55" s="275"/>
      <c r="V55" s="275"/>
      <c r="AD55" s="58"/>
      <c r="AE55" s="58"/>
      <c r="AF55" s="58"/>
      <c r="AG55" s="58"/>
      <c r="AH55" s="58"/>
      <c r="AI55" s="58"/>
      <c r="AJ55" s="58"/>
      <c r="AK55" s="58"/>
      <c r="AL55" s="58"/>
      <c r="AM55" s="58"/>
      <c r="AN55" s="58"/>
      <c r="AO55" s="58"/>
      <c r="AP55" s="58"/>
      <c r="AQ55" s="58"/>
      <c r="AR55" s="58"/>
      <c r="AS55" s="58"/>
      <c r="AT55" s="58"/>
      <c r="AU55" s="58"/>
      <c r="AV55" s="58"/>
      <c r="AW55" s="58"/>
      <c r="AX55" s="58"/>
      <c r="AY55" s="58"/>
    </row>
    <row r="56" spans="1:103">
      <c r="A56" s="275"/>
      <c r="B56" s="275"/>
      <c r="C56" s="275"/>
      <c r="D56" s="275"/>
      <c r="E56" s="275"/>
      <c r="F56" s="275"/>
      <c r="G56" s="275"/>
      <c r="H56" s="275"/>
      <c r="I56" s="275"/>
      <c r="J56" s="275"/>
      <c r="K56" s="275"/>
      <c r="L56" s="275"/>
      <c r="M56" s="275"/>
      <c r="N56" s="275"/>
      <c r="O56" s="275"/>
      <c r="P56" s="275"/>
      <c r="Q56" s="275"/>
      <c r="R56" s="275"/>
      <c r="S56" s="275"/>
      <c r="T56" s="275"/>
      <c r="U56" s="275"/>
      <c r="V56" s="275"/>
      <c r="AD56" s="58"/>
      <c r="AE56" s="58"/>
      <c r="AF56" s="58"/>
      <c r="AG56" s="58"/>
      <c r="AH56" s="58"/>
      <c r="AI56" s="58"/>
      <c r="AJ56" s="58"/>
      <c r="AK56" s="58"/>
      <c r="AL56" s="58"/>
      <c r="AM56" s="58"/>
      <c r="AN56" s="58"/>
      <c r="AO56" s="58"/>
      <c r="AP56" s="58"/>
      <c r="AQ56" s="58"/>
      <c r="AR56" s="58"/>
      <c r="AS56" s="58"/>
      <c r="AT56" s="58"/>
      <c r="AU56" s="58"/>
      <c r="AV56" s="58"/>
      <c r="AW56" s="58"/>
      <c r="AX56" s="58"/>
      <c r="AY56" s="58"/>
    </row>
    <row r="57" spans="1:103">
      <c r="A57" s="275"/>
      <c r="B57" s="275"/>
      <c r="C57" s="275"/>
      <c r="D57" s="275"/>
      <c r="E57" s="275"/>
      <c r="F57" s="275"/>
      <c r="G57" s="275"/>
      <c r="H57" s="275"/>
      <c r="I57" s="275"/>
      <c r="J57" s="275"/>
      <c r="K57" s="275"/>
      <c r="L57" s="275"/>
      <c r="M57" s="275"/>
      <c r="N57" s="275"/>
      <c r="O57" s="275"/>
      <c r="P57" s="275"/>
      <c r="Q57" s="275"/>
      <c r="R57" s="275"/>
      <c r="S57" s="275"/>
      <c r="T57" s="275"/>
      <c r="U57" s="275"/>
      <c r="V57" s="275"/>
      <c r="AD57" s="58"/>
      <c r="AE57" s="58"/>
      <c r="AF57" s="58"/>
      <c r="AG57" s="58"/>
      <c r="AH57" s="344"/>
      <c r="AI57" s="337" t="s">
        <v>316</v>
      </c>
      <c r="AJ57" s="58"/>
      <c r="AK57" s="58"/>
      <c r="AL57" s="58"/>
      <c r="AM57" s="58"/>
      <c r="AN57" s="58"/>
      <c r="AO57" s="58"/>
      <c r="AP57" s="58"/>
      <c r="AQ57" s="58"/>
      <c r="AR57" s="58"/>
      <c r="AS57" s="58"/>
      <c r="AT57" s="58"/>
      <c r="AU57" s="58"/>
      <c r="AV57" s="58"/>
      <c r="AW57" s="58"/>
      <c r="AX57" s="58"/>
      <c r="AY57" s="58"/>
    </row>
    <row r="58" spans="1:103" ht="15" thickBot="1">
      <c r="A58" s="275"/>
      <c r="B58" s="275"/>
      <c r="C58" s="275"/>
      <c r="D58" s="275"/>
      <c r="E58" s="275"/>
      <c r="F58" s="275"/>
      <c r="G58" s="275"/>
      <c r="H58" s="275"/>
      <c r="I58" s="275"/>
      <c r="J58" s="275"/>
      <c r="K58" s="275"/>
      <c r="L58" s="275"/>
      <c r="M58" s="275"/>
      <c r="N58" s="275"/>
      <c r="O58" s="275"/>
      <c r="P58" s="275"/>
      <c r="Q58" s="275"/>
      <c r="R58" s="275"/>
      <c r="S58" s="275"/>
      <c r="T58" s="275"/>
      <c r="U58" s="275"/>
      <c r="V58" s="275"/>
      <c r="AD58" s="58"/>
      <c r="AE58" s="58"/>
      <c r="AF58" s="58"/>
      <c r="AG58" s="58"/>
      <c r="AH58" s="58"/>
      <c r="AI58" s="58"/>
      <c r="AJ58" s="58"/>
      <c r="AK58" s="58"/>
      <c r="AL58" s="58"/>
      <c r="AM58" s="58"/>
      <c r="AN58" s="58"/>
      <c r="AO58" s="58"/>
      <c r="AP58" s="58"/>
      <c r="AQ58" s="58"/>
      <c r="AR58" s="58"/>
      <c r="AS58" s="58"/>
      <c r="AT58" s="58"/>
      <c r="AU58" s="58"/>
      <c r="AV58" s="58"/>
      <c r="AW58" s="58"/>
      <c r="AX58" s="58"/>
      <c r="AY58" s="58"/>
    </row>
    <row r="59" spans="1:103">
      <c r="A59" s="1362" t="s">
        <v>97</v>
      </c>
      <c r="B59" s="1363"/>
      <c r="C59" s="1363"/>
      <c r="D59" s="1363"/>
      <c r="E59" s="1363"/>
      <c r="F59" s="1363"/>
      <c r="G59" s="1363"/>
      <c r="H59" s="1363"/>
      <c r="I59" s="1363"/>
      <c r="J59" s="1363"/>
      <c r="K59" s="1363"/>
      <c r="L59" s="1363"/>
      <c r="M59" s="1363"/>
      <c r="N59" s="1363"/>
      <c r="O59" s="1363"/>
      <c r="P59" s="1363"/>
      <c r="Q59" s="1363"/>
      <c r="R59" s="1363"/>
      <c r="S59" s="1363"/>
      <c r="T59" s="1363"/>
      <c r="U59" s="1363"/>
      <c r="V59" s="1364"/>
      <c r="AD59" s="1366" t="s">
        <v>97</v>
      </c>
      <c r="AE59" s="1366"/>
      <c r="AF59" s="1366"/>
      <c r="AG59" s="1366"/>
      <c r="AH59" s="1366"/>
      <c r="AI59" s="1366"/>
      <c r="AJ59" s="1366"/>
      <c r="AK59" s="1366"/>
      <c r="AL59" s="1366"/>
      <c r="AM59" s="1366"/>
      <c r="AN59" s="1366"/>
      <c r="AO59" s="1366"/>
      <c r="AP59" s="1366"/>
      <c r="AQ59" s="1366"/>
      <c r="AR59" s="1366"/>
      <c r="AS59" s="1366"/>
      <c r="AT59" s="1366"/>
      <c r="AU59" s="1366"/>
      <c r="AV59" s="1366"/>
      <c r="AW59" s="1366"/>
      <c r="AX59" s="1366"/>
      <c r="AY59" s="1366"/>
      <c r="BB59" t="s">
        <v>97</v>
      </c>
    </row>
    <row r="60" spans="1:103">
      <c r="A60" s="276"/>
      <c r="B60" s="275"/>
      <c r="C60" s="1384">
        <v>2022</v>
      </c>
      <c r="D60" s="1384"/>
      <c r="E60" s="1384"/>
      <c r="F60" s="1384"/>
      <c r="G60" s="1385">
        <v>2023</v>
      </c>
      <c r="H60" s="1385"/>
      <c r="I60" s="1385"/>
      <c r="J60" s="1385"/>
      <c r="K60" s="1386">
        <v>2024</v>
      </c>
      <c r="L60" s="1386"/>
      <c r="M60" s="1386"/>
      <c r="N60" s="1386"/>
      <c r="O60" s="1385">
        <v>2025</v>
      </c>
      <c r="P60" s="1385"/>
      <c r="Q60" s="1385"/>
      <c r="R60" s="1385"/>
      <c r="S60" s="1387">
        <v>2026</v>
      </c>
      <c r="T60" s="1387"/>
      <c r="U60" s="1387"/>
      <c r="V60" s="1387"/>
      <c r="W60" s="354"/>
      <c r="X60" s="354"/>
      <c r="Y60" s="354"/>
      <c r="AD60" s="341"/>
      <c r="AE60" s="341"/>
      <c r="AF60" s="1366">
        <v>2022</v>
      </c>
      <c r="AG60" s="1366"/>
      <c r="AH60" s="1366"/>
      <c r="AI60" s="1366"/>
      <c r="AJ60" s="1366">
        <v>2023</v>
      </c>
      <c r="AK60" s="1366"/>
      <c r="AL60" s="1366"/>
      <c r="AM60" s="1366"/>
      <c r="AN60" s="1366">
        <v>2024</v>
      </c>
      <c r="AO60" s="1366"/>
      <c r="AP60" s="1366"/>
      <c r="AQ60" s="1366"/>
      <c r="AR60" s="1366">
        <v>2025</v>
      </c>
      <c r="AS60" s="1366"/>
      <c r="AT60" s="1366"/>
      <c r="AU60" s="1366"/>
      <c r="AV60" s="1366">
        <v>2026</v>
      </c>
      <c r="AW60" s="1366"/>
      <c r="AX60" s="1366"/>
      <c r="AY60" s="1366"/>
      <c r="BD60">
        <v>2022</v>
      </c>
      <c r="BH60">
        <v>2023</v>
      </c>
      <c r="BL60">
        <v>2024</v>
      </c>
      <c r="BP60">
        <v>2025</v>
      </c>
      <c r="BT60">
        <v>2026</v>
      </c>
    </row>
    <row r="61" spans="1:103" ht="15" thickBot="1">
      <c r="A61" s="271"/>
      <c r="B61" s="272"/>
      <c r="C61" s="646">
        <v>1</v>
      </c>
      <c r="D61" s="646">
        <v>2</v>
      </c>
      <c r="E61" s="646">
        <v>3</v>
      </c>
      <c r="F61" s="646">
        <v>4</v>
      </c>
      <c r="G61" s="646">
        <v>1</v>
      </c>
      <c r="H61" s="646">
        <v>2</v>
      </c>
      <c r="I61" s="646">
        <v>3</v>
      </c>
      <c r="J61" s="646">
        <v>4</v>
      </c>
      <c r="K61" s="646">
        <v>1</v>
      </c>
      <c r="L61" s="646">
        <v>2</v>
      </c>
      <c r="M61" s="646">
        <v>3</v>
      </c>
      <c r="N61" s="646">
        <v>4</v>
      </c>
      <c r="O61" s="646">
        <v>1</v>
      </c>
      <c r="P61" s="646">
        <v>2</v>
      </c>
      <c r="Q61" s="646">
        <v>3</v>
      </c>
      <c r="R61" s="646">
        <v>4</v>
      </c>
      <c r="S61" s="646">
        <v>1</v>
      </c>
      <c r="T61" s="646">
        <v>2</v>
      </c>
      <c r="U61" s="646">
        <v>3</v>
      </c>
      <c r="V61" s="646">
        <v>4</v>
      </c>
      <c r="W61" s="354"/>
      <c r="X61" s="354"/>
      <c r="Y61" s="354"/>
      <c r="AD61" s="341"/>
      <c r="AE61" s="341"/>
      <c r="AF61" s="341">
        <v>1</v>
      </c>
      <c r="AG61" s="341">
        <v>2</v>
      </c>
      <c r="AH61" s="341">
        <v>3</v>
      </c>
      <c r="AI61" s="341">
        <v>4</v>
      </c>
      <c r="AJ61" s="341">
        <v>1</v>
      </c>
      <c r="AK61" s="341">
        <v>2</v>
      </c>
      <c r="AL61" s="341">
        <v>3</v>
      </c>
      <c r="AM61" s="341">
        <v>4</v>
      </c>
      <c r="AN61" s="341">
        <v>1</v>
      </c>
      <c r="AO61" s="341">
        <v>2</v>
      </c>
      <c r="AP61" s="341">
        <v>3</v>
      </c>
      <c r="AQ61" s="341">
        <v>4</v>
      </c>
      <c r="AR61" s="341">
        <v>1</v>
      </c>
      <c r="AS61" s="341">
        <v>2</v>
      </c>
      <c r="AT61" s="341">
        <v>3</v>
      </c>
      <c r="AU61" s="341">
        <v>4</v>
      </c>
      <c r="AV61" s="341">
        <v>1</v>
      </c>
      <c r="AW61" s="341">
        <v>2</v>
      </c>
      <c r="AX61" s="341">
        <v>3</v>
      </c>
      <c r="AY61" s="341">
        <v>4</v>
      </c>
      <c r="BD61">
        <v>1</v>
      </c>
      <c r="BE61">
        <v>2</v>
      </c>
      <c r="BF61">
        <v>3</v>
      </c>
      <c r="BG61">
        <v>4</v>
      </c>
      <c r="BH61">
        <v>1</v>
      </c>
      <c r="BI61">
        <v>2</v>
      </c>
      <c r="BJ61">
        <v>3</v>
      </c>
      <c r="BK61">
        <v>4</v>
      </c>
      <c r="BL61">
        <v>1</v>
      </c>
      <c r="BM61">
        <v>2</v>
      </c>
      <c r="BN61">
        <v>3</v>
      </c>
      <c r="BO61">
        <v>4</v>
      </c>
      <c r="BP61">
        <v>1</v>
      </c>
      <c r="BQ61">
        <v>2</v>
      </c>
      <c r="BR61">
        <v>3</v>
      </c>
      <c r="BS61">
        <v>4</v>
      </c>
      <c r="BT61">
        <v>1</v>
      </c>
      <c r="BU61">
        <v>2</v>
      </c>
      <c r="BV61">
        <v>3</v>
      </c>
      <c r="BW61">
        <v>4</v>
      </c>
    </row>
    <row r="62" spans="1:103" ht="15" thickBot="1">
      <c r="A62" s="1333">
        <v>1</v>
      </c>
      <c r="B62" s="87" t="s">
        <v>209</v>
      </c>
      <c r="C62" s="270" t="e">
        <f>('No. of aircraft'!C4*1000)/(#REF!*'No. of aircraft'!$B$29)</f>
        <v>#REF!</v>
      </c>
      <c r="D62" s="270" t="e">
        <f>('No. of aircraft'!D4*1000)/(#REF!*'No. of aircraft'!$B$29)</f>
        <v>#REF!</v>
      </c>
      <c r="E62" s="270" t="e">
        <f>('No. of aircraft'!E4*1000)/(#REF!*'No. of aircraft'!$B$29)</f>
        <v>#REF!</v>
      </c>
      <c r="F62" s="270" t="e">
        <f>('No. of aircraft'!F4*1000)/(#REF!*'No. of aircraft'!$B$29)</f>
        <v>#REF!</v>
      </c>
      <c r="G62" s="270" t="e">
        <f>('No. of aircraft'!G4*1000)/(#REF!*'No. of aircraft'!$B$29)</f>
        <v>#REF!</v>
      </c>
      <c r="H62" s="270" t="e">
        <f>('No. of aircraft'!H4*1000)/(#REF!*'No. of aircraft'!$B$29)</f>
        <v>#REF!</v>
      </c>
      <c r="I62" s="270" t="e">
        <f>('No. of aircraft'!I4*1000)/(#REF!*'No. of aircraft'!$B$29)</f>
        <v>#REF!</v>
      </c>
      <c r="J62" s="270" t="e">
        <f>('No. of aircraft'!J4*1000)/(#REF!*'No. of aircraft'!$B$29)</f>
        <v>#REF!</v>
      </c>
      <c r="K62" s="270" t="e">
        <f>('No. of aircraft'!K4*1000)/(#REF!*'No. of aircraft'!$B$29)</f>
        <v>#REF!</v>
      </c>
      <c r="L62" s="270" t="e">
        <f>('No. of aircraft'!L4*1000)/(#REF!*'No. of aircraft'!$B$29)</f>
        <v>#REF!</v>
      </c>
      <c r="M62" s="270" t="e">
        <f>('No. of aircraft'!M4*1000)/(#REF!*'No. of aircraft'!$B$29)</f>
        <v>#REF!</v>
      </c>
      <c r="N62" s="270" t="e">
        <f>('No. of aircraft'!N4*1000)/(#REF!*'No. of aircraft'!$B$29)</f>
        <v>#REF!</v>
      </c>
      <c r="O62" s="270" t="e">
        <f>('No. of aircraft'!O4*1000)/(#REF!*'No. of aircraft'!$B$29)</f>
        <v>#REF!</v>
      </c>
      <c r="P62" s="270" t="e">
        <f>('No. of aircraft'!P4*1000)/(#REF!*'No. of aircraft'!$B$29)</f>
        <v>#REF!</v>
      </c>
      <c r="Q62" s="270" t="e">
        <f>('No. of aircraft'!Q4*1000)/(#REF!*'No. of aircraft'!$B$29)</f>
        <v>#REF!</v>
      </c>
      <c r="R62" s="270" t="e">
        <f>('No. of aircraft'!R4*1000)/(#REF!*'No. of aircraft'!$B$29)</f>
        <v>#REF!</v>
      </c>
      <c r="S62" s="270" t="e">
        <f>('No. of aircraft'!S4*1000)/(#REF!*'No. of aircraft'!$B$29)</f>
        <v>#REF!</v>
      </c>
      <c r="T62" s="270" t="e">
        <f>('No. of aircraft'!T4*1000)/(#REF!*'No. of aircraft'!$B$29)</f>
        <v>#REF!</v>
      </c>
      <c r="U62" s="270" t="e">
        <f>('No. of aircraft'!U4*1000)/(#REF!*'No. of aircraft'!$B$29)</f>
        <v>#REF!</v>
      </c>
      <c r="V62" s="270" t="e">
        <f>('No. of aircraft'!V4*1000)/(#REF!*'No. of aircraft'!$B$29)</f>
        <v>#REF!</v>
      </c>
      <c r="W62" s="642"/>
      <c r="X62" s="354"/>
      <c r="Y62" s="354"/>
      <c r="AD62" s="1333">
        <v>1</v>
      </c>
      <c r="AE62" s="87" t="s">
        <v>209</v>
      </c>
      <c r="AF62" s="634">
        <v>1</v>
      </c>
      <c r="AG62" s="634">
        <v>1</v>
      </c>
      <c r="AH62" s="634">
        <v>1</v>
      </c>
      <c r="AI62" s="634">
        <v>1</v>
      </c>
      <c r="AJ62" s="634">
        <v>1</v>
      </c>
      <c r="AK62" s="634">
        <v>1</v>
      </c>
      <c r="AL62" s="634">
        <v>1</v>
      </c>
      <c r="AM62" s="634">
        <v>1</v>
      </c>
      <c r="AN62" s="634">
        <v>1</v>
      </c>
      <c r="AO62" s="634">
        <v>1</v>
      </c>
      <c r="AP62" s="634">
        <v>1</v>
      </c>
      <c r="AQ62" s="634">
        <v>1</v>
      </c>
      <c r="AR62" s="634">
        <v>1</v>
      </c>
      <c r="AS62" s="634">
        <v>1</v>
      </c>
      <c r="AT62" s="634">
        <v>1</v>
      </c>
      <c r="AU62" s="634">
        <v>1</v>
      </c>
      <c r="AV62" s="634">
        <v>1</v>
      </c>
      <c r="AW62" s="634">
        <v>1</v>
      </c>
      <c r="AX62" s="634">
        <v>1</v>
      </c>
      <c r="AY62" s="634">
        <v>1</v>
      </c>
      <c r="BB62">
        <v>1</v>
      </c>
      <c r="BC62" t="s">
        <v>209</v>
      </c>
      <c r="BD62">
        <v>0</v>
      </c>
      <c r="BE62">
        <v>0</v>
      </c>
      <c r="BF62">
        <v>1.6817581934226231</v>
      </c>
      <c r="BG62">
        <v>1.8919779676004509</v>
      </c>
      <c r="BH62">
        <v>2.4175274030450202</v>
      </c>
      <c r="BI62">
        <v>2.6592801433495223</v>
      </c>
      <c r="BJ62">
        <v>2.9010328836540249</v>
      </c>
      <c r="BK62">
        <v>3.142785623958527</v>
      </c>
      <c r="BL62">
        <v>3.8922191189024828</v>
      </c>
      <c r="BM62">
        <v>4.1702347702526605</v>
      </c>
      <c r="BN62">
        <v>4.4482504216028378</v>
      </c>
      <c r="BO62">
        <v>4.4482504216028369</v>
      </c>
      <c r="BP62">
        <v>5.1154879848432611</v>
      </c>
      <c r="BQ62">
        <v>5.1154879848432611</v>
      </c>
      <c r="BR62">
        <v>5.1154879848432611</v>
      </c>
      <c r="BS62">
        <v>5.1154879848432611</v>
      </c>
      <c r="BT62">
        <v>5.8828111825697507</v>
      </c>
      <c r="BU62">
        <v>5.8828111825697507</v>
      </c>
      <c r="BV62">
        <v>5.8828111825697507</v>
      </c>
      <c r="BW62">
        <v>5.8828111825697507</v>
      </c>
    </row>
    <row r="63" spans="1:103" ht="15" thickBot="1">
      <c r="A63" s="1333"/>
      <c r="B63" s="87" t="s">
        <v>210</v>
      </c>
      <c r="C63" s="270" t="e">
        <f>('No. of aircraft'!C5*1000)/(#REF!*'No. of aircraft'!$B$29)</f>
        <v>#REF!</v>
      </c>
      <c r="D63" s="270" t="e">
        <f>('No. of aircraft'!D5*1000)/(#REF!*'No. of aircraft'!$B$29)</f>
        <v>#REF!</v>
      </c>
      <c r="E63" s="270" t="e">
        <f>('No. of aircraft'!E5*1000)/(#REF!*'No. of aircraft'!$B$29)</f>
        <v>#REF!</v>
      </c>
      <c r="F63" s="270" t="e">
        <f>('No. of aircraft'!F5*1000)/(#REF!*'No. of aircraft'!$B$29)</f>
        <v>#REF!</v>
      </c>
      <c r="G63" s="270" t="e">
        <f>('No. of aircraft'!G5*1000)/(#REF!*'No. of aircraft'!$B$29)</f>
        <v>#REF!</v>
      </c>
      <c r="H63" s="270" t="e">
        <f>('No. of aircraft'!H5*1000)/(#REF!*'No. of aircraft'!$B$29)</f>
        <v>#REF!</v>
      </c>
      <c r="I63" s="270" t="e">
        <f>('No. of aircraft'!I5*1000)/(#REF!*'No. of aircraft'!$B$29)</f>
        <v>#REF!</v>
      </c>
      <c r="J63" s="270" t="e">
        <f>('No. of aircraft'!J5*1000)/(#REF!*'No. of aircraft'!$B$29)</f>
        <v>#REF!</v>
      </c>
      <c r="K63" s="270" t="e">
        <f>('No. of aircraft'!K5*1000)/(#REF!*'No. of aircraft'!$B$29)</f>
        <v>#REF!</v>
      </c>
      <c r="L63" s="270" t="e">
        <f>('No. of aircraft'!L5*1000)/(#REF!*'No. of aircraft'!$B$29)</f>
        <v>#REF!</v>
      </c>
      <c r="M63" s="270" t="e">
        <f>('No. of aircraft'!M5*1000)/(#REF!*'No. of aircraft'!$B$29)</f>
        <v>#REF!</v>
      </c>
      <c r="N63" s="270" t="e">
        <f>('No. of aircraft'!N5*1000)/(#REF!*'No. of aircraft'!$B$29)</f>
        <v>#REF!</v>
      </c>
      <c r="O63" s="270" t="e">
        <f>('No. of aircraft'!O5*1000)/(#REF!*'No. of aircraft'!$B$29)</f>
        <v>#REF!</v>
      </c>
      <c r="P63" s="270" t="e">
        <f>('No. of aircraft'!P5*1000)/(#REF!*'No. of aircraft'!$B$29)</f>
        <v>#REF!</v>
      </c>
      <c r="Q63" s="270" t="e">
        <f>('No. of aircraft'!Q5*1000)/(#REF!*'No. of aircraft'!$B$29)</f>
        <v>#REF!</v>
      </c>
      <c r="R63" s="270" t="e">
        <f>('No. of aircraft'!R5*1000)/(#REF!*'No. of aircraft'!$B$29)</f>
        <v>#REF!</v>
      </c>
      <c r="S63" s="270" t="e">
        <f>('No. of aircraft'!S5*1000)/(#REF!*'No. of aircraft'!$B$29)</f>
        <v>#REF!</v>
      </c>
      <c r="T63" s="270" t="e">
        <f>('No. of aircraft'!T5*1000)/(#REF!*'No. of aircraft'!$B$29)</f>
        <v>#REF!</v>
      </c>
      <c r="U63" s="270" t="e">
        <f>('No. of aircraft'!U5*1000)/(#REF!*'No. of aircraft'!$B$29)</f>
        <v>#REF!</v>
      </c>
      <c r="V63" s="270" t="e">
        <f>('No. of aircraft'!V5*1000)/(#REF!*'No. of aircraft'!$B$29)</f>
        <v>#REF!</v>
      </c>
      <c r="W63" s="354"/>
      <c r="X63" s="354"/>
      <c r="Y63" s="354"/>
      <c r="AD63" s="1333"/>
      <c r="AE63" s="87" t="s">
        <v>210</v>
      </c>
      <c r="AF63" s="634">
        <v>1</v>
      </c>
      <c r="AG63" s="634">
        <v>1</v>
      </c>
      <c r="AH63" s="634">
        <v>1</v>
      </c>
      <c r="AI63" s="634">
        <v>1</v>
      </c>
      <c r="AJ63" s="634">
        <v>1</v>
      </c>
      <c r="AK63" s="634">
        <v>1</v>
      </c>
      <c r="AL63" s="634">
        <v>1</v>
      </c>
      <c r="AM63" s="634">
        <v>1</v>
      </c>
      <c r="AN63" s="634">
        <v>1</v>
      </c>
      <c r="AO63" s="634">
        <v>1</v>
      </c>
      <c r="AP63" s="634">
        <v>1</v>
      </c>
      <c r="AQ63" s="634">
        <v>1</v>
      </c>
      <c r="AR63" s="634">
        <v>1</v>
      </c>
      <c r="AS63" s="634">
        <v>1</v>
      </c>
      <c r="AT63" s="634">
        <v>1</v>
      </c>
      <c r="AU63" s="634">
        <v>1</v>
      </c>
      <c r="AV63" s="634">
        <v>1</v>
      </c>
      <c r="AW63" s="634">
        <v>1</v>
      </c>
      <c r="AX63" s="634">
        <v>1</v>
      </c>
      <c r="AY63" s="634">
        <v>1</v>
      </c>
      <c r="BC63" t="s">
        <v>210</v>
      </c>
      <c r="BD63" t="e">
        <v>#N/A</v>
      </c>
      <c r="BE63" t="e">
        <v>#N/A</v>
      </c>
      <c r="BF63">
        <v>0.82116300219333438</v>
      </c>
      <c r="BG63">
        <v>0.9549029048306853</v>
      </c>
      <c r="BH63">
        <v>1.0886428074680363</v>
      </c>
      <c r="BI63">
        <v>1.222382710105387</v>
      </c>
      <c r="BJ63">
        <v>1.3561226127427379</v>
      </c>
      <c r="BK63">
        <v>1.4898625153800888</v>
      </c>
      <c r="BL63">
        <v>1.6236024180174398</v>
      </c>
      <c r="BM63">
        <v>1.7573423206547907</v>
      </c>
      <c r="BN63">
        <v>1.8910822232921416</v>
      </c>
      <c r="BO63">
        <v>2.0248221259294925</v>
      </c>
      <c r="BP63">
        <v>2.1585620285668434</v>
      </c>
      <c r="BQ63">
        <v>2.2923019312041943</v>
      </c>
      <c r="BR63">
        <v>2.4260418338415448</v>
      </c>
      <c r="BS63">
        <v>2.5597817364788957</v>
      </c>
      <c r="BT63">
        <v>2.6935216391162466</v>
      </c>
      <c r="BU63">
        <v>2.8272615417535976</v>
      </c>
      <c r="BV63">
        <v>2.9610014443909485</v>
      </c>
      <c r="BW63">
        <v>3.0947413470282994</v>
      </c>
    </row>
    <row r="64" spans="1:103" ht="15" thickBot="1">
      <c r="A64" s="1333"/>
      <c r="B64" s="87" t="s">
        <v>211</v>
      </c>
      <c r="C64" s="270" t="e">
        <f>('No. of aircraft'!C6*1000)/(#REF!*'No. of aircraft'!$B$29)</f>
        <v>#REF!</v>
      </c>
      <c r="D64" s="270" t="e">
        <f>('No. of aircraft'!D6*1000)/(#REF!*'No. of aircraft'!$B$29)</f>
        <v>#REF!</v>
      </c>
      <c r="E64" s="270" t="e">
        <f>('No. of aircraft'!E6*1000)/(#REF!*'No. of aircraft'!$B$29)</f>
        <v>#REF!</v>
      </c>
      <c r="F64" s="270" t="e">
        <f>('No. of aircraft'!F6*1000)/(#REF!*'No. of aircraft'!$B$29)</f>
        <v>#REF!</v>
      </c>
      <c r="G64" s="270" t="e">
        <f>('No. of aircraft'!G6*1000)/(#REF!*'No. of aircraft'!$B$29)</f>
        <v>#REF!</v>
      </c>
      <c r="H64" s="270" t="e">
        <f>('No. of aircraft'!H6*1000)/(#REF!*'No. of aircraft'!$B$29)</f>
        <v>#REF!</v>
      </c>
      <c r="I64" s="270" t="e">
        <f>('No. of aircraft'!I6*1000)/(#REF!*'No. of aircraft'!$B$29)</f>
        <v>#REF!</v>
      </c>
      <c r="J64" s="270" t="e">
        <f>('No. of aircraft'!J6*1000)/(#REF!*'No. of aircraft'!$B$29)</f>
        <v>#REF!</v>
      </c>
      <c r="K64" s="270" t="e">
        <f>('No. of aircraft'!K6*1000)/(#REF!*'No. of aircraft'!$B$29)</f>
        <v>#REF!</v>
      </c>
      <c r="L64" s="270" t="e">
        <f>('No. of aircraft'!L6*1000)/(#REF!*'No. of aircraft'!$B$29)</f>
        <v>#REF!</v>
      </c>
      <c r="M64" s="270" t="e">
        <f>('No. of aircraft'!M6*1000)/(#REF!*'No. of aircraft'!$B$29)</f>
        <v>#REF!</v>
      </c>
      <c r="N64" s="270" t="e">
        <f>('No. of aircraft'!N6*1000)/(#REF!*'No. of aircraft'!$B$29)</f>
        <v>#REF!</v>
      </c>
      <c r="O64" s="270" t="e">
        <f>('No. of aircraft'!O6*1000)/(#REF!*'No. of aircraft'!$B$29)</f>
        <v>#REF!</v>
      </c>
      <c r="P64" s="270" t="e">
        <f>('No. of aircraft'!P6*1000)/(#REF!*'No. of aircraft'!$B$29)</f>
        <v>#REF!</v>
      </c>
      <c r="Q64" s="270" t="e">
        <f>('No. of aircraft'!Q6*1000)/(#REF!*'No. of aircraft'!$B$29)</f>
        <v>#REF!</v>
      </c>
      <c r="R64" s="270" t="e">
        <f>('No. of aircraft'!R6*1000)/(#REF!*'No. of aircraft'!$B$29)</f>
        <v>#REF!</v>
      </c>
      <c r="S64" s="270" t="e">
        <f>('No. of aircraft'!S6*1000)/(#REF!*'No. of aircraft'!$B$29)</f>
        <v>#REF!</v>
      </c>
      <c r="T64" s="270" t="e">
        <f>('No. of aircraft'!T6*1000)/(#REF!*'No. of aircraft'!$B$29)</f>
        <v>#REF!</v>
      </c>
      <c r="U64" s="270" t="e">
        <f>('No. of aircraft'!U6*1000)/(#REF!*'No. of aircraft'!$B$29)</f>
        <v>#REF!</v>
      </c>
      <c r="V64" s="270" t="e">
        <f>('No. of aircraft'!V6*1000)/(#REF!*'No. of aircraft'!$B$29)</f>
        <v>#REF!</v>
      </c>
      <c r="W64" s="354"/>
      <c r="X64" s="354"/>
      <c r="Y64" s="354"/>
      <c r="AD64" s="1333"/>
      <c r="AE64" s="87" t="s">
        <v>211</v>
      </c>
      <c r="AF64" s="634">
        <v>1</v>
      </c>
      <c r="AG64" s="634">
        <v>1</v>
      </c>
      <c r="AH64" s="634">
        <v>1</v>
      </c>
      <c r="AI64" s="634">
        <v>1</v>
      </c>
      <c r="AJ64" s="634">
        <v>1</v>
      </c>
      <c r="AK64" s="634">
        <v>1</v>
      </c>
      <c r="AL64" s="634">
        <v>1</v>
      </c>
      <c r="AM64" s="634">
        <v>1</v>
      </c>
      <c r="AN64" s="634">
        <v>1</v>
      </c>
      <c r="AO64" s="634">
        <v>1</v>
      </c>
      <c r="AP64" s="634">
        <v>1</v>
      </c>
      <c r="AQ64" s="634">
        <v>1</v>
      </c>
      <c r="AR64" s="634">
        <v>1</v>
      </c>
      <c r="AS64" s="634">
        <v>1</v>
      </c>
      <c r="AT64" s="634">
        <v>1</v>
      </c>
      <c r="AU64" s="634">
        <v>1</v>
      </c>
      <c r="AV64" s="634">
        <v>1</v>
      </c>
      <c r="AW64" s="634">
        <v>1</v>
      </c>
      <c r="AX64" s="634">
        <v>1</v>
      </c>
      <c r="AY64" s="634">
        <v>1</v>
      </c>
      <c r="BC64" t="s">
        <v>211</v>
      </c>
      <c r="BD64" t="e">
        <v>#N/A</v>
      </c>
      <c r="BE64" t="e">
        <v>#N/A</v>
      </c>
      <c r="BF64">
        <v>0.52815859321895031</v>
      </c>
      <c r="BG64">
        <v>0.66189849585630123</v>
      </c>
      <c r="BH64">
        <v>0.79563839849365214</v>
      </c>
      <c r="BI64">
        <v>0.92937830113100295</v>
      </c>
      <c r="BJ64">
        <v>1.063118203768354</v>
      </c>
      <c r="BK64">
        <v>1.1968581064057047</v>
      </c>
      <c r="BL64">
        <v>1.3305980090430556</v>
      </c>
      <c r="BM64">
        <v>1.4643379116804065</v>
      </c>
      <c r="BN64">
        <v>1.5980778143177572</v>
      </c>
      <c r="BO64">
        <v>1.7318177169551081</v>
      </c>
      <c r="BP64">
        <v>1.865557619592459</v>
      </c>
      <c r="BQ64">
        <v>1.9992975222298099</v>
      </c>
      <c r="BR64">
        <v>2.1330374248671609</v>
      </c>
      <c r="BS64">
        <v>2.2667773275045122</v>
      </c>
      <c r="BT64">
        <v>2.4005172301418631</v>
      </c>
      <c r="BU64">
        <v>2.5342571327792141</v>
      </c>
      <c r="BV64">
        <v>2.667997035416565</v>
      </c>
      <c r="BW64">
        <v>2.8017369380539159</v>
      </c>
    </row>
    <row r="65" spans="1:75" ht="15" thickBot="1">
      <c r="A65" s="1333"/>
      <c r="B65" s="87" t="s">
        <v>212</v>
      </c>
      <c r="C65" s="270" t="e">
        <f>('No. of aircraft'!C7*1000)/(#REF!*'No. of aircraft'!$B$29)</f>
        <v>#REF!</v>
      </c>
      <c r="D65" s="270" t="e">
        <f>('No. of aircraft'!D7*1000)/(#REF!*'No. of aircraft'!$B$29)</f>
        <v>#REF!</v>
      </c>
      <c r="E65" s="270" t="e">
        <f>('No. of aircraft'!E7*1000)/(#REF!*'No. of aircraft'!$B$29)</f>
        <v>#REF!</v>
      </c>
      <c r="F65" s="270" t="e">
        <f>('No. of aircraft'!F7*1000)/(#REF!*'No. of aircraft'!$B$29)</f>
        <v>#REF!</v>
      </c>
      <c r="G65" s="270" t="e">
        <f>('No. of aircraft'!G7*1000)/(#REF!*'No. of aircraft'!$B$29)</f>
        <v>#REF!</v>
      </c>
      <c r="H65" s="270" t="e">
        <f>('No. of aircraft'!H7*1000)/(#REF!*'No. of aircraft'!$B$29)</f>
        <v>#REF!</v>
      </c>
      <c r="I65" s="270" t="e">
        <f>('No. of aircraft'!I7*1000)/(#REF!*'No. of aircraft'!$B$29)</f>
        <v>#REF!</v>
      </c>
      <c r="J65" s="270" t="e">
        <f>('No. of aircraft'!J7*1000)/(#REF!*'No. of aircraft'!$B$29)</f>
        <v>#REF!</v>
      </c>
      <c r="K65" s="270" t="e">
        <f>('No. of aircraft'!K7*1000)/(#REF!*'No. of aircraft'!$B$29)</f>
        <v>#REF!</v>
      </c>
      <c r="L65" s="270" t="e">
        <f>('No. of aircraft'!L7*1000)/(#REF!*'No. of aircraft'!$B$29)</f>
        <v>#REF!</v>
      </c>
      <c r="M65" s="270" t="e">
        <f>('No. of aircraft'!M7*1000)/(#REF!*'No. of aircraft'!$B$29)</f>
        <v>#REF!</v>
      </c>
      <c r="N65" s="270" t="e">
        <f>('No. of aircraft'!N7*1000)/(#REF!*'No. of aircraft'!$B$29)</f>
        <v>#REF!</v>
      </c>
      <c r="O65" s="270" t="e">
        <f>('No. of aircraft'!O7*1000)/(#REF!*'No. of aircraft'!$B$29)</f>
        <v>#REF!</v>
      </c>
      <c r="P65" s="270" t="e">
        <f>('No. of aircraft'!P7*1000)/(#REF!*'No. of aircraft'!$B$29)</f>
        <v>#REF!</v>
      </c>
      <c r="Q65" s="270" t="e">
        <f>('No. of aircraft'!Q7*1000)/(#REF!*'No. of aircraft'!$B$29)</f>
        <v>#REF!</v>
      </c>
      <c r="R65" s="270" t="e">
        <f>('No. of aircraft'!R7*1000)/(#REF!*'No. of aircraft'!$B$29)</f>
        <v>#REF!</v>
      </c>
      <c r="S65" s="270" t="e">
        <f>('No. of aircraft'!S7*1000)/(#REF!*'No. of aircraft'!$B$29)</f>
        <v>#REF!</v>
      </c>
      <c r="T65" s="270" t="e">
        <f>('No. of aircraft'!T7*1000)/(#REF!*'No. of aircraft'!$B$29)</f>
        <v>#REF!</v>
      </c>
      <c r="U65" s="270" t="e">
        <f>('No. of aircraft'!U7*1000)/(#REF!*'No. of aircraft'!$B$29)</f>
        <v>#REF!</v>
      </c>
      <c r="V65" s="270" t="e">
        <f>('No. of aircraft'!V7*1000)/(#REF!*'No. of aircraft'!$B$29)</f>
        <v>#REF!</v>
      </c>
      <c r="W65" s="354"/>
      <c r="X65" s="354"/>
      <c r="Y65" s="354"/>
      <c r="AD65" s="1333"/>
      <c r="AE65" s="87" t="s">
        <v>212</v>
      </c>
      <c r="AF65" s="634">
        <v>1</v>
      </c>
      <c r="AG65" s="634">
        <v>1</v>
      </c>
      <c r="AH65" s="634">
        <v>1</v>
      </c>
      <c r="AI65" s="634">
        <v>1</v>
      </c>
      <c r="AJ65" s="634">
        <v>1</v>
      </c>
      <c r="AK65" s="634">
        <v>1</v>
      </c>
      <c r="AL65" s="634">
        <v>1</v>
      </c>
      <c r="AM65" s="634">
        <v>1</v>
      </c>
      <c r="AN65" s="634">
        <v>1</v>
      </c>
      <c r="AO65" s="634">
        <v>1</v>
      </c>
      <c r="AP65" s="634">
        <v>1</v>
      </c>
      <c r="AQ65" s="634">
        <v>1</v>
      </c>
      <c r="AR65" s="634">
        <v>1</v>
      </c>
      <c r="AS65" s="634">
        <v>1</v>
      </c>
      <c r="AT65" s="634">
        <v>1</v>
      </c>
      <c r="AU65" s="634">
        <v>1</v>
      </c>
      <c r="AV65" s="634">
        <v>1</v>
      </c>
      <c r="AW65" s="634">
        <v>1</v>
      </c>
      <c r="AX65" s="634">
        <v>1</v>
      </c>
      <c r="AY65" s="634">
        <v>1</v>
      </c>
      <c r="BC65" t="s">
        <v>212</v>
      </c>
      <c r="BD65">
        <v>0</v>
      </c>
      <c r="BE65">
        <v>0</v>
      </c>
      <c r="BF65">
        <v>4.0314046515702939</v>
      </c>
      <c r="BG65">
        <v>4.2329748841488097</v>
      </c>
      <c r="BH65">
        <v>5.0997268842364232</v>
      </c>
      <c r="BI65">
        <v>5.331532651701715</v>
      </c>
      <c r="BJ65">
        <v>5.5633384191670068</v>
      </c>
      <c r="BK65">
        <v>5.7951441866322986</v>
      </c>
      <c r="BL65">
        <v>6.9309924472122297</v>
      </c>
      <c r="BM65">
        <v>7.197569079797316</v>
      </c>
      <c r="BN65">
        <v>7.4641457123824013</v>
      </c>
      <c r="BO65">
        <v>7.7307223449674876</v>
      </c>
      <c r="BP65">
        <v>9.1968938241854588</v>
      </c>
      <c r="BQ65">
        <v>9.1968938241854588</v>
      </c>
      <c r="BR65">
        <v>9.1968938241854588</v>
      </c>
      <c r="BS65">
        <v>9.1968938241854588</v>
      </c>
      <c r="BT65">
        <v>10.576427897813275</v>
      </c>
      <c r="BU65">
        <v>10.576427897813275</v>
      </c>
      <c r="BV65">
        <v>10.576427897813275</v>
      </c>
      <c r="BW65">
        <v>10.576427897813275</v>
      </c>
    </row>
    <row r="66" spans="1:75" ht="15" thickBot="1">
      <c r="A66" s="1333"/>
      <c r="B66" s="87" t="s">
        <v>213</v>
      </c>
      <c r="C66" s="270" t="e">
        <f>('No. of aircraft'!C8*1000)/(#REF!*'No. of aircraft'!$B$29)</f>
        <v>#REF!</v>
      </c>
      <c r="D66" s="270" t="e">
        <f>('No. of aircraft'!D8*1000)/(#REF!*'No. of aircraft'!$B$29)</f>
        <v>#REF!</v>
      </c>
      <c r="E66" s="270" t="e">
        <f>('No. of aircraft'!E8*1000)/(#REF!*'No. of aircraft'!$B$29)</f>
        <v>#REF!</v>
      </c>
      <c r="F66" s="270" t="e">
        <f>('No. of aircraft'!F8*1000)/(#REF!*'No. of aircraft'!$B$29)</f>
        <v>#REF!</v>
      </c>
      <c r="G66" s="270" t="e">
        <f>('No. of aircraft'!G8*1000)/(#REF!*'No. of aircraft'!$B$29)</f>
        <v>#REF!</v>
      </c>
      <c r="H66" s="270" t="e">
        <f>('No. of aircraft'!H8*1000)/(#REF!*'No. of aircraft'!$B$29)</f>
        <v>#REF!</v>
      </c>
      <c r="I66" s="270" t="e">
        <f>('No. of aircraft'!I8*1000)/(#REF!*'No. of aircraft'!$B$29)</f>
        <v>#REF!</v>
      </c>
      <c r="J66" s="270" t="e">
        <f>('No. of aircraft'!J8*1000)/(#REF!*'No. of aircraft'!$B$29)</f>
        <v>#REF!</v>
      </c>
      <c r="K66" s="270" t="e">
        <f>('No. of aircraft'!K8*1000)/(#REF!*'No. of aircraft'!$B$29)</f>
        <v>#REF!</v>
      </c>
      <c r="L66" s="270" t="e">
        <f>('No. of aircraft'!L8*1000)/(#REF!*'No. of aircraft'!$B$29)</f>
        <v>#REF!</v>
      </c>
      <c r="M66" s="270" t="e">
        <f>('No. of aircraft'!M8*1000)/(#REF!*'No. of aircraft'!$B$29)</f>
        <v>#REF!</v>
      </c>
      <c r="N66" s="270" t="e">
        <f>('No. of aircraft'!N8*1000)/(#REF!*'No. of aircraft'!$B$29)</f>
        <v>#REF!</v>
      </c>
      <c r="O66" s="270" t="e">
        <f>('No. of aircraft'!O8*1000)/(#REF!*'No. of aircraft'!$B$29)</f>
        <v>#REF!</v>
      </c>
      <c r="P66" s="270" t="e">
        <f>('No. of aircraft'!P8*1000)/(#REF!*'No. of aircraft'!$B$29)</f>
        <v>#REF!</v>
      </c>
      <c r="Q66" s="270" t="e">
        <f>('No. of aircraft'!Q8*1000)/(#REF!*'No. of aircraft'!$B$29)</f>
        <v>#REF!</v>
      </c>
      <c r="R66" s="270" t="e">
        <f>('No. of aircraft'!R8*1000)/(#REF!*'No. of aircraft'!$B$29)</f>
        <v>#REF!</v>
      </c>
      <c r="S66" s="270" t="e">
        <f>('No. of aircraft'!S8*1000)/(#REF!*'No. of aircraft'!$B$29)</f>
        <v>#REF!</v>
      </c>
      <c r="T66" s="270" t="e">
        <f>('No. of aircraft'!T8*1000)/(#REF!*'No. of aircraft'!$B$29)</f>
        <v>#REF!</v>
      </c>
      <c r="U66" s="270" t="e">
        <f>('No. of aircraft'!U8*1000)/(#REF!*'No. of aircraft'!$B$29)</f>
        <v>#REF!</v>
      </c>
      <c r="V66" s="270" t="e">
        <f>('No. of aircraft'!V8*1000)/(#REF!*'No. of aircraft'!$B$29)</f>
        <v>#REF!</v>
      </c>
      <c r="W66" s="354"/>
      <c r="X66" s="354"/>
      <c r="Y66" s="354"/>
      <c r="AD66" s="1333"/>
      <c r="AE66" s="87" t="s">
        <v>213</v>
      </c>
      <c r="AF66" s="634">
        <v>1</v>
      </c>
      <c r="AG66" s="634">
        <v>1</v>
      </c>
      <c r="AH66" s="634">
        <v>1</v>
      </c>
      <c r="AI66" s="634">
        <v>1</v>
      </c>
      <c r="AJ66" s="634">
        <v>1</v>
      </c>
      <c r="AK66" s="634">
        <v>1</v>
      </c>
      <c r="AL66" s="634">
        <v>1</v>
      </c>
      <c r="AM66" s="634">
        <v>1</v>
      </c>
      <c r="AN66" s="634">
        <v>1</v>
      </c>
      <c r="AO66" s="634">
        <v>1</v>
      </c>
      <c r="AP66" s="634">
        <v>1</v>
      </c>
      <c r="AQ66" s="634">
        <v>1</v>
      </c>
      <c r="AR66" s="634">
        <v>1</v>
      </c>
      <c r="AS66" s="634">
        <v>1</v>
      </c>
      <c r="AT66" s="634">
        <v>1</v>
      </c>
      <c r="AU66" s="634">
        <v>1</v>
      </c>
      <c r="AV66" s="634">
        <v>1</v>
      </c>
      <c r="AW66" s="634">
        <v>1</v>
      </c>
      <c r="AX66" s="634">
        <v>1</v>
      </c>
      <c r="AY66" s="634">
        <v>1</v>
      </c>
      <c r="BC66" t="s">
        <v>213</v>
      </c>
      <c r="BD66">
        <v>0</v>
      </c>
      <c r="BE66">
        <v>0</v>
      </c>
      <c r="BF66">
        <v>8.0271003851709197E-2</v>
      </c>
      <c r="BG66">
        <v>8.5622404108489827E-2</v>
      </c>
      <c r="BH66">
        <v>0.104619875020061</v>
      </c>
      <c r="BI66">
        <v>0.1107739853153587</v>
      </c>
      <c r="BJ66">
        <v>0.11692809561065642</v>
      </c>
      <c r="BK66">
        <v>0.12308220590595413</v>
      </c>
      <c r="BL66">
        <v>0.14862176363143959</v>
      </c>
      <c r="BM66">
        <v>0.15569899047103195</v>
      </c>
      <c r="BN66">
        <v>0.16277621731062433</v>
      </c>
      <c r="BO66">
        <v>0.16985344415021669</v>
      </c>
      <c r="BP66">
        <v>0.20347027163828038</v>
      </c>
      <c r="BQ66">
        <v>0.21160908250381158</v>
      </c>
      <c r="BR66">
        <v>0.21974789336934283</v>
      </c>
      <c r="BS66">
        <v>0.22788670423487406</v>
      </c>
      <c r="BT66">
        <v>0.27142934236546601</v>
      </c>
      <c r="BU66">
        <v>0.28078897486082693</v>
      </c>
      <c r="BV66">
        <v>0.28078897486082693</v>
      </c>
      <c r="BW66">
        <v>0.28078897486082693</v>
      </c>
    </row>
    <row r="67" spans="1:75" ht="15" thickBot="1">
      <c r="A67" s="1333">
        <v>2</v>
      </c>
      <c r="B67" s="303" t="s">
        <v>214</v>
      </c>
      <c r="C67" s="645" t="e">
        <f>('No. of aircraft'!C9*1000)/(#REF!*'No. of aircraft'!$B$29)</f>
        <v>#REF!</v>
      </c>
      <c r="D67" s="645" t="e">
        <f>('No. of aircraft'!D9*1000)/(#REF!*'No. of aircraft'!$B$29)</f>
        <v>#REF!</v>
      </c>
      <c r="E67" s="645" t="e">
        <f>('No. of aircraft'!E9*1000)/(#REF!*'No. of aircraft'!$B$29)</f>
        <v>#REF!</v>
      </c>
      <c r="F67" s="645" t="e">
        <f>('No. of aircraft'!F9*1000)/(#REF!*'No. of aircraft'!$B$29)</f>
        <v>#REF!</v>
      </c>
      <c r="G67" s="270" t="e">
        <f>('No. of aircraft'!G9*1000)/(#REF!*'No. of aircraft'!$B$29)</f>
        <v>#REF!</v>
      </c>
      <c r="H67" s="270" t="e">
        <f>('No. of aircraft'!H9*1000)/(#REF!*'No. of aircraft'!$B$29)</f>
        <v>#REF!</v>
      </c>
      <c r="I67" s="270" t="e">
        <f>('No. of aircraft'!I9*1000)/(#REF!*'No. of aircraft'!$B$29)</f>
        <v>#REF!</v>
      </c>
      <c r="J67" s="270" t="e">
        <f>('No. of aircraft'!J9*1000)/(#REF!*'No. of aircraft'!$B$29)</f>
        <v>#REF!</v>
      </c>
      <c r="K67" s="270" t="e">
        <f>('No. of aircraft'!K9*1000)/(#REF!*'No. of aircraft'!$B$29)</f>
        <v>#REF!</v>
      </c>
      <c r="L67" s="270" t="e">
        <f>('No. of aircraft'!L9*1000)/(#REF!*'No. of aircraft'!$B$29)</f>
        <v>#REF!</v>
      </c>
      <c r="M67" s="270" t="e">
        <f>('No. of aircraft'!M9*1000)/(#REF!*'No. of aircraft'!$B$29)</f>
        <v>#REF!</v>
      </c>
      <c r="N67" s="270" t="e">
        <f>('No. of aircraft'!N9*1000)/(#REF!*'No. of aircraft'!$B$29)</f>
        <v>#REF!</v>
      </c>
      <c r="O67" s="270" t="e">
        <f>('No. of aircraft'!O9*1000)/(#REF!*'No. of aircraft'!$B$29)</f>
        <v>#REF!</v>
      </c>
      <c r="P67" s="270" t="e">
        <f>('No. of aircraft'!P9*1000)/(#REF!*'No. of aircraft'!$B$29)</f>
        <v>#REF!</v>
      </c>
      <c r="Q67" s="270" t="e">
        <f>('No. of aircraft'!Q9*1000)/(#REF!*'No. of aircraft'!$B$29)</f>
        <v>#REF!</v>
      </c>
      <c r="R67" s="270" t="e">
        <f>('No. of aircraft'!R9*1000)/(#REF!*'No. of aircraft'!$B$29)</f>
        <v>#REF!</v>
      </c>
      <c r="S67" s="270" t="e">
        <f>('No. of aircraft'!S9*1000)/(#REF!*'No. of aircraft'!$B$29)</f>
        <v>#REF!</v>
      </c>
      <c r="T67" s="270" t="e">
        <f>('No. of aircraft'!T9*1000)/(#REF!*'No. of aircraft'!$B$29)</f>
        <v>#REF!</v>
      </c>
      <c r="U67" s="270" t="e">
        <f>('No. of aircraft'!U9*1000)/(#REF!*'No. of aircraft'!$B$29)</f>
        <v>#REF!</v>
      </c>
      <c r="V67" s="270" t="e">
        <f>('No. of aircraft'!V9*1000)/(#REF!*'No. of aircraft'!$B$29)</f>
        <v>#REF!</v>
      </c>
      <c r="W67" s="642"/>
      <c r="X67" s="354"/>
      <c r="Y67" s="354"/>
      <c r="AD67" s="1333">
        <v>2</v>
      </c>
      <c r="AE67" s="303" t="s">
        <v>214</v>
      </c>
      <c r="AF67" s="653" t="e">
        <f t="shared" ref="AF67:AF78" si="25">ROUNDUP(C67,0)</f>
        <v>#REF!</v>
      </c>
      <c r="AG67" s="653" t="e">
        <f t="shared" ref="AG67:AG78" si="26">ROUNDUP(D67,0)</f>
        <v>#REF!</v>
      </c>
      <c r="AH67" s="653" t="e">
        <f t="shared" ref="AH67:AH78" si="27">ROUNDUP(E67,0)</f>
        <v>#REF!</v>
      </c>
      <c r="AI67" s="653" t="e">
        <f t="shared" ref="AI67:AI78" si="28">ROUNDUP(F67,0)</f>
        <v>#REF!</v>
      </c>
      <c r="AJ67" s="634" t="e">
        <f t="shared" ref="AJ67:AJ78" si="29">ROUNDUP(G67,0)</f>
        <v>#REF!</v>
      </c>
      <c r="AK67" s="634" t="e">
        <f t="shared" ref="AK67:AK78" si="30">ROUNDUP(H67,0)</f>
        <v>#REF!</v>
      </c>
      <c r="AL67" s="634" t="e">
        <f t="shared" ref="AL67:AL78" si="31">ROUNDUP(I67,0)</f>
        <v>#REF!</v>
      </c>
      <c r="AM67" s="634" t="e">
        <f t="shared" ref="AM67:AM78" si="32">ROUNDUP(J67,0)</f>
        <v>#REF!</v>
      </c>
      <c r="AN67" s="634" t="e">
        <f t="shared" ref="AN67:AN70" si="33">ROUNDUP(K67,0)</f>
        <v>#REF!</v>
      </c>
      <c r="AO67" s="634">
        <v>1</v>
      </c>
      <c r="AP67" s="634">
        <v>1</v>
      </c>
      <c r="AQ67" s="634">
        <v>1</v>
      </c>
      <c r="AR67" s="634">
        <v>1</v>
      </c>
      <c r="AS67" s="634">
        <v>1</v>
      </c>
      <c r="AT67" s="634">
        <v>1</v>
      </c>
      <c r="AU67" s="634">
        <v>1</v>
      </c>
      <c r="AV67" s="634">
        <v>1</v>
      </c>
      <c r="AW67" s="634">
        <v>1</v>
      </c>
      <c r="AX67" s="634">
        <v>1</v>
      </c>
      <c r="AY67" s="634">
        <v>1</v>
      </c>
      <c r="BB67">
        <v>2</v>
      </c>
      <c r="BC67" t="s">
        <v>214</v>
      </c>
      <c r="BD67">
        <v>0</v>
      </c>
      <c r="BE67">
        <v>0</v>
      </c>
      <c r="BF67">
        <v>0</v>
      </c>
      <c r="BG67">
        <v>0</v>
      </c>
      <c r="BH67">
        <v>0</v>
      </c>
      <c r="BI67">
        <v>0</v>
      </c>
      <c r="BJ67">
        <v>1.1091506663394384</v>
      </c>
      <c r="BK67">
        <v>1.1646081996564106</v>
      </c>
      <c r="BL67">
        <v>1.4030755929193897</v>
      </c>
      <c r="BM67">
        <v>1.4668517562339074</v>
      </c>
      <c r="BN67">
        <v>1.5306279195484251</v>
      </c>
      <c r="BO67">
        <v>1.5944040828629427</v>
      </c>
      <c r="BP67">
        <v>1.9069072831040794</v>
      </c>
      <c r="BQ67">
        <v>1.9802498709157752</v>
      </c>
      <c r="BR67">
        <v>2.0535924587274703</v>
      </c>
      <c r="BS67">
        <v>2.1269350465391659</v>
      </c>
      <c r="BT67">
        <v>2.5303192795034901</v>
      </c>
      <c r="BU67">
        <v>2.5303192795034892</v>
      </c>
      <c r="BV67">
        <v>2.5303192795034892</v>
      </c>
      <c r="BW67">
        <v>2.5303192795034892</v>
      </c>
    </row>
    <row r="68" spans="1:75" ht="15" thickBot="1">
      <c r="A68" s="1333"/>
      <c r="B68" s="303" t="s">
        <v>215</v>
      </c>
      <c r="C68" s="645" t="e">
        <f>('No. of aircraft'!C10*1000)/(#REF!*'No. of aircraft'!$B$29)</f>
        <v>#REF!</v>
      </c>
      <c r="D68" s="645" t="e">
        <f>('No. of aircraft'!D10*1000)/(#REF!*'No. of aircraft'!$B$29)</f>
        <v>#REF!</v>
      </c>
      <c r="E68" s="645" t="e">
        <f>('No. of aircraft'!E10*1000)/(#REF!*'No. of aircraft'!$B$29)</f>
        <v>#REF!</v>
      </c>
      <c r="F68" s="645" t="e">
        <f>('No. of aircraft'!F10*1000)/(#REF!*'No. of aircraft'!$B$29)</f>
        <v>#REF!</v>
      </c>
      <c r="G68" s="270" t="e">
        <f>('No. of aircraft'!G10*1000)/(#REF!*'No. of aircraft'!$B$29)</f>
        <v>#REF!</v>
      </c>
      <c r="H68" s="270" t="e">
        <f>('No. of aircraft'!H10*1000)/(#REF!*'No. of aircraft'!$B$29)</f>
        <v>#REF!</v>
      </c>
      <c r="I68" s="270" t="e">
        <f>('No. of aircraft'!I10*1000)/(#REF!*'No. of aircraft'!$B$29)</f>
        <v>#REF!</v>
      </c>
      <c r="J68" s="270" t="e">
        <f>('No. of aircraft'!J10*1000)/(#REF!*'No. of aircraft'!$B$29)</f>
        <v>#REF!</v>
      </c>
      <c r="K68" s="270" t="e">
        <f>('No. of aircraft'!K10*1000)/(#REF!*'No. of aircraft'!$B$29)</f>
        <v>#REF!</v>
      </c>
      <c r="L68" s="270" t="e">
        <f>('No. of aircraft'!L10*1000)/(#REF!*'No. of aircraft'!$B$29)</f>
        <v>#REF!</v>
      </c>
      <c r="M68" s="270" t="e">
        <f>('No. of aircraft'!M10*1000)/(#REF!*'No. of aircraft'!$B$29)</f>
        <v>#REF!</v>
      </c>
      <c r="N68" s="270" t="e">
        <f>('No. of aircraft'!N10*1000)/(#REF!*'No. of aircraft'!$B$29)</f>
        <v>#REF!</v>
      </c>
      <c r="O68" s="270" t="e">
        <f>('No. of aircraft'!O10*1000)/(#REF!*'No. of aircraft'!$B$29)</f>
        <v>#REF!</v>
      </c>
      <c r="P68" s="270" t="e">
        <f>('No. of aircraft'!P10*1000)/(#REF!*'No. of aircraft'!$B$29)</f>
        <v>#REF!</v>
      </c>
      <c r="Q68" s="270" t="e">
        <f>('No. of aircraft'!Q10*1000)/(#REF!*'No. of aircraft'!$B$29)</f>
        <v>#REF!</v>
      </c>
      <c r="R68" s="270" t="e">
        <f>('No. of aircraft'!R10*1000)/(#REF!*'No. of aircraft'!$B$29)</f>
        <v>#REF!</v>
      </c>
      <c r="S68" s="270" t="e">
        <f>('No. of aircraft'!S10*1000)/(#REF!*'No. of aircraft'!$B$29)</f>
        <v>#REF!</v>
      </c>
      <c r="T68" s="270" t="e">
        <f>('No. of aircraft'!T10*1000)/(#REF!*'No. of aircraft'!$B$29)</f>
        <v>#REF!</v>
      </c>
      <c r="U68" s="270" t="e">
        <f>('No. of aircraft'!U10*1000)/(#REF!*'No. of aircraft'!$B$29)</f>
        <v>#REF!</v>
      </c>
      <c r="V68" s="270" t="e">
        <f>('No. of aircraft'!V10*1000)/(#REF!*'No. of aircraft'!$B$29)</f>
        <v>#REF!</v>
      </c>
      <c r="W68" s="354"/>
      <c r="X68" s="354"/>
      <c r="Y68" s="354"/>
      <c r="AD68" s="1333"/>
      <c r="AE68" s="303" t="s">
        <v>215</v>
      </c>
      <c r="AF68" s="653" t="e">
        <f t="shared" si="25"/>
        <v>#REF!</v>
      </c>
      <c r="AG68" s="653" t="e">
        <f t="shared" si="26"/>
        <v>#REF!</v>
      </c>
      <c r="AH68" s="653" t="e">
        <f t="shared" si="27"/>
        <v>#REF!</v>
      </c>
      <c r="AI68" s="653" t="e">
        <f t="shared" si="28"/>
        <v>#REF!</v>
      </c>
      <c r="AJ68" s="634" t="e">
        <f t="shared" si="29"/>
        <v>#REF!</v>
      </c>
      <c r="AK68" s="634" t="e">
        <f t="shared" si="30"/>
        <v>#REF!</v>
      </c>
      <c r="AL68" s="634" t="e">
        <f t="shared" si="31"/>
        <v>#REF!</v>
      </c>
      <c r="AM68" s="634" t="e">
        <f t="shared" si="32"/>
        <v>#REF!</v>
      </c>
      <c r="AN68" s="634" t="e">
        <f t="shared" si="33"/>
        <v>#REF!</v>
      </c>
      <c r="AO68" s="634" t="e">
        <f t="shared" ref="AO68:AO70" si="34">ROUNDUP(L68,0)</f>
        <v>#REF!</v>
      </c>
      <c r="AP68" s="634" t="e">
        <f t="shared" ref="AP68:AP70" si="35">ROUNDUP(M68,0)</f>
        <v>#REF!</v>
      </c>
      <c r="AQ68" s="634" t="e">
        <f t="shared" ref="AQ68:AQ70" si="36">ROUNDUP(N68,0)</f>
        <v>#REF!</v>
      </c>
      <c r="AR68" s="634" t="e">
        <f t="shared" ref="AR68:AR70" si="37">ROUNDUP(O68,0)</f>
        <v>#REF!</v>
      </c>
      <c r="AS68" s="634" t="e">
        <f t="shared" ref="AS68:AS70" si="38">ROUNDUP(P68,0)</f>
        <v>#REF!</v>
      </c>
      <c r="AT68" s="634" t="e">
        <f t="shared" ref="AT68:AT70" si="39">ROUNDUP(Q68,0)</f>
        <v>#REF!</v>
      </c>
      <c r="AU68" s="634" t="e">
        <f t="shared" ref="AU68:AU70" si="40">ROUNDUP(R68,0)</f>
        <v>#REF!</v>
      </c>
      <c r="AV68" s="634" t="e">
        <f t="shared" ref="AV68:AV70" si="41">ROUNDUP(S68,0)</f>
        <v>#REF!</v>
      </c>
      <c r="AW68" s="634" t="e">
        <f t="shared" ref="AW68:AW70" si="42">ROUNDUP(T68,0)</f>
        <v>#REF!</v>
      </c>
      <c r="AX68" s="634" t="e">
        <f t="shared" ref="AX68:AX70" si="43">ROUNDUP(U68,0)</f>
        <v>#REF!</v>
      </c>
      <c r="AY68" s="634" t="e">
        <f t="shared" ref="AY68:AY70" si="44">ROUNDUP(V68,0)</f>
        <v>#REF!</v>
      </c>
      <c r="BC68" t="s">
        <v>234</v>
      </c>
      <c r="BD68">
        <v>0</v>
      </c>
      <c r="BE68">
        <v>0</v>
      </c>
      <c r="BF68">
        <v>0</v>
      </c>
      <c r="BG68">
        <v>0</v>
      </c>
      <c r="BH68">
        <v>0</v>
      </c>
      <c r="BI68">
        <v>0</v>
      </c>
      <c r="BJ68">
        <v>0.54708467741935485</v>
      </c>
      <c r="BK68">
        <v>0.59267506720430119</v>
      </c>
      <c r="BL68">
        <v>0.73400527553763451</v>
      </c>
      <c r="BM68">
        <v>0.78643422379032268</v>
      </c>
      <c r="BN68">
        <v>0.83886317204301086</v>
      </c>
      <c r="BO68">
        <v>0.83886317204301075</v>
      </c>
      <c r="BP68">
        <v>0.9646926478494624</v>
      </c>
      <c r="BQ68">
        <v>0.9646926478494624</v>
      </c>
      <c r="BR68">
        <v>0.9646926478494624</v>
      </c>
      <c r="BS68">
        <v>0.9646926478494624</v>
      </c>
      <c r="BT68">
        <v>1.1093965450268817</v>
      </c>
      <c r="BU68">
        <v>1.1093965450268817</v>
      </c>
      <c r="BV68">
        <v>1.1093965450268817</v>
      </c>
      <c r="BW68">
        <v>1.1093965450268817</v>
      </c>
    </row>
    <row r="69" spans="1:75" ht="15" thickBot="1">
      <c r="A69" s="1333"/>
      <c r="B69" s="303" t="s">
        <v>216</v>
      </c>
      <c r="C69" s="645" t="e">
        <f>('No. of aircraft'!C11*1000)/(#REF!*'No. of aircraft'!$B$29)</f>
        <v>#REF!</v>
      </c>
      <c r="D69" s="645" t="e">
        <f>('No. of aircraft'!D11*1000)/(#REF!*'No. of aircraft'!$B$29)</f>
        <v>#REF!</v>
      </c>
      <c r="E69" s="645" t="e">
        <f>('No. of aircraft'!E11*1000)/(#REF!*'No. of aircraft'!$B$29)</f>
        <v>#REF!</v>
      </c>
      <c r="F69" s="645" t="e">
        <f>('No. of aircraft'!F11*1000)/(#REF!*'No. of aircraft'!$B$29)</f>
        <v>#REF!</v>
      </c>
      <c r="G69" s="270" t="e">
        <f>('No. of aircraft'!G11*1000)/(#REF!*'No. of aircraft'!$B$29)</f>
        <v>#REF!</v>
      </c>
      <c r="H69" s="270" t="e">
        <f>('No. of aircraft'!H11*1000)/(#REF!*'No. of aircraft'!$B$29)</f>
        <v>#REF!</v>
      </c>
      <c r="I69" s="270" t="e">
        <f>('No. of aircraft'!I11*1000)/(#REF!*'No. of aircraft'!$B$29)</f>
        <v>#REF!</v>
      </c>
      <c r="J69" s="270" t="e">
        <f>('No. of aircraft'!J11*1000)/(#REF!*'No. of aircraft'!$B$29)</f>
        <v>#REF!</v>
      </c>
      <c r="K69" s="270" t="e">
        <f>('No. of aircraft'!K11*1000)/(#REF!*'No. of aircraft'!$B$29)</f>
        <v>#REF!</v>
      </c>
      <c r="L69" s="270" t="e">
        <f>('No. of aircraft'!L11*1000)/(#REF!*'No. of aircraft'!$B$29)</f>
        <v>#REF!</v>
      </c>
      <c r="M69" s="270" t="e">
        <f>('No. of aircraft'!M11*1000)/(#REF!*'No. of aircraft'!$B$29)</f>
        <v>#REF!</v>
      </c>
      <c r="N69" s="270" t="e">
        <f>('No. of aircraft'!N11*1000)/(#REF!*'No. of aircraft'!$B$29)</f>
        <v>#REF!</v>
      </c>
      <c r="O69" s="270" t="e">
        <f>('No. of aircraft'!O11*1000)/(#REF!*'No. of aircraft'!$B$29)</f>
        <v>#REF!</v>
      </c>
      <c r="P69" s="270" t="e">
        <f>('No. of aircraft'!P11*1000)/(#REF!*'No. of aircraft'!$B$29)</f>
        <v>#REF!</v>
      </c>
      <c r="Q69" s="270" t="e">
        <f>('No. of aircraft'!Q11*1000)/(#REF!*'No. of aircraft'!$B$29)</f>
        <v>#REF!</v>
      </c>
      <c r="R69" s="270" t="e">
        <f>('No. of aircraft'!R11*1000)/(#REF!*'No. of aircraft'!$B$29)</f>
        <v>#REF!</v>
      </c>
      <c r="S69" s="270" t="e">
        <f>('No. of aircraft'!S11*1000)/(#REF!*'No. of aircraft'!$B$29)</f>
        <v>#REF!</v>
      </c>
      <c r="T69" s="270" t="e">
        <f>('No. of aircraft'!T11*1000)/(#REF!*'No. of aircraft'!$B$29)</f>
        <v>#REF!</v>
      </c>
      <c r="U69" s="270" t="e">
        <f>('No. of aircraft'!U11*1000)/(#REF!*'No. of aircraft'!$B$29)</f>
        <v>#REF!</v>
      </c>
      <c r="V69" s="270" t="e">
        <f>('No. of aircraft'!V11*1000)/(#REF!*'No. of aircraft'!$B$29)</f>
        <v>#REF!</v>
      </c>
      <c r="W69" s="354"/>
      <c r="X69" s="354"/>
      <c r="Y69" s="354"/>
      <c r="AD69" s="1333"/>
      <c r="AE69" s="303" t="s">
        <v>216</v>
      </c>
      <c r="AF69" s="653" t="e">
        <f t="shared" si="25"/>
        <v>#REF!</v>
      </c>
      <c r="AG69" s="653" t="e">
        <f t="shared" si="26"/>
        <v>#REF!</v>
      </c>
      <c r="AH69" s="653" t="e">
        <f t="shared" si="27"/>
        <v>#REF!</v>
      </c>
      <c r="AI69" s="653" t="e">
        <f t="shared" si="28"/>
        <v>#REF!</v>
      </c>
      <c r="AJ69" s="634" t="e">
        <f t="shared" si="29"/>
        <v>#REF!</v>
      </c>
      <c r="AK69" s="634" t="e">
        <f t="shared" si="30"/>
        <v>#REF!</v>
      </c>
      <c r="AL69" s="634" t="e">
        <f t="shared" si="31"/>
        <v>#REF!</v>
      </c>
      <c r="AM69" s="634" t="e">
        <f t="shared" si="32"/>
        <v>#REF!</v>
      </c>
      <c r="AN69" s="634" t="e">
        <f t="shared" si="33"/>
        <v>#REF!</v>
      </c>
      <c r="AO69" s="634" t="e">
        <f t="shared" si="34"/>
        <v>#REF!</v>
      </c>
      <c r="AP69" s="634" t="e">
        <f t="shared" si="35"/>
        <v>#REF!</v>
      </c>
      <c r="AQ69" s="634" t="e">
        <f t="shared" si="36"/>
        <v>#REF!</v>
      </c>
      <c r="AR69" s="634" t="e">
        <f t="shared" si="37"/>
        <v>#REF!</v>
      </c>
      <c r="AS69" s="634" t="e">
        <f t="shared" si="38"/>
        <v>#REF!</v>
      </c>
      <c r="AT69" s="634" t="e">
        <f t="shared" si="39"/>
        <v>#REF!</v>
      </c>
      <c r="AU69" s="634" t="e">
        <f t="shared" si="40"/>
        <v>#REF!</v>
      </c>
      <c r="AV69" s="634" t="e">
        <f t="shared" si="41"/>
        <v>#REF!</v>
      </c>
      <c r="AW69" s="634" t="e">
        <f t="shared" si="42"/>
        <v>#REF!</v>
      </c>
      <c r="AX69" s="634" t="e">
        <f t="shared" si="43"/>
        <v>#REF!</v>
      </c>
      <c r="AY69" s="634" t="e">
        <f t="shared" si="44"/>
        <v>#REF!</v>
      </c>
      <c r="BC69" t="s">
        <v>224</v>
      </c>
      <c r="BD69">
        <v>0</v>
      </c>
      <c r="BE69">
        <v>0</v>
      </c>
      <c r="BF69">
        <v>0</v>
      </c>
      <c r="BG69">
        <v>0</v>
      </c>
      <c r="BH69">
        <v>0</v>
      </c>
      <c r="BI69">
        <v>0</v>
      </c>
      <c r="BJ69">
        <v>2.0277525776785339</v>
      </c>
      <c r="BK69">
        <v>2.2305278354463871</v>
      </c>
      <c r="BL69">
        <v>2.798298557196377</v>
      </c>
      <c r="BM69">
        <v>3.0314901036294084</v>
      </c>
      <c r="BN69">
        <v>3.2646816500624403</v>
      </c>
      <c r="BO69">
        <v>3.4978731964954712</v>
      </c>
      <c r="BP69">
        <v>4.2907244543677781</v>
      </c>
      <c r="BQ69">
        <v>4.2907244543677772</v>
      </c>
      <c r="BR69">
        <v>4.2907244543677772</v>
      </c>
      <c r="BS69">
        <v>4.2907244543677772</v>
      </c>
      <c r="BT69">
        <v>4.9343331225229434</v>
      </c>
      <c r="BU69">
        <v>4.9343331225229434</v>
      </c>
      <c r="BV69">
        <v>4.9343331225229434</v>
      </c>
      <c r="BW69">
        <v>4.9343331225229434</v>
      </c>
    </row>
    <row r="70" spans="1:75" ht="15" thickBot="1">
      <c r="A70" s="1333"/>
      <c r="B70" s="305" t="s">
        <v>217</v>
      </c>
      <c r="C70" s="645" t="e">
        <f>('No. of aircraft'!C12*1000)/(#REF!*'No. of aircraft'!$B$29)</f>
        <v>#REF!</v>
      </c>
      <c r="D70" s="645" t="e">
        <f>('No. of aircraft'!D12*1000)/(#REF!*'No. of aircraft'!$B$29)</f>
        <v>#REF!</v>
      </c>
      <c r="E70" s="645" t="e">
        <f>('No. of aircraft'!E12*1000)/(#REF!*'No. of aircraft'!$B$29)</f>
        <v>#REF!</v>
      </c>
      <c r="F70" s="645" t="e">
        <f>('No. of aircraft'!F12*1000)/(#REF!*'No. of aircraft'!$B$29)</f>
        <v>#REF!</v>
      </c>
      <c r="G70" s="270" t="e">
        <f>('No. of aircraft'!G12*1000)/(#REF!*'No. of aircraft'!$B$29)</f>
        <v>#REF!</v>
      </c>
      <c r="H70" s="270" t="e">
        <f>('No. of aircraft'!H12*1000)/(#REF!*'No. of aircraft'!$B$29)</f>
        <v>#REF!</v>
      </c>
      <c r="I70" s="270" t="e">
        <f>('No. of aircraft'!I12*1000)/(#REF!*'No. of aircraft'!$B$29)</f>
        <v>#REF!</v>
      </c>
      <c r="J70" s="270" t="e">
        <f>('No. of aircraft'!J12*1000)/(#REF!*'No. of aircraft'!$B$29)</f>
        <v>#REF!</v>
      </c>
      <c r="K70" s="270" t="e">
        <f>('No. of aircraft'!K12*1000)/(#REF!*'No. of aircraft'!$B$29)</f>
        <v>#REF!</v>
      </c>
      <c r="L70" s="270" t="e">
        <f>('No. of aircraft'!L12*1000)/(#REF!*'No. of aircraft'!$B$29)</f>
        <v>#REF!</v>
      </c>
      <c r="M70" s="270" t="e">
        <f>('No. of aircraft'!M12*1000)/(#REF!*'No. of aircraft'!$B$29)</f>
        <v>#REF!</v>
      </c>
      <c r="N70" s="270" t="e">
        <f>('No. of aircraft'!N12*1000)/(#REF!*'No. of aircraft'!$B$29)</f>
        <v>#REF!</v>
      </c>
      <c r="O70" s="270" t="e">
        <f>('No. of aircraft'!O12*1000)/(#REF!*'No. of aircraft'!$B$29)</f>
        <v>#REF!</v>
      </c>
      <c r="P70" s="270" t="e">
        <f>('No. of aircraft'!P12*1000)/(#REF!*'No. of aircraft'!$B$29)</f>
        <v>#REF!</v>
      </c>
      <c r="Q70" s="270" t="e">
        <f>('No. of aircraft'!Q12*1000)/(#REF!*'No. of aircraft'!$B$29)</f>
        <v>#REF!</v>
      </c>
      <c r="R70" s="270" t="e">
        <f>('No. of aircraft'!R12*1000)/(#REF!*'No. of aircraft'!$B$29)</f>
        <v>#REF!</v>
      </c>
      <c r="S70" s="270" t="e">
        <f>('No. of aircraft'!S12*1000)/(#REF!*'No. of aircraft'!$B$29)</f>
        <v>#REF!</v>
      </c>
      <c r="T70" s="270" t="e">
        <f>('No. of aircraft'!T12*1000)/(#REF!*'No. of aircraft'!$B$29)</f>
        <v>#REF!</v>
      </c>
      <c r="U70" s="270" t="e">
        <f>('No. of aircraft'!U12*1000)/(#REF!*'No. of aircraft'!$B$29)</f>
        <v>#REF!</v>
      </c>
      <c r="V70" s="270" t="e">
        <f>('No. of aircraft'!V12*1000)/(#REF!*'No. of aircraft'!$B$29)</f>
        <v>#REF!</v>
      </c>
      <c r="W70" s="354"/>
      <c r="X70" s="354"/>
      <c r="Y70" s="354"/>
      <c r="AD70" s="1333"/>
      <c r="AE70" s="305" t="s">
        <v>217</v>
      </c>
      <c r="AF70" s="653" t="e">
        <f t="shared" si="25"/>
        <v>#REF!</v>
      </c>
      <c r="AG70" s="653" t="e">
        <f t="shared" si="26"/>
        <v>#REF!</v>
      </c>
      <c r="AH70" s="653" t="e">
        <f t="shared" si="27"/>
        <v>#REF!</v>
      </c>
      <c r="AI70" s="653" t="e">
        <f t="shared" si="28"/>
        <v>#REF!</v>
      </c>
      <c r="AJ70" s="634" t="e">
        <f t="shared" si="29"/>
        <v>#REF!</v>
      </c>
      <c r="AK70" s="634" t="e">
        <f t="shared" si="30"/>
        <v>#REF!</v>
      </c>
      <c r="AL70" s="634" t="e">
        <f t="shared" si="31"/>
        <v>#REF!</v>
      </c>
      <c r="AM70" s="634" t="e">
        <f t="shared" si="32"/>
        <v>#REF!</v>
      </c>
      <c r="AN70" s="634" t="e">
        <f t="shared" si="33"/>
        <v>#REF!</v>
      </c>
      <c r="AO70" s="634" t="e">
        <f t="shared" si="34"/>
        <v>#REF!</v>
      </c>
      <c r="AP70" s="634" t="e">
        <f t="shared" si="35"/>
        <v>#REF!</v>
      </c>
      <c r="AQ70" s="634" t="e">
        <f t="shared" si="36"/>
        <v>#REF!</v>
      </c>
      <c r="AR70" s="634" t="e">
        <f t="shared" si="37"/>
        <v>#REF!</v>
      </c>
      <c r="AS70" s="634" t="e">
        <f t="shared" si="38"/>
        <v>#REF!</v>
      </c>
      <c r="AT70" s="634" t="e">
        <f t="shared" si="39"/>
        <v>#REF!</v>
      </c>
      <c r="AU70" s="634" t="e">
        <f t="shared" si="40"/>
        <v>#REF!</v>
      </c>
      <c r="AV70" s="634" t="e">
        <f t="shared" si="41"/>
        <v>#REF!</v>
      </c>
      <c r="AW70" s="634" t="e">
        <f t="shared" si="42"/>
        <v>#REF!</v>
      </c>
      <c r="AX70" s="634" t="e">
        <f t="shared" si="43"/>
        <v>#REF!</v>
      </c>
      <c r="AY70" s="634" t="e">
        <f t="shared" si="44"/>
        <v>#REF!</v>
      </c>
      <c r="BC70" t="s">
        <v>235</v>
      </c>
      <c r="BD70">
        <v>0</v>
      </c>
      <c r="BE70">
        <v>0</v>
      </c>
      <c r="BF70">
        <v>0</v>
      </c>
      <c r="BG70">
        <v>0</v>
      </c>
      <c r="BH70">
        <v>0</v>
      </c>
      <c r="BI70">
        <v>0</v>
      </c>
      <c r="BJ70">
        <v>5.933715160755363E-2</v>
      </c>
      <c r="BK70">
        <v>6.5270866768308997E-2</v>
      </c>
      <c r="BL70">
        <v>8.1885269218423998E-2</v>
      </c>
      <c r="BM70">
        <v>8.8709041653292672E-2</v>
      </c>
      <c r="BN70">
        <v>9.5532814088161347E-2</v>
      </c>
      <c r="BO70">
        <v>0.10235658652303002</v>
      </c>
      <c r="BP70">
        <v>0.1255574128015835</v>
      </c>
      <c r="BQ70">
        <v>0.13340475110168246</v>
      </c>
      <c r="BR70">
        <v>0.14125208940178147</v>
      </c>
      <c r="BS70">
        <v>0.14909942770188039</v>
      </c>
      <c r="BT70">
        <v>0.18048878090227627</v>
      </c>
      <c r="BU70">
        <v>0.18048878090227627</v>
      </c>
      <c r="BV70">
        <v>0.18048878090227627</v>
      </c>
      <c r="BW70">
        <v>0.18048878090227627</v>
      </c>
    </row>
    <row r="71" spans="1:75" ht="15" thickBot="1">
      <c r="A71" s="1333">
        <v>3</v>
      </c>
      <c r="B71" s="203" t="s">
        <v>218</v>
      </c>
      <c r="C71" s="645" t="e">
        <f>('No. of aircraft'!C13*1000)/(#REF!*'No. of aircraft'!$B$29)</f>
        <v>#REF!</v>
      </c>
      <c r="D71" s="645" t="e">
        <f>('No. of aircraft'!D13*1000)/(#REF!*'No. of aircraft'!$B$29)</f>
        <v>#REF!</v>
      </c>
      <c r="E71" s="645" t="e">
        <f>('No. of aircraft'!E13*1000)/(#REF!*'No. of aircraft'!$B$29)</f>
        <v>#REF!</v>
      </c>
      <c r="F71" s="645" t="e">
        <f>('No. of aircraft'!F13*1000)/(#REF!*'No. of aircraft'!$B$29)</f>
        <v>#REF!</v>
      </c>
      <c r="G71" s="645" t="e">
        <f>('No. of aircraft'!G13*1000)/(#REF!*'No. of aircraft'!$B$29)</f>
        <v>#REF!</v>
      </c>
      <c r="H71" s="645" t="e">
        <f>('No. of aircraft'!H13*1000)/(#REF!*'No. of aircraft'!$B$29)</f>
        <v>#REF!</v>
      </c>
      <c r="I71" s="645" t="e">
        <f>('No. of aircraft'!I13*1000)/(#REF!*'No. of aircraft'!$B$29)</f>
        <v>#REF!</v>
      </c>
      <c r="J71" s="645" t="e">
        <f>('No. of aircraft'!J13*1000)/(#REF!*'No. of aircraft'!$B$29)</f>
        <v>#REF!</v>
      </c>
      <c r="K71" s="270" t="e">
        <f>('No. of aircraft'!K13*1000)/(#REF!*'No. of aircraft'!$B$29)</f>
        <v>#REF!</v>
      </c>
      <c r="L71" s="270" t="e">
        <f>('No. of aircraft'!L13*1000)/(#REF!*'No. of aircraft'!$B$29)</f>
        <v>#REF!</v>
      </c>
      <c r="M71" s="270" t="e">
        <f>('No. of aircraft'!M13*1000)/(#REF!*'No. of aircraft'!$B$29)</f>
        <v>#REF!</v>
      </c>
      <c r="N71" s="270" t="e">
        <f>('No. of aircraft'!N13*1000)/(#REF!*'No. of aircraft'!$B$29)</f>
        <v>#REF!</v>
      </c>
      <c r="O71" s="270" t="e">
        <f>('No. of aircraft'!O13*1000)/(#REF!*'No. of aircraft'!$B$29)</f>
        <v>#REF!</v>
      </c>
      <c r="P71" s="270" t="e">
        <f>('No. of aircraft'!P13*1000)/(#REF!*'No. of aircraft'!$B$29)</f>
        <v>#REF!</v>
      </c>
      <c r="Q71" s="270" t="e">
        <f>('No. of aircraft'!Q13*1000)/(#REF!*'No. of aircraft'!$B$29)</f>
        <v>#REF!</v>
      </c>
      <c r="R71" s="270" t="e">
        <f>('No. of aircraft'!R13*1000)/(#REF!*'No. of aircraft'!$B$29)</f>
        <v>#REF!</v>
      </c>
      <c r="S71" s="270" t="e">
        <f>('No. of aircraft'!S13*1000)/(#REF!*'No. of aircraft'!$B$29)</f>
        <v>#REF!</v>
      </c>
      <c r="T71" s="270" t="e">
        <f>('No. of aircraft'!T13*1000)/(#REF!*'No. of aircraft'!$B$29)</f>
        <v>#REF!</v>
      </c>
      <c r="U71" s="270" t="e">
        <f>('No. of aircraft'!U13*1000)/(#REF!*'No. of aircraft'!$B$29)</f>
        <v>#REF!</v>
      </c>
      <c r="V71" s="270" t="e">
        <f>('No. of aircraft'!V13*1000)/(#REF!*'No. of aircraft'!$B$29)</f>
        <v>#REF!</v>
      </c>
      <c r="W71" s="642"/>
      <c r="X71" s="354"/>
      <c r="Y71" s="354"/>
      <c r="AD71" s="1333">
        <v>3</v>
      </c>
      <c r="AE71" s="203" t="s">
        <v>218</v>
      </c>
      <c r="AF71" s="653" t="e">
        <f t="shared" si="25"/>
        <v>#REF!</v>
      </c>
      <c r="AG71" s="653" t="e">
        <f t="shared" si="26"/>
        <v>#REF!</v>
      </c>
      <c r="AH71" s="653" t="e">
        <f t="shared" si="27"/>
        <v>#REF!</v>
      </c>
      <c r="AI71" s="653" t="e">
        <f t="shared" si="28"/>
        <v>#REF!</v>
      </c>
      <c r="AJ71" s="653" t="e">
        <f t="shared" si="29"/>
        <v>#REF!</v>
      </c>
      <c r="AK71" s="653" t="e">
        <f t="shared" si="30"/>
        <v>#REF!</v>
      </c>
      <c r="AL71" s="653" t="e">
        <f t="shared" si="31"/>
        <v>#REF!</v>
      </c>
      <c r="AM71" s="653" t="e">
        <f t="shared" si="32"/>
        <v>#REF!</v>
      </c>
      <c r="AN71" s="634">
        <v>1</v>
      </c>
      <c r="AO71" s="634">
        <v>1</v>
      </c>
      <c r="AP71" s="634">
        <v>1</v>
      </c>
      <c r="AQ71" s="634">
        <v>1</v>
      </c>
      <c r="AR71" s="634">
        <v>1</v>
      </c>
      <c r="AS71" s="634">
        <v>1</v>
      </c>
      <c r="AT71" s="634">
        <v>1</v>
      </c>
      <c r="AU71" s="634">
        <v>1</v>
      </c>
      <c r="AV71" s="634">
        <v>1</v>
      </c>
      <c r="AW71" s="634">
        <v>1</v>
      </c>
      <c r="AX71" s="634">
        <v>1</v>
      </c>
      <c r="AY71" s="634">
        <v>1</v>
      </c>
      <c r="BB71">
        <v>3</v>
      </c>
      <c r="BC71" t="s">
        <v>218</v>
      </c>
      <c r="BD71">
        <v>0</v>
      </c>
      <c r="BE71">
        <v>0</v>
      </c>
      <c r="BF71">
        <v>0</v>
      </c>
      <c r="BG71">
        <v>0</v>
      </c>
      <c r="BH71">
        <v>0</v>
      </c>
      <c r="BI71">
        <v>0</v>
      </c>
      <c r="BJ71">
        <v>0</v>
      </c>
      <c r="BK71">
        <v>0</v>
      </c>
      <c r="BL71">
        <v>0</v>
      </c>
      <c r="BM71">
        <v>0</v>
      </c>
      <c r="BN71">
        <v>3.1378256436268388</v>
      </c>
      <c r="BO71">
        <v>3.3993111139290755</v>
      </c>
      <c r="BP71">
        <v>4.2099160718660089</v>
      </c>
      <c r="BQ71">
        <v>4.5106243627135818</v>
      </c>
      <c r="BR71">
        <v>4.8113326535611529</v>
      </c>
      <c r="BS71">
        <v>4.811332653561152</v>
      </c>
      <c r="BT71">
        <v>5.5330325515953245</v>
      </c>
      <c r="BU71">
        <v>5.5330325515953245</v>
      </c>
      <c r="BV71">
        <v>5.5330325515953245</v>
      </c>
      <c r="BW71">
        <v>5.5330325515953245</v>
      </c>
    </row>
    <row r="72" spans="1:75" ht="15" thickBot="1">
      <c r="A72" s="1333"/>
      <c r="B72" s="203" t="s">
        <v>219</v>
      </c>
      <c r="C72" s="645" t="e">
        <f>('No. of aircraft'!C14*1000)/(#REF!*'No. of aircraft'!$B$29)</f>
        <v>#REF!</v>
      </c>
      <c r="D72" s="645" t="e">
        <f>('No. of aircraft'!D14*1000)/(#REF!*'No. of aircraft'!$B$29)</f>
        <v>#REF!</v>
      </c>
      <c r="E72" s="645" t="e">
        <f>('No. of aircraft'!E14*1000)/(#REF!*'No. of aircraft'!$B$29)</f>
        <v>#REF!</v>
      </c>
      <c r="F72" s="645" t="e">
        <f>('No. of aircraft'!F14*1000)/(#REF!*'No. of aircraft'!$B$29)</f>
        <v>#REF!</v>
      </c>
      <c r="G72" s="645" t="e">
        <f>('No. of aircraft'!G14*1000)/(#REF!*'No. of aircraft'!$B$29)</f>
        <v>#REF!</v>
      </c>
      <c r="H72" s="645" t="e">
        <f>('No. of aircraft'!H14*1000)/(#REF!*'No. of aircraft'!$B$29)</f>
        <v>#REF!</v>
      </c>
      <c r="I72" s="645" t="e">
        <f>('No. of aircraft'!I14*1000)/(#REF!*'No. of aircraft'!$B$29)</f>
        <v>#REF!</v>
      </c>
      <c r="J72" s="645" t="e">
        <f>('No. of aircraft'!J14*1000)/(#REF!*'No. of aircraft'!$B$29)</f>
        <v>#REF!</v>
      </c>
      <c r="K72" s="270" t="e">
        <f>('No. of aircraft'!K14*1000)/(#REF!*'No. of aircraft'!$B$29)</f>
        <v>#REF!</v>
      </c>
      <c r="L72" s="270" t="e">
        <f>('No. of aircraft'!L14*1000)/(#REF!*'No. of aircraft'!$B$29)</f>
        <v>#REF!</v>
      </c>
      <c r="M72" s="270" t="e">
        <f>('No. of aircraft'!M14*1000)/(#REF!*'No. of aircraft'!$B$29)</f>
        <v>#REF!</v>
      </c>
      <c r="N72" s="270" t="e">
        <f>('No. of aircraft'!N14*1000)/(#REF!*'No. of aircraft'!$B$29)</f>
        <v>#REF!</v>
      </c>
      <c r="O72" s="270" t="e">
        <f>('No. of aircraft'!O14*1000)/(#REF!*'No. of aircraft'!$B$29)</f>
        <v>#REF!</v>
      </c>
      <c r="P72" s="270" t="e">
        <f>('No. of aircraft'!P14*1000)/(#REF!*'No. of aircraft'!$B$29)</f>
        <v>#REF!</v>
      </c>
      <c r="Q72" s="270" t="e">
        <f>('No. of aircraft'!Q14*1000)/(#REF!*'No. of aircraft'!$B$29)</f>
        <v>#REF!</v>
      </c>
      <c r="R72" s="270" t="e">
        <f>('No. of aircraft'!R14*1000)/(#REF!*'No. of aircraft'!$B$29)</f>
        <v>#REF!</v>
      </c>
      <c r="S72" s="270" t="e">
        <f>('No. of aircraft'!S14*1000)/(#REF!*'No. of aircraft'!$B$29)</f>
        <v>#REF!</v>
      </c>
      <c r="T72" s="270" t="e">
        <f>('No. of aircraft'!T14*1000)/(#REF!*'No. of aircraft'!$B$29)</f>
        <v>#REF!</v>
      </c>
      <c r="U72" s="270" t="e">
        <f>('No. of aircraft'!U14*1000)/(#REF!*'No. of aircraft'!$B$29)</f>
        <v>#REF!</v>
      </c>
      <c r="V72" s="270" t="e">
        <f>('No. of aircraft'!V14*1000)/(#REF!*'No. of aircraft'!$B$29)</f>
        <v>#REF!</v>
      </c>
      <c r="W72" s="354"/>
      <c r="X72" s="354"/>
      <c r="Y72" s="354"/>
      <c r="AD72" s="1333"/>
      <c r="AE72" s="203" t="s">
        <v>219</v>
      </c>
      <c r="AF72" s="653" t="e">
        <f t="shared" si="25"/>
        <v>#REF!</v>
      </c>
      <c r="AG72" s="653" t="e">
        <f t="shared" si="26"/>
        <v>#REF!</v>
      </c>
      <c r="AH72" s="653" t="e">
        <f t="shared" si="27"/>
        <v>#REF!</v>
      </c>
      <c r="AI72" s="653" t="e">
        <f t="shared" si="28"/>
        <v>#REF!</v>
      </c>
      <c r="AJ72" s="653" t="e">
        <f t="shared" si="29"/>
        <v>#REF!</v>
      </c>
      <c r="AK72" s="653" t="e">
        <f t="shared" si="30"/>
        <v>#REF!</v>
      </c>
      <c r="AL72" s="653" t="e">
        <f t="shared" si="31"/>
        <v>#REF!</v>
      </c>
      <c r="AM72" s="653" t="e">
        <f t="shared" si="32"/>
        <v>#REF!</v>
      </c>
      <c r="AN72" s="634" t="e">
        <f t="shared" ref="AN72:AN78" si="45">ROUNDUP(K72,0)</f>
        <v>#REF!</v>
      </c>
      <c r="AO72" s="634" t="e">
        <f t="shared" ref="AO72:AO78" si="46">ROUNDUP(L72,0)</f>
        <v>#REF!</v>
      </c>
      <c r="AP72" s="634" t="e">
        <f t="shared" ref="AP72:AP78" si="47">ROUNDUP(M72,0)</f>
        <v>#REF!</v>
      </c>
      <c r="AQ72" s="634" t="e">
        <f t="shared" ref="AQ72:AQ78" si="48">ROUNDUP(N72,0)</f>
        <v>#REF!</v>
      </c>
      <c r="AR72" s="634" t="e">
        <f t="shared" ref="AR72:AR74" si="49">ROUNDUP(O72,0)</f>
        <v>#REF!</v>
      </c>
      <c r="AS72" s="634" t="e">
        <f t="shared" ref="AS72:AS74" si="50">ROUNDUP(P72,0)</f>
        <v>#REF!</v>
      </c>
      <c r="AT72" s="634" t="e">
        <f t="shared" ref="AT72:AT74" si="51">ROUNDUP(Q72,0)</f>
        <v>#REF!</v>
      </c>
      <c r="AU72" s="634" t="e">
        <f t="shared" ref="AU72:AU74" si="52">ROUNDUP(R72,0)</f>
        <v>#REF!</v>
      </c>
      <c r="AV72" s="634" t="e">
        <f t="shared" ref="AV72:AV74" si="53">ROUNDUP(S72,0)</f>
        <v>#REF!</v>
      </c>
      <c r="AW72" s="634" t="e">
        <f t="shared" ref="AW72:AW74" si="54">ROUNDUP(T72,0)</f>
        <v>#REF!</v>
      </c>
      <c r="AX72" s="634" t="e">
        <f t="shared" ref="AX72:AX74" si="55">ROUNDUP(U72,0)</f>
        <v>#REF!</v>
      </c>
      <c r="AY72" s="634" t="e">
        <f t="shared" ref="AY72:AY74" si="56">ROUNDUP(V72,0)</f>
        <v>#REF!</v>
      </c>
      <c r="BC72" t="s">
        <v>219</v>
      </c>
      <c r="BD72" t="e">
        <v>#N/A</v>
      </c>
      <c r="BE72" t="e">
        <v>#N/A</v>
      </c>
      <c r="BF72" t="e">
        <v>#N/A</v>
      </c>
      <c r="BG72" t="e">
        <v>#N/A</v>
      </c>
      <c r="BH72" t="e">
        <v>#N/A</v>
      </c>
      <c r="BI72" t="e">
        <v>#N/A</v>
      </c>
      <c r="BJ72" t="e">
        <v>#N/A</v>
      </c>
      <c r="BK72" t="e">
        <v>#N/A</v>
      </c>
      <c r="BL72" t="e">
        <v>#N/A</v>
      </c>
      <c r="BM72" t="e">
        <v>#N/A</v>
      </c>
      <c r="BN72">
        <v>3.1551026589039659</v>
      </c>
      <c r="BO72">
        <v>3.1751636442995688</v>
      </c>
      <c r="BP72">
        <v>3.1952246296951707</v>
      </c>
      <c r="BQ72">
        <v>3.2152856150907732</v>
      </c>
      <c r="BR72">
        <v>3.235346600486376</v>
      </c>
      <c r="BS72">
        <v>3.255407585881978</v>
      </c>
      <c r="BT72">
        <v>3.2754685712775808</v>
      </c>
      <c r="BU72">
        <v>3.2955295566731828</v>
      </c>
      <c r="BV72">
        <v>3.3155905420687857</v>
      </c>
      <c r="BW72">
        <v>3.3356515274643881</v>
      </c>
    </row>
    <row r="73" spans="1:75" ht="15" thickBot="1">
      <c r="A73" s="1333"/>
      <c r="B73" s="203" t="s">
        <v>220</v>
      </c>
      <c r="C73" s="645" t="e">
        <f>('No. of aircraft'!C15*1000)/(#REF!*'No. of aircraft'!$B$29)</f>
        <v>#REF!</v>
      </c>
      <c r="D73" s="645" t="e">
        <f>('No. of aircraft'!D15*1000)/(#REF!*'No. of aircraft'!$B$29)</f>
        <v>#REF!</v>
      </c>
      <c r="E73" s="645" t="e">
        <f>('No. of aircraft'!E15*1000)/(#REF!*'No. of aircraft'!$B$29)</f>
        <v>#REF!</v>
      </c>
      <c r="F73" s="645" t="e">
        <f>('No. of aircraft'!F15*1000)/(#REF!*'No. of aircraft'!$B$29)</f>
        <v>#REF!</v>
      </c>
      <c r="G73" s="645" t="e">
        <f>('No. of aircraft'!G15*1000)/(#REF!*'No. of aircraft'!$B$29)</f>
        <v>#REF!</v>
      </c>
      <c r="H73" s="645" t="e">
        <f>('No. of aircraft'!H15*1000)/(#REF!*'No. of aircraft'!$B$29)</f>
        <v>#REF!</v>
      </c>
      <c r="I73" s="645" t="e">
        <f>('No. of aircraft'!I15*1000)/(#REF!*'No. of aircraft'!$B$29)</f>
        <v>#REF!</v>
      </c>
      <c r="J73" s="645" t="e">
        <f>('No. of aircraft'!J15*1000)/(#REF!*'No. of aircraft'!$B$29)</f>
        <v>#REF!</v>
      </c>
      <c r="K73" s="270" t="e">
        <f>('No. of aircraft'!K15*1000)/(#REF!*'No. of aircraft'!$B$29)</f>
        <v>#REF!</v>
      </c>
      <c r="L73" s="270" t="e">
        <f>('No. of aircraft'!L15*1000)/(#REF!*'No. of aircraft'!$B$29)</f>
        <v>#REF!</v>
      </c>
      <c r="M73" s="270" t="e">
        <f>('No. of aircraft'!M15*1000)/(#REF!*'No. of aircraft'!$B$29)</f>
        <v>#REF!</v>
      </c>
      <c r="N73" s="270" t="e">
        <f>('No. of aircraft'!N15*1000)/(#REF!*'No. of aircraft'!$B$29)</f>
        <v>#REF!</v>
      </c>
      <c r="O73" s="270" t="e">
        <f>('No. of aircraft'!O15*1000)/(#REF!*'No. of aircraft'!$B$29)</f>
        <v>#REF!</v>
      </c>
      <c r="P73" s="270" t="e">
        <f>('No. of aircraft'!P15*1000)/(#REF!*'No. of aircraft'!$B$29)</f>
        <v>#REF!</v>
      </c>
      <c r="Q73" s="270" t="e">
        <f>('No. of aircraft'!Q15*1000)/(#REF!*'No. of aircraft'!$B$29)</f>
        <v>#REF!</v>
      </c>
      <c r="R73" s="270" t="e">
        <f>('No. of aircraft'!R15*1000)/(#REF!*'No. of aircraft'!$B$29)</f>
        <v>#REF!</v>
      </c>
      <c r="S73" s="270" t="e">
        <f>('No. of aircraft'!S15*1000)/(#REF!*'No. of aircraft'!$B$29)</f>
        <v>#REF!</v>
      </c>
      <c r="T73" s="270" t="e">
        <f>('No. of aircraft'!T15*1000)/(#REF!*'No. of aircraft'!$B$29)</f>
        <v>#REF!</v>
      </c>
      <c r="U73" s="270" t="e">
        <f>('No. of aircraft'!U15*1000)/(#REF!*'No. of aircraft'!$B$29)</f>
        <v>#REF!</v>
      </c>
      <c r="V73" s="270" t="e">
        <f>('No. of aircraft'!V15*1000)/(#REF!*'No. of aircraft'!$B$29)</f>
        <v>#REF!</v>
      </c>
      <c r="W73" s="354"/>
      <c r="X73" s="354"/>
      <c r="Y73" s="354"/>
      <c r="AD73" s="1333"/>
      <c r="AE73" s="203" t="s">
        <v>220</v>
      </c>
      <c r="AF73" s="653" t="e">
        <f t="shared" si="25"/>
        <v>#REF!</v>
      </c>
      <c r="AG73" s="653" t="e">
        <f t="shared" si="26"/>
        <v>#REF!</v>
      </c>
      <c r="AH73" s="653" t="e">
        <f t="shared" si="27"/>
        <v>#REF!</v>
      </c>
      <c r="AI73" s="653" t="e">
        <f t="shared" si="28"/>
        <v>#REF!</v>
      </c>
      <c r="AJ73" s="653" t="e">
        <f t="shared" si="29"/>
        <v>#REF!</v>
      </c>
      <c r="AK73" s="653" t="e">
        <f t="shared" si="30"/>
        <v>#REF!</v>
      </c>
      <c r="AL73" s="653" t="e">
        <f t="shared" si="31"/>
        <v>#REF!</v>
      </c>
      <c r="AM73" s="653" t="e">
        <f t="shared" si="32"/>
        <v>#REF!</v>
      </c>
      <c r="AN73" s="634" t="e">
        <f t="shared" si="45"/>
        <v>#REF!</v>
      </c>
      <c r="AO73" s="634" t="e">
        <f t="shared" si="46"/>
        <v>#REF!</v>
      </c>
      <c r="AP73" s="634" t="e">
        <f t="shared" si="47"/>
        <v>#REF!</v>
      </c>
      <c r="AQ73" s="634" t="e">
        <f t="shared" si="48"/>
        <v>#REF!</v>
      </c>
      <c r="AR73" s="634" t="e">
        <f t="shared" si="49"/>
        <v>#REF!</v>
      </c>
      <c r="AS73" s="634" t="e">
        <f t="shared" si="50"/>
        <v>#REF!</v>
      </c>
      <c r="AT73" s="634" t="e">
        <f t="shared" si="51"/>
        <v>#REF!</v>
      </c>
      <c r="AU73" s="634" t="e">
        <f t="shared" si="52"/>
        <v>#REF!</v>
      </c>
      <c r="AV73" s="634" t="e">
        <f t="shared" si="53"/>
        <v>#REF!</v>
      </c>
      <c r="AW73" s="634" t="e">
        <f t="shared" si="54"/>
        <v>#REF!</v>
      </c>
      <c r="AX73" s="634" t="e">
        <f t="shared" si="55"/>
        <v>#REF!</v>
      </c>
      <c r="AY73" s="634" t="e">
        <f t="shared" si="56"/>
        <v>#REF!</v>
      </c>
      <c r="BC73" t="s">
        <v>220</v>
      </c>
      <c r="BD73" t="e">
        <v>#N/A</v>
      </c>
      <c r="BE73" t="e">
        <v>#N/A</v>
      </c>
      <c r="BF73" t="e">
        <v>#N/A</v>
      </c>
      <c r="BG73" t="e">
        <v>#N/A</v>
      </c>
      <c r="BH73" t="e">
        <v>#N/A</v>
      </c>
      <c r="BI73" t="e">
        <v>#N/A</v>
      </c>
      <c r="BJ73" t="e">
        <v>#N/A</v>
      </c>
      <c r="BK73" t="e">
        <v>#N/A</v>
      </c>
      <c r="BL73" t="e">
        <v>#N/A</v>
      </c>
      <c r="BM73" t="e">
        <v>#N/A</v>
      </c>
      <c r="BN73">
        <v>3.5931371071442224E-2</v>
      </c>
      <c r="BO73">
        <v>6.9366346730779932E-2</v>
      </c>
      <c r="BP73">
        <v>0.10280132239011766</v>
      </c>
      <c r="BQ73">
        <v>0.13623629804945536</v>
      </c>
      <c r="BR73">
        <v>0.16967127370879312</v>
      </c>
      <c r="BS73">
        <v>0.20310624936813082</v>
      </c>
      <c r="BT73">
        <v>0.23654122502746855</v>
      </c>
      <c r="BU73">
        <v>0.26997620068680628</v>
      </c>
      <c r="BV73">
        <v>0.30341117634614395</v>
      </c>
      <c r="BW73">
        <v>0.33684615200548168</v>
      </c>
    </row>
    <row r="74" spans="1:75" ht="15" thickBot="1">
      <c r="A74" s="1333"/>
      <c r="B74" s="203" t="s">
        <v>221</v>
      </c>
      <c r="C74" s="645" t="e">
        <f>('No. of aircraft'!C16*1000)/(#REF!*'No. of aircraft'!$B$29)</f>
        <v>#REF!</v>
      </c>
      <c r="D74" s="645" t="e">
        <f>('No. of aircraft'!D16*1000)/(#REF!*'No. of aircraft'!$B$29)</f>
        <v>#REF!</v>
      </c>
      <c r="E74" s="645" t="e">
        <f>('No. of aircraft'!E16*1000)/(#REF!*'No. of aircraft'!$B$29)</f>
        <v>#REF!</v>
      </c>
      <c r="F74" s="645" t="e">
        <f>('No. of aircraft'!F16*1000)/(#REF!*'No. of aircraft'!$B$29)</f>
        <v>#REF!</v>
      </c>
      <c r="G74" s="645" t="e">
        <f>('No. of aircraft'!G16*1000)/(#REF!*'No. of aircraft'!$B$29)</f>
        <v>#REF!</v>
      </c>
      <c r="H74" s="645" t="e">
        <f>('No. of aircraft'!H16*1000)/(#REF!*'No. of aircraft'!$B$29)</f>
        <v>#REF!</v>
      </c>
      <c r="I74" s="645" t="e">
        <f>('No. of aircraft'!I16*1000)/(#REF!*'No. of aircraft'!$B$29)</f>
        <v>#REF!</v>
      </c>
      <c r="J74" s="645" t="e">
        <f>('No. of aircraft'!J16*1000)/(#REF!*'No. of aircraft'!$B$29)</f>
        <v>#REF!</v>
      </c>
      <c r="K74" s="270" t="e">
        <f>('No. of aircraft'!K16*1000)/(#REF!*'No. of aircraft'!$B$29)</f>
        <v>#REF!</v>
      </c>
      <c r="L74" s="270" t="e">
        <f>('No. of aircraft'!L16*1000)/(#REF!*'No. of aircraft'!$B$29)</f>
        <v>#REF!</v>
      </c>
      <c r="M74" s="270" t="e">
        <f>('No. of aircraft'!M16*1000)/(#REF!*'No. of aircraft'!$B$29)</f>
        <v>#REF!</v>
      </c>
      <c r="N74" s="270" t="e">
        <f>('No. of aircraft'!N16*1000)/(#REF!*'No. of aircraft'!$B$29)</f>
        <v>#REF!</v>
      </c>
      <c r="O74" s="270" t="e">
        <f>('No. of aircraft'!O16*1000)/(#REF!*'No. of aircraft'!$B$29)</f>
        <v>#REF!</v>
      </c>
      <c r="P74" s="270" t="e">
        <f>('No. of aircraft'!P16*1000)/(#REF!*'No. of aircraft'!$B$29)</f>
        <v>#REF!</v>
      </c>
      <c r="Q74" s="270" t="e">
        <f>('No. of aircraft'!Q16*1000)/(#REF!*'No. of aircraft'!$B$29)</f>
        <v>#REF!</v>
      </c>
      <c r="R74" s="270" t="e">
        <f>('No. of aircraft'!R16*1000)/(#REF!*'No. of aircraft'!$B$29)</f>
        <v>#REF!</v>
      </c>
      <c r="S74" s="270" t="e">
        <f>('No. of aircraft'!S16*1000)/(#REF!*'No. of aircraft'!$B$29)</f>
        <v>#REF!</v>
      </c>
      <c r="T74" s="270" t="e">
        <f>('No. of aircraft'!T16*1000)/(#REF!*'No. of aircraft'!$B$29)</f>
        <v>#REF!</v>
      </c>
      <c r="U74" s="270" t="e">
        <f>('No. of aircraft'!U16*1000)/(#REF!*'No. of aircraft'!$B$29)</f>
        <v>#REF!</v>
      </c>
      <c r="V74" s="270" t="e">
        <f>('No. of aircraft'!V16*1000)/(#REF!*'No. of aircraft'!$B$29)</f>
        <v>#REF!</v>
      </c>
      <c r="W74" s="354"/>
      <c r="X74" s="354"/>
      <c r="Y74" s="354"/>
      <c r="AD74" s="1333"/>
      <c r="AE74" s="203" t="s">
        <v>221</v>
      </c>
      <c r="AF74" s="653" t="e">
        <f t="shared" si="25"/>
        <v>#REF!</v>
      </c>
      <c r="AG74" s="653" t="e">
        <f t="shared" si="26"/>
        <v>#REF!</v>
      </c>
      <c r="AH74" s="653" t="e">
        <f t="shared" si="27"/>
        <v>#REF!</v>
      </c>
      <c r="AI74" s="653" t="e">
        <f t="shared" si="28"/>
        <v>#REF!</v>
      </c>
      <c r="AJ74" s="653" t="e">
        <f t="shared" si="29"/>
        <v>#REF!</v>
      </c>
      <c r="AK74" s="653" t="e">
        <f t="shared" si="30"/>
        <v>#REF!</v>
      </c>
      <c r="AL74" s="653" t="e">
        <f t="shared" si="31"/>
        <v>#REF!</v>
      </c>
      <c r="AM74" s="653" t="e">
        <f t="shared" si="32"/>
        <v>#REF!</v>
      </c>
      <c r="AN74" s="634" t="e">
        <f t="shared" si="45"/>
        <v>#REF!</v>
      </c>
      <c r="AO74" s="634" t="e">
        <f t="shared" si="46"/>
        <v>#REF!</v>
      </c>
      <c r="AP74" s="634" t="e">
        <f t="shared" si="47"/>
        <v>#REF!</v>
      </c>
      <c r="AQ74" s="634" t="e">
        <f t="shared" si="48"/>
        <v>#REF!</v>
      </c>
      <c r="AR74" s="634" t="e">
        <f t="shared" si="49"/>
        <v>#REF!</v>
      </c>
      <c r="AS74" s="634" t="e">
        <f t="shared" si="50"/>
        <v>#REF!</v>
      </c>
      <c r="AT74" s="634" t="e">
        <f t="shared" si="51"/>
        <v>#REF!</v>
      </c>
      <c r="AU74" s="634" t="e">
        <f t="shared" si="52"/>
        <v>#REF!</v>
      </c>
      <c r="AV74" s="634" t="e">
        <f t="shared" si="53"/>
        <v>#REF!</v>
      </c>
      <c r="AW74" s="634" t="e">
        <f t="shared" si="54"/>
        <v>#REF!</v>
      </c>
      <c r="AX74" s="634" t="e">
        <f t="shared" si="55"/>
        <v>#REF!</v>
      </c>
      <c r="AY74" s="634" t="e">
        <f t="shared" si="56"/>
        <v>#REF!</v>
      </c>
      <c r="BC74" t="s">
        <v>236</v>
      </c>
      <c r="BD74" t="e">
        <v>#N/A</v>
      </c>
      <c r="BE74" t="e">
        <v>#N/A</v>
      </c>
      <c r="BF74" t="e">
        <v>#N/A</v>
      </c>
      <c r="BG74" t="e">
        <v>#N/A</v>
      </c>
      <c r="BH74" t="e">
        <v>#N/A</v>
      </c>
      <c r="BI74" t="e">
        <v>#N/A</v>
      </c>
      <c r="BJ74" t="e">
        <v>#N/A</v>
      </c>
      <c r="BK74" t="e">
        <v>#N/A</v>
      </c>
      <c r="BL74" t="e">
        <v>#N/A</v>
      </c>
      <c r="BM74" t="e">
        <v>#N/A</v>
      </c>
      <c r="BN74">
        <v>3.2816078791163852</v>
      </c>
      <c r="BO74">
        <v>3.4153477817537361</v>
      </c>
      <c r="BP74">
        <v>3.549087684391087</v>
      </c>
      <c r="BQ74">
        <v>3.6828275870284379</v>
      </c>
      <c r="BR74">
        <v>3.8165674896657888</v>
      </c>
      <c r="BS74">
        <v>3.9503073923031398</v>
      </c>
      <c r="BT74">
        <v>4.0840472949404907</v>
      </c>
      <c r="BU74">
        <v>4.2177871975778416</v>
      </c>
      <c r="BV74">
        <v>4.3515271002151916</v>
      </c>
      <c r="BW74">
        <v>4.4852670028525425</v>
      </c>
    </row>
    <row r="75" spans="1:75" ht="15" thickBot="1">
      <c r="A75" s="1333">
        <v>4</v>
      </c>
      <c r="B75" s="307" t="s">
        <v>222</v>
      </c>
      <c r="C75" s="645" t="e">
        <f>('No. of aircraft'!C17*1000)/(#REF!*'No. of aircraft'!$B$29)</f>
        <v>#REF!</v>
      </c>
      <c r="D75" s="645" t="e">
        <f>('No. of aircraft'!D17*1000)/(#REF!*'No. of aircraft'!$B$29)</f>
        <v>#REF!</v>
      </c>
      <c r="E75" s="645" t="e">
        <f>('No. of aircraft'!E17*1000)/(#REF!*'No. of aircraft'!$B$29)</f>
        <v>#REF!</v>
      </c>
      <c r="F75" s="645" t="e">
        <f>('No. of aircraft'!F17*1000)/(#REF!*'No. of aircraft'!$B$29)</f>
        <v>#REF!</v>
      </c>
      <c r="G75" s="645" t="e">
        <f>('No. of aircraft'!G17*1000)/(#REF!*'No. of aircraft'!$B$29)</f>
        <v>#REF!</v>
      </c>
      <c r="H75" s="645" t="e">
        <f>('No. of aircraft'!H17*1000)/(#REF!*'No. of aircraft'!$B$29)</f>
        <v>#REF!</v>
      </c>
      <c r="I75" s="645" t="e">
        <f>('No. of aircraft'!I17*1000)/(#REF!*'No. of aircraft'!$B$29)</f>
        <v>#REF!</v>
      </c>
      <c r="J75" s="645" t="e">
        <f>('No. of aircraft'!J17*1000)/(#REF!*'No. of aircraft'!$B$29)</f>
        <v>#REF!</v>
      </c>
      <c r="K75" s="645" t="e">
        <f>('No. of aircraft'!K17*1000)/(#REF!*'No. of aircraft'!$B$29)</f>
        <v>#REF!</v>
      </c>
      <c r="L75" s="645" t="e">
        <f>('No. of aircraft'!L17*1000)/(#REF!*'No. of aircraft'!$B$29)</f>
        <v>#REF!</v>
      </c>
      <c r="M75" s="645" t="e">
        <f>('No. of aircraft'!M17*1000)/(#REF!*'No. of aircraft'!$B$29)</f>
        <v>#REF!</v>
      </c>
      <c r="N75" s="645" t="e">
        <f>('No. of aircraft'!N17*1000)/(#REF!*'No. of aircraft'!$B$29)</f>
        <v>#REF!</v>
      </c>
      <c r="O75" s="270" t="e">
        <f>('No. of aircraft'!O17*1000)/(#REF!*'No. of aircraft'!$B$29)</f>
        <v>#REF!</v>
      </c>
      <c r="P75" s="270" t="e">
        <f>('No. of aircraft'!P17*1000)/(#REF!*'No. of aircraft'!$B$29)</f>
        <v>#REF!</v>
      </c>
      <c r="Q75" s="270" t="e">
        <f>('No. of aircraft'!Q17*1000)/(#REF!*'No. of aircraft'!$B$29)</f>
        <v>#REF!</v>
      </c>
      <c r="R75" s="270" t="e">
        <f>('No. of aircraft'!R17*1000)/(#REF!*'No. of aircraft'!$B$29)</f>
        <v>#REF!</v>
      </c>
      <c r="S75" s="270" t="e">
        <f>('No. of aircraft'!S17*1000)/(#REF!*'No. of aircraft'!$B$29)</f>
        <v>#REF!</v>
      </c>
      <c r="T75" s="270" t="e">
        <f>('No. of aircraft'!T17*1000)/(#REF!*'No. of aircraft'!$B$29)</f>
        <v>#REF!</v>
      </c>
      <c r="U75" s="270" t="e">
        <f>('No. of aircraft'!U17*1000)/(#REF!*'No. of aircraft'!$B$29)</f>
        <v>#REF!</v>
      </c>
      <c r="V75" s="270" t="e">
        <f>('No. of aircraft'!V17*1000)/(#REF!*'No. of aircraft'!$B$29)</f>
        <v>#REF!</v>
      </c>
      <c r="W75" s="354"/>
      <c r="X75" s="354"/>
      <c r="Y75" s="354"/>
      <c r="AD75" s="1333">
        <v>4</v>
      </c>
      <c r="AE75" s="307" t="s">
        <v>222</v>
      </c>
      <c r="AF75" s="653" t="e">
        <f t="shared" si="25"/>
        <v>#REF!</v>
      </c>
      <c r="AG75" s="653" t="e">
        <f t="shared" si="26"/>
        <v>#REF!</v>
      </c>
      <c r="AH75" s="653" t="e">
        <f t="shared" si="27"/>
        <v>#REF!</v>
      </c>
      <c r="AI75" s="653" t="e">
        <f t="shared" si="28"/>
        <v>#REF!</v>
      </c>
      <c r="AJ75" s="653" t="e">
        <f t="shared" si="29"/>
        <v>#REF!</v>
      </c>
      <c r="AK75" s="653" t="e">
        <f t="shared" si="30"/>
        <v>#REF!</v>
      </c>
      <c r="AL75" s="653" t="e">
        <f t="shared" si="31"/>
        <v>#REF!</v>
      </c>
      <c r="AM75" s="653" t="e">
        <f t="shared" si="32"/>
        <v>#REF!</v>
      </c>
      <c r="AN75" s="653" t="e">
        <f t="shared" si="45"/>
        <v>#REF!</v>
      </c>
      <c r="AO75" s="653" t="e">
        <f t="shared" si="46"/>
        <v>#REF!</v>
      </c>
      <c r="AP75" s="653" t="e">
        <f t="shared" si="47"/>
        <v>#REF!</v>
      </c>
      <c r="AQ75" s="653" t="e">
        <f t="shared" si="48"/>
        <v>#REF!</v>
      </c>
      <c r="AR75" s="634">
        <v>1</v>
      </c>
      <c r="AS75" s="634">
        <v>1</v>
      </c>
      <c r="AT75" s="634">
        <v>1</v>
      </c>
      <c r="AU75" s="634">
        <v>1</v>
      </c>
      <c r="AV75" s="634">
        <v>1</v>
      </c>
      <c r="AW75" s="634">
        <v>1</v>
      </c>
      <c r="AX75" s="634">
        <v>1</v>
      </c>
      <c r="AY75" s="634">
        <v>1</v>
      </c>
      <c r="BC75" t="s">
        <v>237</v>
      </c>
      <c r="BD75" t="e">
        <v>#N/A</v>
      </c>
      <c r="BE75" t="e">
        <v>#N/A</v>
      </c>
      <c r="BF75" t="e">
        <v>#N/A</v>
      </c>
      <c r="BG75" t="e">
        <v>#N/A</v>
      </c>
      <c r="BH75" t="e">
        <v>#N/A</v>
      </c>
      <c r="BI75" t="e">
        <v>#N/A</v>
      </c>
      <c r="BJ75" t="e">
        <v>#N/A</v>
      </c>
      <c r="BK75" t="e">
        <v>#N/A</v>
      </c>
      <c r="BL75" t="e">
        <v>#N/A</v>
      </c>
      <c r="BM75" t="e">
        <v>#N/A</v>
      </c>
      <c r="BN75">
        <v>0.23471828574915815</v>
      </c>
      <c r="BO75">
        <v>0.36845818838650907</v>
      </c>
      <c r="BP75">
        <v>0.50219809102385993</v>
      </c>
      <c r="BQ75">
        <v>0.63593799366121084</v>
      </c>
      <c r="BR75">
        <v>0.76967789629856165</v>
      </c>
      <c r="BS75">
        <v>0.90341779893591256</v>
      </c>
      <c r="BT75">
        <v>1.0371577015732634</v>
      </c>
      <c r="BU75">
        <v>1.1708976042106143</v>
      </c>
      <c r="BV75">
        <v>1.3046375068479652</v>
      </c>
      <c r="BW75">
        <v>1.4383774094853161</v>
      </c>
    </row>
    <row r="76" spans="1:75" ht="15" thickBot="1">
      <c r="A76" s="1333"/>
      <c r="B76" s="308" t="s">
        <v>223</v>
      </c>
      <c r="C76" s="645" t="e">
        <f>('No. of aircraft'!C18*1000)/(#REF!*'No. of aircraft'!$B$29)</f>
        <v>#REF!</v>
      </c>
      <c r="D76" s="645" t="e">
        <f>('No. of aircraft'!D18*1000)/(#REF!*'No. of aircraft'!$B$29)</f>
        <v>#REF!</v>
      </c>
      <c r="E76" s="645" t="e">
        <f>('No. of aircraft'!E18*1000)/(#REF!*'No. of aircraft'!$B$29)</f>
        <v>#REF!</v>
      </c>
      <c r="F76" s="645" t="e">
        <f>('No. of aircraft'!F18*1000)/(#REF!*'No. of aircraft'!$B$29)</f>
        <v>#REF!</v>
      </c>
      <c r="G76" s="645" t="e">
        <f>('No. of aircraft'!G18*1000)/(#REF!*'No. of aircraft'!$B$29)</f>
        <v>#REF!</v>
      </c>
      <c r="H76" s="645" t="e">
        <f>('No. of aircraft'!H18*1000)/(#REF!*'No. of aircraft'!$B$29)</f>
        <v>#REF!</v>
      </c>
      <c r="I76" s="645" t="e">
        <f>('No. of aircraft'!I18*1000)/(#REF!*'No. of aircraft'!$B$29)</f>
        <v>#REF!</v>
      </c>
      <c r="J76" s="645" t="e">
        <f>('No. of aircraft'!J18*1000)/(#REF!*'No. of aircraft'!$B$29)</f>
        <v>#REF!</v>
      </c>
      <c r="K76" s="645" t="e">
        <f>('No. of aircraft'!K18*1000)/(#REF!*'No. of aircraft'!$B$29)</f>
        <v>#REF!</v>
      </c>
      <c r="L76" s="645" t="e">
        <f>('No. of aircraft'!L18*1000)/(#REF!*'No. of aircraft'!$B$29)</f>
        <v>#REF!</v>
      </c>
      <c r="M76" s="645" t="e">
        <f>('No. of aircraft'!M18*1000)/(#REF!*'No. of aircraft'!$B$29)</f>
        <v>#REF!</v>
      </c>
      <c r="N76" s="645" t="e">
        <f>('No. of aircraft'!N18*1000)/(#REF!*'No. of aircraft'!$B$29)</f>
        <v>#REF!</v>
      </c>
      <c r="O76" s="270" t="e">
        <f>('No. of aircraft'!O18*1000)/(#REF!*'No. of aircraft'!$B$29)</f>
        <v>#REF!</v>
      </c>
      <c r="P76" s="270" t="e">
        <f>('No. of aircraft'!P18*1000)/(#REF!*'No. of aircraft'!$B$29)</f>
        <v>#REF!</v>
      </c>
      <c r="Q76" s="270" t="e">
        <f>('No. of aircraft'!Q18*1000)/(#REF!*'No. of aircraft'!$B$29)</f>
        <v>#REF!</v>
      </c>
      <c r="R76" s="270" t="e">
        <f>('No. of aircraft'!R18*1000)/(#REF!*'No. of aircraft'!$B$29)</f>
        <v>#REF!</v>
      </c>
      <c r="S76" s="270" t="e">
        <f>('No. of aircraft'!S18*1000)/(#REF!*'No. of aircraft'!$B$29)</f>
        <v>#REF!</v>
      </c>
      <c r="T76" s="270" t="e">
        <f>('No. of aircraft'!T18*1000)/(#REF!*'No. of aircraft'!$B$29)</f>
        <v>#REF!</v>
      </c>
      <c r="U76" s="270" t="e">
        <f>('No. of aircraft'!U18*1000)/(#REF!*'No. of aircraft'!$B$29)</f>
        <v>#REF!</v>
      </c>
      <c r="V76" s="270" t="e">
        <f>('No. of aircraft'!V18*1000)/(#REF!*'No. of aircraft'!$B$29)</f>
        <v>#REF!</v>
      </c>
      <c r="W76" s="642"/>
      <c r="X76" s="354"/>
      <c r="Y76" s="354"/>
      <c r="AD76" s="1333"/>
      <c r="AE76" s="308" t="s">
        <v>223</v>
      </c>
      <c r="AF76" s="653" t="e">
        <f t="shared" si="25"/>
        <v>#REF!</v>
      </c>
      <c r="AG76" s="653" t="e">
        <f t="shared" si="26"/>
        <v>#REF!</v>
      </c>
      <c r="AH76" s="653" t="e">
        <f t="shared" si="27"/>
        <v>#REF!</v>
      </c>
      <c r="AI76" s="653" t="e">
        <f t="shared" si="28"/>
        <v>#REF!</v>
      </c>
      <c r="AJ76" s="653" t="e">
        <f t="shared" si="29"/>
        <v>#REF!</v>
      </c>
      <c r="AK76" s="653" t="e">
        <f t="shared" si="30"/>
        <v>#REF!</v>
      </c>
      <c r="AL76" s="653" t="e">
        <f t="shared" si="31"/>
        <v>#REF!</v>
      </c>
      <c r="AM76" s="653" t="e">
        <f t="shared" si="32"/>
        <v>#REF!</v>
      </c>
      <c r="AN76" s="653" t="e">
        <f t="shared" si="45"/>
        <v>#REF!</v>
      </c>
      <c r="AO76" s="653" t="e">
        <f t="shared" si="46"/>
        <v>#REF!</v>
      </c>
      <c r="AP76" s="653" t="e">
        <f t="shared" si="47"/>
        <v>#REF!</v>
      </c>
      <c r="AQ76" s="653" t="e">
        <f t="shared" si="48"/>
        <v>#REF!</v>
      </c>
      <c r="AR76" s="634">
        <v>1</v>
      </c>
      <c r="AS76" s="634">
        <v>1</v>
      </c>
      <c r="AT76" s="634">
        <v>1</v>
      </c>
      <c r="AU76" s="634">
        <v>1</v>
      </c>
      <c r="AV76" s="634">
        <v>1</v>
      </c>
      <c r="AW76" s="634">
        <v>1</v>
      </c>
      <c r="AX76" s="634">
        <v>1</v>
      </c>
      <c r="AY76" s="634">
        <v>1</v>
      </c>
      <c r="BB76">
        <v>4</v>
      </c>
      <c r="BC76" t="s">
        <v>222</v>
      </c>
      <c r="BD76">
        <v>0</v>
      </c>
      <c r="BE76">
        <v>0</v>
      </c>
      <c r="BF76">
        <v>0</v>
      </c>
      <c r="BG76">
        <v>0</v>
      </c>
      <c r="BH76">
        <v>0</v>
      </c>
      <c r="BI76">
        <v>0</v>
      </c>
      <c r="BJ76">
        <v>0</v>
      </c>
      <c r="BK76">
        <v>0</v>
      </c>
      <c r="BL76">
        <v>0</v>
      </c>
      <c r="BM76">
        <v>0</v>
      </c>
      <c r="BN76">
        <v>0</v>
      </c>
      <c r="BO76">
        <v>0</v>
      </c>
      <c r="BP76">
        <v>0</v>
      </c>
      <c r="BQ76">
        <v>0</v>
      </c>
      <c r="BR76">
        <v>1.9650317312591121</v>
      </c>
      <c r="BS76">
        <v>2.1287843755307048</v>
      </c>
      <c r="BT76">
        <v>2.636417572772642</v>
      </c>
      <c r="BU76">
        <v>2.824733113684974</v>
      </c>
      <c r="BV76">
        <v>3.0130486545973061</v>
      </c>
      <c r="BW76">
        <v>3.0130486545973056</v>
      </c>
    </row>
    <row r="77" spans="1:75" ht="15" thickBot="1">
      <c r="A77" s="1333"/>
      <c r="B77" s="308" t="s">
        <v>224</v>
      </c>
      <c r="C77" s="645" t="e">
        <f>('No. of aircraft'!C19*1000)/(#REF!*'No. of aircraft'!$B$29)</f>
        <v>#REF!</v>
      </c>
      <c r="D77" s="645" t="e">
        <f>('No. of aircraft'!D19*1000)/(#REF!*'No. of aircraft'!$B$29)</f>
        <v>#REF!</v>
      </c>
      <c r="E77" s="645" t="e">
        <f>('No. of aircraft'!E19*1000)/(#REF!*'No. of aircraft'!$B$29)</f>
        <v>#REF!</v>
      </c>
      <c r="F77" s="645" t="e">
        <f>('No. of aircraft'!F19*1000)/(#REF!*'No. of aircraft'!$B$29)</f>
        <v>#REF!</v>
      </c>
      <c r="G77" s="645" t="e">
        <f>('No. of aircraft'!G19*1000)/(#REF!*'No. of aircraft'!$B$29)</f>
        <v>#REF!</v>
      </c>
      <c r="H77" s="645" t="e">
        <f>('No. of aircraft'!H19*1000)/(#REF!*'No. of aircraft'!$B$29)</f>
        <v>#REF!</v>
      </c>
      <c r="I77" s="645" t="e">
        <f>('No. of aircraft'!I19*1000)/(#REF!*'No. of aircraft'!$B$29)</f>
        <v>#REF!</v>
      </c>
      <c r="J77" s="645" t="e">
        <f>('No. of aircraft'!J19*1000)/(#REF!*'No. of aircraft'!$B$29)</f>
        <v>#REF!</v>
      </c>
      <c r="K77" s="645" t="e">
        <f>('No. of aircraft'!K19*1000)/(#REF!*'No. of aircraft'!$B$29)</f>
        <v>#REF!</v>
      </c>
      <c r="L77" s="645" t="e">
        <f>('No. of aircraft'!L19*1000)/(#REF!*'No. of aircraft'!$B$29)</f>
        <v>#REF!</v>
      </c>
      <c r="M77" s="645" t="e">
        <f>('No. of aircraft'!M19*1000)/(#REF!*'No. of aircraft'!$B$29)</f>
        <v>#REF!</v>
      </c>
      <c r="N77" s="645" t="e">
        <f>('No. of aircraft'!N19*1000)/(#REF!*'No. of aircraft'!$B$29)</f>
        <v>#REF!</v>
      </c>
      <c r="O77" s="270" t="e">
        <f>('No. of aircraft'!O19*1000)/(#REF!*'No. of aircraft'!$B$29)</f>
        <v>#REF!</v>
      </c>
      <c r="P77" s="270" t="e">
        <f>('No. of aircraft'!P19*1000)/(#REF!*'No. of aircraft'!$B$29)</f>
        <v>#REF!</v>
      </c>
      <c r="Q77" s="270" t="e">
        <f>('No. of aircraft'!Q19*1000)/(#REF!*'No. of aircraft'!$B$29)</f>
        <v>#REF!</v>
      </c>
      <c r="R77" s="270" t="e">
        <f>('No. of aircraft'!R19*1000)/(#REF!*'No. of aircraft'!$B$29)</f>
        <v>#REF!</v>
      </c>
      <c r="S77" s="270" t="e">
        <f>('No. of aircraft'!S19*1000)/(#REF!*'No. of aircraft'!$B$29)</f>
        <v>#REF!</v>
      </c>
      <c r="T77" s="270" t="e">
        <f>('No. of aircraft'!T19*1000)/(#REF!*'No. of aircraft'!$B$29)</f>
        <v>#REF!</v>
      </c>
      <c r="U77" s="270" t="e">
        <f>('No. of aircraft'!U19*1000)/(#REF!*'No. of aircraft'!$B$29)</f>
        <v>#REF!</v>
      </c>
      <c r="V77" s="270" t="e">
        <f>('No. of aircraft'!V19*1000)/(#REF!*'No. of aircraft'!$B$29)</f>
        <v>#REF!</v>
      </c>
      <c r="W77" s="354"/>
      <c r="X77" s="354"/>
      <c r="Y77" s="354"/>
      <c r="AD77" s="1333"/>
      <c r="AE77" s="308" t="s">
        <v>224</v>
      </c>
      <c r="AF77" s="653" t="e">
        <f t="shared" si="25"/>
        <v>#REF!</v>
      </c>
      <c r="AG77" s="653" t="e">
        <f t="shared" si="26"/>
        <v>#REF!</v>
      </c>
      <c r="AH77" s="653" t="e">
        <f t="shared" si="27"/>
        <v>#REF!</v>
      </c>
      <c r="AI77" s="653" t="e">
        <f t="shared" si="28"/>
        <v>#REF!</v>
      </c>
      <c r="AJ77" s="653" t="e">
        <f t="shared" si="29"/>
        <v>#REF!</v>
      </c>
      <c r="AK77" s="653" t="e">
        <f t="shared" si="30"/>
        <v>#REF!</v>
      </c>
      <c r="AL77" s="653" t="e">
        <f t="shared" si="31"/>
        <v>#REF!</v>
      </c>
      <c r="AM77" s="653" t="e">
        <f t="shared" si="32"/>
        <v>#REF!</v>
      </c>
      <c r="AN77" s="653" t="e">
        <f t="shared" si="45"/>
        <v>#REF!</v>
      </c>
      <c r="AO77" s="653" t="e">
        <f t="shared" si="46"/>
        <v>#REF!</v>
      </c>
      <c r="AP77" s="653" t="e">
        <f t="shared" si="47"/>
        <v>#REF!</v>
      </c>
      <c r="AQ77" s="653" t="e">
        <f t="shared" si="48"/>
        <v>#REF!</v>
      </c>
      <c r="AR77" s="634">
        <v>1</v>
      </c>
      <c r="AS77" s="634">
        <v>1</v>
      </c>
      <c r="AT77" s="634">
        <v>1</v>
      </c>
      <c r="AU77" s="634">
        <v>1</v>
      </c>
      <c r="AV77" s="634">
        <v>1</v>
      </c>
      <c r="AW77" s="634">
        <v>1</v>
      </c>
      <c r="AX77" s="634">
        <v>1</v>
      </c>
      <c r="AY77" s="634">
        <v>1</v>
      </c>
      <c r="BC77" t="s">
        <v>238</v>
      </c>
      <c r="BD77" t="e">
        <v>#N/A</v>
      </c>
      <c r="BE77" t="e">
        <v>#N/A</v>
      </c>
      <c r="BF77" t="e">
        <v>#N/A</v>
      </c>
      <c r="BG77" t="e">
        <v>#N/A</v>
      </c>
      <c r="BH77" t="e">
        <v>#N/A</v>
      </c>
      <c r="BI77" t="e">
        <v>#N/A</v>
      </c>
      <c r="BJ77" t="e">
        <v>#N/A</v>
      </c>
      <c r="BK77" t="e">
        <v>#N/A</v>
      </c>
      <c r="BL77" t="e">
        <v>#N/A</v>
      </c>
      <c r="BM77" t="e">
        <v>#N/A</v>
      </c>
      <c r="BN77" t="e">
        <v>#N/A</v>
      </c>
      <c r="BO77" t="e">
        <v>#N/A</v>
      </c>
      <c r="BP77" t="e">
        <v>#N/A</v>
      </c>
      <c r="BQ77" t="e">
        <v>#N/A</v>
      </c>
      <c r="BR77">
        <v>0.41017642562505036</v>
      </c>
      <c r="BS77">
        <v>0.54391632826240122</v>
      </c>
      <c r="BT77">
        <v>0.67765623089975213</v>
      </c>
      <c r="BU77">
        <v>0.81139613353710305</v>
      </c>
      <c r="BV77">
        <v>0.94513603617445396</v>
      </c>
      <c r="BW77">
        <v>1.0788759388118048</v>
      </c>
    </row>
    <row r="78" spans="1:75">
      <c r="A78" s="1403"/>
      <c r="B78" s="630" t="s">
        <v>225</v>
      </c>
      <c r="C78" s="645" t="e">
        <f>('No. of aircraft'!C20*1000)/(#REF!*'No. of aircraft'!$B$29)</f>
        <v>#REF!</v>
      </c>
      <c r="D78" s="645" t="e">
        <f>('No. of aircraft'!D20*1000)/(#REF!*'No. of aircraft'!$B$29)</f>
        <v>#REF!</v>
      </c>
      <c r="E78" s="645" t="e">
        <f>('No. of aircraft'!E20*1000)/(#REF!*'No. of aircraft'!$B$29)</f>
        <v>#REF!</v>
      </c>
      <c r="F78" s="645" t="e">
        <f>('No. of aircraft'!F20*1000)/(#REF!*'No. of aircraft'!$B$29)</f>
        <v>#REF!</v>
      </c>
      <c r="G78" s="645" t="e">
        <f>('No. of aircraft'!G20*1000)/(#REF!*'No. of aircraft'!$B$29)</f>
        <v>#REF!</v>
      </c>
      <c r="H78" s="645" t="e">
        <f>('No. of aircraft'!H20*1000)/(#REF!*'No. of aircraft'!$B$29)</f>
        <v>#REF!</v>
      </c>
      <c r="I78" s="645" t="e">
        <f>('No. of aircraft'!I20*1000)/(#REF!*'No. of aircraft'!$B$29)</f>
        <v>#REF!</v>
      </c>
      <c r="J78" s="645" t="e">
        <f>('No. of aircraft'!J20*1000)/(#REF!*'No. of aircraft'!$B$29)</f>
        <v>#REF!</v>
      </c>
      <c r="K78" s="645" t="e">
        <f>('No. of aircraft'!K20*1000)/(#REF!*'No. of aircraft'!$B$29)</f>
        <v>#REF!</v>
      </c>
      <c r="L78" s="645" t="e">
        <f>('No. of aircraft'!L20*1000)/(#REF!*'No. of aircraft'!$B$29)</f>
        <v>#REF!</v>
      </c>
      <c r="M78" s="645" t="e">
        <f>('No. of aircraft'!M20*1000)/(#REF!*'No. of aircraft'!$B$29)</f>
        <v>#REF!</v>
      </c>
      <c r="N78" s="645" t="e">
        <f>('No. of aircraft'!N20*1000)/(#REF!*'No. of aircraft'!$B$29)</f>
        <v>#REF!</v>
      </c>
      <c r="O78" s="270" t="e">
        <f>('No. of aircraft'!O20*1000)/(#REF!*'No. of aircraft'!$B$29)</f>
        <v>#REF!</v>
      </c>
      <c r="P78" s="270" t="e">
        <f>('No. of aircraft'!P20*1000)/(#REF!*'No. of aircraft'!$B$29)</f>
        <v>#REF!</v>
      </c>
      <c r="Q78" s="270" t="e">
        <f>('No. of aircraft'!Q20*1000)/(#REF!*'No. of aircraft'!$B$29)</f>
        <v>#REF!</v>
      </c>
      <c r="R78" s="270" t="e">
        <f>('No. of aircraft'!R20*1000)/(#REF!*'No. of aircraft'!$B$29)</f>
        <v>#REF!</v>
      </c>
      <c r="S78" s="270" t="e">
        <f>('No. of aircraft'!S20*1000)/(#REF!*'No. of aircraft'!$B$29)</f>
        <v>#REF!</v>
      </c>
      <c r="T78" s="270" t="e">
        <f>('No. of aircraft'!T20*1000)/(#REF!*'No. of aircraft'!$B$29)</f>
        <v>#REF!</v>
      </c>
      <c r="U78" s="270" t="e">
        <f>('No. of aircraft'!U20*1000)/(#REF!*'No. of aircraft'!$B$29)</f>
        <v>#REF!</v>
      </c>
      <c r="V78" s="270" t="e">
        <f>('No. of aircraft'!V20*1000)/(#REF!*'No. of aircraft'!$B$29)</f>
        <v>#REF!</v>
      </c>
      <c r="W78" s="354"/>
      <c r="X78" s="354"/>
      <c r="Y78" s="354"/>
      <c r="AD78" s="1403"/>
      <c r="AE78" s="630" t="s">
        <v>225</v>
      </c>
      <c r="AF78" s="654" t="e">
        <f t="shared" si="25"/>
        <v>#REF!</v>
      </c>
      <c r="AG78" s="654" t="e">
        <f t="shared" si="26"/>
        <v>#REF!</v>
      </c>
      <c r="AH78" s="654" t="e">
        <f t="shared" si="27"/>
        <v>#REF!</v>
      </c>
      <c r="AI78" s="654" t="e">
        <f t="shared" si="28"/>
        <v>#REF!</v>
      </c>
      <c r="AJ78" s="654" t="e">
        <f t="shared" si="29"/>
        <v>#REF!</v>
      </c>
      <c r="AK78" s="654" t="e">
        <f t="shared" si="30"/>
        <v>#REF!</v>
      </c>
      <c r="AL78" s="654" t="e">
        <f t="shared" si="31"/>
        <v>#REF!</v>
      </c>
      <c r="AM78" s="654" t="e">
        <f t="shared" si="32"/>
        <v>#REF!</v>
      </c>
      <c r="AN78" s="654" t="e">
        <f t="shared" si="45"/>
        <v>#REF!</v>
      </c>
      <c r="AO78" s="654" t="e">
        <f t="shared" si="46"/>
        <v>#REF!</v>
      </c>
      <c r="AP78" s="654" t="e">
        <f t="shared" si="47"/>
        <v>#REF!</v>
      </c>
      <c r="AQ78" s="654" t="e">
        <f t="shared" si="48"/>
        <v>#REF!</v>
      </c>
      <c r="AR78" s="635">
        <v>1</v>
      </c>
      <c r="AS78" s="635">
        <v>1</v>
      </c>
      <c r="AT78" s="635">
        <v>1</v>
      </c>
      <c r="AU78" s="635">
        <v>1</v>
      </c>
      <c r="AV78" s="635">
        <v>1</v>
      </c>
      <c r="AW78" s="635">
        <v>1</v>
      </c>
      <c r="AX78" s="635">
        <v>1</v>
      </c>
      <c r="AY78" s="635">
        <v>1</v>
      </c>
      <c r="BC78" t="s">
        <v>239</v>
      </c>
      <c r="BD78" t="e">
        <v>#N/A</v>
      </c>
      <c r="BE78" t="e">
        <v>#N/A</v>
      </c>
      <c r="BF78" t="e">
        <v>#N/A</v>
      </c>
      <c r="BG78" t="e">
        <v>#N/A</v>
      </c>
      <c r="BH78" t="e">
        <v>#N/A</v>
      </c>
      <c r="BI78" t="e">
        <v>#N/A</v>
      </c>
      <c r="BJ78" t="e">
        <v>#N/A</v>
      </c>
      <c r="BK78" t="e">
        <v>#N/A</v>
      </c>
      <c r="BL78" t="e">
        <v>#N/A</v>
      </c>
      <c r="BM78" t="e">
        <v>#N/A</v>
      </c>
      <c r="BN78" t="e">
        <v>#N/A</v>
      </c>
      <c r="BO78" t="e">
        <v>#N/A</v>
      </c>
      <c r="BP78" t="e">
        <v>#N/A</v>
      </c>
      <c r="BQ78" t="e">
        <v>#N/A</v>
      </c>
      <c r="BR78">
        <v>0.20060985395602632</v>
      </c>
      <c r="BS78">
        <v>0.27619582243166119</v>
      </c>
      <c r="BT78">
        <v>0.54367562770636302</v>
      </c>
      <c r="BU78">
        <v>0.67741553034371382</v>
      </c>
      <c r="BV78">
        <v>0.81115543298106474</v>
      </c>
      <c r="BW78">
        <v>0.94489533561841565</v>
      </c>
    </row>
    <row r="79" spans="1:75">
      <c r="A79" s="94"/>
      <c r="B79" s="637"/>
      <c r="C79" s="275"/>
      <c r="D79" s="275"/>
      <c r="E79" s="275"/>
      <c r="F79" s="275"/>
      <c r="G79" s="275"/>
      <c r="H79" s="275"/>
      <c r="I79" s="275"/>
      <c r="J79" s="275"/>
      <c r="K79" s="275"/>
      <c r="L79" s="275"/>
      <c r="M79" s="275"/>
      <c r="N79" s="275"/>
      <c r="O79" s="275"/>
      <c r="P79" s="275"/>
      <c r="Q79" s="275"/>
      <c r="R79" s="275"/>
      <c r="S79" s="275"/>
      <c r="T79" s="275"/>
      <c r="U79" s="275"/>
      <c r="V79" s="275"/>
      <c r="W79" s="354"/>
      <c r="X79" s="354"/>
      <c r="Y79" s="354"/>
      <c r="AD79" s="94"/>
      <c r="AE79" s="637"/>
      <c r="AF79" s="636"/>
      <c r="AG79" s="636"/>
      <c r="AH79" s="636"/>
      <c r="AI79" s="636"/>
      <c r="AJ79" s="636"/>
      <c r="AK79" s="636"/>
      <c r="AL79" s="636"/>
      <c r="AM79" s="636"/>
      <c r="AN79" s="636"/>
      <c r="AO79" s="636"/>
      <c r="AP79" s="636"/>
      <c r="AQ79" s="636"/>
      <c r="AR79" s="636"/>
      <c r="AS79" s="636"/>
      <c r="AT79" s="636"/>
      <c r="AU79" s="636"/>
      <c r="AV79" s="636"/>
      <c r="AW79" s="636"/>
      <c r="AX79" s="636"/>
      <c r="AY79" s="636"/>
      <c r="BC79" t="s">
        <v>216</v>
      </c>
      <c r="BD79">
        <v>0</v>
      </c>
      <c r="BE79">
        <v>0</v>
      </c>
      <c r="BF79">
        <v>0</v>
      </c>
      <c r="BG79">
        <v>0</v>
      </c>
      <c r="BH79">
        <v>0</v>
      </c>
      <c r="BI79">
        <v>0</v>
      </c>
      <c r="BJ79">
        <v>0</v>
      </c>
      <c r="BK79">
        <v>0</v>
      </c>
      <c r="BL79">
        <v>0</v>
      </c>
      <c r="BM79">
        <v>0</v>
      </c>
      <c r="BN79">
        <v>0</v>
      </c>
      <c r="BO79">
        <v>0</v>
      </c>
      <c r="BP79">
        <v>0</v>
      </c>
      <c r="BQ79">
        <v>0</v>
      </c>
      <c r="BR79">
        <v>0.82064631222617201</v>
      </c>
      <c r="BS79">
        <v>0.88903350491168642</v>
      </c>
      <c r="BT79">
        <v>1.1010338022367807</v>
      </c>
      <c r="BU79">
        <v>1.1796790738251224</v>
      </c>
      <c r="BV79">
        <v>1.2583243454134641</v>
      </c>
      <c r="BW79">
        <v>1.2583243454134638</v>
      </c>
    </row>
    <row r="80" spans="1:75">
      <c r="A80" s="94"/>
      <c r="B80" s="637"/>
      <c r="C80" s="275"/>
      <c r="D80" s="275"/>
      <c r="E80" s="275"/>
      <c r="F80" s="275"/>
      <c r="G80" s="275"/>
      <c r="H80" s="275"/>
      <c r="I80" s="275"/>
      <c r="J80" s="275"/>
      <c r="K80" s="275"/>
      <c r="L80" s="275"/>
      <c r="M80" s="275"/>
      <c r="N80" s="275"/>
      <c r="O80" s="275"/>
      <c r="P80" s="275"/>
      <c r="Q80" s="275"/>
      <c r="R80" s="275"/>
      <c r="S80" s="275"/>
      <c r="T80" s="275"/>
      <c r="U80" s="275"/>
      <c r="V80" s="275"/>
      <c r="W80" s="354"/>
      <c r="X80" s="354"/>
      <c r="Y80" s="354"/>
      <c r="AD80" s="94"/>
      <c r="AE80" s="637"/>
      <c r="AF80" s="636"/>
      <c r="AG80" s="636"/>
      <c r="AH80" s="636"/>
      <c r="AI80" s="636"/>
      <c r="AJ80" s="636"/>
      <c r="AK80" s="636"/>
      <c r="AL80" s="636"/>
      <c r="AM80" s="636"/>
      <c r="AN80" s="636"/>
      <c r="AO80" s="636"/>
      <c r="AP80" s="636"/>
      <c r="AQ80" s="636"/>
      <c r="AR80" s="636"/>
      <c r="AS80" s="636"/>
      <c r="AT80" s="636"/>
      <c r="AU80" s="636"/>
      <c r="AV80" s="636"/>
      <c r="AW80" s="636"/>
      <c r="AX80" s="636"/>
      <c r="AY80" s="636"/>
      <c r="BC80" t="s">
        <v>226</v>
      </c>
      <c r="BD80" t="e">
        <v>#N/A</v>
      </c>
      <c r="BE80" t="e">
        <v>#N/A</v>
      </c>
      <c r="BF80" t="e">
        <v>#N/A</v>
      </c>
      <c r="BG80" t="e">
        <v>#N/A</v>
      </c>
      <c r="BH80" t="e">
        <v>#N/A</v>
      </c>
      <c r="BI80" t="e">
        <v>#N/A</v>
      </c>
      <c r="BJ80" t="e">
        <v>#N/A</v>
      </c>
      <c r="BK80" t="e">
        <v>#N/A</v>
      </c>
      <c r="BL80" t="e">
        <v>#N/A</v>
      </c>
      <c r="BM80" t="e">
        <v>#N/A</v>
      </c>
      <c r="BN80" t="e">
        <v>#N/A</v>
      </c>
      <c r="BO80" t="e">
        <v>#N/A</v>
      </c>
      <c r="BP80" t="e">
        <v>#N/A</v>
      </c>
      <c r="BQ80" t="e">
        <v>#N/A</v>
      </c>
      <c r="BR80">
        <v>0.92994700707293709</v>
      </c>
      <c r="BS80">
        <v>1.0636869097102879</v>
      </c>
      <c r="BT80">
        <v>1.1974268123476386</v>
      </c>
      <c r="BU80">
        <v>1.3311667149849895</v>
      </c>
      <c r="BV80">
        <v>1.4649066176223404</v>
      </c>
      <c r="BW80">
        <v>1.5986465202596913</v>
      </c>
    </row>
    <row r="81" spans="1:75">
      <c r="A81" s="94"/>
      <c r="B81" s="638"/>
      <c r="C81" s="275"/>
      <c r="D81" s="275"/>
      <c r="E81" s="275"/>
      <c r="F81" s="275"/>
      <c r="G81" s="275"/>
      <c r="H81" s="275"/>
      <c r="I81" s="275"/>
      <c r="J81" s="275"/>
      <c r="K81" s="275"/>
      <c r="L81" s="275"/>
      <c r="M81" s="275"/>
      <c r="N81" s="275"/>
      <c r="O81" s="275"/>
      <c r="P81" s="275"/>
      <c r="Q81" s="275"/>
      <c r="R81" s="275"/>
      <c r="S81" s="275"/>
      <c r="T81" s="275"/>
      <c r="U81" s="275"/>
      <c r="V81" s="275"/>
      <c r="W81" s="354"/>
      <c r="X81" s="354"/>
      <c r="Y81" s="354"/>
      <c r="AD81" s="94"/>
      <c r="AE81" s="638"/>
      <c r="AF81" s="636"/>
      <c r="AG81" s="636"/>
      <c r="AH81" s="636"/>
      <c r="AI81" s="636"/>
      <c r="AJ81" s="636"/>
      <c r="AK81" s="636"/>
      <c r="AL81" s="636"/>
      <c r="AM81" s="636"/>
      <c r="AN81" s="636"/>
      <c r="AO81" s="636"/>
      <c r="AP81" s="636"/>
      <c r="AQ81" s="636"/>
      <c r="AR81" s="636"/>
      <c r="AS81" s="636"/>
      <c r="AT81" s="636"/>
      <c r="AU81" s="636"/>
      <c r="AV81" s="636"/>
      <c r="AW81" s="636"/>
      <c r="AX81" s="636"/>
      <c r="AY81" s="636"/>
      <c r="BC81" t="s">
        <v>225</v>
      </c>
      <c r="BD81" t="e">
        <v>#N/A</v>
      </c>
      <c r="BE81" t="e">
        <v>#N/A</v>
      </c>
      <c r="BF81" t="e">
        <v>#N/A</v>
      </c>
      <c r="BG81" t="e">
        <v>#N/A</v>
      </c>
      <c r="BH81" t="e">
        <v>#N/A</v>
      </c>
      <c r="BI81" t="e">
        <v>#N/A</v>
      </c>
      <c r="BJ81" t="e">
        <v>#N/A</v>
      </c>
      <c r="BK81" t="e">
        <v>#N/A</v>
      </c>
      <c r="BL81" t="e">
        <v>#N/A</v>
      </c>
      <c r="BM81" t="e">
        <v>#N/A</v>
      </c>
      <c r="BN81" t="e">
        <v>#N/A</v>
      </c>
      <c r="BO81" t="e">
        <v>#N/A</v>
      </c>
      <c r="BP81" t="e">
        <v>#N/A</v>
      </c>
      <c r="BQ81" t="e">
        <v>#N/A</v>
      </c>
      <c r="BR81">
        <v>1.0286267735418138</v>
      </c>
      <c r="BS81">
        <v>1.1623666761791647</v>
      </c>
      <c r="BT81">
        <v>1.2961065788165156</v>
      </c>
      <c r="BU81">
        <v>1.4298464814538665</v>
      </c>
      <c r="BV81">
        <v>1.5635863840912174</v>
      </c>
      <c r="BW81">
        <v>1.6973262867285681</v>
      </c>
    </row>
    <row r="82" spans="1:75">
      <c r="A82" s="277"/>
      <c r="B82" s="274"/>
      <c r="C82" s="275"/>
      <c r="D82" s="275"/>
      <c r="E82" s="275"/>
      <c r="F82" s="275"/>
      <c r="G82" s="275"/>
      <c r="H82" s="275"/>
      <c r="I82" s="275"/>
      <c r="J82" s="275"/>
      <c r="K82" s="275"/>
      <c r="L82" s="275"/>
      <c r="M82" s="275"/>
      <c r="N82" s="275"/>
      <c r="O82" s="275"/>
      <c r="P82" s="275"/>
      <c r="Q82" s="275"/>
      <c r="R82" s="275"/>
      <c r="S82" s="275"/>
      <c r="T82" s="275"/>
      <c r="U82" s="275"/>
      <c r="V82" s="275"/>
      <c r="AD82" s="58"/>
      <c r="AE82" s="58"/>
      <c r="AF82" s="58"/>
      <c r="AG82" s="58"/>
      <c r="AH82" s="58"/>
      <c r="AI82" s="58"/>
      <c r="AJ82" s="58"/>
      <c r="AK82" s="58"/>
      <c r="AL82" s="58"/>
      <c r="AM82" s="58"/>
      <c r="AN82" s="58"/>
      <c r="AO82" s="58"/>
      <c r="AP82" s="58"/>
      <c r="AQ82" s="58"/>
      <c r="AR82" s="58"/>
      <c r="AS82" s="58"/>
      <c r="AT82" s="58"/>
      <c r="AU82" s="58"/>
      <c r="AV82" s="58"/>
      <c r="AW82" s="58"/>
      <c r="AX82" s="58"/>
      <c r="AY82" s="58"/>
    </row>
    <row r="83" spans="1:75">
      <c r="A83" s="277"/>
      <c r="B83" s="274"/>
      <c r="C83" s="275"/>
      <c r="D83" s="275"/>
      <c r="E83" s="275"/>
      <c r="F83" s="275"/>
      <c r="G83" s="275"/>
      <c r="H83" s="275"/>
      <c r="I83" s="275"/>
      <c r="J83" s="275"/>
      <c r="K83" s="275"/>
      <c r="L83" s="275"/>
      <c r="M83" s="275"/>
      <c r="N83" s="275"/>
      <c r="O83" s="275"/>
      <c r="P83" s="275"/>
      <c r="Q83" s="275"/>
      <c r="R83" s="275"/>
      <c r="S83" s="275"/>
      <c r="T83" s="275"/>
      <c r="U83" s="275"/>
      <c r="V83" s="275"/>
      <c r="AD83" s="58"/>
      <c r="AE83" s="58"/>
      <c r="AF83" s="58"/>
      <c r="AG83" s="58"/>
      <c r="AH83" s="58"/>
      <c r="AI83" s="58"/>
      <c r="AJ83" s="58"/>
      <c r="AK83" s="58"/>
      <c r="AL83" s="58"/>
      <c r="AM83" s="58"/>
      <c r="AN83" s="58"/>
      <c r="AO83" s="58"/>
      <c r="AP83" s="58"/>
      <c r="AQ83" s="58"/>
      <c r="AR83" s="58"/>
      <c r="AS83" s="58"/>
      <c r="AT83" s="58"/>
      <c r="AU83" s="58"/>
      <c r="AV83" s="58"/>
      <c r="AW83" s="58"/>
      <c r="AX83" s="58"/>
      <c r="AY83" s="58"/>
    </row>
    <row r="84" spans="1:75">
      <c r="A84" s="277"/>
      <c r="B84" s="274"/>
      <c r="C84" s="275"/>
      <c r="D84" s="275"/>
      <c r="E84" s="275"/>
      <c r="F84" s="275"/>
      <c r="G84" s="275"/>
      <c r="H84" s="275"/>
      <c r="I84" s="275"/>
      <c r="J84" s="275"/>
      <c r="K84" s="275"/>
      <c r="L84" s="275"/>
      <c r="M84" s="275"/>
      <c r="N84" s="275"/>
      <c r="O84" s="275"/>
      <c r="P84" s="275"/>
      <c r="Q84" s="275"/>
      <c r="R84" s="275"/>
      <c r="S84" s="275"/>
      <c r="T84" s="275"/>
      <c r="U84" s="275"/>
      <c r="V84" s="275"/>
      <c r="AD84" s="58"/>
      <c r="AE84" s="58"/>
      <c r="AF84" s="58"/>
      <c r="AG84" s="58"/>
      <c r="AH84" s="58"/>
      <c r="AI84" s="58"/>
      <c r="AJ84" s="58"/>
      <c r="AK84" s="58"/>
      <c r="AL84" s="58"/>
      <c r="AM84" s="58"/>
      <c r="AN84" s="58"/>
      <c r="AO84" s="58"/>
      <c r="AP84" s="58"/>
      <c r="AQ84" s="58"/>
      <c r="AR84" s="58"/>
      <c r="AS84" s="58"/>
      <c r="AT84" s="58"/>
      <c r="AU84" s="58"/>
      <c r="AV84" s="58"/>
      <c r="AW84" s="58"/>
      <c r="AX84" s="58"/>
      <c r="AY84" s="58"/>
    </row>
    <row r="85" spans="1:75">
      <c r="A85" s="277"/>
      <c r="B85" s="274"/>
      <c r="C85" s="275"/>
      <c r="D85" s="275"/>
      <c r="E85" s="275"/>
      <c r="F85" s="275"/>
      <c r="G85" s="275"/>
      <c r="H85" s="275"/>
      <c r="I85" s="275"/>
      <c r="J85" s="275"/>
      <c r="K85" s="275"/>
      <c r="L85" s="275"/>
      <c r="M85" s="275"/>
      <c r="N85" s="275"/>
      <c r="O85" s="275"/>
      <c r="P85" s="275"/>
      <c r="Q85" s="275"/>
      <c r="R85" s="275"/>
      <c r="S85" s="275"/>
      <c r="T85" s="275"/>
      <c r="U85" s="275"/>
      <c r="V85" s="275"/>
      <c r="AD85" s="58"/>
      <c r="AE85" s="58"/>
      <c r="AF85" s="58"/>
      <c r="AG85" s="58"/>
      <c r="AH85" s="58"/>
      <c r="AI85" s="58"/>
      <c r="AJ85" s="58"/>
      <c r="AK85" s="58"/>
      <c r="AL85" s="58"/>
      <c r="AM85" s="58"/>
      <c r="AN85" s="58"/>
      <c r="AO85" s="58"/>
      <c r="AP85" s="58"/>
      <c r="AQ85" s="58"/>
      <c r="AR85" s="58"/>
      <c r="AS85" s="58"/>
      <c r="AT85" s="58"/>
      <c r="AU85" s="58"/>
      <c r="AV85" s="58"/>
      <c r="AW85" s="58"/>
      <c r="AX85" s="58"/>
      <c r="AY85" s="58"/>
    </row>
    <row r="86" spans="1:75">
      <c r="A86" s="277"/>
      <c r="B86" s="274"/>
      <c r="C86" s="275"/>
      <c r="D86" s="275"/>
      <c r="E86" s="275"/>
      <c r="F86" s="275"/>
      <c r="G86" s="275"/>
      <c r="H86" s="275"/>
      <c r="I86" s="275"/>
      <c r="J86" s="275"/>
      <c r="K86" s="275"/>
      <c r="L86" s="275"/>
      <c r="M86" s="275"/>
      <c r="N86" s="275"/>
      <c r="O86" s="275"/>
      <c r="P86" s="275"/>
      <c r="Q86" s="275"/>
      <c r="R86" s="275"/>
      <c r="S86" s="275"/>
      <c r="T86" s="275"/>
      <c r="U86" s="275"/>
      <c r="V86" s="275"/>
      <c r="AD86" s="58"/>
      <c r="AE86" s="58"/>
      <c r="AF86" s="58"/>
      <c r="AG86" s="58"/>
      <c r="AH86" s="58"/>
      <c r="AI86" s="58"/>
      <c r="AJ86" s="58"/>
      <c r="AK86" s="58"/>
      <c r="AL86" s="58"/>
      <c r="AM86" s="58"/>
      <c r="AN86" s="58"/>
      <c r="AO86" s="58"/>
      <c r="AP86" s="58"/>
      <c r="AQ86" s="58"/>
      <c r="AR86" s="58"/>
      <c r="AS86" s="58"/>
      <c r="AT86" s="58"/>
      <c r="AU86" s="58"/>
      <c r="AV86" s="58"/>
      <c r="AW86" s="58"/>
      <c r="AX86" s="58"/>
      <c r="AY86" s="58"/>
    </row>
    <row r="87" spans="1:75">
      <c r="A87" s="277"/>
      <c r="B87" s="274"/>
      <c r="C87" s="275"/>
      <c r="D87" s="275"/>
      <c r="E87" s="275"/>
      <c r="F87" s="275"/>
      <c r="G87" s="275"/>
      <c r="H87" s="275"/>
      <c r="I87" s="275"/>
      <c r="J87" s="275"/>
      <c r="K87" s="275"/>
      <c r="L87" s="275"/>
      <c r="M87" s="275"/>
      <c r="N87" s="275"/>
      <c r="O87" s="275"/>
      <c r="P87" s="275"/>
      <c r="Q87" s="275"/>
      <c r="R87" s="275"/>
      <c r="S87" s="275"/>
      <c r="T87" s="275"/>
      <c r="U87" s="275"/>
      <c r="V87" s="275"/>
      <c r="AD87" s="58"/>
      <c r="AE87" s="58"/>
      <c r="AF87" s="58"/>
      <c r="AG87" s="58"/>
      <c r="AH87" s="58"/>
      <c r="AI87" s="58"/>
      <c r="AJ87" s="58"/>
      <c r="AK87" s="58"/>
      <c r="AL87" s="58"/>
      <c r="AM87" s="58"/>
      <c r="AN87" s="58"/>
      <c r="AO87" s="58"/>
      <c r="AP87" s="58"/>
      <c r="AQ87" s="58"/>
      <c r="AR87" s="58"/>
      <c r="AS87" s="58"/>
      <c r="AT87" s="58"/>
      <c r="AU87" s="58"/>
      <c r="AV87" s="58"/>
      <c r="AW87" s="58"/>
      <c r="AX87" s="58"/>
      <c r="AY87" s="58"/>
    </row>
    <row r="88" spans="1:75">
      <c r="A88" s="275"/>
      <c r="B88" s="275"/>
      <c r="C88" s="275"/>
      <c r="D88" s="275"/>
      <c r="E88" s="275"/>
      <c r="F88" s="275"/>
      <c r="G88" s="275"/>
      <c r="H88" s="275"/>
      <c r="I88" s="275"/>
      <c r="J88" s="275"/>
      <c r="K88" s="275"/>
      <c r="L88" s="275"/>
      <c r="M88" s="275"/>
      <c r="N88" s="275"/>
      <c r="O88" s="275"/>
      <c r="P88" s="275"/>
      <c r="Q88" s="275"/>
      <c r="R88" s="275"/>
      <c r="S88" s="275"/>
      <c r="T88" s="275"/>
      <c r="U88" s="275"/>
      <c r="V88" s="275"/>
      <c r="AD88" s="58"/>
      <c r="AE88" s="58"/>
      <c r="AF88" s="58"/>
      <c r="AG88" s="58"/>
      <c r="AH88" s="58"/>
      <c r="AI88" s="58"/>
      <c r="AJ88" s="58"/>
      <c r="AK88" s="58"/>
      <c r="AL88" s="58"/>
      <c r="AM88" s="58"/>
      <c r="AN88" s="58"/>
      <c r="AO88" s="58"/>
      <c r="AP88" s="58"/>
      <c r="AQ88" s="58"/>
      <c r="AR88" s="58"/>
      <c r="AS88" s="58"/>
      <c r="AT88" s="58"/>
      <c r="AU88" s="58"/>
      <c r="AV88" s="58"/>
      <c r="AW88" s="58"/>
      <c r="AX88" s="58"/>
      <c r="AY88" s="58"/>
    </row>
    <row r="89" spans="1:75">
      <c r="A89" s="275"/>
      <c r="B89" s="275"/>
      <c r="C89" s="275"/>
      <c r="D89" s="275"/>
      <c r="E89" s="275"/>
      <c r="F89" s="275"/>
      <c r="G89" s="275"/>
      <c r="H89" s="275"/>
      <c r="I89" s="275"/>
      <c r="J89" s="275"/>
      <c r="K89" s="275"/>
      <c r="L89" s="275"/>
      <c r="M89" s="275"/>
      <c r="N89" s="275"/>
      <c r="O89" s="275"/>
      <c r="P89" s="275"/>
      <c r="Q89" s="275"/>
      <c r="R89" s="275"/>
      <c r="S89" s="275"/>
      <c r="T89" s="275"/>
      <c r="U89" s="275"/>
      <c r="V89" s="275"/>
      <c r="AD89" s="58"/>
      <c r="AE89" s="58"/>
      <c r="AF89" s="58"/>
      <c r="AG89" s="58"/>
      <c r="AH89" s="58"/>
      <c r="AI89" s="58"/>
      <c r="AJ89" s="58"/>
      <c r="AK89" s="58"/>
      <c r="AL89" s="58"/>
      <c r="AM89" s="58"/>
      <c r="AN89" s="58"/>
      <c r="AO89" s="58"/>
      <c r="AP89" s="58"/>
      <c r="AQ89" s="58"/>
      <c r="AR89" s="58"/>
      <c r="AS89" s="58"/>
      <c r="AT89" s="58"/>
      <c r="AU89" s="58"/>
      <c r="AV89" s="58"/>
      <c r="AW89" s="58"/>
      <c r="AX89" s="58"/>
      <c r="AY89" s="58"/>
    </row>
    <row r="90" spans="1:75" ht="15" thickBot="1">
      <c r="A90" s="275"/>
      <c r="B90" s="275"/>
      <c r="C90" s="275"/>
      <c r="D90" s="275"/>
      <c r="E90" s="275"/>
      <c r="F90" s="275"/>
      <c r="G90" s="275"/>
      <c r="H90" s="275"/>
      <c r="I90" s="275"/>
      <c r="J90" s="275"/>
      <c r="K90" s="275"/>
      <c r="L90" s="275"/>
      <c r="M90" s="275"/>
      <c r="N90" s="275"/>
      <c r="O90" s="275"/>
      <c r="P90" s="275"/>
      <c r="Q90" s="275"/>
      <c r="R90" s="275"/>
      <c r="S90" s="275"/>
      <c r="T90" s="275"/>
      <c r="U90" s="275"/>
      <c r="V90" s="275"/>
      <c r="AD90" s="58"/>
      <c r="AE90" s="58"/>
      <c r="AF90" s="58"/>
      <c r="AG90" s="58"/>
      <c r="AH90" s="58"/>
      <c r="AI90" s="58"/>
      <c r="AJ90" s="58"/>
      <c r="AK90" s="58"/>
      <c r="AL90" s="58"/>
      <c r="AM90" s="58"/>
      <c r="AN90" s="58"/>
      <c r="AO90" s="58"/>
      <c r="AP90" s="58"/>
      <c r="AQ90" s="58"/>
      <c r="AR90" s="58"/>
      <c r="AS90" s="58"/>
      <c r="AT90" s="58"/>
      <c r="AU90" s="58"/>
      <c r="AV90" s="58"/>
      <c r="AW90" s="58"/>
      <c r="AX90" s="58"/>
      <c r="AY90" s="58"/>
    </row>
    <row r="91" spans="1:75" ht="14.65" customHeight="1">
      <c r="A91" s="1362" t="s">
        <v>99</v>
      </c>
      <c r="B91" s="1363"/>
      <c r="C91" s="1363"/>
      <c r="D91" s="1363"/>
      <c r="E91" s="1363"/>
      <c r="F91" s="1363"/>
      <c r="G91" s="1363"/>
      <c r="H91" s="1363"/>
      <c r="I91" s="1363"/>
      <c r="J91" s="1363"/>
      <c r="K91" s="1363"/>
      <c r="L91" s="1363"/>
      <c r="M91" s="1363"/>
      <c r="N91" s="1363"/>
      <c r="O91" s="1363"/>
      <c r="P91" s="1363"/>
      <c r="Q91" s="1363"/>
      <c r="R91" s="1363"/>
      <c r="S91" s="1363"/>
      <c r="T91" s="1363"/>
      <c r="U91" s="1363"/>
      <c r="V91" s="1364"/>
      <c r="W91" s="478"/>
      <c r="X91" s="354"/>
      <c r="AD91" s="1366" t="s">
        <v>317</v>
      </c>
      <c r="AE91" s="1366"/>
      <c r="AF91" s="1366"/>
      <c r="AG91" s="1366"/>
      <c r="AH91" s="1366"/>
      <c r="AI91" s="1366"/>
      <c r="AJ91" s="1366"/>
      <c r="AK91" s="1366"/>
      <c r="AL91" s="1366"/>
      <c r="AM91" s="1366"/>
      <c r="AN91" s="1366"/>
      <c r="AO91" s="1366"/>
      <c r="AP91" s="1366"/>
      <c r="AQ91" s="1366"/>
      <c r="AR91" s="1366"/>
      <c r="AS91" s="1366"/>
      <c r="AT91" s="1366"/>
      <c r="AU91" s="1366"/>
      <c r="AV91" s="1366"/>
      <c r="AW91" s="1366"/>
      <c r="AX91" s="1366"/>
      <c r="AY91" s="1366"/>
    </row>
    <row r="92" spans="1:75" ht="14.65" customHeight="1">
      <c r="A92" s="276"/>
      <c r="B92" s="275"/>
      <c r="C92" s="1365">
        <v>2022</v>
      </c>
      <c r="D92" s="1365"/>
      <c r="E92" s="1365"/>
      <c r="F92" s="1365"/>
      <c r="G92" s="1394">
        <v>2023</v>
      </c>
      <c r="H92" s="1394"/>
      <c r="I92" s="1394"/>
      <c r="J92" s="1394"/>
      <c r="K92" s="1395">
        <v>2024</v>
      </c>
      <c r="L92" s="1395"/>
      <c r="M92" s="1395"/>
      <c r="N92" s="1395"/>
      <c r="O92" s="1394">
        <v>2025</v>
      </c>
      <c r="P92" s="1394"/>
      <c r="Q92" s="1394"/>
      <c r="R92" s="1394"/>
      <c r="S92" s="1396">
        <v>2026</v>
      </c>
      <c r="T92" s="1396"/>
      <c r="U92" s="1396"/>
      <c r="V92" s="1396"/>
      <c r="W92" s="354"/>
      <c r="X92" s="354"/>
      <c r="Y92" s="354"/>
      <c r="AD92" s="341"/>
      <c r="AE92" s="341"/>
      <c r="AF92" s="1366">
        <v>2022</v>
      </c>
      <c r="AG92" s="1366"/>
      <c r="AH92" s="1366"/>
      <c r="AI92" s="1366"/>
      <c r="AJ92" s="1366">
        <v>2023</v>
      </c>
      <c r="AK92" s="1366"/>
      <c r="AL92" s="1366"/>
      <c r="AM92" s="1366"/>
      <c r="AN92" s="1366">
        <v>2024</v>
      </c>
      <c r="AO92" s="1366"/>
      <c r="AP92" s="1366"/>
      <c r="AQ92" s="1366"/>
      <c r="AR92" s="1366">
        <v>2025</v>
      </c>
      <c r="AS92" s="1366"/>
      <c r="AT92" s="1366"/>
      <c r="AU92" s="1366"/>
      <c r="AV92" s="1366">
        <v>2026</v>
      </c>
      <c r="AW92" s="1366"/>
      <c r="AX92" s="1366"/>
      <c r="AY92" s="1366"/>
    </row>
    <row r="93" spans="1:75" ht="15" thickBot="1">
      <c r="A93" s="271"/>
      <c r="B93" s="272"/>
      <c r="C93" s="273">
        <v>1</v>
      </c>
      <c r="D93" s="273">
        <v>2</v>
      </c>
      <c r="E93" s="273">
        <v>3</v>
      </c>
      <c r="F93" s="273">
        <v>4</v>
      </c>
      <c r="G93" s="273">
        <v>1</v>
      </c>
      <c r="H93" s="273">
        <v>2</v>
      </c>
      <c r="I93" s="273">
        <v>3</v>
      </c>
      <c r="J93" s="273">
        <v>4</v>
      </c>
      <c r="K93" s="273">
        <v>1</v>
      </c>
      <c r="L93" s="273">
        <v>2</v>
      </c>
      <c r="M93" s="273">
        <v>3</v>
      </c>
      <c r="N93" s="273">
        <v>4</v>
      </c>
      <c r="O93" s="273">
        <v>1</v>
      </c>
      <c r="P93" s="273">
        <v>2</v>
      </c>
      <c r="Q93" s="273">
        <v>3</v>
      </c>
      <c r="R93" s="273">
        <v>4</v>
      </c>
      <c r="S93" s="273">
        <v>1</v>
      </c>
      <c r="T93" s="273">
        <v>2</v>
      </c>
      <c r="U93" s="273">
        <v>3</v>
      </c>
      <c r="V93" s="273">
        <v>4</v>
      </c>
      <c r="W93" s="354"/>
      <c r="X93" s="354"/>
      <c r="Y93" s="354"/>
      <c r="AD93" s="341"/>
      <c r="AE93" s="341"/>
      <c r="AF93" s="341">
        <v>1</v>
      </c>
      <c r="AG93" s="341">
        <v>2</v>
      </c>
      <c r="AH93" s="341">
        <v>3</v>
      </c>
      <c r="AI93" s="341">
        <v>4</v>
      </c>
      <c r="AJ93" s="341">
        <v>1</v>
      </c>
      <c r="AK93" s="341">
        <v>2</v>
      </c>
      <c r="AL93" s="341">
        <v>3</v>
      </c>
      <c r="AM93" s="341">
        <v>4</v>
      </c>
      <c r="AN93" s="341">
        <v>1</v>
      </c>
      <c r="AO93" s="341">
        <v>2</v>
      </c>
      <c r="AP93" s="341">
        <v>3</v>
      </c>
      <c r="AQ93" s="341">
        <v>4</v>
      </c>
      <c r="AR93" s="341">
        <v>1</v>
      </c>
      <c r="AS93" s="341">
        <v>2</v>
      </c>
      <c r="AT93" s="341">
        <v>3</v>
      </c>
      <c r="AU93" s="341">
        <v>4</v>
      </c>
      <c r="AV93" s="341">
        <v>1</v>
      </c>
      <c r="AW93" s="341">
        <v>2</v>
      </c>
      <c r="AX93" s="341">
        <v>3</v>
      </c>
      <c r="AY93" s="341">
        <v>4</v>
      </c>
    </row>
    <row r="94" spans="1:75" ht="14.65" customHeight="1">
      <c r="A94" s="1333">
        <v>1</v>
      </c>
      <c r="B94" s="87" t="s">
        <v>209</v>
      </c>
      <c r="C94" s="275" t="e">
        <f>('No. of aircraft'!C4*1000)/(#REF!*'No. of aircraft'!$B$29)</f>
        <v>#REF!</v>
      </c>
      <c r="D94" s="275" t="e">
        <f>('No. of aircraft'!D4*1000)/(#REF!*'No. of aircraft'!$B$29)</f>
        <v>#REF!</v>
      </c>
      <c r="E94" s="275" t="e">
        <f>('No. of aircraft'!E4*1000)/(#REF!*'No. of aircraft'!$B$29)</f>
        <v>#REF!</v>
      </c>
      <c r="F94" s="275" t="e">
        <f>('No. of aircraft'!F4*1000)/(#REF!*'No. of aircraft'!$B$29)</f>
        <v>#REF!</v>
      </c>
      <c r="G94" s="275" t="e">
        <f>('No. of aircraft'!G4*1000)/(#REF!*'No. of aircraft'!$B$29)</f>
        <v>#REF!</v>
      </c>
      <c r="H94" s="275" t="e">
        <f>('No. of aircraft'!H4*1000)/(#REF!*'No. of aircraft'!$B$29)</f>
        <v>#REF!</v>
      </c>
      <c r="I94" s="275" t="e">
        <f>('No. of aircraft'!I4*1000)/(#REF!*'No. of aircraft'!$B$29)</f>
        <v>#REF!</v>
      </c>
      <c r="J94" s="275" t="e">
        <f>('No. of aircraft'!J4*1000)/(#REF!*'No. of aircraft'!$B$29)</f>
        <v>#REF!</v>
      </c>
      <c r="K94" s="275" t="e">
        <f>('No. of aircraft'!K4*1000)/(#REF!*'No. of aircraft'!$B$29)</f>
        <v>#REF!</v>
      </c>
      <c r="L94" s="275" t="e">
        <f>('No. of aircraft'!L4*1000)/(#REF!*'No. of aircraft'!$B$29)</f>
        <v>#REF!</v>
      </c>
      <c r="M94" s="275" t="e">
        <f>('No. of aircraft'!M4*1000)/(#REF!*'No. of aircraft'!$B$29)</f>
        <v>#REF!</v>
      </c>
      <c r="N94" s="275" t="e">
        <f>('No. of aircraft'!N4*1000)/(#REF!*'No. of aircraft'!$B$29)</f>
        <v>#REF!</v>
      </c>
      <c r="O94" s="275" t="e">
        <f>('No. of aircraft'!O4*1000)/(#REF!*'No. of aircraft'!$B$29)</f>
        <v>#REF!</v>
      </c>
      <c r="P94" s="275" t="e">
        <f>('No. of aircraft'!P4*1000)/(#REF!*'No. of aircraft'!$B$29)</f>
        <v>#REF!</v>
      </c>
      <c r="Q94" s="275" t="e">
        <f>('No. of aircraft'!Q4*1000)/(#REF!*'No. of aircraft'!$B$29)</f>
        <v>#REF!</v>
      </c>
      <c r="R94" s="275" t="e">
        <f>('No. of aircraft'!R4*1000)/(#REF!*'No. of aircraft'!$B$29)</f>
        <v>#REF!</v>
      </c>
      <c r="S94" s="275" t="e">
        <f>('No. of aircraft'!S4*1000)/(#REF!*'No. of aircraft'!$B$29)</f>
        <v>#REF!</v>
      </c>
      <c r="T94" s="275" t="e">
        <f>('No. of aircraft'!T4*1000)/(#REF!*'No. of aircraft'!$B$29)</f>
        <v>#REF!</v>
      </c>
      <c r="U94" s="275" t="e">
        <f>('No. of aircraft'!U4*1000)/(#REF!*'No. of aircraft'!$B$29)</f>
        <v>#REF!</v>
      </c>
      <c r="V94" s="275" t="e">
        <f>('No. of aircraft'!V4*1000)/(#REF!*'No. of aircraft'!$B$29)</f>
        <v>#REF!</v>
      </c>
      <c r="W94" s="642"/>
      <c r="X94" s="354"/>
      <c r="Y94" s="354"/>
      <c r="AD94" s="1333">
        <v>1</v>
      </c>
      <c r="AE94" s="87" t="s">
        <v>209</v>
      </c>
      <c r="AF94" s="634">
        <v>1</v>
      </c>
      <c r="AG94" s="634">
        <v>1</v>
      </c>
      <c r="AH94" s="634">
        <v>1</v>
      </c>
      <c r="AI94" s="634">
        <v>1</v>
      </c>
      <c r="AJ94" s="634">
        <v>1</v>
      </c>
      <c r="AK94" s="634">
        <v>1</v>
      </c>
      <c r="AL94" s="634">
        <v>1</v>
      </c>
      <c r="AM94" s="634">
        <v>1</v>
      </c>
      <c r="AN94" s="634">
        <v>1</v>
      </c>
      <c r="AO94" s="634">
        <v>1</v>
      </c>
      <c r="AP94" s="634">
        <v>1</v>
      </c>
      <c r="AQ94" s="634">
        <v>1</v>
      </c>
      <c r="AR94" s="634">
        <v>1</v>
      </c>
      <c r="AS94" s="634">
        <v>1</v>
      </c>
      <c r="AT94" s="634">
        <v>1</v>
      </c>
      <c r="AU94" s="634">
        <v>1</v>
      </c>
      <c r="AV94" s="634">
        <v>1</v>
      </c>
      <c r="AW94" s="634">
        <v>1</v>
      </c>
      <c r="AX94" s="634">
        <v>1</v>
      </c>
      <c r="AY94" s="634">
        <v>1</v>
      </c>
    </row>
    <row r="95" spans="1:75" ht="14.65" customHeight="1">
      <c r="A95" s="1333"/>
      <c r="B95" s="87" t="s">
        <v>210</v>
      </c>
      <c r="C95" s="275" t="e">
        <f>('No. of aircraft'!C5*1000)/(#REF!*'No. of aircraft'!$B$29)</f>
        <v>#REF!</v>
      </c>
      <c r="D95" s="275" t="e">
        <f>('No. of aircraft'!D5*1000)/(#REF!*'No. of aircraft'!$B$29)</f>
        <v>#REF!</v>
      </c>
      <c r="E95" s="275" t="e">
        <f>('No. of aircraft'!E5*1000)/(#REF!*'No. of aircraft'!$B$29)</f>
        <v>#REF!</v>
      </c>
      <c r="F95" s="275" t="e">
        <f>('No. of aircraft'!F5*1000)/(#REF!*'No. of aircraft'!$B$29)</f>
        <v>#REF!</v>
      </c>
      <c r="G95" s="275" t="e">
        <f>('No. of aircraft'!G5*1000)/(#REF!*'No. of aircraft'!$B$29)</f>
        <v>#REF!</v>
      </c>
      <c r="H95" s="275" t="e">
        <f>('No. of aircraft'!H5*1000)/(#REF!*'No. of aircraft'!$B$29)</f>
        <v>#REF!</v>
      </c>
      <c r="I95" s="275" t="e">
        <f>('No. of aircraft'!I5*1000)/(#REF!*'No. of aircraft'!$B$29)</f>
        <v>#REF!</v>
      </c>
      <c r="J95" s="275" t="e">
        <f>('No. of aircraft'!J5*1000)/(#REF!*'No. of aircraft'!$B$29)</f>
        <v>#REF!</v>
      </c>
      <c r="K95" s="275" t="e">
        <f>('No. of aircraft'!K5*1000)/(#REF!*'No. of aircraft'!$B$29)</f>
        <v>#REF!</v>
      </c>
      <c r="L95" s="275" t="e">
        <f>('No. of aircraft'!L5*1000)/(#REF!*'No. of aircraft'!$B$29)</f>
        <v>#REF!</v>
      </c>
      <c r="M95" s="275" t="e">
        <f>('No. of aircraft'!M5*1000)/(#REF!*'No. of aircraft'!$B$29)</f>
        <v>#REF!</v>
      </c>
      <c r="N95" s="275" t="e">
        <f>('No. of aircraft'!N5*1000)/(#REF!*'No. of aircraft'!$B$29)</f>
        <v>#REF!</v>
      </c>
      <c r="O95" s="275" t="e">
        <f>('No. of aircraft'!O5*1000)/(#REF!*'No. of aircraft'!$B$29)</f>
        <v>#REF!</v>
      </c>
      <c r="P95" s="275" t="e">
        <f>('No. of aircraft'!P5*1000)/(#REF!*'No. of aircraft'!$B$29)</f>
        <v>#REF!</v>
      </c>
      <c r="Q95" s="275" t="e">
        <f>('No. of aircraft'!Q5*1000)/(#REF!*'No. of aircraft'!$B$29)</f>
        <v>#REF!</v>
      </c>
      <c r="R95" s="275" t="e">
        <f>('No. of aircraft'!R5*1000)/(#REF!*'No. of aircraft'!$B$29)</f>
        <v>#REF!</v>
      </c>
      <c r="S95" s="275" t="e">
        <f>('No. of aircraft'!S5*1000)/(#REF!*'No. of aircraft'!$B$29)</f>
        <v>#REF!</v>
      </c>
      <c r="T95" s="275" t="e">
        <f>('No. of aircraft'!T5*1000)/(#REF!*'No. of aircraft'!$B$29)</f>
        <v>#REF!</v>
      </c>
      <c r="U95" s="275" t="e">
        <f>('No. of aircraft'!U5*1000)/(#REF!*'No. of aircraft'!$B$29)</f>
        <v>#REF!</v>
      </c>
      <c r="V95" s="275" t="e">
        <f>('No. of aircraft'!V5*1000)/(#REF!*'No. of aircraft'!$B$29)</f>
        <v>#REF!</v>
      </c>
      <c r="W95" s="354"/>
      <c r="X95" s="354"/>
      <c r="Y95" s="354"/>
      <c r="AD95" s="1333"/>
      <c r="AE95" s="87" t="s">
        <v>210</v>
      </c>
      <c r="AF95" s="634">
        <v>1</v>
      </c>
      <c r="AG95" s="634">
        <v>1</v>
      </c>
      <c r="AH95" s="634">
        <v>1</v>
      </c>
      <c r="AI95" s="634">
        <v>1</v>
      </c>
      <c r="AJ95" s="634">
        <v>1</v>
      </c>
      <c r="AK95" s="634">
        <v>1</v>
      </c>
      <c r="AL95" s="634">
        <v>1</v>
      </c>
      <c r="AM95" s="634">
        <v>1</v>
      </c>
      <c r="AN95" s="634">
        <v>1</v>
      </c>
      <c r="AO95" s="634">
        <v>1</v>
      </c>
      <c r="AP95" s="634">
        <v>1</v>
      </c>
      <c r="AQ95" s="634">
        <v>1</v>
      </c>
      <c r="AR95" s="634">
        <v>1</v>
      </c>
      <c r="AS95" s="634">
        <v>1</v>
      </c>
      <c r="AT95" s="634">
        <v>1</v>
      </c>
      <c r="AU95" s="634">
        <v>1</v>
      </c>
      <c r="AV95" s="634">
        <v>1</v>
      </c>
      <c r="AW95" s="634">
        <v>1</v>
      </c>
      <c r="AX95" s="634">
        <v>1</v>
      </c>
      <c r="AY95" s="634">
        <v>1</v>
      </c>
    </row>
    <row r="96" spans="1:75" ht="14.65" customHeight="1">
      <c r="A96" s="1333"/>
      <c r="B96" s="87" t="s">
        <v>211</v>
      </c>
      <c r="C96" s="275" t="e">
        <f>('No. of aircraft'!C6*1000)/(#REF!*'No. of aircraft'!$B$29)</f>
        <v>#REF!</v>
      </c>
      <c r="D96" s="275" t="e">
        <f>('No. of aircraft'!D6*1000)/(#REF!*'No. of aircraft'!$B$29)</f>
        <v>#REF!</v>
      </c>
      <c r="E96" s="275" t="e">
        <f>('No. of aircraft'!E6*1000)/(#REF!*'No. of aircraft'!$B$29)</f>
        <v>#REF!</v>
      </c>
      <c r="F96" s="275" t="e">
        <f>('No. of aircraft'!F6*1000)/(#REF!*'No. of aircraft'!$B$29)</f>
        <v>#REF!</v>
      </c>
      <c r="G96" s="275" t="e">
        <f>('No. of aircraft'!G6*1000)/(#REF!*'No. of aircraft'!$B$29)</f>
        <v>#REF!</v>
      </c>
      <c r="H96" s="275" t="e">
        <f>('No. of aircraft'!H6*1000)/(#REF!*'No. of aircraft'!$B$29)</f>
        <v>#REF!</v>
      </c>
      <c r="I96" s="275" t="e">
        <f>('No. of aircraft'!I6*1000)/(#REF!*'No. of aircraft'!$B$29)</f>
        <v>#REF!</v>
      </c>
      <c r="J96" s="275" t="e">
        <f>('No. of aircraft'!J6*1000)/(#REF!*'No. of aircraft'!$B$29)</f>
        <v>#REF!</v>
      </c>
      <c r="K96" s="275" t="e">
        <f>('No. of aircraft'!K6*1000)/(#REF!*'No. of aircraft'!$B$29)</f>
        <v>#REF!</v>
      </c>
      <c r="L96" s="275" t="e">
        <f>('No. of aircraft'!L6*1000)/(#REF!*'No. of aircraft'!$B$29)</f>
        <v>#REF!</v>
      </c>
      <c r="M96" s="275" t="e">
        <f>('No. of aircraft'!M6*1000)/(#REF!*'No. of aircraft'!$B$29)</f>
        <v>#REF!</v>
      </c>
      <c r="N96" s="275" t="e">
        <f>('No. of aircraft'!N6*1000)/(#REF!*'No. of aircraft'!$B$29)</f>
        <v>#REF!</v>
      </c>
      <c r="O96" s="275" t="e">
        <f>('No. of aircraft'!O6*1000)/(#REF!*'No. of aircraft'!$B$29)</f>
        <v>#REF!</v>
      </c>
      <c r="P96" s="275" t="e">
        <f>('No. of aircraft'!P6*1000)/(#REF!*'No. of aircraft'!$B$29)</f>
        <v>#REF!</v>
      </c>
      <c r="Q96" s="275" t="e">
        <f>('No. of aircraft'!Q6*1000)/(#REF!*'No. of aircraft'!$B$29)</f>
        <v>#REF!</v>
      </c>
      <c r="R96" s="275" t="e">
        <f>('No. of aircraft'!R6*1000)/(#REF!*'No. of aircraft'!$B$29)</f>
        <v>#REF!</v>
      </c>
      <c r="S96" s="275" t="e">
        <f>('No. of aircraft'!S6*1000)/(#REF!*'No. of aircraft'!$B$29)</f>
        <v>#REF!</v>
      </c>
      <c r="T96" s="275" t="e">
        <f>('No. of aircraft'!T6*1000)/(#REF!*'No. of aircraft'!$B$29)</f>
        <v>#REF!</v>
      </c>
      <c r="U96" s="275" t="e">
        <f>('No. of aircraft'!U6*1000)/(#REF!*'No. of aircraft'!$B$29)</f>
        <v>#REF!</v>
      </c>
      <c r="V96" s="275" t="e">
        <f>('No. of aircraft'!V6*1000)/(#REF!*'No. of aircraft'!$B$29)</f>
        <v>#REF!</v>
      </c>
      <c r="W96" s="354"/>
      <c r="X96" s="354"/>
      <c r="Y96" s="354"/>
      <c r="AD96" s="1333"/>
      <c r="AE96" s="87" t="s">
        <v>211</v>
      </c>
      <c r="AF96" s="634">
        <v>1</v>
      </c>
      <c r="AG96" s="634">
        <v>1</v>
      </c>
      <c r="AH96" s="634">
        <v>1</v>
      </c>
      <c r="AI96" s="634">
        <v>1</v>
      </c>
      <c r="AJ96" s="634">
        <v>1</v>
      </c>
      <c r="AK96" s="634">
        <v>1</v>
      </c>
      <c r="AL96" s="634">
        <v>1</v>
      </c>
      <c r="AM96" s="634">
        <v>1</v>
      </c>
      <c r="AN96" s="634">
        <v>1</v>
      </c>
      <c r="AO96" s="634">
        <v>1</v>
      </c>
      <c r="AP96" s="634">
        <v>1</v>
      </c>
      <c r="AQ96" s="634">
        <v>1</v>
      </c>
      <c r="AR96" s="634">
        <v>1</v>
      </c>
      <c r="AS96" s="634">
        <v>1</v>
      </c>
      <c r="AT96" s="634">
        <v>1</v>
      </c>
      <c r="AU96" s="634">
        <v>1</v>
      </c>
      <c r="AV96" s="634">
        <v>1</v>
      </c>
      <c r="AW96" s="634">
        <v>1</v>
      </c>
      <c r="AX96" s="634">
        <v>1</v>
      </c>
      <c r="AY96" s="634">
        <v>1</v>
      </c>
    </row>
    <row r="97" spans="1:51" ht="14.65" customHeight="1">
      <c r="A97" s="1333"/>
      <c r="B97" s="87" t="s">
        <v>212</v>
      </c>
      <c r="C97" s="275" t="e">
        <f>('No. of aircraft'!C7*1000)/(#REF!*'No. of aircraft'!$B$29)</f>
        <v>#REF!</v>
      </c>
      <c r="D97" s="275" t="e">
        <f>('No. of aircraft'!D7*1000)/(#REF!*'No. of aircraft'!$B$29)</f>
        <v>#REF!</v>
      </c>
      <c r="E97" s="275" t="e">
        <f>('No. of aircraft'!E7*1000)/(#REF!*'No. of aircraft'!$B$29)</f>
        <v>#REF!</v>
      </c>
      <c r="F97" s="275" t="e">
        <f>('No. of aircraft'!F7*1000)/(#REF!*'No. of aircraft'!$B$29)</f>
        <v>#REF!</v>
      </c>
      <c r="G97" s="275" t="e">
        <f>('No. of aircraft'!G7*1000)/(#REF!*'No. of aircraft'!$B$29)</f>
        <v>#REF!</v>
      </c>
      <c r="H97" s="275" t="e">
        <f>('No. of aircraft'!H7*1000)/(#REF!*'No. of aircraft'!$B$29)</f>
        <v>#REF!</v>
      </c>
      <c r="I97" s="275" t="e">
        <f>('No. of aircraft'!I7*1000)/(#REF!*'No. of aircraft'!$B$29)</f>
        <v>#REF!</v>
      </c>
      <c r="J97" s="275" t="e">
        <f>('No. of aircraft'!J7*1000)/(#REF!*'No. of aircraft'!$B$29)</f>
        <v>#REF!</v>
      </c>
      <c r="K97" s="275" t="e">
        <f>('No. of aircraft'!K7*1000)/(#REF!*'No. of aircraft'!$B$29)</f>
        <v>#REF!</v>
      </c>
      <c r="L97" s="275" t="e">
        <f>('No. of aircraft'!L7*1000)/(#REF!*'No. of aircraft'!$B$29)</f>
        <v>#REF!</v>
      </c>
      <c r="M97" s="275" t="e">
        <f>('No. of aircraft'!M7*1000)/(#REF!*'No. of aircraft'!$B$29)</f>
        <v>#REF!</v>
      </c>
      <c r="N97" s="275" t="e">
        <f>('No. of aircraft'!N7*1000)/(#REF!*'No. of aircraft'!$B$29)</f>
        <v>#REF!</v>
      </c>
      <c r="O97" s="275" t="e">
        <f>('No. of aircraft'!O7*1000)/(#REF!*'No. of aircraft'!$B$29)</f>
        <v>#REF!</v>
      </c>
      <c r="P97" s="275" t="e">
        <f>('No. of aircraft'!P7*1000)/(#REF!*'No. of aircraft'!$B$29)</f>
        <v>#REF!</v>
      </c>
      <c r="Q97" s="275" t="e">
        <f>('No. of aircraft'!Q7*1000)/(#REF!*'No. of aircraft'!$B$29)</f>
        <v>#REF!</v>
      </c>
      <c r="R97" s="275" t="e">
        <f>('No. of aircraft'!R7*1000)/(#REF!*'No. of aircraft'!$B$29)</f>
        <v>#REF!</v>
      </c>
      <c r="S97" s="275" t="e">
        <f>('No. of aircraft'!S7*1000)/(#REF!*'No. of aircraft'!$B$29)</f>
        <v>#REF!</v>
      </c>
      <c r="T97" s="275" t="e">
        <f>('No. of aircraft'!T7*1000)/(#REF!*'No. of aircraft'!$B$29)</f>
        <v>#REF!</v>
      </c>
      <c r="U97" s="275" t="e">
        <f>('No. of aircraft'!U7*1000)/(#REF!*'No. of aircraft'!$B$29)</f>
        <v>#REF!</v>
      </c>
      <c r="V97" s="275" t="e">
        <f>('No. of aircraft'!V7*1000)/(#REF!*'No. of aircraft'!$B$29)</f>
        <v>#REF!</v>
      </c>
      <c r="W97" s="354"/>
      <c r="X97" s="354"/>
      <c r="Y97" s="354"/>
      <c r="AD97" s="1333"/>
      <c r="AE97" s="87" t="s">
        <v>212</v>
      </c>
      <c r="AF97" s="634">
        <v>1</v>
      </c>
      <c r="AG97" s="634">
        <v>1</v>
      </c>
      <c r="AH97" s="634">
        <v>1</v>
      </c>
      <c r="AI97" s="634">
        <v>1</v>
      </c>
      <c r="AJ97" s="634">
        <v>1</v>
      </c>
      <c r="AK97" s="634">
        <v>1</v>
      </c>
      <c r="AL97" s="634">
        <v>1</v>
      </c>
      <c r="AM97" s="634">
        <v>1</v>
      </c>
      <c r="AN97" s="634">
        <v>1</v>
      </c>
      <c r="AO97" s="634">
        <v>1</v>
      </c>
      <c r="AP97" s="634">
        <v>1</v>
      </c>
      <c r="AQ97" s="634">
        <v>1</v>
      </c>
      <c r="AR97" s="634">
        <v>1</v>
      </c>
      <c r="AS97" s="634">
        <v>1</v>
      </c>
      <c r="AT97" s="634">
        <v>1</v>
      </c>
      <c r="AU97" s="634">
        <v>1</v>
      </c>
      <c r="AV97" s="634">
        <v>1</v>
      </c>
      <c r="AW97" s="634">
        <v>1</v>
      </c>
      <c r="AX97" s="634">
        <v>1</v>
      </c>
      <c r="AY97" s="634">
        <v>1</v>
      </c>
    </row>
    <row r="98" spans="1:51" ht="14.65" customHeight="1">
      <c r="A98" s="1333"/>
      <c r="B98" s="87" t="s">
        <v>213</v>
      </c>
      <c r="C98" s="275" t="e">
        <f>('No. of aircraft'!C8*1000)/(#REF!*'No. of aircraft'!$B$29)</f>
        <v>#REF!</v>
      </c>
      <c r="D98" s="275" t="e">
        <f>('No. of aircraft'!D8*1000)/(#REF!*'No. of aircraft'!$B$29)</f>
        <v>#REF!</v>
      </c>
      <c r="E98" s="275" t="e">
        <f>('No. of aircraft'!E8*1000)/(#REF!*'No. of aircraft'!$B$29)</f>
        <v>#REF!</v>
      </c>
      <c r="F98" s="275" t="e">
        <f>('No. of aircraft'!F8*1000)/(#REF!*'No. of aircraft'!$B$29)</f>
        <v>#REF!</v>
      </c>
      <c r="G98" s="275" t="e">
        <f>('No. of aircraft'!G8*1000)/(#REF!*'No. of aircraft'!$B$29)</f>
        <v>#REF!</v>
      </c>
      <c r="H98" s="275" t="e">
        <f>('No. of aircraft'!H8*1000)/(#REF!*'No. of aircraft'!$B$29)</f>
        <v>#REF!</v>
      </c>
      <c r="I98" s="275" t="e">
        <f>('No. of aircraft'!I8*1000)/(#REF!*'No. of aircraft'!$B$29)</f>
        <v>#REF!</v>
      </c>
      <c r="J98" s="275" t="e">
        <f>('No. of aircraft'!J8*1000)/(#REF!*'No. of aircraft'!$B$29)</f>
        <v>#REF!</v>
      </c>
      <c r="K98" s="275" t="e">
        <f>('No. of aircraft'!K8*1000)/(#REF!*'No. of aircraft'!$B$29)</f>
        <v>#REF!</v>
      </c>
      <c r="L98" s="275" t="e">
        <f>('No. of aircraft'!L8*1000)/(#REF!*'No. of aircraft'!$B$29)</f>
        <v>#REF!</v>
      </c>
      <c r="M98" s="275" t="e">
        <f>('No. of aircraft'!M8*1000)/(#REF!*'No. of aircraft'!$B$29)</f>
        <v>#REF!</v>
      </c>
      <c r="N98" s="275" t="e">
        <f>('No. of aircraft'!N8*1000)/(#REF!*'No. of aircraft'!$B$29)</f>
        <v>#REF!</v>
      </c>
      <c r="O98" s="275" t="e">
        <f>('No. of aircraft'!O8*1000)/(#REF!*'No. of aircraft'!$B$29)</f>
        <v>#REF!</v>
      </c>
      <c r="P98" s="275" t="e">
        <f>('No. of aircraft'!P8*1000)/(#REF!*'No. of aircraft'!$B$29)</f>
        <v>#REF!</v>
      </c>
      <c r="Q98" s="275" t="e">
        <f>('No. of aircraft'!Q8*1000)/(#REF!*'No. of aircraft'!$B$29)</f>
        <v>#REF!</v>
      </c>
      <c r="R98" s="275" t="e">
        <f>('No. of aircraft'!R8*1000)/(#REF!*'No. of aircraft'!$B$29)</f>
        <v>#REF!</v>
      </c>
      <c r="S98" s="275" t="e">
        <f>('No. of aircraft'!S8*1000)/(#REF!*'No. of aircraft'!$B$29)</f>
        <v>#REF!</v>
      </c>
      <c r="T98" s="275" t="e">
        <f>('No. of aircraft'!T8*1000)/(#REF!*'No. of aircraft'!$B$29)</f>
        <v>#REF!</v>
      </c>
      <c r="U98" s="275" t="e">
        <f>('No. of aircraft'!U8*1000)/(#REF!*'No. of aircraft'!$B$29)</f>
        <v>#REF!</v>
      </c>
      <c r="V98" s="275" t="e">
        <f>('No. of aircraft'!V8*1000)/(#REF!*'No. of aircraft'!$B$29)</f>
        <v>#REF!</v>
      </c>
      <c r="W98" s="354"/>
      <c r="X98" s="354"/>
      <c r="Y98" s="354"/>
      <c r="AD98" s="1333"/>
      <c r="AE98" s="87" t="s">
        <v>213</v>
      </c>
      <c r="AF98" s="634">
        <v>1</v>
      </c>
      <c r="AG98" s="634">
        <v>1</v>
      </c>
      <c r="AH98" s="634">
        <v>1</v>
      </c>
      <c r="AI98" s="634">
        <v>1</v>
      </c>
      <c r="AJ98" s="634">
        <v>1</v>
      </c>
      <c r="AK98" s="634">
        <v>1</v>
      </c>
      <c r="AL98" s="634">
        <v>1</v>
      </c>
      <c r="AM98" s="634">
        <v>1</v>
      </c>
      <c r="AN98" s="634">
        <v>1</v>
      </c>
      <c r="AO98" s="634">
        <v>1</v>
      </c>
      <c r="AP98" s="634">
        <v>1</v>
      </c>
      <c r="AQ98" s="634">
        <v>1</v>
      </c>
      <c r="AR98" s="634">
        <v>1</v>
      </c>
      <c r="AS98" s="634">
        <v>1</v>
      </c>
      <c r="AT98" s="634">
        <v>1</v>
      </c>
      <c r="AU98" s="634">
        <v>1</v>
      </c>
      <c r="AV98" s="634">
        <v>1</v>
      </c>
      <c r="AW98" s="634">
        <v>1</v>
      </c>
      <c r="AX98" s="634">
        <v>1</v>
      </c>
      <c r="AY98" s="634">
        <v>1</v>
      </c>
    </row>
    <row r="99" spans="1:51" ht="14.65" customHeight="1">
      <c r="A99" s="1333">
        <v>2</v>
      </c>
      <c r="B99" s="303" t="s">
        <v>214</v>
      </c>
      <c r="C99" s="647" t="e">
        <f>('No. of aircraft'!C9*1000)/(#REF!*'No. of aircraft'!$B$29)</f>
        <v>#REF!</v>
      </c>
      <c r="D99" s="647" t="e">
        <f>('No. of aircraft'!D9*1000)/(#REF!*'No. of aircraft'!$B$29)</f>
        <v>#REF!</v>
      </c>
      <c r="E99" s="647" t="e">
        <f>('No. of aircraft'!E9*1000)/(#REF!*'No. of aircraft'!$B$29)</f>
        <v>#REF!</v>
      </c>
      <c r="F99" s="647" t="e">
        <f>('No. of aircraft'!F9*1000)/(#REF!*'No. of aircraft'!$B$29)</f>
        <v>#REF!</v>
      </c>
      <c r="G99" s="275" t="e">
        <f>('No. of aircraft'!G9*1000)/(#REF!*'No. of aircraft'!$B$29)</f>
        <v>#REF!</v>
      </c>
      <c r="H99" s="275" t="e">
        <f>('No. of aircraft'!H9*1000)/(#REF!*'No. of aircraft'!$B$29)</f>
        <v>#REF!</v>
      </c>
      <c r="I99" s="275" t="e">
        <f>('No. of aircraft'!I9*1000)/(#REF!*'No. of aircraft'!$B$29)</f>
        <v>#REF!</v>
      </c>
      <c r="J99" s="275" t="e">
        <f>('No. of aircraft'!J9*1000)/(#REF!*'No. of aircraft'!$B$29)</f>
        <v>#REF!</v>
      </c>
      <c r="K99" s="275" t="e">
        <f>('No. of aircraft'!K9*1000)/(#REF!*'No. of aircraft'!$B$29)</f>
        <v>#REF!</v>
      </c>
      <c r="L99" s="275" t="e">
        <f>('No. of aircraft'!L9*1000)/(#REF!*'No. of aircraft'!$B$29)</f>
        <v>#REF!</v>
      </c>
      <c r="M99" s="275" t="e">
        <f>('No. of aircraft'!M9*1000)/(#REF!*'No. of aircraft'!$B$29)</f>
        <v>#REF!</v>
      </c>
      <c r="N99" s="275" t="e">
        <f>('No. of aircraft'!N9*1000)/(#REF!*'No. of aircraft'!$B$29)</f>
        <v>#REF!</v>
      </c>
      <c r="O99" s="275" t="e">
        <f>('No. of aircraft'!O9*1000)/(#REF!*'No. of aircraft'!$B$29)</f>
        <v>#REF!</v>
      </c>
      <c r="P99" s="275" t="e">
        <f>('No. of aircraft'!P9*1000)/(#REF!*'No. of aircraft'!$B$29)</f>
        <v>#REF!</v>
      </c>
      <c r="Q99" s="275" t="e">
        <f>('No. of aircraft'!Q9*1000)/(#REF!*'No. of aircraft'!$B$29)</f>
        <v>#REF!</v>
      </c>
      <c r="R99" s="275" t="e">
        <f>('No. of aircraft'!R9*1000)/(#REF!*'No. of aircraft'!$B$29)</f>
        <v>#REF!</v>
      </c>
      <c r="S99" s="275" t="e">
        <f>('No. of aircraft'!S9*1000)/(#REF!*'No. of aircraft'!$B$29)</f>
        <v>#REF!</v>
      </c>
      <c r="T99" s="275" t="e">
        <f>('No. of aircraft'!T9*1000)/(#REF!*'No. of aircraft'!$B$29)</f>
        <v>#REF!</v>
      </c>
      <c r="U99" s="275" t="e">
        <f>('No. of aircraft'!U9*1000)/(#REF!*'No. of aircraft'!$B$29)</f>
        <v>#REF!</v>
      </c>
      <c r="V99" s="275" t="e">
        <f>('No. of aircraft'!V9*1000)/(#REF!*'No. of aircraft'!$B$29)</f>
        <v>#REF!</v>
      </c>
      <c r="W99" s="642"/>
      <c r="X99" s="354"/>
      <c r="Y99" s="354"/>
      <c r="AD99" s="1333">
        <v>2</v>
      </c>
      <c r="AE99" s="303" t="s">
        <v>214</v>
      </c>
      <c r="AF99" s="653" t="e">
        <f t="shared" ref="AF99:AF110" si="57">ROUNDUP(C99,0)</f>
        <v>#REF!</v>
      </c>
      <c r="AG99" s="653" t="e">
        <f t="shared" ref="AG99:AG110" si="58">ROUNDUP(D99,0)</f>
        <v>#REF!</v>
      </c>
      <c r="AH99" s="653" t="e">
        <f t="shared" ref="AH99:AH110" si="59">ROUNDUP(E99,0)</f>
        <v>#REF!</v>
      </c>
      <c r="AI99" s="653" t="e">
        <f t="shared" ref="AI99:AI110" si="60">ROUNDUP(F99,0)</f>
        <v>#REF!</v>
      </c>
      <c r="AJ99" s="634" t="e">
        <f t="shared" ref="AJ99:AJ110" si="61">ROUNDUP(G99,0)</f>
        <v>#REF!</v>
      </c>
      <c r="AK99" s="634" t="e">
        <f t="shared" ref="AK99:AK110" si="62">ROUNDUP(H99,0)</f>
        <v>#REF!</v>
      </c>
      <c r="AL99" s="634" t="e">
        <f t="shared" ref="AL99:AL110" si="63">ROUNDUP(I99,0)</f>
        <v>#REF!</v>
      </c>
      <c r="AM99" s="634" t="e">
        <f t="shared" ref="AM99:AM110" si="64">ROUNDUP(J99,0)</f>
        <v>#REF!</v>
      </c>
      <c r="AN99" s="634" t="e">
        <f t="shared" ref="AN99:AN102" si="65">ROUNDUP(K99,0)</f>
        <v>#REF!</v>
      </c>
      <c r="AO99" s="634">
        <v>1</v>
      </c>
      <c r="AP99" s="634">
        <v>1</v>
      </c>
      <c r="AQ99" s="634">
        <v>1</v>
      </c>
      <c r="AR99" s="634">
        <v>1</v>
      </c>
      <c r="AS99" s="634">
        <v>1</v>
      </c>
      <c r="AT99" s="634">
        <v>1</v>
      </c>
      <c r="AU99" s="634">
        <v>1</v>
      </c>
      <c r="AV99" s="634">
        <v>1</v>
      </c>
      <c r="AW99" s="634">
        <v>1</v>
      </c>
      <c r="AX99" s="634">
        <v>1</v>
      </c>
      <c r="AY99" s="634">
        <v>1</v>
      </c>
    </row>
    <row r="100" spans="1:51" ht="14.65" customHeight="1">
      <c r="A100" s="1333"/>
      <c r="B100" s="303" t="s">
        <v>215</v>
      </c>
      <c r="C100" s="647" t="e">
        <f>('No. of aircraft'!C10*1000)/(#REF!*'No. of aircraft'!$B$29)</f>
        <v>#REF!</v>
      </c>
      <c r="D100" s="647" t="e">
        <f>('No. of aircraft'!D10*1000)/(#REF!*'No. of aircraft'!$B$29)</f>
        <v>#REF!</v>
      </c>
      <c r="E100" s="647" t="e">
        <f>('No. of aircraft'!E10*1000)/(#REF!*'No. of aircraft'!$B$29)</f>
        <v>#REF!</v>
      </c>
      <c r="F100" s="647" t="e">
        <f>('No. of aircraft'!F10*1000)/(#REF!*'No. of aircraft'!$B$29)</f>
        <v>#REF!</v>
      </c>
      <c r="G100" s="275" t="e">
        <f>('No. of aircraft'!G10*1000)/(#REF!*'No. of aircraft'!$B$29)</f>
        <v>#REF!</v>
      </c>
      <c r="H100" s="275" t="e">
        <f>('No. of aircraft'!H10*1000)/(#REF!*'No. of aircraft'!$B$29)</f>
        <v>#REF!</v>
      </c>
      <c r="I100" s="275" t="e">
        <f>('No. of aircraft'!I10*1000)/(#REF!*'No. of aircraft'!$B$29)</f>
        <v>#REF!</v>
      </c>
      <c r="J100" s="275" t="e">
        <f>('No. of aircraft'!J10*1000)/(#REF!*'No. of aircraft'!$B$29)</f>
        <v>#REF!</v>
      </c>
      <c r="K100" s="275" t="e">
        <f>('No. of aircraft'!K10*1000)/(#REF!*'No. of aircraft'!$B$29)</f>
        <v>#REF!</v>
      </c>
      <c r="L100" s="275" t="e">
        <f>('No. of aircraft'!L10*1000)/(#REF!*'No. of aircraft'!$B$29)</f>
        <v>#REF!</v>
      </c>
      <c r="M100" s="275" t="e">
        <f>('No. of aircraft'!M10*1000)/(#REF!*'No. of aircraft'!$B$29)</f>
        <v>#REF!</v>
      </c>
      <c r="N100" s="275" t="e">
        <f>('No. of aircraft'!N10*1000)/(#REF!*'No. of aircraft'!$B$29)</f>
        <v>#REF!</v>
      </c>
      <c r="O100" s="275" t="e">
        <f>('No. of aircraft'!O10*1000)/(#REF!*'No. of aircraft'!$B$29)</f>
        <v>#REF!</v>
      </c>
      <c r="P100" s="275" t="e">
        <f>('No. of aircraft'!P10*1000)/(#REF!*'No. of aircraft'!$B$29)</f>
        <v>#REF!</v>
      </c>
      <c r="Q100" s="275" t="e">
        <f>('No. of aircraft'!Q10*1000)/(#REF!*'No. of aircraft'!$B$29)</f>
        <v>#REF!</v>
      </c>
      <c r="R100" s="275" t="e">
        <f>('No. of aircraft'!R10*1000)/(#REF!*'No. of aircraft'!$B$29)</f>
        <v>#REF!</v>
      </c>
      <c r="S100" s="275" t="e">
        <f>('No. of aircraft'!S10*1000)/(#REF!*'No. of aircraft'!$B$29)</f>
        <v>#REF!</v>
      </c>
      <c r="T100" s="275" t="e">
        <f>('No. of aircraft'!T10*1000)/(#REF!*'No. of aircraft'!$B$29)</f>
        <v>#REF!</v>
      </c>
      <c r="U100" s="275" t="e">
        <f>('No. of aircraft'!U10*1000)/(#REF!*'No. of aircraft'!$B$29)</f>
        <v>#REF!</v>
      </c>
      <c r="V100" s="275" t="e">
        <f>('No. of aircraft'!V10*1000)/(#REF!*'No. of aircraft'!$B$29)</f>
        <v>#REF!</v>
      </c>
      <c r="W100" s="354"/>
      <c r="X100" s="354"/>
      <c r="Y100" s="354"/>
      <c r="AD100" s="1333"/>
      <c r="AE100" s="303" t="s">
        <v>215</v>
      </c>
      <c r="AF100" s="653" t="e">
        <f t="shared" si="57"/>
        <v>#REF!</v>
      </c>
      <c r="AG100" s="653" t="e">
        <f t="shared" si="58"/>
        <v>#REF!</v>
      </c>
      <c r="AH100" s="653" t="e">
        <f t="shared" si="59"/>
        <v>#REF!</v>
      </c>
      <c r="AI100" s="653" t="e">
        <f t="shared" si="60"/>
        <v>#REF!</v>
      </c>
      <c r="AJ100" s="634" t="e">
        <f t="shared" si="61"/>
        <v>#REF!</v>
      </c>
      <c r="AK100" s="634" t="e">
        <f t="shared" si="62"/>
        <v>#REF!</v>
      </c>
      <c r="AL100" s="634" t="e">
        <f t="shared" si="63"/>
        <v>#REF!</v>
      </c>
      <c r="AM100" s="634" t="e">
        <f t="shared" si="64"/>
        <v>#REF!</v>
      </c>
      <c r="AN100" s="634" t="e">
        <f t="shared" si="65"/>
        <v>#REF!</v>
      </c>
      <c r="AO100" s="634" t="e">
        <f t="shared" ref="AO100:AO102" si="66">ROUNDUP(L100,0)</f>
        <v>#REF!</v>
      </c>
      <c r="AP100" s="634" t="e">
        <f t="shared" ref="AP100:AP102" si="67">ROUNDUP(M100,0)</f>
        <v>#REF!</v>
      </c>
      <c r="AQ100" s="634" t="e">
        <f t="shared" ref="AQ100:AQ102" si="68">ROUNDUP(N100,0)</f>
        <v>#REF!</v>
      </c>
      <c r="AR100" s="634" t="e">
        <f t="shared" ref="AR100:AR102" si="69">ROUNDUP(O100,0)</f>
        <v>#REF!</v>
      </c>
      <c r="AS100" s="634" t="e">
        <f t="shared" ref="AS100:AS102" si="70">ROUNDUP(P100,0)</f>
        <v>#REF!</v>
      </c>
      <c r="AT100" s="634" t="e">
        <f t="shared" ref="AT100:AT102" si="71">ROUNDUP(Q100,0)</f>
        <v>#REF!</v>
      </c>
      <c r="AU100" s="634" t="e">
        <f t="shared" ref="AU100:AU102" si="72">ROUNDUP(R100,0)</f>
        <v>#REF!</v>
      </c>
      <c r="AV100" s="634" t="e">
        <f t="shared" ref="AV100:AV102" si="73">ROUNDUP(S100,0)</f>
        <v>#REF!</v>
      </c>
      <c r="AW100" s="634" t="e">
        <f t="shared" ref="AW100:AW102" si="74">ROUNDUP(T100,0)</f>
        <v>#REF!</v>
      </c>
      <c r="AX100" s="634" t="e">
        <f t="shared" ref="AX100:AX102" si="75">ROUNDUP(U100,0)</f>
        <v>#REF!</v>
      </c>
      <c r="AY100" s="634" t="e">
        <f t="shared" ref="AY100:AY102" si="76">ROUNDUP(V100,0)</f>
        <v>#REF!</v>
      </c>
    </row>
    <row r="101" spans="1:51" ht="14.65" customHeight="1">
      <c r="A101" s="1333"/>
      <c r="B101" s="303" t="s">
        <v>216</v>
      </c>
      <c r="C101" s="647" t="e">
        <f>('No. of aircraft'!C11*1000)/(#REF!*'No. of aircraft'!$B$29)</f>
        <v>#REF!</v>
      </c>
      <c r="D101" s="647" t="e">
        <f>('No. of aircraft'!D11*1000)/(#REF!*'No. of aircraft'!$B$29)</f>
        <v>#REF!</v>
      </c>
      <c r="E101" s="647" t="e">
        <f>('No. of aircraft'!E11*1000)/(#REF!*'No. of aircraft'!$B$29)</f>
        <v>#REF!</v>
      </c>
      <c r="F101" s="647" t="e">
        <f>('No. of aircraft'!F11*1000)/(#REF!*'No. of aircraft'!$B$29)</f>
        <v>#REF!</v>
      </c>
      <c r="G101" s="275" t="e">
        <f>('No. of aircraft'!G11*1000)/(#REF!*'No. of aircraft'!$B$29)</f>
        <v>#REF!</v>
      </c>
      <c r="H101" s="275" t="e">
        <f>('No. of aircraft'!H11*1000)/(#REF!*'No. of aircraft'!$B$29)</f>
        <v>#REF!</v>
      </c>
      <c r="I101" s="275" t="e">
        <f>('No. of aircraft'!I11*1000)/(#REF!*'No. of aircraft'!$B$29)</f>
        <v>#REF!</v>
      </c>
      <c r="J101" s="275" t="e">
        <f>('No. of aircraft'!J11*1000)/(#REF!*'No. of aircraft'!$B$29)</f>
        <v>#REF!</v>
      </c>
      <c r="K101" s="275" t="e">
        <f>('No. of aircraft'!K11*1000)/(#REF!*'No. of aircraft'!$B$29)</f>
        <v>#REF!</v>
      </c>
      <c r="L101" s="275" t="e">
        <f>('No. of aircraft'!L11*1000)/(#REF!*'No. of aircraft'!$B$29)</f>
        <v>#REF!</v>
      </c>
      <c r="M101" s="275" t="e">
        <f>('No. of aircraft'!M11*1000)/(#REF!*'No. of aircraft'!$B$29)</f>
        <v>#REF!</v>
      </c>
      <c r="N101" s="275" t="e">
        <f>('No. of aircraft'!N11*1000)/(#REF!*'No. of aircraft'!$B$29)</f>
        <v>#REF!</v>
      </c>
      <c r="O101" s="275" t="e">
        <f>('No. of aircraft'!O11*1000)/(#REF!*'No. of aircraft'!$B$29)</f>
        <v>#REF!</v>
      </c>
      <c r="P101" s="275" t="e">
        <f>('No. of aircraft'!P11*1000)/(#REF!*'No. of aircraft'!$B$29)</f>
        <v>#REF!</v>
      </c>
      <c r="Q101" s="275" t="e">
        <f>('No. of aircraft'!Q11*1000)/(#REF!*'No. of aircraft'!$B$29)</f>
        <v>#REF!</v>
      </c>
      <c r="R101" s="275" t="e">
        <f>('No. of aircraft'!R11*1000)/(#REF!*'No. of aircraft'!$B$29)</f>
        <v>#REF!</v>
      </c>
      <c r="S101" s="275" t="e">
        <f>('No. of aircraft'!S11*1000)/(#REF!*'No. of aircraft'!$B$29)</f>
        <v>#REF!</v>
      </c>
      <c r="T101" s="275" t="e">
        <f>('No. of aircraft'!T11*1000)/(#REF!*'No. of aircraft'!$B$29)</f>
        <v>#REF!</v>
      </c>
      <c r="U101" s="275" t="e">
        <f>('No. of aircraft'!U11*1000)/(#REF!*'No. of aircraft'!$B$29)</f>
        <v>#REF!</v>
      </c>
      <c r="V101" s="275" t="e">
        <f>('No. of aircraft'!V11*1000)/(#REF!*'No. of aircraft'!$B$29)</f>
        <v>#REF!</v>
      </c>
      <c r="W101" s="354"/>
      <c r="X101" s="354"/>
      <c r="Y101" s="354"/>
      <c r="AD101" s="1333"/>
      <c r="AE101" s="303" t="s">
        <v>216</v>
      </c>
      <c r="AF101" s="653" t="e">
        <f t="shared" si="57"/>
        <v>#REF!</v>
      </c>
      <c r="AG101" s="653" t="e">
        <f t="shared" si="58"/>
        <v>#REF!</v>
      </c>
      <c r="AH101" s="653" t="e">
        <f t="shared" si="59"/>
        <v>#REF!</v>
      </c>
      <c r="AI101" s="653" t="e">
        <f t="shared" si="60"/>
        <v>#REF!</v>
      </c>
      <c r="AJ101" s="634" t="e">
        <f t="shared" si="61"/>
        <v>#REF!</v>
      </c>
      <c r="AK101" s="634" t="e">
        <f t="shared" si="62"/>
        <v>#REF!</v>
      </c>
      <c r="AL101" s="634" t="e">
        <f t="shared" si="63"/>
        <v>#REF!</v>
      </c>
      <c r="AM101" s="634" t="e">
        <f t="shared" si="64"/>
        <v>#REF!</v>
      </c>
      <c r="AN101" s="634" t="e">
        <f t="shared" si="65"/>
        <v>#REF!</v>
      </c>
      <c r="AO101" s="634" t="e">
        <f t="shared" si="66"/>
        <v>#REF!</v>
      </c>
      <c r="AP101" s="634" t="e">
        <f t="shared" si="67"/>
        <v>#REF!</v>
      </c>
      <c r="AQ101" s="634" t="e">
        <f t="shared" si="68"/>
        <v>#REF!</v>
      </c>
      <c r="AR101" s="634" t="e">
        <f t="shared" si="69"/>
        <v>#REF!</v>
      </c>
      <c r="AS101" s="634" t="e">
        <f t="shared" si="70"/>
        <v>#REF!</v>
      </c>
      <c r="AT101" s="634" t="e">
        <f t="shared" si="71"/>
        <v>#REF!</v>
      </c>
      <c r="AU101" s="634" t="e">
        <f t="shared" si="72"/>
        <v>#REF!</v>
      </c>
      <c r="AV101" s="634" t="e">
        <f t="shared" si="73"/>
        <v>#REF!</v>
      </c>
      <c r="AW101" s="634" t="e">
        <f t="shared" si="74"/>
        <v>#REF!</v>
      </c>
      <c r="AX101" s="634" t="e">
        <f t="shared" si="75"/>
        <v>#REF!</v>
      </c>
      <c r="AY101" s="634" t="e">
        <f t="shared" si="76"/>
        <v>#REF!</v>
      </c>
    </row>
    <row r="102" spans="1:51" ht="14.65" customHeight="1">
      <c r="A102" s="1333"/>
      <c r="B102" s="305" t="s">
        <v>217</v>
      </c>
      <c r="C102" s="647" t="e">
        <f>('No. of aircraft'!C12*1000)/(#REF!*'No. of aircraft'!$B$29)</f>
        <v>#REF!</v>
      </c>
      <c r="D102" s="647" t="e">
        <f>('No. of aircraft'!D12*1000)/(#REF!*'No. of aircraft'!$B$29)</f>
        <v>#REF!</v>
      </c>
      <c r="E102" s="647" t="e">
        <f>('No. of aircraft'!E12*1000)/(#REF!*'No. of aircraft'!$B$29)</f>
        <v>#REF!</v>
      </c>
      <c r="F102" s="647" t="e">
        <f>('No. of aircraft'!F12*1000)/(#REF!*'No. of aircraft'!$B$29)</f>
        <v>#REF!</v>
      </c>
      <c r="G102" s="275" t="e">
        <f>('No. of aircraft'!G12*1000)/(#REF!*'No. of aircraft'!$B$29)</f>
        <v>#REF!</v>
      </c>
      <c r="H102" s="275" t="e">
        <f>('No. of aircraft'!H12*1000)/(#REF!*'No. of aircraft'!$B$29)</f>
        <v>#REF!</v>
      </c>
      <c r="I102" s="275" t="e">
        <f>('No. of aircraft'!I12*1000)/(#REF!*'No. of aircraft'!$B$29)</f>
        <v>#REF!</v>
      </c>
      <c r="J102" s="275" t="e">
        <f>('No. of aircraft'!J12*1000)/(#REF!*'No. of aircraft'!$B$29)</f>
        <v>#REF!</v>
      </c>
      <c r="K102" s="275" t="e">
        <f>('No. of aircraft'!K12*1000)/(#REF!*'No. of aircraft'!$B$29)</f>
        <v>#REF!</v>
      </c>
      <c r="L102" s="275" t="e">
        <f>('No. of aircraft'!L12*1000)/(#REF!*'No. of aircraft'!$B$29)</f>
        <v>#REF!</v>
      </c>
      <c r="M102" s="275" t="e">
        <f>('No. of aircraft'!M12*1000)/(#REF!*'No. of aircraft'!$B$29)</f>
        <v>#REF!</v>
      </c>
      <c r="N102" s="275" t="e">
        <f>('No. of aircraft'!N12*1000)/(#REF!*'No. of aircraft'!$B$29)</f>
        <v>#REF!</v>
      </c>
      <c r="O102" s="275" t="e">
        <f>('No. of aircraft'!O12*1000)/(#REF!*'No. of aircraft'!$B$29)</f>
        <v>#REF!</v>
      </c>
      <c r="P102" s="275" t="e">
        <f>('No. of aircraft'!P12*1000)/(#REF!*'No. of aircraft'!$B$29)</f>
        <v>#REF!</v>
      </c>
      <c r="Q102" s="275" t="e">
        <f>('No. of aircraft'!Q12*1000)/(#REF!*'No. of aircraft'!$B$29)</f>
        <v>#REF!</v>
      </c>
      <c r="R102" s="275" t="e">
        <f>('No. of aircraft'!R12*1000)/(#REF!*'No. of aircraft'!$B$29)</f>
        <v>#REF!</v>
      </c>
      <c r="S102" s="275" t="e">
        <f>('No. of aircraft'!S12*1000)/(#REF!*'No. of aircraft'!$B$29)</f>
        <v>#REF!</v>
      </c>
      <c r="T102" s="275" t="e">
        <f>('No. of aircraft'!T12*1000)/(#REF!*'No. of aircraft'!$B$29)</f>
        <v>#REF!</v>
      </c>
      <c r="U102" s="275" t="e">
        <f>('No. of aircraft'!U12*1000)/(#REF!*'No. of aircraft'!$B$29)</f>
        <v>#REF!</v>
      </c>
      <c r="V102" s="275" t="e">
        <f>('No. of aircraft'!V12*1000)/(#REF!*'No. of aircraft'!$B$29)</f>
        <v>#REF!</v>
      </c>
      <c r="W102" s="354"/>
      <c r="X102" s="354"/>
      <c r="Y102" s="354"/>
      <c r="AD102" s="1333"/>
      <c r="AE102" s="305" t="s">
        <v>217</v>
      </c>
      <c r="AF102" s="653" t="e">
        <f t="shared" si="57"/>
        <v>#REF!</v>
      </c>
      <c r="AG102" s="653" t="e">
        <f t="shared" si="58"/>
        <v>#REF!</v>
      </c>
      <c r="AH102" s="653" t="e">
        <f t="shared" si="59"/>
        <v>#REF!</v>
      </c>
      <c r="AI102" s="653" t="e">
        <f t="shared" si="60"/>
        <v>#REF!</v>
      </c>
      <c r="AJ102" s="634" t="e">
        <f t="shared" si="61"/>
        <v>#REF!</v>
      </c>
      <c r="AK102" s="634" t="e">
        <f t="shared" si="62"/>
        <v>#REF!</v>
      </c>
      <c r="AL102" s="634" t="e">
        <f t="shared" si="63"/>
        <v>#REF!</v>
      </c>
      <c r="AM102" s="634" t="e">
        <f t="shared" si="64"/>
        <v>#REF!</v>
      </c>
      <c r="AN102" s="634" t="e">
        <f t="shared" si="65"/>
        <v>#REF!</v>
      </c>
      <c r="AO102" s="634" t="e">
        <f t="shared" si="66"/>
        <v>#REF!</v>
      </c>
      <c r="AP102" s="634" t="e">
        <f t="shared" si="67"/>
        <v>#REF!</v>
      </c>
      <c r="AQ102" s="634" t="e">
        <f t="shared" si="68"/>
        <v>#REF!</v>
      </c>
      <c r="AR102" s="634" t="e">
        <f t="shared" si="69"/>
        <v>#REF!</v>
      </c>
      <c r="AS102" s="634" t="e">
        <f t="shared" si="70"/>
        <v>#REF!</v>
      </c>
      <c r="AT102" s="634" t="e">
        <f t="shared" si="71"/>
        <v>#REF!</v>
      </c>
      <c r="AU102" s="634" t="e">
        <f t="shared" si="72"/>
        <v>#REF!</v>
      </c>
      <c r="AV102" s="634" t="e">
        <f t="shared" si="73"/>
        <v>#REF!</v>
      </c>
      <c r="AW102" s="634" t="e">
        <f t="shared" si="74"/>
        <v>#REF!</v>
      </c>
      <c r="AX102" s="634" t="e">
        <f t="shared" si="75"/>
        <v>#REF!</v>
      </c>
      <c r="AY102" s="634" t="e">
        <f t="shared" si="76"/>
        <v>#REF!</v>
      </c>
    </row>
    <row r="103" spans="1:51" ht="14.65" customHeight="1">
      <c r="A103" s="1333">
        <v>3</v>
      </c>
      <c r="B103" s="203" t="s">
        <v>218</v>
      </c>
      <c r="C103" s="647" t="e">
        <f>('No. of aircraft'!C13*1000)/(#REF!*'No. of aircraft'!$B$29)</f>
        <v>#REF!</v>
      </c>
      <c r="D103" s="647" t="e">
        <f>('No. of aircraft'!D13*1000)/(#REF!*'No. of aircraft'!$B$29)</f>
        <v>#REF!</v>
      </c>
      <c r="E103" s="647" t="e">
        <f>('No. of aircraft'!E13*1000)/(#REF!*'No. of aircraft'!$B$29)</f>
        <v>#REF!</v>
      </c>
      <c r="F103" s="647" t="e">
        <f>('No. of aircraft'!F13*1000)/(#REF!*'No. of aircraft'!$B$29)</f>
        <v>#REF!</v>
      </c>
      <c r="G103" s="647" t="e">
        <f>('No. of aircraft'!G13*1000)/(#REF!*'No. of aircraft'!$B$29)</f>
        <v>#REF!</v>
      </c>
      <c r="H103" s="647" t="e">
        <f>('No. of aircraft'!H13*1000)/(#REF!*'No. of aircraft'!$B$29)</f>
        <v>#REF!</v>
      </c>
      <c r="I103" s="647" t="e">
        <f>('No. of aircraft'!I13*1000)/(#REF!*'No. of aircraft'!$B$29)</f>
        <v>#REF!</v>
      </c>
      <c r="J103" s="647" t="e">
        <f>('No. of aircraft'!J13*1000)/(#REF!*'No. of aircraft'!$B$29)</f>
        <v>#REF!</v>
      </c>
      <c r="K103" s="275" t="e">
        <f>('No. of aircraft'!K13*1000)/(#REF!*'No. of aircraft'!$B$29)</f>
        <v>#REF!</v>
      </c>
      <c r="L103" s="275" t="e">
        <f>('No. of aircraft'!L13*1000)/(#REF!*'No. of aircraft'!$B$29)</f>
        <v>#REF!</v>
      </c>
      <c r="M103" s="275" t="e">
        <f>('No. of aircraft'!M13*1000)/(#REF!*'No. of aircraft'!$B$29)</f>
        <v>#REF!</v>
      </c>
      <c r="N103" s="275" t="e">
        <f>('No. of aircraft'!N13*1000)/(#REF!*'No. of aircraft'!$B$29)</f>
        <v>#REF!</v>
      </c>
      <c r="O103" s="275" t="e">
        <f>('No. of aircraft'!O13*1000)/(#REF!*'No. of aircraft'!$B$29)</f>
        <v>#REF!</v>
      </c>
      <c r="P103" s="275" t="e">
        <f>('No. of aircraft'!P13*1000)/(#REF!*'No. of aircraft'!$B$29)</f>
        <v>#REF!</v>
      </c>
      <c r="Q103" s="275" t="e">
        <f>('No. of aircraft'!Q13*1000)/(#REF!*'No. of aircraft'!$B$29)</f>
        <v>#REF!</v>
      </c>
      <c r="R103" s="275" t="e">
        <f>('No. of aircraft'!R13*1000)/(#REF!*'No. of aircraft'!$B$29)</f>
        <v>#REF!</v>
      </c>
      <c r="S103" s="275" t="e">
        <f>('No. of aircraft'!S13*1000)/(#REF!*'No. of aircraft'!$B$29)</f>
        <v>#REF!</v>
      </c>
      <c r="T103" s="275" t="e">
        <f>('No. of aircraft'!T13*1000)/(#REF!*'No. of aircraft'!$B$29)</f>
        <v>#REF!</v>
      </c>
      <c r="U103" s="275" t="e">
        <f>('No. of aircraft'!U13*1000)/(#REF!*'No. of aircraft'!$B$29)</f>
        <v>#REF!</v>
      </c>
      <c r="V103" s="275" t="e">
        <f>('No. of aircraft'!V13*1000)/(#REF!*'No. of aircraft'!$B$29)</f>
        <v>#REF!</v>
      </c>
      <c r="W103" s="642"/>
      <c r="X103" s="354"/>
      <c r="Y103" s="354"/>
      <c r="AD103" s="1333">
        <v>3</v>
      </c>
      <c r="AE103" s="203" t="s">
        <v>218</v>
      </c>
      <c r="AF103" s="653" t="e">
        <f t="shared" si="57"/>
        <v>#REF!</v>
      </c>
      <c r="AG103" s="653" t="e">
        <f t="shared" si="58"/>
        <v>#REF!</v>
      </c>
      <c r="AH103" s="653" t="e">
        <f t="shared" si="59"/>
        <v>#REF!</v>
      </c>
      <c r="AI103" s="653" t="e">
        <f t="shared" si="60"/>
        <v>#REF!</v>
      </c>
      <c r="AJ103" s="653" t="e">
        <f t="shared" si="61"/>
        <v>#REF!</v>
      </c>
      <c r="AK103" s="653" t="e">
        <f t="shared" si="62"/>
        <v>#REF!</v>
      </c>
      <c r="AL103" s="653" t="e">
        <f t="shared" si="63"/>
        <v>#REF!</v>
      </c>
      <c r="AM103" s="653" t="e">
        <f t="shared" si="64"/>
        <v>#REF!</v>
      </c>
      <c r="AN103" s="634">
        <v>1</v>
      </c>
      <c r="AO103" s="634">
        <v>1</v>
      </c>
      <c r="AP103" s="634">
        <v>1</v>
      </c>
      <c r="AQ103" s="634">
        <v>1</v>
      </c>
      <c r="AR103" s="634">
        <v>1</v>
      </c>
      <c r="AS103" s="634">
        <v>1</v>
      </c>
      <c r="AT103" s="634">
        <v>1</v>
      </c>
      <c r="AU103" s="634">
        <v>1</v>
      </c>
      <c r="AV103" s="634">
        <v>1</v>
      </c>
      <c r="AW103" s="634">
        <v>1</v>
      </c>
      <c r="AX103" s="634">
        <v>1</v>
      </c>
      <c r="AY103" s="634">
        <v>1</v>
      </c>
    </row>
    <row r="104" spans="1:51" ht="14.65" customHeight="1">
      <c r="A104" s="1333"/>
      <c r="B104" s="203" t="s">
        <v>219</v>
      </c>
      <c r="C104" s="647" t="e">
        <f>('No. of aircraft'!C14*1000)/(#REF!*'No. of aircraft'!$B$29)</f>
        <v>#REF!</v>
      </c>
      <c r="D104" s="647" t="e">
        <f>('No. of aircraft'!D14*1000)/(#REF!*'No. of aircraft'!$B$29)</f>
        <v>#REF!</v>
      </c>
      <c r="E104" s="647" t="e">
        <f>('No. of aircraft'!E14*1000)/(#REF!*'No. of aircraft'!$B$29)</f>
        <v>#REF!</v>
      </c>
      <c r="F104" s="647" t="e">
        <f>('No. of aircraft'!F14*1000)/(#REF!*'No. of aircraft'!$B$29)</f>
        <v>#REF!</v>
      </c>
      <c r="G104" s="647" t="e">
        <f>('No. of aircraft'!G14*1000)/(#REF!*'No. of aircraft'!$B$29)</f>
        <v>#REF!</v>
      </c>
      <c r="H104" s="647" t="e">
        <f>('No. of aircraft'!H14*1000)/(#REF!*'No. of aircraft'!$B$29)</f>
        <v>#REF!</v>
      </c>
      <c r="I104" s="647" t="e">
        <f>('No. of aircraft'!I14*1000)/(#REF!*'No. of aircraft'!$B$29)</f>
        <v>#REF!</v>
      </c>
      <c r="J104" s="647" t="e">
        <f>('No. of aircraft'!J14*1000)/(#REF!*'No. of aircraft'!$B$29)</f>
        <v>#REF!</v>
      </c>
      <c r="K104" s="275" t="e">
        <f>('No. of aircraft'!K14*1000)/(#REF!*'No. of aircraft'!$B$29)</f>
        <v>#REF!</v>
      </c>
      <c r="L104" s="275" t="e">
        <f>('No. of aircraft'!L14*1000)/(#REF!*'No. of aircraft'!$B$29)</f>
        <v>#REF!</v>
      </c>
      <c r="M104" s="275" t="e">
        <f>('No. of aircraft'!M14*1000)/(#REF!*'No. of aircraft'!$B$29)</f>
        <v>#REF!</v>
      </c>
      <c r="N104" s="275" t="e">
        <f>('No. of aircraft'!N14*1000)/(#REF!*'No. of aircraft'!$B$29)</f>
        <v>#REF!</v>
      </c>
      <c r="O104" s="275" t="e">
        <f>('No. of aircraft'!O14*1000)/(#REF!*'No. of aircraft'!$B$29)</f>
        <v>#REF!</v>
      </c>
      <c r="P104" s="275" t="e">
        <f>('No. of aircraft'!P14*1000)/(#REF!*'No. of aircraft'!$B$29)</f>
        <v>#REF!</v>
      </c>
      <c r="Q104" s="275" t="e">
        <f>('No. of aircraft'!Q14*1000)/(#REF!*'No. of aircraft'!$B$29)</f>
        <v>#REF!</v>
      </c>
      <c r="R104" s="275" t="e">
        <f>('No. of aircraft'!R14*1000)/(#REF!*'No. of aircraft'!$B$29)</f>
        <v>#REF!</v>
      </c>
      <c r="S104" s="275" t="e">
        <f>('No. of aircraft'!S14*1000)/(#REF!*'No. of aircraft'!$B$29)</f>
        <v>#REF!</v>
      </c>
      <c r="T104" s="275" t="e">
        <f>('No. of aircraft'!T14*1000)/(#REF!*'No. of aircraft'!$B$29)</f>
        <v>#REF!</v>
      </c>
      <c r="U104" s="275" t="e">
        <f>('No. of aircraft'!U14*1000)/(#REF!*'No. of aircraft'!$B$29)</f>
        <v>#REF!</v>
      </c>
      <c r="V104" s="275" t="e">
        <f>('No. of aircraft'!V14*1000)/(#REF!*'No. of aircraft'!$B$29)</f>
        <v>#REF!</v>
      </c>
      <c r="W104" s="354"/>
      <c r="X104" s="354"/>
      <c r="Y104" s="354"/>
      <c r="AD104" s="1333"/>
      <c r="AE104" s="203" t="s">
        <v>219</v>
      </c>
      <c r="AF104" s="653" t="e">
        <f t="shared" si="57"/>
        <v>#REF!</v>
      </c>
      <c r="AG104" s="653" t="e">
        <f t="shared" si="58"/>
        <v>#REF!</v>
      </c>
      <c r="AH104" s="653" t="e">
        <f t="shared" si="59"/>
        <v>#REF!</v>
      </c>
      <c r="AI104" s="653" t="e">
        <f t="shared" si="60"/>
        <v>#REF!</v>
      </c>
      <c r="AJ104" s="653" t="e">
        <f t="shared" si="61"/>
        <v>#REF!</v>
      </c>
      <c r="AK104" s="653" t="e">
        <f t="shared" si="62"/>
        <v>#REF!</v>
      </c>
      <c r="AL104" s="653" t="e">
        <f t="shared" si="63"/>
        <v>#REF!</v>
      </c>
      <c r="AM104" s="653" t="e">
        <f t="shared" si="64"/>
        <v>#REF!</v>
      </c>
      <c r="AN104" s="634" t="e">
        <f t="shared" ref="AN104:AN110" si="77">ROUNDUP(K104,0)</f>
        <v>#REF!</v>
      </c>
      <c r="AO104" s="634" t="e">
        <f t="shared" ref="AO104:AO110" si="78">ROUNDUP(L104,0)</f>
        <v>#REF!</v>
      </c>
      <c r="AP104" s="634" t="e">
        <f t="shared" ref="AP104:AP110" si="79">ROUNDUP(M104,0)</f>
        <v>#REF!</v>
      </c>
      <c r="AQ104" s="634" t="e">
        <f t="shared" ref="AQ104:AQ110" si="80">ROUNDUP(N104,0)</f>
        <v>#REF!</v>
      </c>
      <c r="AR104" s="634" t="e">
        <f t="shared" ref="AR104:AR106" si="81">ROUNDUP(O104,0)</f>
        <v>#REF!</v>
      </c>
      <c r="AS104" s="634" t="e">
        <f t="shared" ref="AS104:AS106" si="82">ROUNDUP(P104,0)</f>
        <v>#REF!</v>
      </c>
      <c r="AT104" s="634" t="e">
        <f t="shared" ref="AT104:AT106" si="83">ROUNDUP(Q104,0)</f>
        <v>#REF!</v>
      </c>
      <c r="AU104" s="634" t="e">
        <f t="shared" ref="AU104:AU106" si="84">ROUNDUP(R104,0)</f>
        <v>#REF!</v>
      </c>
      <c r="AV104" s="634" t="e">
        <f t="shared" ref="AV104:AV106" si="85">ROUNDUP(S104,0)</f>
        <v>#REF!</v>
      </c>
      <c r="AW104" s="634" t="e">
        <f t="shared" ref="AW104:AW106" si="86">ROUNDUP(T104,0)</f>
        <v>#REF!</v>
      </c>
      <c r="AX104" s="634" t="e">
        <f t="shared" ref="AX104:AX106" si="87">ROUNDUP(U104,0)</f>
        <v>#REF!</v>
      </c>
      <c r="AY104" s="634" t="e">
        <f t="shared" ref="AY104:AY106" si="88">ROUNDUP(V104,0)</f>
        <v>#REF!</v>
      </c>
    </row>
    <row r="105" spans="1:51" ht="14.65" customHeight="1">
      <c r="A105" s="1333"/>
      <c r="B105" s="203" t="s">
        <v>220</v>
      </c>
      <c r="C105" s="647" t="e">
        <f>('No. of aircraft'!C15*1000)/(#REF!*'No. of aircraft'!$B$29)</f>
        <v>#REF!</v>
      </c>
      <c r="D105" s="647" t="e">
        <f>('No. of aircraft'!D15*1000)/(#REF!*'No. of aircraft'!$B$29)</f>
        <v>#REF!</v>
      </c>
      <c r="E105" s="647" t="e">
        <f>('No. of aircraft'!E15*1000)/(#REF!*'No. of aircraft'!$B$29)</f>
        <v>#REF!</v>
      </c>
      <c r="F105" s="647" t="e">
        <f>('No. of aircraft'!F15*1000)/(#REF!*'No. of aircraft'!$B$29)</f>
        <v>#REF!</v>
      </c>
      <c r="G105" s="647" t="e">
        <f>('No. of aircraft'!G15*1000)/(#REF!*'No. of aircraft'!$B$29)</f>
        <v>#REF!</v>
      </c>
      <c r="H105" s="647" t="e">
        <f>('No. of aircraft'!H15*1000)/(#REF!*'No. of aircraft'!$B$29)</f>
        <v>#REF!</v>
      </c>
      <c r="I105" s="647" t="e">
        <f>('No. of aircraft'!I15*1000)/(#REF!*'No. of aircraft'!$B$29)</f>
        <v>#REF!</v>
      </c>
      <c r="J105" s="647" t="e">
        <f>('No. of aircraft'!J15*1000)/(#REF!*'No. of aircraft'!$B$29)</f>
        <v>#REF!</v>
      </c>
      <c r="K105" s="275" t="e">
        <f>('No. of aircraft'!K15*1000)/(#REF!*'No. of aircraft'!$B$29)</f>
        <v>#REF!</v>
      </c>
      <c r="L105" s="275" t="e">
        <f>('No. of aircraft'!L15*1000)/(#REF!*'No. of aircraft'!$B$29)</f>
        <v>#REF!</v>
      </c>
      <c r="M105" s="275" t="e">
        <f>('No. of aircraft'!M15*1000)/(#REF!*'No. of aircraft'!$B$29)</f>
        <v>#REF!</v>
      </c>
      <c r="N105" s="275" t="e">
        <f>('No. of aircraft'!N15*1000)/(#REF!*'No. of aircraft'!$B$29)</f>
        <v>#REF!</v>
      </c>
      <c r="O105" s="275" t="e">
        <f>('No. of aircraft'!O15*1000)/(#REF!*'No. of aircraft'!$B$29)</f>
        <v>#REF!</v>
      </c>
      <c r="P105" s="275" t="e">
        <f>('No. of aircraft'!P15*1000)/(#REF!*'No. of aircraft'!$B$29)</f>
        <v>#REF!</v>
      </c>
      <c r="Q105" s="275" t="e">
        <f>('No. of aircraft'!Q15*1000)/(#REF!*'No. of aircraft'!$B$29)</f>
        <v>#REF!</v>
      </c>
      <c r="R105" s="275" t="e">
        <f>('No. of aircraft'!R15*1000)/(#REF!*'No. of aircraft'!$B$29)</f>
        <v>#REF!</v>
      </c>
      <c r="S105" s="275" t="e">
        <f>('No. of aircraft'!S15*1000)/(#REF!*'No. of aircraft'!$B$29)</f>
        <v>#REF!</v>
      </c>
      <c r="T105" s="275" t="e">
        <f>('No. of aircraft'!T15*1000)/(#REF!*'No. of aircraft'!$B$29)</f>
        <v>#REF!</v>
      </c>
      <c r="U105" s="275" t="e">
        <f>('No. of aircraft'!U15*1000)/(#REF!*'No. of aircraft'!$B$29)</f>
        <v>#REF!</v>
      </c>
      <c r="V105" s="275" t="e">
        <f>('No. of aircraft'!V15*1000)/(#REF!*'No. of aircraft'!$B$29)</f>
        <v>#REF!</v>
      </c>
      <c r="W105" s="354"/>
      <c r="X105" s="354"/>
      <c r="Y105" s="354"/>
      <c r="AD105" s="1333"/>
      <c r="AE105" s="203" t="s">
        <v>220</v>
      </c>
      <c r="AF105" s="653" t="e">
        <f t="shared" si="57"/>
        <v>#REF!</v>
      </c>
      <c r="AG105" s="653" t="e">
        <f t="shared" si="58"/>
        <v>#REF!</v>
      </c>
      <c r="AH105" s="653" t="e">
        <f t="shared" si="59"/>
        <v>#REF!</v>
      </c>
      <c r="AI105" s="653" t="e">
        <f t="shared" si="60"/>
        <v>#REF!</v>
      </c>
      <c r="AJ105" s="653" t="e">
        <f t="shared" si="61"/>
        <v>#REF!</v>
      </c>
      <c r="AK105" s="653" t="e">
        <f t="shared" si="62"/>
        <v>#REF!</v>
      </c>
      <c r="AL105" s="653" t="e">
        <f t="shared" si="63"/>
        <v>#REF!</v>
      </c>
      <c r="AM105" s="653" t="e">
        <f t="shared" si="64"/>
        <v>#REF!</v>
      </c>
      <c r="AN105" s="634" t="e">
        <f t="shared" si="77"/>
        <v>#REF!</v>
      </c>
      <c r="AO105" s="634" t="e">
        <f t="shared" si="78"/>
        <v>#REF!</v>
      </c>
      <c r="AP105" s="634" t="e">
        <f t="shared" si="79"/>
        <v>#REF!</v>
      </c>
      <c r="AQ105" s="634" t="e">
        <f t="shared" si="80"/>
        <v>#REF!</v>
      </c>
      <c r="AR105" s="634" t="e">
        <f t="shared" si="81"/>
        <v>#REF!</v>
      </c>
      <c r="AS105" s="634" t="e">
        <f t="shared" si="82"/>
        <v>#REF!</v>
      </c>
      <c r="AT105" s="634" t="e">
        <f t="shared" si="83"/>
        <v>#REF!</v>
      </c>
      <c r="AU105" s="634" t="e">
        <f t="shared" si="84"/>
        <v>#REF!</v>
      </c>
      <c r="AV105" s="634" t="e">
        <f t="shared" si="85"/>
        <v>#REF!</v>
      </c>
      <c r="AW105" s="634" t="e">
        <f t="shared" si="86"/>
        <v>#REF!</v>
      </c>
      <c r="AX105" s="634" t="e">
        <f t="shared" si="87"/>
        <v>#REF!</v>
      </c>
      <c r="AY105" s="634" t="e">
        <f t="shared" si="88"/>
        <v>#REF!</v>
      </c>
    </row>
    <row r="106" spans="1:51" ht="14.65" customHeight="1">
      <c r="A106" s="1333"/>
      <c r="B106" s="203" t="s">
        <v>221</v>
      </c>
      <c r="C106" s="647" t="e">
        <f>('No. of aircraft'!C16*1000)/(#REF!*'No. of aircraft'!$B$29)</f>
        <v>#REF!</v>
      </c>
      <c r="D106" s="647" t="e">
        <f>('No. of aircraft'!D16*1000)/(#REF!*'No. of aircraft'!$B$29)</f>
        <v>#REF!</v>
      </c>
      <c r="E106" s="647" t="e">
        <f>('No. of aircraft'!E16*1000)/(#REF!*'No. of aircraft'!$B$29)</f>
        <v>#REF!</v>
      </c>
      <c r="F106" s="647" t="e">
        <f>('No. of aircraft'!F16*1000)/(#REF!*'No. of aircraft'!$B$29)</f>
        <v>#REF!</v>
      </c>
      <c r="G106" s="647" t="e">
        <f>('No. of aircraft'!G16*1000)/(#REF!*'No. of aircraft'!$B$29)</f>
        <v>#REF!</v>
      </c>
      <c r="H106" s="647" t="e">
        <f>('No. of aircraft'!H16*1000)/(#REF!*'No. of aircraft'!$B$29)</f>
        <v>#REF!</v>
      </c>
      <c r="I106" s="647" t="e">
        <f>('No. of aircraft'!I16*1000)/(#REF!*'No. of aircraft'!$B$29)</f>
        <v>#REF!</v>
      </c>
      <c r="J106" s="647" t="e">
        <f>('No. of aircraft'!J16*1000)/(#REF!*'No. of aircraft'!$B$29)</f>
        <v>#REF!</v>
      </c>
      <c r="K106" s="275" t="e">
        <f>('No. of aircraft'!K16*1000)/(#REF!*'No. of aircraft'!$B$29)</f>
        <v>#REF!</v>
      </c>
      <c r="L106" s="275" t="e">
        <f>('No. of aircraft'!L16*1000)/(#REF!*'No. of aircraft'!$B$29)</f>
        <v>#REF!</v>
      </c>
      <c r="M106" s="275" t="e">
        <f>('No. of aircraft'!M16*1000)/(#REF!*'No. of aircraft'!$B$29)</f>
        <v>#REF!</v>
      </c>
      <c r="N106" s="275" t="e">
        <f>('No. of aircraft'!N16*1000)/(#REF!*'No. of aircraft'!$B$29)</f>
        <v>#REF!</v>
      </c>
      <c r="O106" s="275" t="e">
        <f>('No. of aircraft'!O16*1000)/(#REF!*'No. of aircraft'!$B$29)</f>
        <v>#REF!</v>
      </c>
      <c r="P106" s="275" t="e">
        <f>('No. of aircraft'!P16*1000)/(#REF!*'No. of aircraft'!$B$29)</f>
        <v>#REF!</v>
      </c>
      <c r="Q106" s="275" t="e">
        <f>('No. of aircraft'!Q16*1000)/(#REF!*'No. of aircraft'!$B$29)</f>
        <v>#REF!</v>
      </c>
      <c r="R106" s="275" t="e">
        <f>('No. of aircraft'!R16*1000)/(#REF!*'No. of aircraft'!$B$29)</f>
        <v>#REF!</v>
      </c>
      <c r="S106" s="275" t="e">
        <f>('No. of aircraft'!S16*1000)/(#REF!*'No. of aircraft'!$B$29)</f>
        <v>#REF!</v>
      </c>
      <c r="T106" s="275" t="e">
        <f>('No. of aircraft'!T16*1000)/(#REF!*'No. of aircraft'!$B$29)</f>
        <v>#REF!</v>
      </c>
      <c r="U106" s="275" t="e">
        <f>('No. of aircraft'!U16*1000)/(#REF!*'No. of aircraft'!$B$29)</f>
        <v>#REF!</v>
      </c>
      <c r="V106" s="275" t="e">
        <f>('No. of aircraft'!V16*1000)/(#REF!*'No. of aircraft'!$B$29)</f>
        <v>#REF!</v>
      </c>
      <c r="W106" s="354"/>
      <c r="X106" s="354"/>
      <c r="Y106" s="354"/>
      <c r="AD106" s="1333"/>
      <c r="AE106" s="203" t="s">
        <v>221</v>
      </c>
      <c r="AF106" s="653" t="e">
        <f t="shared" si="57"/>
        <v>#REF!</v>
      </c>
      <c r="AG106" s="653" t="e">
        <f t="shared" si="58"/>
        <v>#REF!</v>
      </c>
      <c r="AH106" s="653" t="e">
        <f t="shared" si="59"/>
        <v>#REF!</v>
      </c>
      <c r="AI106" s="653" t="e">
        <f t="shared" si="60"/>
        <v>#REF!</v>
      </c>
      <c r="AJ106" s="653" t="e">
        <f t="shared" si="61"/>
        <v>#REF!</v>
      </c>
      <c r="AK106" s="653" t="e">
        <f t="shared" si="62"/>
        <v>#REF!</v>
      </c>
      <c r="AL106" s="653" t="e">
        <f t="shared" si="63"/>
        <v>#REF!</v>
      </c>
      <c r="AM106" s="653" t="e">
        <f t="shared" si="64"/>
        <v>#REF!</v>
      </c>
      <c r="AN106" s="634" t="e">
        <f t="shared" si="77"/>
        <v>#REF!</v>
      </c>
      <c r="AO106" s="634" t="e">
        <f t="shared" si="78"/>
        <v>#REF!</v>
      </c>
      <c r="AP106" s="634" t="e">
        <f t="shared" si="79"/>
        <v>#REF!</v>
      </c>
      <c r="AQ106" s="634" t="e">
        <f t="shared" si="80"/>
        <v>#REF!</v>
      </c>
      <c r="AR106" s="634" t="e">
        <f t="shared" si="81"/>
        <v>#REF!</v>
      </c>
      <c r="AS106" s="634" t="e">
        <f t="shared" si="82"/>
        <v>#REF!</v>
      </c>
      <c r="AT106" s="634" t="e">
        <f t="shared" si="83"/>
        <v>#REF!</v>
      </c>
      <c r="AU106" s="634" t="e">
        <f t="shared" si="84"/>
        <v>#REF!</v>
      </c>
      <c r="AV106" s="634" t="e">
        <f t="shared" si="85"/>
        <v>#REF!</v>
      </c>
      <c r="AW106" s="634" t="e">
        <f t="shared" si="86"/>
        <v>#REF!</v>
      </c>
      <c r="AX106" s="634" t="e">
        <f t="shared" si="87"/>
        <v>#REF!</v>
      </c>
      <c r="AY106" s="634" t="e">
        <f t="shared" si="88"/>
        <v>#REF!</v>
      </c>
    </row>
    <row r="107" spans="1:51" ht="14.65" customHeight="1">
      <c r="A107" s="1333">
        <v>4</v>
      </c>
      <c r="B107" s="307" t="s">
        <v>222</v>
      </c>
      <c r="C107" s="647" t="e">
        <f>('No. of aircraft'!C17*1000)/(#REF!*'No. of aircraft'!$B$29)</f>
        <v>#REF!</v>
      </c>
      <c r="D107" s="647" t="e">
        <f>('No. of aircraft'!D17*1000)/(#REF!*'No. of aircraft'!$B$29)</f>
        <v>#REF!</v>
      </c>
      <c r="E107" s="647" t="e">
        <f>('No. of aircraft'!E17*1000)/(#REF!*'No. of aircraft'!$B$29)</f>
        <v>#REF!</v>
      </c>
      <c r="F107" s="647" t="e">
        <f>('No. of aircraft'!F17*1000)/(#REF!*'No. of aircraft'!$B$29)</f>
        <v>#REF!</v>
      </c>
      <c r="G107" s="647" t="e">
        <f>('No. of aircraft'!G17*1000)/(#REF!*'No. of aircraft'!$B$29)</f>
        <v>#REF!</v>
      </c>
      <c r="H107" s="647" t="e">
        <f>('No. of aircraft'!H17*1000)/(#REF!*'No. of aircraft'!$B$29)</f>
        <v>#REF!</v>
      </c>
      <c r="I107" s="647" t="e">
        <f>('No. of aircraft'!I17*1000)/(#REF!*'No. of aircraft'!$B$29)</f>
        <v>#REF!</v>
      </c>
      <c r="J107" s="647" t="e">
        <f>('No. of aircraft'!J17*1000)/(#REF!*'No. of aircraft'!$B$29)</f>
        <v>#REF!</v>
      </c>
      <c r="K107" s="647" t="e">
        <f>('No. of aircraft'!K17*1000)/(#REF!*'No. of aircraft'!$B$29)</f>
        <v>#REF!</v>
      </c>
      <c r="L107" s="647" t="e">
        <f>('No. of aircraft'!L17*1000)/(#REF!*'No. of aircraft'!$B$29)</f>
        <v>#REF!</v>
      </c>
      <c r="M107" s="647" t="e">
        <f>('No. of aircraft'!M17*1000)/(#REF!*'No. of aircraft'!$B$29)</f>
        <v>#REF!</v>
      </c>
      <c r="N107" s="647" t="e">
        <f>('No. of aircraft'!N17*1000)/(#REF!*'No. of aircraft'!$B$29)</f>
        <v>#REF!</v>
      </c>
      <c r="O107" s="275" t="e">
        <f>('No. of aircraft'!O17*1000)/(#REF!*'No. of aircraft'!$B$29)</f>
        <v>#REF!</v>
      </c>
      <c r="P107" s="275" t="e">
        <f>('No. of aircraft'!P17*1000)/(#REF!*'No. of aircraft'!$B$29)</f>
        <v>#REF!</v>
      </c>
      <c r="Q107" s="275" t="e">
        <f>('No. of aircraft'!Q17*1000)/(#REF!*'No. of aircraft'!$B$29)</f>
        <v>#REF!</v>
      </c>
      <c r="R107" s="275" t="e">
        <f>('No. of aircraft'!R17*1000)/(#REF!*'No. of aircraft'!$B$29)</f>
        <v>#REF!</v>
      </c>
      <c r="S107" s="275" t="e">
        <f>('No. of aircraft'!S17*1000)/(#REF!*'No. of aircraft'!$B$29)</f>
        <v>#REF!</v>
      </c>
      <c r="T107" s="275" t="e">
        <f>('No. of aircraft'!T17*1000)/(#REF!*'No. of aircraft'!$B$29)</f>
        <v>#REF!</v>
      </c>
      <c r="U107" s="275" t="e">
        <f>('No. of aircraft'!U17*1000)/(#REF!*'No. of aircraft'!$B$29)</f>
        <v>#REF!</v>
      </c>
      <c r="V107" s="275" t="e">
        <f>('No. of aircraft'!V17*1000)/(#REF!*'No. of aircraft'!$B$29)</f>
        <v>#REF!</v>
      </c>
      <c r="W107" s="354"/>
      <c r="X107" s="354"/>
      <c r="Y107" s="354"/>
      <c r="AD107" s="1333">
        <v>4</v>
      </c>
      <c r="AE107" s="307" t="s">
        <v>222</v>
      </c>
      <c r="AF107" s="653" t="e">
        <f t="shared" si="57"/>
        <v>#REF!</v>
      </c>
      <c r="AG107" s="653" t="e">
        <f t="shared" si="58"/>
        <v>#REF!</v>
      </c>
      <c r="AH107" s="653" t="e">
        <f t="shared" si="59"/>
        <v>#REF!</v>
      </c>
      <c r="AI107" s="653" t="e">
        <f t="shared" si="60"/>
        <v>#REF!</v>
      </c>
      <c r="AJ107" s="653" t="e">
        <f t="shared" si="61"/>
        <v>#REF!</v>
      </c>
      <c r="AK107" s="653" t="e">
        <f t="shared" si="62"/>
        <v>#REF!</v>
      </c>
      <c r="AL107" s="653" t="e">
        <f t="shared" si="63"/>
        <v>#REF!</v>
      </c>
      <c r="AM107" s="653" t="e">
        <f t="shared" si="64"/>
        <v>#REF!</v>
      </c>
      <c r="AN107" s="653" t="e">
        <f t="shared" si="77"/>
        <v>#REF!</v>
      </c>
      <c r="AO107" s="653" t="e">
        <f t="shared" si="78"/>
        <v>#REF!</v>
      </c>
      <c r="AP107" s="653" t="e">
        <f t="shared" si="79"/>
        <v>#REF!</v>
      </c>
      <c r="AQ107" s="653" t="e">
        <f t="shared" si="80"/>
        <v>#REF!</v>
      </c>
      <c r="AR107" s="634">
        <v>1</v>
      </c>
      <c r="AS107" s="634">
        <v>1</v>
      </c>
      <c r="AT107" s="634">
        <v>1</v>
      </c>
      <c r="AU107" s="634">
        <v>1</v>
      </c>
      <c r="AV107" s="634">
        <v>1</v>
      </c>
      <c r="AW107" s="634">
        <v>1</v>
      </c>
      <c r="AX107" s="634">
        <v>1</v>
      </c>
      <c r="AY107" s="634">
        <v>1</v>
      </c>
    </row>
    <row r="108" spans="1:51" ht="14.65" customHeight="1">
      <c r="A108" s="1333"/>
      <c r="B108" s="308" t="s">
        <v>223</v>
      </c>
      <c r="C108" s="647" t="e">
        <f>('No. of aircraft'!C18*1000)/(#REF!*'No. of aircraft'!$B$29)</f>
        <v>#REF!</v>
      </c>
      <c r="D108" s="647" t="e">
        <f>('No. of aircraft'!D18*1000)/(#REF!*'No. of aircraft'!$B$29)</f>
        <v>#REF!</v>
      </c>
      <c r="E108" s="647" t="e">
        <f>('No. of aircraft'!E18*1000)/(#REF!*'No. of aircraft'!$B$29)</f>
        <v>#REF!</v>
      </c>
      <c r="F108" s="647" t="e">
        <f>('No. of aircraft'!F18*1000)/(#REF!*'No. of aircraft'!$B$29)</f>
        <v>#REF!</v>
      </c>
      <c r="G108" s="647" t="e">
        <f>('No. of aircraft'!G18*1000)/(#REF!*'No. of aircraft'!$B$29)</f>
        <v>#REF!</v>
      </c>
      <c r="H108" s="647" t="e">
        <f>('No. of aircraft'!H18*1000)/(#REF!*'No. of aircraft'!$B$29)</f>
        <v>#REF!</v>
      </c>
      <c r="I108" s="647" t="e">
        <f>('No. of aircraft'!I18*1000)/(#REF!*'No. of aircraft'!$B$29)</f>
        <v>#REF!</v>
      </c>
      <c r="J108" s="647" t="e">
        <f>('No. of aircraft'!J18*1000)/(#REF!*'No. of aircraft'!$B$29)</f>
        <v>#REF!</v>
      </c>
      <c r="K108" s="647" t="e">
        <f>('No. of aircraft'!K18*1000)/(#REF!*'No. of aircraft'!$B$29)</f>
        <v>#REF!</v>
      </c>
      <c r="L108" s="647" t="e">
        <f>('No. of aircraft'!L18*1000)/(#REF!*'No. of aircraft'!$B$29)</f>
        <v>#REF!</v>
      </c>
      <c r="M108" s="647" t="e">
        <f>('No. of aircraft'!M18*1000)/(#REF!*'No. of aircraft'!$B$29)</f>
        <v>#REF!</v>
      </c>
      <c r="N108" s="647" t="e">
        <f>('No. of aircraft'!N18*1000)/(#REF!*'No. of aircraft'!$B$29)</f>
        <v>#REF!</v>
      </c>
      <c r="O108" s="275" t="e">
        <f>('No. of aircraft'!O18*1000)/(#REF!*'No. of aircraft'!$B$29)</f>
        <v>#REF!</v>
      </c>
      <c r="P108" s="275" t="e">
        <f>('No. of aircraft'!P18*1000)/(#REF!*'No. of aircraft'!$B$29)</f>
        <v>#REF!</v>
      </c>
      <c r="Q108" s="275" t="e">
        <f>('No. of aircraft'!Q18*1000)/(#REF!*'No. of aircraft'!$B$29)</f>
        <v>#REF!</v>
      </c>
      <c r="R108" s="275" t="e">
        <f>('No. of aircraft'!R18*1000)/(#REF!*'No. of aircraft'!$B$29)</f>
        <v>#REF!</v>
      </c>
      <c r="S108" s="275" t="e">
        <f>('No. of aircraft'!S18*1000)/(#REF!*'No. of aircraft'!$B$29)</f>
        <v>#REF!</v>
      </c>
      <c r="T108" s="275" t="e">
        <f>('No. of aircraft'!T18*1000)/(#REF!*'No. of aircraft'!$B$29)</f>
        <v>#REF!</v>
      </c>
      <c r="U108" s="275" t="e">
        <f>('No. of aircraft'!U18*1000)/(#REF!*'No. of aircraft'!$B$29)</f>
        <v>#REF!</v>
      </c>
      <c r="V108" s="275" t="e">
        <f>('No. of aircraft'!V18*1000)/(#REF!*'No. of aircraft'!$B$29)</f>
        <v>#REF!</v>
      </c>
      <c r="W108" s="642"/>
      <c r="X108" s="354"/>
      <c r="Y108" s="354"/>
      <c r="AD108" s="1333"/>
      <c r="AE108" s="308" t="s">
        <v>223</v>
      </c>
      <c r="AF108" s="653" t="e">
        <f t="shared" si="57"/>
        <v>#REF!</v>
      </c>
      <c r="AG108" s="653" t="e">
        <f t="shared" si="58"/>
        <v>#REF!</v>
      </c>
      <c r="AH108" s="653" t="e">
        <f t="shared" si="59"/>
        <v>#REF!</v>
      </c>
      <c r="AI108" s="653" t="e">
        <f t="shared" si="60"/>
        <v>#REF!</v>
      </c>
      <c r="AJ108" s="653" t="e">
        <f t="shared" si="61"/>
        <v>#REF!</v>
      </c>
      <c r="AK108" s="653" t="e">
        <f t="shared" si="62"/>
        <v>#REF!</v>
      </c>
      <c r="AL108" s="653" t="e">
        <f t="shared" si="63"/>
        <v>#REF!</v>
      </c>
      <c r="AM108" s="653" t="e">
        <f t="shared" si="64"/>
        <v>#REF!</v>
      </c>
      <c r="AN108" s="653" t="e">
        <f t="shared" si="77"/>
        <v>#REF!</v>
      </c>
      <c r="AO108" s="653" t="e">
        <f t="shared" si="78"/>
        <v>#REF!</v>
      </c>
      <c r="AP108" s="653" t="e">
        <f t="shared" si="79"/>
        <v>#REF!</v>
      </c>
      <c r="AQ108" s="653" t="e">
        <f t="shared" si="80"/>
        <v>#REF!</v>
      </c>
      <c r="AR108" s="634">
        <v>1</v>
      </c>
      <c r="AS108" s="634">
        <v>1</v>
      </c>
      <c r="AT108" s="634">
        <v>1</v>
      </c>
      <c r="AU108" s="634">
        <v>1</v>
      </c>
      <c r="AV108" s="634">
        <v>1</v>
      </c>
      <c r="AW108" s="634">
        <v>1</v>
      </c>
      <c r="AX108" s="634">
        <v>1</v>
      </c>
      <c r="AY108" s="634">
        <v>1</v>
      </c>
    </row>
    <row r="109" spans="1:51" ht="14.65" customHeight="1">
      <c r="A109" s="1333"/>
      <c r="B109" s="308" t="s">
        <v>224</v>
      </c>
      <c r="C109" s="647" t="e">
        <f>('No. of aircraft'!C19*1000)/(#REF!*'No. of aircraft'!$B$29)</f>
        <v>#REF!</v>
      </c>
      <c r="D109" s="647" t="e">
        <f>('No. of aircraft'!D19*1000)/(#REF!*'No. of aircraft'!$B$29)</f>
        <v>#REF!</v>
      </c>
      <c r="E109" s="647" t="e">
        <f>('No. of aircraft'!E19*1000)/(#REF!*'No. of aircraft'!$B$29)</f>
        <v>#REF!</v>
      </c>
      <c r="F109" s="647" t="e">
        <f>('No. of aircraft'!F19*1000)/(#REF!*'No. of aircraft'!$B$29)</f>
        <v>#REF!</v>
      </c>
      <c r="G109" s="647" t="e">
        <f>('No. of aircraft'!G19*1000)/(#REF!*'No. of aircraft'!$B$29)</f>
        <v>#REF!</v>
      </c>
      <c r="H109" s="647" t="e">
        <f>('No. of aircraft'!H19*1000)/(#REF!*'No. of aircraft'!$B$29)</f>
        <v>#REF!</v>
      </c>
      <c r="I109" s="647" t="e">
        <f>('No. of aircraft'!I19*1000)/(#REF!*'No. of aircraft'!$B$29)</f>
        <v>#REF!</v>
      </c>
      <c r="J109" s="647" t="e">
        <f>('No. of aircraft'!J19*1000)/(#REF!*'No. of aircraft'!$B$29)</f>
        <v>#REF!</v>
      </c>
      <c r="K109" s="647" t="e">
        <f>('No. of aircraft'!K19*1000)/(#REF!*'No. of aircraft'!$B$29)</f>
        <v>#REF!</v>
      </c>
      <c r="L109" s="647" t="e">
        <f>('No. of aircraft'!L19*1000)/(#REF!*'No. of aircraft'!$B$29)</f>
        <v>#REF!</v>
      </c>
      <c r="M109" s="647" t="e">
        <f>('No. of aircraft'!M19*1000)/(#REF!*'No. of aircraft'!$B$29)</f>
        <v>#REF!</v>
      </c>
      <c r="N109" s="647" t="e">
        <f>('No. of aircraft'!N19*1000)/(#REF!*'No. of aircraft'!$B$29)</f>
        <v>#REF!</v>
      </c>
      <c r="O109" s="275" t="e">
        <f>('No. of aircraft'!O19*1000)/(#REF!*'No. of aircraft'!$B$29)</f>
        <v>#REF!</v>
      </c>
      <c r="P109" s="275" t="e">
        <f>('No. of aircraft'!P19*1000)/(#REF!*'No. of aircraft'!$B$29)</f>
        <v>#REF!</v>
      </c>
      <c r="Q109" s="275" t="e">
        <f>('No. of aircraft'!Q19*1000)/(#REF!*'No. of aircraft'!$B$29)</f>
        <v>#REF!</v>
      </c>
      <c r="R109" s="275" t="e">
        <f>('No. of aircraft'!R19*1000)/(#REF!*'No. of aircraft'!$B$29)</f>
        <v>#REF!</v>
      </c>
      <c r="S109" s="275" t="e">
        <f>('No. of aircraft'!S19*1000)/(#REF!*'No. of aircraft'!$B$29)</f>
        <v>#REF!</v>
      </c>
      <c r="T109" s="275" t="e">
        <f>('No. of aircraft'!T19*1000)/(#REF!*'No. of aircraft'!$B$29)</f>
        <v>#REF!</v>
      </c>
      <c r="U109" s="275" t="e">
        <f>('No. of aircraft'!U19*1000)/(#REF!*'No. of aircraft'!$B$29)</f>
        <v>#REF!</v>
      </c>
      <c r="V109" s="275" t="e">
        <f>('No. of aircraft'!V19*1000)/(#REF!*'No. of aircraft'!$B$29)</f>
        <v>#REF!</v>
      </c>
      <c r="W109" s="354"/>
      <c r="X109" s="354"/>
      <c r="Y109" s="354"/>
      <c r="AD109" s="1333"/>
      <c r="AE109" s="308" t="s">
        <v>224</v>
      </c>
      <c r="AF109" s="653" t="e">
        <f t="shared" si="57"/>
        <v>#REF!</v>
      </c>
      <c r="AG109" s="653" t="e">
        <f t="shared" si="58"/>
        <v>#REF!</v>
      </c>
      <c r="AH109" s="653" t="e">
        <f t="shared" si="59"/>
        <v>#REF!</v>
      </c>
      <c r="AI109" s="653" t="e">
        <f t="shared" si="60"/>
        <v>#REF!</v>
      </c>
      <c r="AJ109" s="653" t="e">
        <f t="shared" si="61"/>
        <v>#REF!</v>
      </c>
      <c r="AK109" s="653" t="e">
        <f t="shared" si="62"/>
        <v>#REF!</v>
      </c>
      <c r="AL109" s="653" t="e">
        <f t="shared" si="63"/>
        <v>#REF!</v>
      </c>
      <c r="AM109" s="653" t="e">
        <f t="shared" si="64"/>
        <v>#REF!</v>
      </c>
      <c r="AN109" s="653" t="e">
        <f t="shared" si="77"/>
        <v>#REF!</v>
      </c>
      <c r="AO109" s="653" t="e">
        <f t="shared" si="78"/>
        <v>#REF!</v>
      </c>
      <c r="AP109" s="653" t="e">
        <f t="shared" si="79"/>
        <v>#REF!</v>
      </c>
      <c r="AQ109" s="653" t="e">
        <f t="shared" si="80"/>
        <v>#REF!</v>
      </c>
      <c r="AR109" s="634">
        <v>1</v>
      </c>
      <c r="AS109" s="634">
        <v>1</v>
      </c>
      <c r="AT109" s="634">
        <v>1</v>
      </c>
      <c r="AU109" s="634">
        <v>1</v>
      </c>
      <c r="AV109" s="634">
        <v>1</v>
      </c>
      <c r="AW109" s="634">
        <v>1</v>
      </c>
      <c r="AX109" s="634">
        <v>1</v>
      </c>
      <c r="AY109" s="634">
        <v>1</v>
      </c>
    </row>
    <row r="110" spans="1:51" ht="14.65" customHeight="1" thickBot="1">
      <c r="A110" s="1403"/>
      <c r="B110" s="630" t="s">
        <v>225</v>
      </c>
      <c r="C110" s="647" t="e">
        <f>('No. of aircraft'!C20*1000)/(#REF!*'No. of aircraft'!$B$29)</f>
        <v>#REF!</v>
      </c>
      <c r="D110" s="647" t="e">
        <f>('No. of aircraft'!D20*1000)/(#REF!*'No. of aircraft'!$B$29)</f>
        <v>#REF!</v>
      </c>
      <c r="E110" s="647" t="e">
        <f>('No. of aircraft'!E20*1000)/(#REF!*'No. of aircraft'!$B$29)</f>
        <v>#REF!</v>
      </c>
      <c r="F110" s="647" t="e">
        <f>('No. of aircraft'!F20*1000)/(#REF!*'No. of aircraft'!$B$29)</f>
        <v>#REF!</v>
      </c>
      <c r="G110" s="647" t="e">
        <f>('No. of aircraft'!G20*1000)/(#REF!*'No. of aircraft'!$B$29)</f>
        <v>#REF!</v>
      </c>
      <c r="H110" s="647" t="e">
        <f>('No. of aircraft'!H20*1000)/(#REF!*'No. of aircraft'!$B$29)</f>
        <v>#REF!</v>
      </c>
      <c r="I110" s="647" t="e">
        <f>('No. of aircraft'!I20*1000)/(#REF!*'No. of aircraft'!$B$29)</f>
        <v>#REF!</v>
      </c>
      <c r="J110" s="647" t="e">
        <f>('No. of aircraft'!J20*1000)/(#REF!*'No. of aircraft'!$B$29)</f>
        <v>#REF!</v>
      </c>
      <c r="K110" s="647" t="e">
        <f>('No. of aircraft'!K20*1000)/(#REF!*'No. of aircraft'!$B$29)</f>
        <v>#REF!</v>
      </c>
      <c r="L110" s="647" t="e">
        <f>('No. of aircraft'!L20*1000)/(#REF!*'No. of aircraft'!$B$29)</f>
        <v>#REF!</v>
      </c>
      <c r="M110" s="647" t="e">
        <f>('No. of aircraft'!M20*1000)/(#REF!*'No. of aircraft'!$B$29)</f>
        <v>#REF!</v>
      </c>
      <c r="N110" s="647" t="e">
        <f>('No. of aircraft'!N20*1000)/(#REF!*'No. of aircraft'!$B$29)</f>
        <v>#REF!</v>
      </c>
      <c r="O110" s="275" t="e">
        <f>('No. of aircraft'!O20*1000)/(#REF!*'No. of aircraft'!$B$29)</f>
        <v>#REF!</v>
      </c>
      <c r="P110" s="275" t="e">
        <f>('No. of aircraft'!P20*1000)/(#REF!*'No. of aircraft'!$B$29)</f>
        <v>#REF!</v>
      </c>
      <c r="Q110" s="275" t="e">
        <f>('No. of aircraft'!Q20*1000)/(#REF!*'No. of aircraft'!$B$29)</f>
        <v>#REF!</v>
      </c>
      <c r="R110" s="275" t="e">
        <f>('No. of aircraft'!R20*1000)/(#REF!*'No. of aircraft'!$B$29)</f>
        <v>#REF!</v>
      </c>
      <c r="S110" s="275" t="e">
        <f>('No. of aircraft'!S20*1000)/(#REF!*'No. of aircraft'!$B$29)</f>
        <v>#REF!</v>
      </c>
      <c r="T110" s="275" t="e">
        <f>('No. of aircraft'!T20*1000)/(#REF!*'No. of aircraft'!$B$29)</f>
        <v>#REF!</v>
      </c>
      <c r="U110" s="275" t="e">
        <f>('No. of aircraft'!U20*1000)/(#REF!*'No. of aircraft'!$B$29)</f>
        <v>#REF!</v>
      </c>
      <c r="V110" s="275" t="e">
        <f>('No. of aircraft'!V20*1000)/(#REF!*'No. of aircraft'!$B$29)</f>
        <v>#REF!</v>
      </c>
      <c r="W110" s="354"/>
      <c r="X110" s="354"/>
      <c r="Y110" s="354"/>
      <c r="AD110" s="1326"/>
      <c r="AE110" s="633" t="s">
        <v>225</v>
      </c>
      <c r="AF110" s="653" t="e">
        <f t="shared" si="57"/>
        <v>#REF!</v>
      </c>
      <c r="AG110" s="653" t="e">
        <f t="shared" si="58"/>
        <v>#REF!</v>
      </c>
      <c r="AH110" s="653" t="e">
        <f t="shared" si="59"/>
        <v>#REF!</v>
      </c>
      <c r="AI110" s="653" t="e">
        <f t="shared" si="60"/>
        <v>#REF!</v>
      </c>
      <c r="AJ110" s="653" t="e">
        <f t="shared" si="61"/>
        <v>#REF!</v>
      </c>
      <c r="AK110" s="653" t="e">
        <f t="shared" si="62"/>
        <v>#REF!</v>
      </c>
      <c r="AL110" s="653" t="e">
        <f t="shared" si="63"/>
        <v>#REF!</v>
      </c>
      <c r="AM110" s="653" t="e">
        <f t="shared" si="64"/>
        <v>#REF!</v>
      </c>
      <c r="AN110" s="653" t="e">
        <f t="shared" si="77"/>
        <v>#REF!</v>
      </c>
      <c r="AO110" s="653" t="e">
        <f t="shared" si="78"/>
        <v>#REF!</v>
      </c>
      <c r="AP110" s="653" t="e">
        <f t="shared" si="79"/>
        <v>#REF!</v>
      </c>
      <c r="AQ110" s="653" t="e">
        <f t="shared" si="80"/>
        <v>#REF!</v>
      </c>
      <c r="AR110" s="634">
        <v>1</v>
      </c>
      <c r="AS110" s="634">
        <v>1</v>
      </c>
      <c r="AT110" s="634">
        <v>1</v>
      </c>
      <c r="AU110" s="634">
        <v>1</v>
      </c>
      <c r="AV110" s="634">
        <v>1</v>
      </c>
      <c r="AW110" s="634">
        <v>1</v>
      </c>
      <c r="AX110" s="634">
        <v>1</v>
      </c>
      <c r="AY110" s="634">
        <v>1</v>
      </c>
    </row>
    <row r="111" spans="1:51" ht="14.65" customHeight="1">
      <c r="A111" s="94"/>
      <c r="B111" s="637"/>
      <c r="C111" s="275"/>
      <c r="D111" s="275"/>
      <c r="E111" s="275"/>
      <c r="F111" s="275"/>
      <c r="G111" s="275"/>
      <c r="H111" s="275"/>
      <c r="I111" s="275"/>
      <c r="J111" s="275"/>
      <c r="K111" s="275"/>
      <c r="L111" s="275"/>
      <c r="M111" s="275"/>
      <c r="N111" s="275"/>
      <c r="O111" s="275"/>
      <c r="P111" s="275"/>
      <c r="Q111" s="275"/>
      <c r="R111" s="275"/>
      <c r="S111" s="275"/>
      <c r="T111" s="275"/>
      <c r="U111" s="275"/>
      <c r="V111" s="275"/>
      <c r="W111" s="354"/>
      <c r="X111" s="354"/>
      <c r="Y111" s="354"/>
      <c r="AD111" s="655"/>
      <c r="AE111" s="94"/>
      <c r="AF111" s="94"/>
      <c r="AG111" s="94"/>
      <c r="AH111" s="94"/>
      <c r="AI111" s="94"/>
      <c r="AJ111" s="94"/>
      <c r="AK111" s="94"/>
      <c r="AL111" s="94"/>
      <c r="AM111" s="94"/>
      <c r="AN111" s="94"/>
      <c r="AO111" s="94"/>
      <c r="AP111" s="94"/>
      <c r="AQ111" s="94"/>
      <c r="AR111" s="94"/>
      <c r="AS111" s="94"/>
      <c r="AT111" s="94"/>
      <c r="AU111" s="94"/>
      <c r="AV111" s="94"/>
      <c r="AW111" s="94"/>
      <c r="AX111" s="94"/>
      <c r="AY111" s="656"/>
    </row>
    <row r="112" spans="1:51" ht="14.65" customHeight="1">
      <c r="A112" s="94"/>
      <c r="B112" s="637"/>
      <c r="C112" s="275"/>
      <c r="D112" s="275"/>
      <c r="E112" s="275"/>
      <c r="F112" s="275"/>
      <c r="G112" s="275"/>
      <c r="H112" s="275"/>
      <c r="I112" s="275"/>
      <c r="J112" s="275"/>
      <c r="K112" s="275"/>
      <c r="L112" s="275"/>
      <c r="M112" s="275"/>
      <c r="N112" s="275"/>
      <c r="O112" s="275"/>
      <c r="P112" s="275"/>
      <c r="Q112" s="275"/>
      <c r="R112" s="275"/>
      <c r="S112" s="275"/>
      <c r="T112" s="275"/>
      <c r="U112" s="275"/>
      <c r="V112" s="275"/>
      <c r="W112" s="354"/>
      <c r="X112" s="354"/>
      <c r="Y112" s="354"/>
      <c r="AD112" s="655"/>
      <c r="AE112" s="94"/>
      <c r="AF112" s="94"/>
      <c r="AG112" s="94"/>
      <c r="AH112" s="94"/>
      <c r="AI112" s="94"/>
      <c r="AJ112" s="94"/>
      <c r="AK112" s="94"/>
      <c r="AL112" s="94"/>
      <c r="AM112" s="94"/>
      <c r="AN112" s="94"/>
      <c r="AO112" s="94"/>
      <c r="AP112" s="94"/>
      <c r="AQ112" s="94"/>
      <c r="AR112" s="94"/>
      <c r="AS112" s="94"/>
      <c r="AT112" s="94"/>
      <c r="AU112" s="94"/>
      <c r="AV112" s="94"/>
      <c r="AW112" s="94"/>
      <c r="AX112" s="94"/>
      <c r="AY112" s="656"/>
    </row>
    <row r="113" spans="1:51">
      <c r="A113" s="94"/>
      <c r="B113" s="638"/>
      <c r="C113" s="275"/>
      <c r="D113" s="275"/>
      <c r="E113" s="275"/>
      <c r="F113" s="275"/>
      <c r="G113" s="275"/>
      <c r="H113" s="275"/>
      <c r="I113" s="275"/>
      <c r="J113" s="275"/>
      <c r="K113" s="275"/>
      <c r="L113" s="275"/>
      <c r="M113" s="275"/>
      <c r="N113" s="275"/>
      <c r="O113" s="275"/>
      <c r="P113" s="275"/>
      <c r="Q113" s="275"/>
      <c r="R113" s="275"/>
      <c r="S113" s="275"/>
      <c r="T113" s="275"/>
      <c r="U113" s="275"/>
      <c r="V113" s="275"/>
      <c r="W113" s="354"/>
      <c r="X113" s="354"/>
      <c r="Y113" s="354"/>
      <c r="AD113" s="657"/>
      <c r="AE113" s="658"/>
      <c r="AF113" s="658"/>
      <c r="AG113" s="658"/>
      <c r="AH113" s="658"/>
      <c r="AI113" s="658"/>
      <c r="AJ113" s="658"/>
      <c r="AK113" s="658"/>
      <c r="AL113" s="658"/>
      <c r="AM113" s="658"/>
      <c r="AN113" s="658"/>
      <c r="AO113" s="658"/>
      <c r="AP113" s="658"/>
      <c r="AQ113" s="658"/>
      <c r="AR113" s="658"/>
      <c r="AS113" s="658"/>
      <c r="AT113" s="658"/>
      <c r="AU113" s="658"/>
      <c r="AV113" s="658"/>
      <c r="AW113" s="658"/>
      <c r="AX113" s="658"/>
      <c r="AY113" s="659"/>
    </row>
    <row r="114" spans="1:51">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row>
    <row r="115" spans="1:51">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row>
    <row r="116" spans="1:51">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row>
    <row r="117" spans="1:51" ht="15" thickBot="1">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row>
    <row r="118" spans="1:51">
      <c r="A118" s="1359" t="s">
        <v>100</v>
      </c>
      <c r="B118" s="1360"/>
      <c r="C118" s="1360"/>
      <c r="D118" s="1360"/>
      <c r="E118" s="1360"/>
      <c r="F118" s="1360"/>
      <c r="G118" s="1360"/>
      <c r="H118" s="1360"/>
      <c r="I118" s="1360"/>
      <c r="J118" s="1360"/>
      <c r="K118" s="1360"/>
      <c r="L118" s="1360"/>
      <c r="M118" s="1360"/>
      <c r="N118" s="1360"/>
      <c r="O118" s="1360"/>
      <c r="P118" s="1360"/>
      <c r="Q118" s="1360"/>
      <c r="R118" s="1360"/>
      <c r="S118" s="1360"/>
      <c r="T118" s="1360"/>
      <c r="U118" s="1360"/>
      <c r="V118" s="1361"/>
      <c r="AD118" s="1288"/>
      <c r="AE118" s="1288"/>
      <c r="AF118" s="1288"/>
      <c r="AG118" s="1288"/>
      <c r="AH118" s="1288"/>
      <c r="AI118" s="1288"/>
      <c r="AJ118" s="1288"/>
      <c r="AK118" s="1288"/>
      <c r="AL118" s="1288"/>
      <c r="AM118" s="1288"/>
      <c r="AN118" s="1288"/>
      <c r="AO118" s="1288"/>
      <c r="AP118" s="1288"/>
      <c r="AQ118" s="1288"/>
      <c r="AR118" s="1288"/>
      <c r="AS118" s="1288"/>
      <c r="AT118" s="1288"/>
      <c r="AU118" s="1288"/>
      <c r="AV118" s="1288"/>
      <c r="AW118" s="1288"/>
      <c r="AX118" s="1288"/>
      <c r="AY118" s="1288"/>
    </row>
    <row r="119" spans="1:51" ht="14.65" customHeight="1">
      <c r="A119" s="136"/>
      <c r="C119" s="1384">
        <v>2022</v>
      </c>
      <c r="D119" s="1384"/>
      <c r="E119" s="1384"/>
      <c r="F119" s="1384"/>
      <c r="G119" s="1385">
        <v>2023</v>
      </c>
      <c r="H119" s="1385"/>
      <c r="I119" s="1385"/>
      <c r="J119" s="1385"/>
      <c r="K119" s="1386">
        <v>2024</v>
      </c>
      <c r="L119" s="1386"/>
      <c r="M119" s="1386"/>
      <c r="N119" s="1386"/>
      <c r="O119" s="1385">
        <v>2025</v>
      </c>
      <c r="P119" s="1385"/>
      <c r="Q119" s="1385"/>
      <c r="R119" s="1385"/>
      <c r="S119" s="1387">
        <v>2026</v>
      </c>
      <c r="T119" s="1387"/>
      <c r="U119" s="1387"/>
      <c r="V119" s="1387"/>
      <c r="W119" s="354"/>
      <c r="X119" s="354"/>
      <c r="Y119" s="354"/>
      <c r="AD119" s="1366" t="s">
        <v>179</v>
      </c>
      <c r="AE119" s="1366"/>
      <c r="AF119" s="1366"/>
      <c r="AG119" s="1366"/>
      <c r="AH119" s="1366"/>
      <c r="AI119" s="1366"/>
      <c r="AJ119" s="1366"/>
      <c r="AK119" s="1366"/>
      <c r="AL119" s="1366"/>
      <c r="AM119" s="1366"/>
      <c r="AN119" s="1366"/>
      <c r="AO119" s="1366"/>
      <c r="AP119" s="1366"/>
      <c r="AQ119" s="1366"/>
      <c r="AR119" s="1366"/>
      <c r="AS119" s="1366"/>
      <c r="AT119" s="1366"/>
      <c r="AU119" s="1366"/>
      <c r="AV119" s="1366"/>
      <c r="AW119" s="1366"/>
      <c r="AX119" s="1366"/>
      <c r="AY119" s="1366"/>
    </row>
    <row r="120" spans="1:51" ht="15" thickBot="1">
      <c r="A120" s="139"/>
      <c r="B120" s="140"/>
      <c r="C120" s="254">
        <v>1</v>
      </c>
      <c r="D120" s="254">
        <v>2</v>
      </c>
      <c r="E120" s="254">
        <v>3</v>
      </c>
      <c r="F120" s="254">
        <v>4</v>
      </c>
      <c r="G120" s="254">
        <v>1</v>
      </c>
      <c r="H120" s="254">
        <v>2</v>
      </c>
      <c r="I120" s="254">
        <v>3</v>
      </c>
      <c r="J120" s="254">
        <v>4</v>
      </c>
      <c r="K120" s="254">
        <v>1</v>
      </c>
      <c r="L120" s="254">
        <v>2</v>
      </c>
      <c r="M120" s="254">
        <v>3</v>
      </c>
      <c r="N120" s="254">
        <v>4</v>
      </c>
      <c r="O120" s="254">
        <v>1</v>
      </c>
      <c r="P120" s="254">
        <v>2</v>
      </c>
      <c r="Q120" s="254">
        <v>3</v>
      </c>
      <c r="R120" s="254">
        <v>4</v>
      </c>
      <c r="S120" s="254">
        <v>1</v>
      </c>
      <c r="T120" s="254">
        <v>2</v>
      </c>
      <c r="U120" s="254">
        <v>3</v>
      </c>
      <c r="V120" s="254">
        <v>4</v>
      </c>
      <c r="W120" s="354"/>
      <c r="X120" s="354"/>
      <c r="Y120" s="354"/>
      <c r="AD120" s="341"/>
      <c r="AE120" s="341"/>
      <c r="AF120" s="1366">
        <v>2022</v>
      </c>
      <c r="AG120" s="1366"/>
      <c r="AH120" s="1366"/>
      <c r="AI120" s="1366"/>
      <c r="AJ120" s="1366">
        <v>2023</v>
      </c>
      <c r="AK120" s="1366"/>
      <c r="AL120" s="1366"/>
      <c r="AM120" s="1366"/>
      <c r="AN120" s="1366">
        <v>2024</v>
      </c>
      <c r="AO120" s="1366"/>
      <c r="AP120" s="1366"/>
      <c r="AQ120" s="1366"/>
      <c r="AR120" s="1366">
        <v>2025</v>
      </c>
      <c r="AS120" s="1366"/>
      <c r="AT120" s="1366"/>
      <c r="AU120" s="1366"/>
      <c r="AV120" s="1366">
        <v>2026</v>
      </c>
      <c r="AW120" s="1366"/>
      <c r="AX120" s="1366"/>
      <c r="AY120" s="1366"/>
    </row>
    <row r="121" spans="1:51" ht="14.65" customHeight="1">
      <c r="A121" s="1333">
        <v>1</v>
      </c>
      <c r="B121" s="87" t="s">
        <v>209</v>
      </c>
      <c r="C121" t="e">
        <f>('No. of aircraft'!C4*1000)/(#REF!*'No. of aircraft'!$B$29)</f>
        <v>#REF!</v>
      </c>
      <c r="D121" t="e">
        <f>('No. of aircraft'!D4*1000)/(#REF!*'No. of aircraft'!$B$29)</f>
        <v>#REF!</v>
      </c>
      <c r="E121" t="e">
        <f>('No. of aircraft'!E4*1000)/(#REF!*'No. of aircraft'!$B$29)</f>
        <v>#REF!</v>
      </c>
      <c r="F121" t="e">
        <f>('No. of aircraft'!F4*1000)/(#REF!*'No. of aircraft'!$B$29)</f>
        <v>#REF!</v>
      </c>
      <c r="G121" t="e">
        <f>('No. of aircraft'!G4*1000)/(#REF!*'No. of aircraft'!$B$29)</f>
        <v>#REF!</v>
      </c>
      <c r="H121" t="e">
        <f>('No. of aircraft'!H4*1000)/(#REF!*'No. of aircraft'!$B$29)</f>
        <v>#REF!</v>
      </c>
      <c r="I121" t="e">
        <f>('No. of aircraft'!I4*1000)/(#REF!*'No. of aircraft'!$B$29)</f>
        <v>#REF!</v>
      </c>
      <c r="J121" t="e">
        <f>('No. of aircraft'!J4*1000)/(#REF!*'No. of aircraft'!$B$29)</f>
        <v>#REF!</v>
      </c>
      <c r="K121" t="e">
        <f>('No. of aircraft'!K4*1000)/(#REF!*'No. of aircraft'!$B$29)</f>
        <v>#REF!</v>
      </c>
      <c r="L121" t="e">
        <f>('No. of aircraft'!L4*1000)/(#REF!*'No. of aircraft'!$B$29)</f>
        <v>#REF!</v>
      </c>
      <c r="M121" t="e">
        <f>('No. of aircraft'!M4*1000)/(#REF!*'No. of aircraft'!$B$29)</f>
        <v>#REF!</v>
      </c>
      <c r="N121" t="e">
        <f>('No. of aircraft'!N4*1000)/(#REF!*'No. of aircraft'!$B$29)</f>
        <v>#REF!</v>
      </c>
      <c r="O121" t="e">
        <f>('No. of aircraft'!O4*1000)/(#REF!*'No. of aircraft'!$B$29)</f>
        <v>#REF!</v>
      </c>
      <c r="P121" t="e">
        <f>('No. of aircraft'!P4*1000)/(#REF!*'No. of aircraft'!$B$29)</f>
        <v>#REF!</v>
      </c>
      <c r="Q121" t="e">
        <f>('No. of aircraft'!Q4*1000)/(#REF!*'No. of aircraft'!$B$29)</f>
        <v>#REF!</v>
      </c>
      <c r="R121" t="e">
        <f>('No. of aircraft'!R4*1000)/(#REF!*'No. of aircraft'!$B$29)</f>
        <v>#REF!</v>
      </c>
      <c r="S121" t="e">
        <f>('No. of aircraft'!S4*1000)/(#REF!*'No. of aircraft'!$B$29)</f>
        <v>#REF!</v>
      </c>
      <c r="T121" t="e">
        <f>('No. of aircraft'!T4*1000)/(#REF!*'No. of aircraft'!$B$29)</f>
        <v>#REF!</v>
      </c>
      <c r="U121" t="e">
        <f>('No. of aircraft'!U4*1000)/(#REF!*'No. of aircraft'!$B$29)</f>
        <v>#REF!</v>
      </c>
      <c r="V121" t="e">
        <f>('No. of aircraft'!V4*1000)/(#REF!*'No. of aircraft'!$B$29)</f>
        <v>#REF!</v>
      </c>
      <c r="W121" s="642"/>
      <c r="X121" s="354"/>
      <c r="Y121" s="354"/>
      <c r="AD121" s="341"/>
      <c r="AE121" s="341"/>
      <c r="AF121" s="341">
        <v>1</v>
      </c>
      <c r="AG121" s="341">
        <v>2</v>
      </c>
      <c r="AH121" s="341">
        <v>3</v>
      </c>
      <c r="AI121" s="341">
        <v>4</v>
      </c>
      <c r="AJ121" s="341">
        <v>1</v>
      </c>
      <c r="AK121" s="341">
        <v>2</v>
      </c>
      <c r="AL121" s="341">
        <v>3</v>
      </c>
      <c r="AM121" s="341">
        <v>4</v>
      </c>
      <c r="AN121" s="341">
        <v>1</v>
      </c>
      <c r="AO121" s="341">
        <v>2</v>
      </c>
      <c r="AP121" s="341">
        <v>3</v>
      </c>
      <c r="AQ121" s="341">
        <v>4</v>
      </c>
      <c r="AR121" s="341">
        <v>1</v>
      </c>
      <c r="AS121" s="341">
        <v>2</v>
      </c>
      <c r="AT121" s="341">
        <v>3</v>
      </c>
      <c r="AU121" s="341">
        <v>4</v>
      </c>
      <c r="AV121" s="341">
        <v>1</v>
      </c>
      <c r="AW121" s="341">
        <v>2</v>
      </c>
      <c r="AX121" s="341">
        <v>3</v>
      </c>
      <c r="AY121" s="341">
        <v>4</v>
      </c>
    </row>
    <row r="122" spans="1:51" ht="14.65" customHeight="1">
      <c r="A122" s="1333"/>
      <c r="B122" s="87" t="s">
        <v>210</v>
      </c>
      <c r="C122" t="e">
        <f>('No. of aircraft'!C5*1000)/(#REF!*'No. of aircraft'!$B$29)</f>
        <v>#REF!</v>
      </c>
      <c r="D122" t="e">
        <f>('No. of aircraft'!D5*1000)/(#REF!*'No. of aircraft'!$B$29)</f>
        <v>#REF!</v>
      </c>
      <c r="E122" t="e">
        <f>('No. of aircraft'!E5*1000)/(#REF!*'No. of aircraft'!$B$29)</f>
        <v>#REF!</v>
      </c>
      <c r="F122" t="e">
        <f>('No. of aircraft'!F5*1000)/(#REF!*'No. of aircraft'!$B$29)</f>
        <v>#REF!</v>
      </c>
      <c r="G122" t="e">
        <f>('No. of aircraft'!G5*1000)/(#REF!*'No. of aircraft'!$B$29)</f>
        <v>#REF!</v>
      </c>
      <c r="H122" t="e">
        <f>('No. of aircraft'!H5*1000)/(#REF!*'No. of aircraft'!$B$29)</f>
        <v>#REF!</v>
      </c>
      <c r="I122" t="e">
        <f>('No. of aircraft'!I5*1000)/(#REF!*'No. of aircraft'!$B$29)</f>
        <v>#REF!</v>
      </c>
      <c r="J122" t="e">
        <f>('No. of aircraft'!J5*1000)/(#REF!*'No. of aircraft'!$B$29)</f>
        <v>#REF!</v>
      </c>
      <c r="K122" t="e">
        <f>('No. of aircraft'!K5*1000)/(#REF!*'No. of aircraft'!$B$29)</f>
        <v>#REF!</v>
      </c>
      <c r="L122" t="e">
        <f>('No. of aircraft'!L5*1000)/(#REF!*'No. of aircraft'!$B$29)</f>
        <v>#REF!</v>
      </c>
      <c r="M122" t="e">
        <f>('No. of aircraft'!M5*1000)/(#REF!*'No. of aircraft'!$B$29)</f>
        <v>#REF!</v>
      </c>
      <c r="N122" t="e">
        <f>('No. of aircraft'!N5*1000)/(#REF!*'No. of aircraft'!$B$29)</f>
        <v>#REF!</v>
      </c>
      <c r="O122" t="e">
        <f>('No. of aircraft'!O5*1000)/(#REF!*'No. of aircraft'!$B$29)</f>
        <v>#REF!</v>
      </c>
      <c r="P122" t="e">
        <f>('No. of aircraft'!P5*1000)/(#REF!*'No. of aircraft'!$B$29)</f>
        <v>#REF!</v>
      </c>
      <c r="Q122" t="e">
        <f>('No. of aircraft'!Q5*1000)/(#REF!*'No. of aircraft'!$B$29)</f>
        <v>#REF!</v>
      </c>
      <c r="R122" t="e">
        <f>('No. of aircraft'!R5*1000)/(#REF!*'No. of aircraft'!$B$29)</f>
        <v>#REF!</v>
      </c>
      <c r="S122" t="e">
        <f>('No. of aircraft'!S5*1000)/(#REF!*'No. of aircraft'!$B$29)</f>
        <v>#REF!</v>
      </c>
      <c r="T122" t="e">
        <f>('No. of aircraft'!T5*1000)/(#REF!*'No. of aircraft'!$B$29)</f>
        <v>#REF!</v>
      </c>
      <c r="U122" t="e">
        <f>('No. of aircraft'!U5*1000)/(#REF!*'No. of aircraft'!$B$29)</f>
        <v>#REF!</v>
      </c>
      <c r="V122" t="e">
        <f>('No. of aircraft'!V5*1000)/(#REF!*'No. of aircraft'!$B$29)</f>
        <v>#REF!</v>
      </c>
      <c r="W122" s="354"/>
      <c r="X122" s="354"/>
      <c r="Y122" s="354"/>
      <c r="AD122" s="1333">
        <v>1</v>
      </c>
      <c r="AE122" s="87" t="s">
        <v>209</v>
      </c>
      <c r="AF122" s="634">
        <v>1</v>
      </c>
      <c r="AG122" s="634">
        <v>1</v>
      </c>
      <c r="AH122" s="634">
        <v>1</v>
      </c>
      <c r="AI122" s="634">
        <v>1</v>
      </c>
      <c r="AJ122" s="634">
        <v>1</v>
      </c>
      <c r="AK122" s="634">
        <v>1</v>
      </c>
      <c r="AL122" s="634">
        <v>1</v>
      </c>
      <c r="AM122" s="634">
        <v>1</v>
      </c>
      <c r="AN122" s="634">
        <v>1</v>
      </c>
      <c r="AO122" s="634">
        <v>1</v>
      </c>
      <c r="AP122" s="634">
        <v>1</v>
      </c>
      <c r="AQ122" s="634">
        <v>1</v>
      </c>
      <c r="AR122" s="634">
        <v>1</v>
      </c>
      <c r="AS122" s="634">
        <v>1</v>
      </c>
      <c r="AT122" s="634">
        <v>1</v>
      </c>
      <c r="AU122" s="634">
        <v>1</v>
      </c>
      <c r="AV122" s="634">
        <v>1</v>
      </c>
      <c r="AW122" s="634">
        <v>1</v>
      </c>
      <c r="AX122" s="634">
        <v>1</v>
      </c>
      <c r="AY122" s="634">
        <v>1</v>
      </c>
    </row>
    <row r="123" spans="1:51" ht="14.65" customHeight="1">
      <c r="A123" s="1333"/>
      <c r="B123" s="87" t="s">
        <v>211</v>
      </c>
      <c r="C123" t="e">
        <f>('No. of aircraft'!C6*1000)/(#REF!*'No. of aircraft'!$B$29)</f>
        <v>#REF!</v>
      </c>
      <c r="D123" t="e">
        <f>('No. of aircraft'!D6*1000)/(#REF!*'No. of aircraft'!$B$29)</f>
        <v>#REF!</v>
      </c>
      <c r="E123" t="e">
        <f>('No. of aircraft'!E6*1000)/(#REF!*'No. of aircraft'!$B$29)</f>
        <v>#REF!</v>
      </c>
      <c r="F123" t="e">
        <f>('No. of aircraft'!F6*1000)/(#REF!*'No. of aircraft'!$B$29)</f>
        <v>#REF!</v>
      </c>
      <c r="G123" t="e">
        <f>('No. of aircraft'!G6*1000)/(#REF!*'No. of aircraft'!$B$29)</f>
        <v>#REF!</v>
      </c>
      <c r="H123" t="e">
        <f>('No. of aircraft'!H6*1000)/(#REF!*'No. of aircraft'!$B$29)</f>
        <v>#REF!</v>
      </c>
      <c r="I123" t="e">
        <f>('No. of aircraft'!I6*1000)/(#REF!*'No. of aircraft'!$B$29)</f>
        <v>#REF!</v>
      </c>
      <c r="J123" t="e">
        <f>('No. of aircraft'!J6*1000)/(#REF!*'No. of aircraft'!$B$29)</f>
        <v>#REF!</v>
      </c>
      <c r="K123" t="e">
        <f>('No. of aircraft'!K6*1000)/(#REF!*'No. of aircraft'!$B$29)</f>
        <v>#REF!</v>
      </c>
      <c r="L123" t="e">
        <f>('No. of aircraft'!L6*1000)/(#REF!*'No. of aircraft'!$B$29)</f>
        <v>#REF!</v>
      </c>
      <c r="M123" t="e">
        <f>('No. of aircraft'!M6*1000)/(#REF!*'No. of aircraft'!$B$29)</f>
        <v>#REF!</v>
      </c>
      <c r="N123" t="e">
        <f>('No. of aircraft'!N6*1000)/(#REF!*'No. of aircraft'!$B$29)</f>
        <v>#REF!</v>
      </c>
      <c r="O123" t="e">
        <f>('No. of aircraft'!O6*1000)/(#REF!*'No. of aircraft'!$B$29)</f>
        <v>#REF!</v>
      </c>
      <c r="P123" t="e">
        <f>('No. of aircraft'!P6*1000)/(#REF!*'No. of aircraft'!$B$29)</f>
        <v>#REF!</v>
      </c>
      <c r="Q123" t="e">
        <f>('No. of aircraft'!Q6*1000)/(#REF!*'No. of aircraft'!$B$29)</f>
        <v>#REF!</v>
      </c>
      <c r="R123" t="e">
        <f>('No. of aircraft'!R6*1000)/(#REF!*'No. of aircraft'!$B$29)</f>
        <v>#REF!</v>
      </c>
      <c r="S123" t="e">
        <f>('No. of aircraft'!S6*1000)/(#REF!*'No. of aircraft'!$B$29)</f>
        <v>#REF!</v>
      </c>
      <c r="T123" t="e">
        <f>('No. of aircraft'!T6*1000)/(#REF!*'No. of aircraft'!$B$29)</f>
        <v>#REF!</v>
      </c>
      <c r="U123" t="e">
        <f>('No. of aircraft'!U6*1000)/(#REF!*'No. of aircraft'!$B$29)</f>
        <v>#REF!</v>
      </c>
      <c r="V123" t="e">
        <f>('No. of aircraft'!V6*1000)/(#REF!*'No. of aircraft'!$B$29)</f>
        <v>#REF!</v>
      </c>
      <c r="W123" s="354"/>
      <c r="X123" s="354"/>
      <c r="Y123" s="354"/>
      <c r="AD123" s="1333"/>
      <c r="AE123" s="87" t="s">
        <v>210</v>
      </c>
      <c r="AF123" s="634">
        <v>1</v>
      </c>
      <c r="AG123" s="634">
        <v>1</v>
      </c>
      <c r="AH123" s="634">
        <v>1</v>
      </c>
      <c r="AI123" s="634">
        <v>1</v>
      </c>
      <c r="AJ123" s="634">
        <v>1</v>
      </c>
      <c r="AK123" s="634">
        <v>1</v>
      </c>
      <c r="AL123" s="634">
        <v>1</v>
      </c>
      <c r="AM123" s="634">
        <v>1</v>
      </c>
      <c r="AN123" s="634">
        <v>1</v>
      </c>
      <c r="AO123" s="634">
        <v>1</v>
      </c>
      <c r="AP123" s="634">
        <v>1</v>
      </c>
      <c r="AQ123" s="634">
        <v>1</v>
      </c>
      <c r="AR123" s="634">
        <v>1</v>
      </c>
      <c r="AS123" s="634">
        <v>1</v>
      </c>
      <c r="AT123" s="634">
        <v>1</v>
      </c>
      <c r="AU123" s="634">
        <v>1</v>
      </c>
      <c r="AV123" s="634">
        <v>1</v>
      </c>
      <c r="AW123" s="634">
        <v>1</v>
      </c>
      <c r="AX123" s="634">
        <v>1</v>
      </c>
      <c r="AY123" s="634">
        <v>1</v>
      </c>
    </row>
    <row r="124" spans="1:51" ht="14.65" customHeight="1">
      <c r="A124" s="1333"/>
      <c r="B124" s="87" t="s">
        <v>212</v>
      </c>
      <c r="C124" t="e">
        <f>('No. of aircraft'!C7*1000)/(#REF!*'No. of aircraft'!$B$29)</f>
        <v>#REF!</v>
      </c>
      <c r="D124" t="e">
        <f>('No. of aircraft'!D7*1000)/(#REF!*'No. of aircraft'!$B$29)</f>
        <v>#REF!</v>
      </c>
      <c r="E124" t="e">
        <f>('No. of aircraft'!E7*1000)/(#REF!*'No. of aircraft'!$B$29)</f>
        <v>#REF!</v>
      </c>
      <c r="F124" t="e">
        <f>('No. of aircraft'!F7*1000)/(#REF!*'No. of aircraft'!$B$29)</f>
        <v>#REF!</v>
      </c>
      <c r="G124" t="e">
        <f>('No. of aircraft'!G7*1000)/(#REF!*'No. of aircraft'!$B$29)</f>
        <v>#REF!</v>
      </c>
      <c r="H124" t="e">
        <f>('No. of aircraft'!H7*1000)/(#REF!*'No. of aircraft'!$B$29)</f>
        <v>#REF!</v>
      </c>
      <c r="I124" t="e">
        <f>('No. of aircraft'!I7*1000)/(#REF!*'No. of aircraft'!$B$29)</f>
        <v>#REF!</v>
      </c>
      <c r="J124" t="e">
        <f>('No. of aircraft'!J7*1000)/(#REF!*'No. of aircraft'!$B$29)</f>
        <v>#REF!</v>
      </c>
      <c r="K124" t="e">
        <f>('No. of aircraft'!K7*1000)/(#REF!*'No. of aircraft'!$B$29)</f>
        <v>#REF!</v>
      </c>
      <c r="L124" t="e">
        <f>('No. of aircraft'!L7*1000)/(#REF!*'No. of aircraft'!$B$29)</f>
        <v>#REF!</v>
      </c>
      <c r="M124" t="e">
        <f>('No. of aircraft'!M7*1000)/(#REF!*'No. of aircraft'!$B$29)</f>
        <v>#REF!</v>
      </c>
      <c r="N124" t="e">
        <f>('No. of aircraft'!N7*1000)/(#REF!*'No. of aircraft'!$B$29)</f>
        <v>#REF!</v>
      </c>
      <c r="O124" t="e">
        <f>('No. of aircraft'!O7*1000)/(#REF!*'No. of aircraft'!$B$29)</f>
        <v>#REF!</v>
      </c>
      <c r="P124" t="e">
        <f>('No. of aircraft'!P7*1000)/(#REF!*'No. of aircraft'!$B$29)</f>
        <v>#REF!</v>
      </c>
      <c r="Q124" t="e">
        <f>('No. of aircraft'!Q7*1000)/(#REF!*'No. of aircraft'!$B$29)</f>
        <v>#REF!</v>
      </c>
      <c r="R124" t="e">
        <f>('No. of aircraft'!R7*1000)/(#REF!*'No. of aircraft'!$B$29)</f>
        <v>#REF!</v>
      </c>
      <c r="S124" t="e">
        <f>('No. of aircraft'!S7*1000)/(#REF!*'No. of aircraft'!$B$29)</f>
        <v>#REF!</v>
      </c>
      <c r="T124" t="e">
        <f>('No. of aircraft'!T7*1000)/(#REF!*'No. of aircraft'!$B$29)</f>
        <v>#REF!</v>
      </c>
      <c r="U124" t="e">
        <f>('No. of aircraft'!U7*1000)/(#REF!*'No. of aircraft'!$B$29)</f>
        <v>#REF!</v>
      </c>
      <c r="V124" t="e">
        <f>('No. of aircraft'!V7*1000)/(#REF!*'No. of aircraft'!$B$29)</f>
        <v>#REF!</v>
      </c>
      <c r="W124" s="354"/>
      <c r="X124" s="354"/>
      <c r="Y124" s="354"/>
      <c r="AD124" s="1333"/>
      <c r="AE124" s="87" t="s">
        <v>211</v>
      </c>
      <c r="AF124" s="634">
        <v>1</v>
      </c>
      <c r="AG124" s="634">
        <v>1</v>
      </c>
      <c r="AH124" s="634">
        <v>1</v>
      </c>
      <c r="AI124" s="634">
        <v>1</v>
      </c>
      <c r="AJ124" s="634">
        <v>1</v>
      </c>
      <c r="AK124" s="634">
        <v>1</v>
      </c>
      <c r="AL124" s="634">
        <v>1</v>
      </c>
      <c r="AM124" s="634">
        <v>1</v>
      </c>
      <c r="AN124" s="634">
        <v>1</v>
      </c>
      <c r="AO124" s="634">
        <v>1</v>
      </c>
      <c r="AP124" s="634">
        <v>1</v>
      </c>
      <c r="AQ124" s="634">
        <v>1</v>
      </c>
      <c r="AR124" s="634">
        <v>1</v>
      </c>
      <c r="AS124" s="634">
        <v>1</v>
      </c>
      <c r="AT124" s="634">
        <v>1</v>
      </c>
      <c r="AU124" s="634">
        <v>1</v>
      </c>
      <c r="AV124" s="634">
        <v>1</v>
      </c>
      <c r="AW124" s="634">
        <v>1</v>
      </c>
      <c r="AX124" s="634">
        <v>1</v>
      </c>
      <c r="AY124" s="634">
        <v>1</v>
      </c>
    </row>
    <row r="125" spans="1:51" ht="14.65" customHeight="1">
      <c r="A125" s="1333"/>
      <c r="B125" s="87" t="s">
        <v>213</v>
      </c>
      <c r="C125" t="e">
        <f>('No. of aircraft'!C8*1000)/(#REF!*'No. of aircraft'!$B$29)</f>
        <v>#REF!</v>
      </c>
      <c r="D125" t="e">
        <f>('No. of aircraft'!D8*1000)/(#REF!*'No. of aircraft'!$B$29)</f>
        <v>#REF!</v>
      </c>
      <c r="E125" t="e">
        <f>('No. of aircraft'!E8*1000)/(#REF!*'No. of aircraft'!$B$29)</f>
        <v>#REF!</v>
      </c>
      <c r="F125" t="e">
        <f>('No. of aircraft'!F8*1000)/(#REF!*'No. of aircraft'!$B$29)</f>
        <v>#REF!</v>
      </c>
      <c r="G125" t="e">
        <f>('No. of aircraft'!G8*1000)/(#REF!*'No. of aircraft'!$B$29)</f>
        <v>#REF!</v>
      </c>
      <c r="H125" t="e">
        <f>('No. of aircraft'!H8*1000)/(#REF!*'No. of aircraft'!$B$29)</f>
        <v>#REF!</v>
      </c>
      <c r="I125" t="e">
        <f>('No. of aircraft'!I8*1000)/(#REF!*'No. of aircraft'!$B$29)</f>
        <v>#REF!</v>
      </c>
      <c r="J125" t="e">
        <f>('No. of aircraft'!J8*1000)/(#REF!*'No. of aircraft'!$B$29)</f>
        <v>#REF!</v>
      </c>
      <c r="K125" t="e">
        <f>('No. of aircraft'!K8*1000)/(#REF!*'No. of aircraft'!$B$29)</f>
        <v>#REF!</v>
      </c>
      <c r="L125" t="e">
        <f>('No. of aircraft'!L8*1000)/(#REF!*'No. of aircraft'!$B$29)</f>
        <v>#REF!</v>
      </c>
      <c r="M125" t="e">
        <f>('No. of aircraft'!M8*1000)/(#REF!*'No. of aircraft'!$B$29)</f>
        <v>#REF!</v>
      </c>
      <c r="N125" t="e">
        <f>('No. of aircraft'!N8*1000)/(#REF!*'No. of aircraft'!$B$29)</f>
        <v>#REF!</v>
      </c>
      <c r="O125" t="e">
        <f>('No. of aircraft'!O8*1000)/(#REF!*'No. of aircraft'!$B$29)</f>
        <v>#REF!</v>
      </c>
      <c r="P125" t="e">
        <f>('No. of aircraft'!P8*1000)/(#REF!*'No. of aircraft'!$B$29)</f>
        <v>#REF!</v>
      </c>
      <c r="Q125" t="e">
        <f>('No. of aircraft'!Q8*1000)/(#REF!*'No. of aircraft'!$B$29)</f>
        <v>#REF!</v>
      </c>
      <c r="R125" t="e">
        <f>('No. of aircraft'!R8*1000)/(#REF!*'No. of aircraft'!$B$29)</f>
        <v>#REF!</v>
      </c>
      <c r="S125" t="e">
        <f>('No. of aircraft'!S8*1000)/(#REF!*'No. of aircraft'!$B$29)</f>
        <v>#REF!</v>
      </c>
      <c r="T125" t="e">
        <f>('No. of aircraft'!T8*1000)/(#REF!*'No. of aircraft'!$B$29)</f>
        <v>#REF!</v>
      </c>
      <c r="U125" t="e">
        <f>('No. of aircraft'!U8*1000)/(#REF!*'No. of aircraft'!$B$29)</f>
        <v>#REF!</v>
      </c>
      <c r="V125" t="e">
        <f>('No. of aircraft'!V8*1000)/(#REF!*'No. of aircraft'!$B$29)</f>
        <v>#REF!</v>
      </c>
      <c r="W125" s="354"/>
      <c r="X125" s="354"/>
      <c r="Y125" s="354"/>
      <c r="AD125" s="1333"/>
      <c r="AE125" s="87" t="s">
        <v>212</v>
      </c>
      <c r="AF125" s="634">
        <v>1</v>
      </c>
      <c r="AG125" s="634">
        <v>1</v>
      </c>
      <c r="AH125" s="634">
        <v>1</v>
      </c>
      <c r="AI125" s="634">
        <v>1</v>
      </c>
      <c r="AJ125" s="634">
        <v>1</v>
      </c>
      <c r="AK125" s="634">
        <v>1</v>
      </c>
      <c r="AL125" s="634">
        <v>1</v>
      </c>
      <c r="AM125" s="634">
        <v>1</v>
      </c>
      <c r="AN125" s="634">
        <v>1</v>
      </c>
      <c r="AO125" s="634">
        <v>1</v>
      </c>
      <c r="AP125" s="634">
        <v>1</v>
      </c>
      <c r="AQ125" s="634">
        <v>1</v>
      </c>
      <c r="AR125" s="634">
        <v>1</v>
      </c>
      <c r="AS125" s="634">
        <v>1</v>
      </c>
      <c r="AT125" s="634">
        <v>1</v>
      </c>
      <c r="AU125" s="634">
        <v>1</v>
      </c>
      <c r="AV125" s="634">
        <v>1</v>
      </c>
      <c r="AW125" s="634">
        <v>1</v>
      </c>
      <c r="AX125" s="634">
        <v>1</v>
      </c>
      <c r="AY125" s="634">
        <v>1</v>
      </c>
    </row>
    <row r="126" spans="1:51" ht="14.65" customHeight="1">
      <c r="A126" s="1333">
        <v>2</v>
      </c>
      <c r="B126" s="303" t="s">
        <v>214</v>
      </c>
      <c r="C126" s="93" t="e">
        <f>('No. of aircraft'!C9*1000)/(#REF!*'No. of aircraft'!$B$29)</f>
        <v>#REF!</v>
      </c>
      <c r="D126" s="93" t="e">
        <f>('No. of aircraft'!D9*1000)/(#REF!*'No. of aircraft'!$B$29)</f>
        <v>#REF!</v>
      </c>
      <c r="E126" s="93" t="e">
        <f>('No. of aircraft'!E9*1000)/(#REF!*'No. of aircraft'!$B$29)</f>
        <v>#REF!</v>
      </c>
      <c r="F126" s="93" t="e">
        <f>('No. of aircraft'!F9*1000)/(#REF!*'No. of aircraft'!$B$29)</f>
        <v>#REF!</v>
      </c>
      <c r="G126" t="e">
        <f>('No. of aircraft'!G9*1000)/(#REF!*'No. of aircraft'!$B$29)</f>
        <v>#REF!</v>
      </c>
      <c r="H126" t="e">
        <f>('No. of aircraft'!H9*1000)/(#REF!*'No. of aircraft'!$B$29)</f>
        <v>#REF!</v>
      </c>
      <c r="I126" t="e">
        <f>('No. of aircraft'!I9*1000)/(#REF!*'No. of aircraft'!$B$29)</f>
        <v>#REF!</v>
      </c>
      <c r="J126" t="e">
        <f>('No. of aircraft'!J9*1000)/(#REF!*'No. of aircraft'!$B$29)</f>
        <v>#REF!</v>
      </c>
      <c r="K126" t="e">
        <f>('No. of aircraft'!K9*1000)/(#REF!*'No. of aircraft'!$B$29)</f>
        <v>#REF!</v>
      </c>
      <c r="L126" t="e">
        <f>('No. of aircraft'!L9*1000)/(#REF!*'No. of aircraft'!$B$29)</f>
        <v>#REF!</v>
      </c>
      <c r="M126" t="e">
        <f>('No. of aircraft'!M9*1000)/(#REF!*'No. of aircraft'!$B$29)</f>
        <v>#REF!</v>
      </c>
      <c r="N126" t="e">
        <f>('No. of aircraft'!N9*1000)/(#REF!*'No. of aircraft'!$B$29)</f>
        <v>#REF!</v>
      </c>
      <c r="O126" t="e">
        <f>('No. of aircraft'!O9*1000)/(#REF!*'No. of aircraft'!$B$29)</f>
        <v>#REF!</v>
      </c>
      <c r="P126" t="e">
        <f>('No. of aircraft'!P9*1000)/(#REF!*'No. of aircraft'!$B$29)</f>
        <v>#REF!</v>
      </c>
      <c r="Q126" t="e">
        <f>('No. of aircraft'!Q9*1000)/(#REF!*'No. of aircraft'!$B$29)</f>
        <v>#REF!</v>
      </c>
      <c r="R126" t="e">
        <f>('No. of aircraft'!R9*1000)/(#REF!*'No. of aircraft'!$B$29)</f>
        <v>#REF!</v>
      </c>
      <c r="S126" t="e">
        <f>('No. of aircraft'!S9*1000)/(#REF!*'No. of aircraft'!$B$29)</f>
        <v>#REF!</v>
      </c>
      <c r="T126" t="e">
        <f>('No. of aircraft'!T9*1000)/(#REF!*'No. of aircraft'!$B$29)</f>
        <v>#REF!</v>
      </c>
      <c r="U126" t="e">
        <f>('No. of aircraft'!U9*1000)/(#REF!*'No. of aircraft'!$B$29)</f>
        <v>#REF!</v>
      </c>
      <c r="V126" t="e">
        <f>('No. of aircraft'!V9*1000)/(#REF!*'No. of aircraft'!$B$29)</f>
        <v>#REF!</v>
      </c>
      <c r="W126" s="642"/>
      <c r="X126" s="354"/>
      <c r="Y126" s="354"/>
      <c r="AD126" s="1333"/>
      <c r="AE126" s="87" t="s">
        <v>213</v>
      </c>
      <c r="AF126" s="634">
        <v>1</v>
      </c>
      <c r="AG126" s="634">
        <v>1</v>
      </c>
      <c r="AH126" s="634">
        <v>1</v>
      </c>
      <c r="AI126" s="634">
        <v>1</v>
      </c>
      <c r="AJ126" s="634">
        <v>1</v>
      </c>
      <c r="AK126" s="634">
        <v>1</v>
      </c>
      <c r="AL126" s="634">
        <v>1</v>
      </c>
      <c r="AM126" s="634">
        <v>1</v>
      </c>
      <c r="AN126" s="634">
        <v>1</v>
      </c>
      <c r="AO126" s="634">
        <v>1</v>
      </c>
      <c r="AP126" s="634">
        <v>1</v>
      </c>
      <c r="AQ126" s="634">
        <v>1</v>
      </c>
      <c r="AR126" s="634">
        <v>1</v>
      </c>
      <c r="AS126" s="634">
        <v>1</v>
      </c>
      <c r="AT126" s="634">
        <v>1</v>
      </c>
      <c r="AU126" s="634">
        <v>1</v>
      </c>
      <c r="AV126" s="634">
        <v>1</v>
      </c>
      <c r="AW126" s="634">
        <v>1</v>
      </c>
      <c r="AX126" s="634">
        <v>1</v>
      </c>
      <c r="AY126" s="634">
        <v>1</v>
      </c>
    </row>
    <row r="127" spans="1:51" ht="14.65" customHeight="1">
      <c r="A127" s="1333"/>
      <c r="B127" s="303" t="s">
        <v>215</v>
      </c>
      <c r="C127" s="93" t="e">
        <f>('No. of aircraft'!C10*1000)/(#REF!*'No. of aircraft'!$B$29)</f>
        <v>#REF!</v>
      </c>
      <c r="D127" s="93" t="e">
        <f>('No. of aircraft'!D10*1000)/(#REF!*'No. of aircraft'!$B$29)</f>
        <v>#REF!</v>
      </c>
      <c r="E127" s="93" t="e">
        <f>('No. of aircraft'!E10*1000)/(#REF!*'No. of aircraft'!$B$29)</f>
        <v>#REF!</v>
      </c>
      <c r="F127" s="93" t="e">
        <f>('No. of aircraft'!F10*1000)/(#REF!*'No. of aircraft'!$B$29)</f>
        <v>#REF!</v>
      </c>
      <c r="G127" t="e">
        <f>('No. of aircraft'!G10*1000)/(#REF!*'No. of aircraft'!$B$29)</f>
        <v>#REF!</v>
      </c>
      <c r="H127" t="e">
        <f>('No. of aircraft'!H10*1000)/(#REF!*'No. of aircraft'!$B$29)</f>
        <v>#REF!</v>
      </c>
      <c r="I127" t="e">
        <f>('No. of aircraft'!I10*1000)/(#REF!*'No. of aircraft'!$B$29)</f>
        <v>#REF!</v>
      </c>
      <c r="J127" t="e">
        <f>('No. of aircraft'!J10*1000)/(#REF!*'No. of aircraft'!$B$29)</f>
        <v>#REF!</v>
      </c>
      <c r="K127" t="e">
        <f>('No. of aircraft'!K10*1000)/(#REF!*'No. of aircraft'!$B$29)</f>
        <v>#REF!</v>
      </c>
      <c r="L127" t="e">
        <f>('No. of aircraft'!L10*1000)/(#REF!*'No. of aircraft'!$B$29)</f>
        <v>#REF!</v>
      </c>
      <c r="M127" t="e">
        <f>('No. of aircraft'!M10*1000)/(#REF!*'No. of aircraft'!$B$29)</f>
        <v>#REF!</v>
      </c>
      <c r="N127" t="e">
        <f>('No. of aircraft'!N10*1000)/(#REF!*'No. of aircraft'!$B$29)</f>
        <v>#REF!</v>
      </c>
      <c r="O127" t="e">
        <f>('No. of aircraft'!O10*1000)/(#REF!*'No. of aircraft'!$B$29)</f>
        <v>#REF!</v>
      </c>
      <c r="P127" t="e">
        <f>('No. of aircraft'!P10*1000)/(#REF!*'No. of aircraft'!$B$29)</f>
        <v>#REF!</v>
      </c>
      <c r="Q127" t="e">
        <f>('No. of aircraft'!Q10*1000)/(#REF!*'No. of aircraft'!$B$29)</f>
        <v>#REF!</v>
      </c>
      <c r="R127" t="e">
        <f>('No. of aircraft'!R10*1000)/(#REF!*'No. of aircraft'!$B$29)</f>
        <v>#REF!</v>
      </c>
      <c r="S127" t="e">
        <f>('No. of aircraft'!S10*1000)/(#REF!*'No. of aircraft'!$B$29)</f>
        <v>#REF!</v>
      </c>
      <c r="T127" t="e">
        <f>('No. of aircraft'!T10*1000)/(#REF!*'No. of aircraft'!$B$29)</f>
        <v>#REF!</v>
      </c>
      <c r="U127" t="e">
        <f>('No. of aircraft'!U10*1000)/(#REF!*'No. of aircraft'!$B$29)</f>
        <v>#REF!</v>
      </c>
      <c r="V127" t="e">
        <f>('No. of aircraft'!V10*1000)/(#REF!*'No. of aircraft'!$B$29)</f>
        <v>#REF!</v>
      </c>
      <c r="W127" s="354"/>
      <c r="X127" s="354"/>
      <c r="Y127" s="354"/>
      <c r="AD127" s="1333">
        <v>2</v>
      </c>
      <c r="AE127" s="303" t="s">
        <v>214</v>
      </c>
      <c r="AF127" s="653" t="e">
        <f t="shared" ref="AF127:AF138" si="89">ROUNDUP(C127,0)</f>
        <v>#REF!</v>
      </c>
      <c r="AG127" s="653" t="e">
        <f t="shared" ref="AG127:AG138" si="90">ROUNDUP(D127,0)</f>
        <v>#REF!</v>
      </c>
      <c r="AH127" s="653" t="e">
        <f t="shared" ref="AH127:AH138" si="91">ROUNDUP(E127,0)</f>
        <v>#REF!</v>
      </c>
      <c r="AI127" s="653" t="e">
        <f t="shared" ref="AI127:AI138" si="92">ROUNDUP(F127,0)</f>
        <v>#REF!</v>
      </c>
      <c r="AJ127" s="634" t="e">
        <f t="shared" ref="AJ127:AJ138" si="93">ROUNDUP(G127,0)</f>
        <v>#REF!</v>
      </c>
      <c r="AK127" s="634" t="e">
        <f t="shared" ref="AK127:AK138" si="94">ROUNDUP(H127,0)</f>
        <v>#REF!</v>
      </c>
      <c r="AL127" s="634" t="e">
        <f t="shared" ref="AL127:AL138" si="95">ROUNDUP(I127,0)</f>
        <v>#REF!</v>
      </c>
      <c r="AM127" s="634" t="e">
        <f t="shared" ref="AM127:AM138" si="96">ROUNDUP(J127,0)</f>
        <v>#REF!</v>
      </c>
      <c r="AN127" s="634" t="e">
        <f t="shared" ref="AN127:AN130" si="97">ROUNDUP(K127,0)</f>
        <v>#REF!</v>
      </c>
      <c r="AO127" s="634">
        <v>1</v>
      </c>
      <c r="AP127" s="634">
        <v>1</v>
      </c>
      <c r="AQ127" s="634">
        <v>1</v>
      </c>
      <c r="AR127" s="634">
        <v>1</v>
      </c>
      <c r="AS127" s="634">
        <v>1</v>
      </c>
      <c r="AT127" s="634">
        <v>1</v>
      </c>
      <c r="AU127" s="634">
        <v>1</v>
      </c>
      <c r="AV127" s="634">
        <v>1</v>
      </c>
      <c r="AW127" s="634">
        <v>1</v>
      </c>
      <c r="AX127" s="634">
        <v>1</v>
      </c>
      <c r="AY127" s="634">
        <v>1</v>
      </c>
    </row>
    <row r="128" spans="1:51" ht="14.65" customHeight="1">
      <c r="A128" s="1333"/>
      <c r="B128" s="303" t="s">
        <v>216</v>
      </c>
      <c r="C128" s="93" t="e">
        <f>('No. of aircraft'!C11*1000)/(#REF!*'No. of aircraft'!$B$29)</f>
        <v>#REF!</v>
      </c>
      <c r="D128" s="93" t="e">
        <f>('No. of aircraft'!D11*1000)/(#REF!*'No. of aircraft'!$B$29)</f>
        <v>#REF!</v>
      </c>
      <c r="E128" s="93" t="e">
        <f>('No. of aircraft'!E11*1000)/(#REF!*'No. of aircraft'!$B$29)</f>
        <v>#REF!</v>
      </c>
      <c r="F128" s="93" t="e">
        <f>('No. of aircraft'!F11*1000)/(#REF!*'No. of aircraft'!$B$29)</f>
        <v>#REF!</v>
      </c>
      <c r="G128" t="e">
        <f>('No. of aircraft'!G11*1000)/(#REF!*'No. of aircraft'!$B$29)</f>
        <v>#REF!</v>
      </c>
      <c r="H128" t="e">
        <f>('No. of aircraft'!H11*1000)/(#REF!*'No. of aircraft'!$B$29)</f>
        <v>#REF!</v>
      </c>
      <c r="I128" t="e">
        <f>('No. of aircraft'!I11*1000)/(#REF!*'No. of aircraft'!$B$29)</f>
        <v>#REF!</v>
      </c>
      <c r="J128" t="e">
        <f>('No. of aircraft'!J11*1000)/(#REF!*'No. of aircraft'!$B$29)</f>
        <v>#REF!</v>
      </c>
      <c r="K128" t="e">
        <f>('No. of aircraft'!K11*1000)/(#REF!*'No. of aircraft'!$B$29)</f>
        <v>#REF!</v>
      </c>
      <c r="L128" t="e">
        <f>('No. of aircraft'!L11*1000)/(#REF!*'No. of aircraft'!$B$29)</f>
        <v>#REF!</v>
      </c>
      <c r="M128" t="e">
        <f>('No. of aircraft'!M11*1000)/(#REF!*'No. of aircraft'!$B$29)</f>
        <v>#REF!</v>
      </c>
      <c r="N128" t="e">
        <f>('No. of aircraft'!N11*1000)/(#REF!*'No. of aircraft'!$B$29)</f>
        <v>#REF!</v>
      </c>
      <c r="O128" t="e">
        <f>('No. of aircraft'!O11*1000)/(#REF!*'No. of aircraft'!$B$29)</f>
        <v>#REF!</v>
      </c>
      <c r="P128" t="e">
        <f>('No. of aircraft'!P11*1000)/(#REF!*'No. of aircraft'!$B$29)</f>
        <v>#REF!</v>
      </c>
      <c r="Q128" t="e">
        <f>('No. of aircraft'!Q11*1000)/(#REF!*'No. of aircraft'!$B$29)</f>
        <v>#REF!</v>
      </c>
      <c r="R128" t="e">
        <f>('No. of aircraft'!R11*1000)/(#REF!*'No. of aircraft'!$B$29)</f>
        <v>#REF!</v>
      </c>
      <c r="S128" t="e">
        <f>('No. of aircraft'!S11*1000)/(#REF!*'No. of aircraft'!$B$29)</f>
        <v>#REF!</v>
      </c>
      <c r="T128" t="e">
        <f>('No. of aircraft'!T11*1000)/(#REF!*'No. of aircraft'!$B$29)</f>
        <v>#REF!</v>
      </c>
      <c r="U128" t="e">
        <f>('No. of aircraft'!U11*1000)/(#REF!*'No. of aircraft'!$B$29)</f>
        <v>#REF!</v>
      </c>
      <c r="V128" t="e">
        <f>('No. of aircraft'!V11*1000)/(#REF!*'No. of aircraft'!$B$29)</f>
        <v>#REF!</v>
      </c>
      <c r="W128" s="354"/>
      <c r="X128" s="354"/>
      <c r="Y128" s="354"/>
      <c r="AD128" s="1333"/>
      <c r="AE128" s="303" t="s">
        <v>215</v>
      </c>
      <c r="AF128" s="653" t="e">
        <f t="shared" si="89"/>
        <v>#REF!</v>
      </c>
      <c r="AG128" s="653" t="e">
        <f t="shared" si="90"/>
        <v>#REF!</v>
      </c>
      <c r="AH128" s="653" t="e">
        <f t="shared" si="91"/>
        <v>#REF!</v>
      </c>
      <c r="AI128" s="653" t="e">
        <f t="shared" si="92"/>
        <v>#REF!</v>
      </c>
      <c r="AJ128" s="634" t="e">
        <f t="shared" si="93"/>
        <v>#REF!</v>
      </c>
      <c r="AK128" s="634" t="e">
        <f t="shared" si="94"/>
        <v>#REF!</v>
      </c>
      <c r="AL128" s="634" t="e">
        <f t="shared" si="95"/>
        <v>#REF!</v>
      </c>
      <c r="AM128" s="634" t="e">
        <f t="shared" si="96"/>
        <v>#REF!</v>
      </c>
      <c r="AN128" s="634" t="e">
        <f t="shared" si="97"/>
        <v>#REF!</v>
      </c>
      <c r="AO128" s="634" t="e">
        <f t="shared" ref="AO128:AO130" si="98">ROUNDUP(L128,0)</f>
        <v>#REF!</v>
      </c>
      <c r="AP128" s="634" t="e">
        <f t="shared" ref="AP128:AP130" si="99">ROUNDUP(M128,0)</f>
        <v>#REF!</v>
      </c>
      <c r="AQ128" s="634" t="e">
        <f t="shared" ref="AQ128:AQ130" si="100">ROUNDUP(N128,0)</f>
        <v>#REF!</v>
      </c>
      <c r="AR128" s="634" t="e">
        <f t="shared" ref="AR128:AR130" si="101">ROUNDUP(O128,0)</f>
        <v>#REF!</v>
      </c>
      <c r="AS128" s="634" t="e">
        <f t="shared" ref="AS128:AS130" si="102">ROUNDUP(P128,0)</f>
        <v>#REF!</v>
      </c>
      <c r="AT128" s="634" t="e">
        <f t="shared" ref="AT128:AT130" si="103">ROUNDUP(Q128,0)</f>
        <v>#REF!</v>
      </c>
      <c r="AU128" s="634" t="e">
        <f t="shared" ref="AU128:AU130" si="104">ROUNDUP(R128,0)</f>
        <v>#REF!</v>
      </c>
      <c r="AV128" s="634" t="e">
        <f t="shared" ref="AV128:AV130" si="105">ROUNDUP(S128,0)</f>
        <v>#REF!</v>
      </c>
      <c r="AW128" s="634" t="e">
        <f t="shared" ref="AW128:AW130" si="106">ROUNDUP(T128,0)</f>
        <v>#REF!</v>
      </c>
      <c r="AX128" s="634" t="e">
        <f t="shared" ref="AX128:AX130" si="107">ROUNDUP(U128,0)</f>
        <v>#REF!</v>
      </c>
      <c r="AY128" s="634" t="e">
        <f t="shared" ref="AY128:AY130" si="108">ROUNDUP(V128,0)</f>
        <v>#REF!</v>
      </c>
    </row>
    <row r="129" spans="1:51" ht="14.65" customHeight="1">
      <c r="A129" s="1333"/>
      <c r="B129" s="305" t="s">
        <v>217</v>
      </c>
      <c r="C129" s="93" t="e">
        <f>('No. of aircraft'!C12*1000)/(#REF!*'No. of aircraft'!$B$29)</f>
        <v>#REF!</v>
      </c>
      <c r="D129" s="93" t="e">
        <f>('No. of aircraft'!D12*1000)/(#REF!*'No. of aircraft'!$B$29)</f>
        <v>#REF!</v>
      </c>
      <c r="E129" s="93" t="e">
        <f>('No. of aircraft'!E12*1000)/(#REF!*'No. of aircraft'!$B$29)</f>
        <v>#REF!</v>
      </c>
      <c r="F129" s="93" t="e">
        <f>('No. of aircraft'!F12*1000)/(#REF!*'No. of aircraft'!$B$29)</f>
        <v>#REF!</v>
      </c>
      <c r="G129" t="e">
        <f>('No. of aircraft'!G12*1000)/(#REF!*'No. of aircraft'!$B$29)</f>
        <v>#REF!</v>
      </c>
      <c r="H129" t="e">
        <f>('No. of aircraft'!H12*1000)/(#REF!*'No. of aircraft'!$B$29)</f>
        <v>#REF!</v>
      </c>
      <c r="I129" t="e">
        <f>('No. of aircraft'!I12*1000)/(#REF!*'No. of aircraft'!$B$29)</f>
        <v>#REF!</v>
      </c>
      <c r="J129" t="e">
        <f>('No. of aircraft'!J12*1000)/(#REF!*'No. of aircraft'!$B$29)</f>
        <v>#REF!</v>
      </c>
      <c r="K129" t="e">
        <f>('No. of aircraft'!K12*1000)/(#REF!*'No. of aircraft'!$B$29)</f>
        <v>#REF!</v>
      </c>
      <c r="L129" t="e">
        <f>('No. of aircraft'!L12*1000)/(#REF!*'No. of aircraft'!$B$29)</f>
        <v>#REF!</v>
      </c>
      <c r="M129" t="e">
        <f>('No. of aircraft'!M12*1000)/(#REF!*'No. of aircraft'!$B$29)</f>
        <v>#REF!</v>
      </c>
      <c r="N129" t="e">
        <f>('No. of aircraft'!N12*1000)/(#REF!*'No. of aircraft'!$B$29)</f>
        <v>#REF!</v>
      </c>
      <c r="O129" t="e">
        <f>('No. of aircraft'!O12*1000)/(#REF!*'No. of aircraft'!$B$29)</f>
        <v>#REF!</v>
      </c>
      <c r="P129" t="e">
        <f>('No. of aircraft'!P12*1000)/(#REF!*'No. of aircraft'!$B$29)</f>
        <v>#REF!</v>
      </c>
      <c r="Q129" t="e">
        <f>('No. of aircraft'!Q12*1000)/(#REF!*'No. of aircraft'!$B$29)</f>
        <v>#REF!</v>
      </c>
      <c r="R129" t="e">
        <f>('No. of aircraft'!R12*1000)/(#REF!*'No. of aircraft'!$B$29)</f>
        <v>#REF!</v>
      </c>
      <c r="S129" t="e">
        <f>('No. of aircraft'!S12*1000)/(#REF!*'No. of aircraft'!$B$29)</f>
        <v>#REF!</v>
      </c>
      <c r="T129" t="e">
        <f>('No. of aircraft'!T12*1000)/(#REF!*'No. of aircraft'!$B$29)</f>
        <v>#REF!</v>
      </c>
      <c r="U129" t="e">
        <f>('No. of aircraft'!U12*1000)/(#REF!*'No. of aircraft'!$B$29)</f>
        <v>#REF!</v>
      </c>
      <c r="V129" t="e">
        <f>('No. of aircraft'!V12*1000)/(#REF!*'No. of aircraft'!$B$29)</f>
        <v>#REF!</v>
      </c>
      <c r="W129" s="354"/>
      <c r="X129" s="354"/>
      <c r="Y129" s="354"/>
      <c r="AD129" s="1333"/>
      <c r="AE129" s="303" t="s">
        <v>216</v>
      </c>
      <c r="AF129" s="653" t="e">
        <f t="shared" si="89"/>
        <v>#REF!</v>
      </c>
      <c r="AG129" s="653" t="e">
        <f t="shared" si="90"/>
        <v>#REF!</v>
      </c>
      <c r="AH129" s="653" t="e">
        <f t="shared" si="91"/>
        <v>#REF!</v>
      </c>
      <c r="AI129" s="653" t="e">
        <f t="shared" si="92"/>
        <v>#REF!</v>
      </c>
      <c r="AJ129" s="634" t="e">
        <f t="shared" si="93"/>
        <v>#REF!</v>
      </c>
      <c r="AK129" s="634" t="e">
        <f t="shared" si="94"/>
        <v>#REF!</v>
      </c>
      <c r="AL129" s="634" t="e">
        <f t="shared" si="95"/>
        <v>#REF!</v>
      </c>
      <c r="AM129" s="634" t="e">
        <f t="shared" si="96"/>
        <v>#REF!</v>
      </c>
      <c r="AN129" s="634" t="e">
        <f t="shared" si="97"/>
        <v>#REF!</v>
      </c>
      <c r="AO129" s="634" t="e">
        <f t="shared" si="98"/>
        <v>#REF!</v>
      </c>
      <c r="AP129" s="634" t="e">
        <f t="shared" si="99"/>
        <v>#REF!</v>
      </c>
      <c r="AQ129" s="634" t="e">
        <f t="shared" si="100"/>
        <v>#REF!</v>
      </c>
      <c r="AR129" s="634" t="e">
        <f t="shared" si="101"/>
        <v>#REF!</v>
      </c>
      <c r="AS129" s="634" t="e">
        <f t="shared" si="102"/>
        <v>#REF!</v>
      </c>
      <c r="AT129" s="634" t="e">
        <f t="shared" si="103"/>
        <v>#REF!</v>
      </c>
      <c r="AU129" s="634" t="e">
        <f t="shared" si="104"/>
        <v>#REF!</v>
      </c>
      <c r="AV129" s="634" t="e">
        <f t="shared" si="105"/>
        <v>#REF!</v>
      </c>
      <c r="AW129" s="634" t="e">
        <f t="shared" si="106"/>
        <v>#REF!</v>
      </c>
      <c r="AX129" s="634" t="e">
        <f t="shared" si="107"/>
        <v>#REF!</v>
      </c>
      <c r="AY129" s="634" t="e">
        <f t="shared" si="108"/>
        <v>#REF!</v>
      </c>
    </row>
    <row r="130" spans="1:51" ht="14.65" customHeight="1">
      <c r="A130" s="1333">
        <v>3</v>
      </c>
      <c r="B130" s="203" t="s">
        <v>218</v>
      </c>
      <c r="C130" s="93" t="e">
        <f>('No. of aircraft'!C13*1000)/(#REF!*'No. of aircraft'!$B$29)</f>
        <v>#REF!</v>
      </c>
      <c r="D130" s="93" t="e">
        <f>('No. of aircraft'!D13*1000)/(#REF!*'No. of aircraft'!$B$29)</f>
        <v>#REF!</v>
      </c>
      <c r="E130" s="93" t="e">
        <f>('No. of aircraft'!E13*1000)/(#REF!*'No. of aircraft'!$B$29)</f>
        <v>#REF!</v>
      </c>
      <c r="F130" s="93" t="e">
        <f>('No. of aircraft'!F13*1000)/(#REF!*'No. of aircraft'!$B$29)</f>
        <v>#REF!</v>
      </c>
      <c r="G130" s="93" t="e">
        <f>('No. of aircraft'!G13*1000)/(#REF!*'No. of aircraft'!$B$29)</f>
        <v>#REF!</v>
      </c>
      <c r="H130" s="93" t="e">
        <f>('No. of aircraft'!H13*1000)/(#REF!*'No. of aircraft'!$B$29)</f>
        <v>#REF!</v>
      </c>
      <c r="I130" s="93" t="e">
        <f>('No. of aircraft'!I13*1000)/(#REF!*'No. of aircraft'!$B$29)</f>
        <v>#REF!</v>
      </c>
      <c r="J130" s="93" t="e">
        <f>('No. of aircraft'!J13*1000)/(#REF!*'No. of aircraft'!$B$29)</f>
        <v>#REF!</v>
      </c>
      <c r="K130" t="e">
        <f>('No. of aircraft'!K13*1000)/(#REF!*'No. of aircraft'!$B$29)</f>
        <v>#REF!</v>
      </c>
      <c r="L130" t="e">
        <f>('No. of aircraft'!L13*1000)/(#REF!*'No. of aircraft'!$B$29)</f>
        <v>#REF!</v>
      </c>
      <c r="M130" t="e">
        <f>('No. of aircraft'!M13*1000)/(#REF!*'No. of aircraft'!$B$29)</f>
        <v>#REF!</v>
      </c>
      <c r="N130" t="e">
        <f>('No. of aircraft'!N13*1000)/(#REF!*'No. of aircraft'!$B$29)</f>
        <v>#REF!</v>
      </c>
      <c r="O130" t="e">
        <f>('No. of aircraft'!O13*1000)/(#REF!*'No. of aircraft'!$B$29)</f>
        <v>#REF!</v>
      </c>
      <c r="P130" t="e">
        <f>('No. of aircraft'!P13*1000)/(#REF!*'No. of aircraft'!$B$29)</f>
        <v>#REF!</v>
      </c>
      <c r="Q130" t="e">
        <f>('No. of aircraft'!Q13*1000)/(#REF!*'No. of aircraft'!$B$29)</f>
        <v>#REF!</v>
      </c>
      <c r="R130" t="e">
        <f>('No. of aircraft'!R13*1000)/(#REF!*'No. of aircraft'!$B$29)</f>
        <v>#REF!</v>
      </c>
      <c r="S130" t="e">
        <f>('No. of aircraft'!S13*1000)/(#REF!*'No. of aircraft'!$B$29)</f>
        <v>#REF!</v>
      </c>
      <c r="T130" t="e">
        <f>('No. of aircraft'!T13*1000)/(#REF!*'No. of aircraft'!$B$29)</f>
        <v>#REF!</v>
      </c>
      <c r="U130" t="e">
        <f>('No. of aircraft'!U13*1000)/(#REF!*'No. of aircraft'!$B$29)</f>
        <v>#REF!</v>
      </c>
      <c r="V130" t="e">
        <f>('No. of aircraft'!V13*1000)/(#REF!*'No. of aircraft'!$B$29)</f>
        <v>#REF!</v>
      </c>
      <c r="W130" s="642"/>
      <c r="X130" s="354"/>
      <c r="Y130" s="354"/>
      <c r="AD130" s="1333"/>
      <c r="AE130" s="305" t="s">
        <v>217</v>
      </c>
      <c r="AF130" s="653" t="e">
        <f t="shared" si="89"/>
        <v>#REF!</v>
      </c>
      <c r="AG130" s="653" t="e">
        <f t="shared" si="90"/>
        <v>#REF!</v>
      </c>
      <c r="AH130" s="653" t="e">
        <f t="shared" si="91"/>
        <v>#REF!</v>
      </c>
      <c r="AI130" s="653" t="e">
        <f t="shared" si="92"/>
        <v>#REF!</v>
      </c>
      <c r="AJ130" s="634" t="e">
        <f t="shared" si="93"/>
        <v>#REF!</v>
      </c>
      <c r="AK130" s="634" t="e">
        <f t="shared" si="94"/>
        <v>#REF!</v>
      </c>
      <c r="AL130" s="634" t="e">
        <f t="shared" si="95"/>
        <v>#REF!</v>
      </c>
      <c r="AM130" s="634" t="e">
        <f t="shared" si="96"/>
        <v>#REF!</v>
      </c>
      <c r="AN130" s="634" t="e">
        <f t="shared" si="97"/>
        <v>#REF!</v>
      </c>
      <c r="AO130" s="634" t="e">
        <f t="shared" si="98"/>
        <v>#REF!</v>
      </c>
      <c r="AP130" s="634" t="e">
        <f t="shared" si="99"/>
        <v>#REF!</v>
      </c>
      <c r="AQ130" s="634" t="e">
        <f t="shared" si="100"/>
        <v>#REF!</v>
      </c>
      <c r="AR130" s="634" t="e">
        <f t="shared" si="101"/>
        <v>#REF!</v>
      </c>
      <c r="AS130" s="634" t="e">
        <f t="shared" si="102"/>
        <v>#REF!</v>
      </c>
      <c r="AT130" s="634" t="e">
        <f t="shared" si="103"/>
        <v>#REF!</v>
      </c>
      <c r="AU130" s="634" t="e">
        <f t="shared" si="104"/>
        <v>#REF!</v>
      </c>
      <c r="AV130" s="634" t="e">
        <f t="shared" si="105"/>
        <v>#REF!</v>
      </c>
      <c r="AW130" s="634" t="e">
        <f t="shared" si="106"/>
        <v>#REF!</v>
      </c>
      <c r="AX130" s="634" t="e">
        <f t="shared" si="107"/>
        <v>#REF!</v>
      </c>
      <c r="AY130" s="634" t="e">
        <f t="shared" si="108"/>
        <v>#REF!</v>
      </c>
    </row>
    <row r="131" spans="1:51" ht="14.65" customHeight="1">
      <c r="A131" s="1333"/>
      <c r="B131" s="203" t="s">
        <v>219</v>
      </c>
      <c r="C131" s="93" t="e">
        <f>('No. of aircraft'!C14*1000)/(#REF!*'No. of aircraft'!$B$29)</f>
        <v>#REF!</v>
      </c>
      <c r="D131" s="93" t="e">
        <f>('No. of aircraft'!D14*1000)/(#REF!*'No. of aircraft'!$B$29)</f>
        <v>#REF!</v>
      </c>
      <c r="E131" s="93" t="e">
        <f>('No. of aircraft'!E14*1000)/(#REF!*'No. of aircraft'!$B$29)</f>
        <v>#REF!</v>
      </c>
      <c r="F131" s="93" t="e">
        <f>('No. of aircraft'!F14*1000)/(#REF!*'No. of aircraft'!$B$29)</f>
        <v>#REF!</v>
      </c>
      <c r="G131" s="93" t="e">
        <f>('No. of aircraft'!G14*1000)/(#REF!*'No. of aircraft'!$B$29)</f>
        <v>#REF!</v>
      </c>
      <c r="H131" s="93" t="e">
        <f>('No. of aircraft'!H14*1000)/(#REF!*'No. of aircraft'!$B$29)</f>
        <v>#REF!</v>
      </c>
      <c r="I131" s="93" t="e">
        <f>('No. of aircraft'!I14*1000)/(#REF!*'No. of aircraft'!$B$29)</f>
        <v>#REF!</v>
      </c>
      <c r="J131" s="93" t="e">
        <f>('No. of aircraft'!J14*1000)/(#REF!*'No. of aircraft'!$B$29)</f>
        <v>#REF!</v>
      </c>
      <c r="K131" t="e">
        <f>('No. of aircraft'!K14*1000)/(#REF!*'No. of aircraft'!$B$29)</f>
        <v>#REF!</v>
      </c>
      <c r="L131" t="e">
        <f>('No. of aircraft'!L14*1000)/(#REF!*'No. of aircraft'!$B$29)</f>
        <v>#REF!</v>
      </c>
      <c r="M131" t="e">
        <f>('No. of aircraft'!M14*1000)/(#REF!*'No. of aircraft'!$B$29)</f>
        <v>#REF!</v>
      </c>
      <c r="N131" t="e">
        <f>('No. of aircraft'!N14*1000)/(#REF!*'No. of aircraft'!$B$29)</f>
        <v>#REF!</v>
      </c>
      <c r="O131" t="e">
        <f>('No. of aircraft'!O14*1000)/(#REF!*'No. of aircraft'!$B$29)</f>
        <v>#REF!</v>
      </c>
      <c r="P131" t="e">
        <f>('No. of aircraft'!P14*1000)/(#REF!*'No. of aircraft'!$B$29)</f>
        <v>#REF!</v>
      </c>
      <c r="Q131" t="e">
        <f>('No. of aircraft'!Q14*1000)/(#REF!*'No. of aircraft'!$B$29)</f>
        <v>#REF!</v>
      </c>
      <c r="R131" t="e">
        <f>('No. of aircraft'!R14*1000)/(#REF!*'No. of aircraft'!$B$29)</f>
        <v>#REF!</v>
      </c>
      <c r="S131" t="e">
        <f>('No. of aircraft'!S14*1000)/(#REF!*'No. of aircraft'!$B$29)</f>
        <v>#REF!</v>
      </c>
      <c r="T131" t="e">
        <f>('No. of aircraft'!T14*1000)/(#REF!*'No. of aircraft'!$B$29)</f>
        <v>#REF!</v>
      </c>
      <c r="U131" t="e">
        <f>('No. of aircraft'!U14*1000)/(#REF!*'No. of aircraft'!$B$29)</f>
        <v>#REF!</v>
      </c>
      <c r="V131" t="e">
        <f>('No. of aircraft'!V14*1000)/(#REF!*'No. of aircraft'!$B$29)</f>
        <v>#REF!</v>
      </c>
      <c r="W131" s="354"/>
      <c r="X131" s="354"/>
      <c r="Y131" s="354"/>
      <c r="AD131" s="1333">
        <v>3</v>
      </c>
      <c r="AE131" s="203" t="s">
        <v>218</v>
      </c>
      <c r="AF131" s="653" t="e">
        <f t="shared" si="89"/>
        <v>#REF!</v>
      </c>
      <c r="AG131" s="653" t="e">
        <f t="shared" si="90"/>
        <v>#REF!</v>
      </c>
      <c r="AH131" s="653" t="e">
        <f t="shared" si="91"/>
        <v>#REF!</v>
      </c>
      <c r="AI131" s="653" t="e">
        <f t="shared" si="92"/>
        <v>#REF!</v>
      </c>
      <c r="AJ131" s="653" t="e">
        <f t="shared" si="93"/>
        <v>#REF!</v>
      </c>
      <c r="AK131" s="653" t="e">
        <f t="shared" si="94"/>
        <v>#REF!</v>
      </c>
      <c r="AL131" s="653" t="e">
        <f t="shared" si="95"/>
        <v>#REF!</v>
      </c>
      <c r="AM131" s="653" t="e">
        <f t="shared" si="96"/>
        <v>#REF!</v>
      </c>
      <c r="AN131" s="634">
        <v>1</v>
      </c>
      <c r="AO131" s="634">
        <v>1</v>
      </c>
      <c r="AP131" s="634">
        <v>1</v>
      </c>
      <c r="AQ131" s="634">
        <v>1</v>
      </c>
      <c r="AR131" s="634">
        <v>1</v>
      </c>
      <c r="AS131" s="634">
        <v>1</v>
      </c>
      <c r="AT131" s="634">
        <v>1</v>
      </c>
      <c r="AU131" s="634">
        <v>1</v>
      </c>
      <c r="AV131" s="634">
        <v>1</v>
      </c>
      <c r="AW131" s="634">
        <v>1</v>
      </c>
      <c r="AX131" s="634">
        <v>1</v>
      </c>
      <c r="AY131" s="634">
        <v>1</v>
      </c>
    </row>
    <row r="132" spans="1:51" ht="14.65" customHeight="1">
      <c r="A132" s="1333"/>
      <c r="B132" s="203" t="s">
        <v>220</v>
      </c>
      <c r="C132" s="93" t="e">
        <f>('No. of aircraft'!C15*1000)/(#REF!*'No. of aircraft'!$B$29)</f>
        <v>#REF!</v>
      </c>
      <c r="D132" s="93" t="e">
        <f>('No. of aircraft'!D15*1000)/(#REF!*'No. of aircraft'!$B$29)</f>
        <v>#REF!</v>
      </c>
      <c r="E132" s="93" t="e">
        <f>('No. of aircraft'!E15*1000)/(#REF!*'No. of aircraft'!$B$29)</f>
        <v>#REF!</v>
      </c>
      <c r="F132" s="93" t="e">
        <f>('No. of aircraft'!F15*1000)/(#REF!*'No. of aircraft'!$B$29)</f>
        <v>#REF!</v>
      </c>
      <c r="G132" s="93" t="e">
        <f>('No. of aircraft'!G15*1000)/(#REF!*'No. of aircraft'!$B$29)</f>
        <v>#REF!</v>
      </c>
      <c r="H132" s="93" t="e">
        <f>('No. of aircraft'!H15*1000)/(#REF!*'No. of aircraft'!$B$29)</f>
        <v>#REF!</v>
      </c>
      <c r="I132" s="93" t="e">
        <f>('No. of aircraft'!I15*1000)/(#REF!*'No. of aircraft'!$B$29)</f>
        <v>#REF!</v>
      </c>
      <c r="J132" s="93" t="e">
        <f>('No. of aircraft'!J15*1000)/(#REF!*'No. of aircraft'!$B$29)</f>
        <v>#REF!</v>
      </c>
      <c r="K132" t="e">
        <f>('No. of aircraft'!K15*1000)/(#REF!*'No. of aircraft'!$B$29)</f>
        <v>#REF!</v>
      </c>
      <c r="L132" t="e">
        <f>('No. of aircraft'!L15*1000)/(#REF!*'No. of aircraft'!$B$29)</f>
        <v>#REF!</v>
      </c>
      <c r="M132" t="e">
        <f>('No. of aircraft'!M15*1000)/(#REF!*'No. of aircraft'!$B$29)</f>
        <v>#REF!</v>
      </c>
      <c r="N132" t="e">
        <f>('No. of aircraft'!N15*1000)/(#REF!*'No. of aircraft'!$B$29)</f>
        <v>#REF!</v>
      </c>
      <c r="O132" t="e">
        <f>('No. of aircraft'!O15*1000)/(#REF!*'No. of aircraft'!$B$29)</f>
        <v>#REF!</v>
      </c>
      <c r="P132" t="e">
        <f>('No. of aircraft'!P15*1000)/(#REF!*'No. of aircraft'!$B$29)</f>
        <v>#REF!</v>
      </c>
      <c r="Q132" t="e">
        <f>('No. of aircraft'!Q15*1000)/(#REF!*'No. of aircraft'!$B$29)</f>
        <v>#REF!</v>
      </c>
      <c r="R132" t="e">
        <f>('No. of aircraft'!R15*1000)/(#REF!*'No. of aircraft'!$B$29)</f>
        <v>#REF!</v>
      </c>
      <c r="S132" t="e">
        <f>('No. of aircraft'!S15*1000)/(#REF!*'No. of aircraft'!$B$29)</f>
        <v>#REF!</v>
      </c>
      <c r="T132" t="e">
        <f>('No. of aircraft'!T15*1000)/(#REF!*'No. of aircraft'!$B$29)</f>
        <v>#REF!</v>
      </c>
      <c r="U132" t="e">
        <f>('No. of aircraft'!U15*1000)/(#REF!*'No. of aircraft'!$B$29)</f>
        <v>#REF!</v>
      </c>
      <c r="V132" t="e">
        <f>('No. of aircraft'!V15*1000)/(#REF!*'No. of aircraft'!$B$29)</f>
        <v>#REF!</v>
      </c>
      <c r="W132" s="354"/>
      <c r="X132" s="354"/>
      <c r="Y132" s="354"/>
      <c r="AD132" s="1333"/>
      <c r="AE132" s="203" t="s">
        <v>219</v>
      </c>
      <c r="AF132" s="653" t="e">
        <f t="shared" si="89"/>
        <v>#REF!</v>
      </c>
      <c r="AG132" s="653" t="e">
        <f t="shared" si="90"/>
        <v>#REF!</v>
      </c>
      <c r="AH132" s="653" t="e">
        <f t="shared" si="91"/>
        <v>#REF!</v>
      </c>
      <c r="AI132" s="653" t="e">
        <f t="shared" si="92"/>
        <v>#REF!</v>
      </c>
      <c r="AJ132" s="653" t="e">
        <f t="shared" si="93"/>
        <v>#REF!</v>
      </c>
      <c r="AK132" s="653" t="e">
        <f t="shared" si="94"/>
        <v>#REF!</v>
      </c>
      <c r="AL132" s="653" t="e">
        <f t="shared" si="95"/>
        <v>#REF!</v>
      </c>
      <c r="AM132" s="653" t="e">
        <f t="shared" si="96"/>
        <v>#REF!</v>
      </c>
      <c r="AN132" s="634" t="e">
        <f t="shared" ref="AN132:AN138" si="109">ROUNDUP(K132,0)</f>
        <v>#REF!</v>
      </c>
      <c r="AO132" s="634" t="e">
        <f t="shared" ref="AO132:AO138" si="110">ROUNDUP(L132,0)</f>
        <v>#REF!</v>
      </c>
      <c r="AP132" s="634" t="e">
        <f t="shared" ref="AP132:AP138" si="111">ROUNDUP(M132,0)</f>
        <v>#REF!</v>
      </c>
      <c r="AQ132" s="634" t="e">
        <f t="shared" ref="AQ132:AQ138" si="112">ROUNDUP(N132,0)</f>
        <v>#REF!</v>
      </c>
      <c r="AR132" s="634" t="e">
        <f t="shared" ref="AR132:AR134" si="113">ROUNDUP(O132,0)</f>
        <v>#REF!</v>
      </c>
      <c r="AS132" s="634" t="e">
        <f t="shared" ref="AS132:AS134" si="114">ROUNDUP(P132,0)</f>
        <v>#REF!</v>
      </c>
      <c r="AT132" s="634" t="e">
        <f t="shared" ref="AT132:AT134" si="115">ROUNDUP(Q132,0)</f>
        <v>#REF!</v>
      </c>
      <c r="AU132" s="634" t="e">
        <f t="shared" ref="AU132:AU134" si="116">ROUNDUP(R132,0)</f>
        <v>#REF!</v>
      </c>
      <c r="AV132" s="634" t="e">
        <f t="shared" ref="AV132:AV134" si="117">ROUNDUP(S132,0)</f>
        <v>#REF!</v>
      </c>
      <c r="AW132" s="634" t="e">
        <f t="shared" ref="AW132:AW134" si="118">ROUNDUP(T132,0)</f>
        <v>#REF!</v>
      </c>
      <c r="AX132" s="634" t="e">
        <f t="shared" ref="AX132:AX134" si="119">ROUNDUP(U132,0)</f>
        <v>#REF!</v>
      </c>
      <c r="AY132" s="634" t="e">
        <f t="shared" ref="AY132:AY134" si="120">ROUNDUP(V132,0)</f>
        <v>#REF!</v>
      </c>
    </row>
    <row r="133" spans="1:51" ht="14.65" customHeight="1">
      <c r="A133" s="1333"/>
      <c r="B133" s="203" t="s">
        <v>221</v>
      </c>
      <c r="C133" s="93" t="e">
        <f>('No. of aircraft'!C16*1000)/(#REF!*'No. of aircraft'!$B$29)</f>
        <v>#REF!</v>
      </c>
      <c r="D133" s="93" t="e">
        <f>('No. of aircraft'!D16*1000)/(#REF!*'No. of aircraft'!$B$29)</f>
        <v>#REF!</v>
      </c>
      <c r="E133" s="93" t="e">
        <f>('No. of aircraft'!E16*1000)/(#REF!*'No. of aircraft'!$B$29)</f>
        <v>#REF!</v>
      </c>
      <c r="F133" s="93" t="e">
        <f>('No. of aircraft'!F16*1000)/(#REF!*'No. of aircraft'!$B$29)</f>
        <v>#REF!</v>
      </c>
      <c r="G133" s="93" t="e">
        <f>('No. of aircraft'!G16*1000)/(#REF!*'No. of aircraft'!$B$29)</f>
        <v>#REF!</v>
      </c>
      <c r="H133" s="93" t="e">
        <f>('No. of aircraft'!H16*1000)/(#REF!*'No. of aircraft'!$B$29)</f>
        <v>#REF!</v>
      </c>
      <c r="I133" s="93" t="e">
        <f>('No. of aircraft'!I16*1000)/(#REF!*'No. of aircraft'!$B$29)</f>
        <v>#REF!</v>
      </c>
      <c r="J133" s="93" t="e">
        <f>('No. of aircraft'!J16*1000)/(#REF!*'No. of aircraft'!$B$29)</f>
        <v>#REF!</v>
      </c>
      <c r="K133" t="e">
        <f>('No. of aircraft'!K16*1000)/(#REF!*'No. of aircraft'!$B$29)</f>
        <v>#REF!</v>
      </c>
      <c r="L133" t="e">
        <f>('No. of aircraft'!L16*1000)/(#REF!*'No. of aircraft'!$B$29)</f>
        <v>#REF!</v>
      </c>
      <c r="M133" t="e">
        <f>('No. of aircraft'!M16*1000)/(#REF!*'No. of aircraft'!$B$29)</f>
        <v>#REF!</v>
      </c>
      <c r="N133" t="e">
        <f>('No. of aircraft'!N16*1000)/(#REF!*'No. of aircraft'!$B$29)</f>
        <v>#REF!</v>
      </c>
      <c r="O133" t="e">
        <f>('No. of aircraft'!O16*1000)/(#REF!*'No. of aircraft'!$B$29)</f>
        <v>#REF!</v>
      </c>
      <c r="P133" t="e">
        <f>('No. of aircraft'!P16*1000)/(#REF!*'No. of aircraft'!$B$29)</f>
        <v>#REF!</v>
      </c>
      <c r="Q133" t="e">
        <f>('No. of aircraft'!Q16*1000)/(#REF!*'No. of aircraft'!$B$29)</f>
        <v>#REF!</v>
      </c>
      <c r="R133" t="e">
        <f>('No. of aircraft'!R16*1000)/(#REF!*'No. of aircraft'!$B$29)</f>
        <v>#REF!</v>
      </c>
      <c r="S133" t="e">
        <f>('No. of aircraft'!S16*1000)/(#REF!*'No. of aircraft'!$B$29)</f>
        <v>#REF!</v>
      </c>
      <c r="T133" t="e">
        <f>('No. of aircraft'!T16*1000)/(#REF!*'No. of aircraft'!$B$29)</f>
        <v>#REF!</v>
      </c>
      <c r="U133" t="e">
        <f>('No. of aircraft'!U16*1000)/(#REF!*'No. of aircraft'!$B$29)</f>
        <v>#REF!</v>
      </c>
      <c r="V133" t="e">
        <f>('No. of aircraft'!V16*1000)/(#REF!*'No. of aircraft'!$B$29)</f>
        <v>#REF!</v>
      </c>
      <c r="W133" s="354"/>
      <c r="X133" s="354"/>
      <c r="Y133" s="354"/>
      <c r="AD133" s="1333"/>
      <c r="AE133" s="203" t="s">
        <v>220</v>
      </c>
      <c r="AF133" s="653" t="e">
        <f t="shared" si="89"/>
        <v>#REF!</v>
      </c>
      <c r="AG133" s="653" t="e">
        <f t="shared" si="90"/>
        <v>#REF!</v>
      </c>
      <c r="AH133" s="653" t="e">
        <f t="shared" si="91"/>
        <v>#REF!</v>
      </c>
      <c r="AI133" s="653" t="e">
        <f t="shared" si="92"/>
        <v>#REF!</v>
      </c>
      <c r="AJ133" s="653" t="e">
        <f t="shared" si="93"/>
        <v>#REF!</v>
      </c>
      <c r="AK133" s="653" t="e">
        <f t="shared" si="94"/>
        <v>#REF!</v>
      </c>
      <c r="AL133" s="653" t="e">
        <f t="shared" si="95"/>
        <v>#REF!</v>
      </c>
      <c r="AM133" s="653" t="e">
        <f t="shared" si="96"/>
        <v>#REF!</v>
      </c>
      <c r="AN133" s="634" t="e">
        <f t="shared" si="109"/>
        <v>#REF!</v>
      </c>
      <c r="AO133" s="634" t="e">
        <f t="shared" si="110"/>
        <v>#REF!</v>
      </c>
      <c r="AP133" s="634" t="e">
        <f t="shared" si="111"/>
        <v>#REF!</v>
      </c>
      <c r="AQ133" s="634" t="e">
        <f t="shared" si="112"/>
        <v>#REF!</v>
      </c>
      <c r="AR133" s="634" t="e">
        <f t="shared" si="113"/>
        <v>#REF!</v>
      </c>
      <c r="AS133" s="634" t="e">
        <f t="shared" si="114"/>
        <v>#REF!</v>
      </c>
      <c r="AT133" s="634" t="e">
        <f t="shared" si="115"/>
        <v>#REF!</v>
      </c>
      <c r="AU133" s="634" t="e">
        <f t="shared" si="116"/>
        <v>#REF!</v>
      </c>
      <c r="AV133" s="634" t="e">
        <f t="shared" si="117"/>
        <v>#REF!</v>
      </c>
      <c r="AW133" s="634" t="e">
        <f t="shared" si="118"/>
        <v>#REF!</v>
      </c>
      <c r="AX133" s="634" t="e">
        <f t="shared" si="119"/>
        <v>#REF!</v>
      </c>
      <c r="AY133" s="634" t="e">
        <f t="shared" si="120"/>
        <v>#REF!</v>
      </c>
    </row>
    <row r="134" spans="1:51" ht="14.65" customHeight="1">
      <c r="A134" s="1333">
        <v>4</v>
      </c>
      <c r="B134" s="307" t="s">
        <v>222</v>
      </c>
      <c r="C134" s="93" t="e">
        <f>('No. of aircraft'!C17*1000)/(#REF!*'No. of aircraft'!$B$29)</f>
        <v>#REF!</v>
      </c>
      <c r="D134" s="93" t="e">
        <f>('No. of aircraft'!D17*1000)/(#REF!*'No. of aircraft'!$B$29)</f>
        <v>#REF!</v>
      </c>
      <c r="E134" s="93" t="e">
        <f>('No. of aircraft'!E17*1000)/(#REF!*'No. of aircraft'!$B$29)</f>
        <v>#REF!</v>
      </c>
      <c r="F134" s="93" t="e">
        <f>('No. of aircraft'!F17*1000)/(#REF!*'No. of aircraft'!$B$29)</f>
        <v>#REF!</v>
      </c>
      <c r="G134" s="93" t="e">
        <f>('No. of aircraft'!G17*1000)/(#REF!*'No. of aircraft'!$B$29)</f>
        <v>#REF!</v>
      </c>
      <c r="H134" s="93" t="e">
        <f>('No. of aircraft'!H17*1000)/(#REF!*'No. of aircraft'!$B$29)</f>
        <v>#REF!</v>
      </c>
      <c r="I134" s="93" t="e">
        <f>('No. of aircraft'!I17*1000)/(#REF!*'No. of aircraft'!$B$29)</f>
        <v>#REF!</v>
      </c>
      <c r="J134" s="93" t="e">
        <f>('No. of aircraft'!J17*1000)/(#REF!*'No. of aircraft'!$B$29)</f>
        <v>#REF!</v>
      </c>
      <c r="K134" s="93" t="e">
        <f>('No. of aircraft'!K17*1000)/(#REF!*'No. of aircraft'!$B$29)</f>
        <v>#REF!</v>
      </c>
      <c r="L134" s="93" t="e">
        <f>('No. of aircraft'!L17*1000)/(#REF!*'No. of aircraft'!$B$29)</f>
        <v>#REF!</v>
      </c>
      <c r="M134" s="93" t="e">
        <f>('No. of aircraft'!M17*1000)/(#REF!*'No. of aircraft'!$B$29)</f>
        <v>#REF!</v>
      </c>
      <c r="N134" s="93" t="e">
        <f>('No. of aircraft'!N17*1000)/(#REF!*'No. of aircraft'!$B$29)</f>
        <v>#REF!</v>
      </c>
      <c r="O134" t="e">
        <f>('No. of aircraft'!O17*1000)/(#REF!*'No. of aircraft'!$B$29)</f>
        <v>#REF!</v>
      </c>
      <c r="P134" t="e">
        <f>('No. of aircraft'!P17*1000)/(#REF!*'No. of aircraft'!$B$29)</f>
        <v>#REF!</v>
      </c>
      <c r="Q134" t="e">
        <f>('No. of aircraft'!Q17*1000)/(#REF!*'No. of aircraft'!$B$29)</f>
        <v>#REF!</v>
      </c>
      <c r="R134" t="e">
        <f>('No. of aircraft'!R17*1000)/(#REF!*'No. of aircraft'!$B$29)</f>
        <v>#REF!</v>
      </c>
      <c r="S134" t="e">
        <f>('No. of aircraft'!S17*1000)/(#REF!*'No. of aircraft'!$B$29)</f>
        <v>#REF!</v>
      </c>
      <c r="T134" t="e">
        <f>('No. of aircraft'!T17*1000)/(#REF!*'No. of aircraft'!$B$29)</f>
        <v>#REF!</v>
      </c>
      <c r="U134" t="e">
        <f>('No. of aircraft'!U17*1000)/(#REF!*'No. of aircraft'!$B$29)</f>
        <v>#REF!</v>
      </c>
      <c r="V134" t="e">
        <f>('No. of aircraft'!V17*1000)/(#REF!*'No. of aircraft'!$B$29)</f>
        <v>#REF!</v>
      </c>
      <c r="W134" s="354"/>
      <c r="X134" s="354"/>
      <c r="Y134" s="354"/>
      <c r="AD134" s="1333"/>
      <c r="AE134" s="203" t="s">
        <v>221</v>
      </c>
      <c r="AF134" s="653" t="e">
        <f t="shared" si="89"/>
        <v>#REF!</v>
      </c>
      <c r="AG134" s="653" t="e">
        <f t="shared" si="90"/>
        <v>#REF!</v>
      </c>
      <c r="AH134" s="653" t="e">
        <f t="shared" si="91"/>
        <v>#REF!</v>
      </c>
      <c r="AI134" s="653" t="e">
        <f t="shared" si="92"/>
        <v>#REF!</v>
      </c>
      <c r="AJ134" s="653" t="e">
        <f t="shared" si="93"/>
        <v>#REF!</v>
      </c>
      <c r="AK134" s="653" t="e">
        <f t="shared" si="94"/>
        <v>#REF!</v>
      </c>
      <c r="AL134" s="653" t="e">
        <f t="shared" si="95"/>
        <v>#REF!</v>
      </c>
      <c r="AM134" s="653" t="e">
        <f t="shared" si="96"/>
        <v>#REF!</v>
      </c>
      <c r="AN134" s="634" t="e">
        <f t="shared" si="109"/>
        <v>#REF!</v>
      </c>
      <c r="AO134" s="634" t="e">
        <f t="shared" si="110"/>
        <v>#REF!</v>
      </c>
      <c r="AP134" s="634" t="e">
        <f t="shared" si="111"/>
        <v>#REF!</v>
      </c>
      <c r="AQ134" s="634" t="e">
        <f t="shared" si="112"/>
        <v>#REF!</v>
      </c>
      <c r="AR134" s="634" t="e">
        <f t="shared" si="113"/>
        <v>#REF!</v>
      </c>
      <c r="AS134" s="634" t="e">
        <f t="shared" si="114"/>
        <v>#REF!</v>
      </c>
      <c r="AT134" s="634" t="e">
        <f t="shared" si="115"/>
        <v>#REF!</v>
      </c>
      <c r="AU134" s="634" t="e">
        <f t="shared" si="116"/>
        <v>#REF!</v>
      </c>
      <c r="AV134" s="634" t="e">
        <f t="shared" si="117"/>
        <v>#REF!</v>
      </c>
      <c r="AW134" s="634" t="e">
        <f t="shared" si="118"/>
        <v>#REF!</v>
      </c>
      <c r="AX134" s="634" t="e">
        <f t="shared" si="119"/>
        <v>#REF!</v>
      </c>
      <c r="AY134" s="634" t="e">
        <f t="shared" si="120"/>
        <v>#REF!</v>
      </c>
    </row>
    <row r="135" spans="1:51" ht="14.65" customHeight="1">
      <c r="A135" s="1333"/>
      <c r="B135" s="308" t="s">
        <v>223</v>
      </c>
      <c r="C135" s="93" t="e">
        <f>('No. of aircraft'!C18*1000)/(#REF!*'No. of aircraft'!$B$29)</f>
        <v>#REF!</v>
      </c>
      <c r="D135" s="93" t="e">
        <f>('No. of aircraft'!D18*1000)/(#REF!*'No. of aircraft'!$B$29)</f>
        <v>#REF!</v>
      </c>
      <c r="E135" s="93" t="e">
        <f>('No. of aircraft'!E18*1000)/(#REF!*'No. of aircraft'!$B$29)</f>
        <v>#REF!</v>
      </c>
      <c r="F135" s="93" t="e">
        <f>('No. of aircraft'!F18*1000)/(#REF!*'No. of aircraft'!$B$29)</f>
        <v>#REF!</v>
      </c>
      <c r="G135" s="93" t="e">
        <f>('No. of aircraft'!G18*1000)/(#REF!*'No. of aircraft'!$B$29)</f>
        <v>#REF!</v>
      </c>
      <c r="H135" s="93" t="e">
        <f>('No. of aircraft'!H18*1000)/(#REF!*'No. of aircraft'!$B$29)</f>
        <v>#REF!</v>
      </c>
      <c r="I135" s="93" t="e">
        <f>('No. of aircraft'!I18*1000)/(#REF!*'No. of aircraft'!$B$29)</f>
        <v>#REF!</v>
      </c>
      <c r="J135" s="93" t="e">
        <f>('No. of aircraft'!J18*1000)/(#REF!*'No. of aircraft'!$B$29)</f>
        <v>#REF!</v>
      </c>
      <c r="K135" s="93" t="e">
        <f>('No. of aircraft'!K18*1000)/(#REF!*'No. of aircraft'!$B$29)</f>
        <v>#REF!</v>
      </c>
      <c r="L135" s="93" t="e">
        <f>('No. of aircraft'!L18*1000)/(#REF!*'No. of aircraft'!$B$29)</f>
        <v>#REF!</v>
      </c>
      <c r="M135" s="93" t="e">
        <f>('No. of aircraft'!M18*1000)/(#REF!*'No. of aircraft'!$B$29)</f>
        <v>#REF!</v>
      </c>
      <c r="N135" s="93" t="e">
        <f>('No. of aircraft'!N18*1000)/(#REF!*'No. of aircraft'!$B$29)</f>
        <v>#REF!</v>
      </c>
      <c r="O135" t="e">
        <f>('No. of aircraft'!O18*1000)/(#REF!*'No. of aircraft'!$B$29)</f>
        <v>#REF!</v>
      </c>
      <c r="P135" t="e">
        <f>('No. of aircraft'!P18*1000)/(#REF!*'No. of aircraft'!$B$29)</f>
        <v>#REF!</v>
      </c>
      <c r="Q135" t="e">
        <f>('No. of aircraft'!Q18*1000)/(#REF!*'No. of aircraft'!$B$29)</f>
        <v>#REF!</v>
      </c>
      <c r="R135" t="e">
        <f>('No. of aircraft'!R18*1000)/(#REF!*'No. of aircraft'!$B$29)</f>
        <v>#REF!</v>
      </c>
      <c r="S135" t="e">
        <f>('No. of aircraft'!S18*1000)/(#REF!*'No. of aircraft'!$B$29)</f>
        <v>#REF!</v>
      </c>
      <c r="T135" t="e">
        <f>('No. of aircraft'!T18*1000)/(#REF!*'No. of aircraft'!$B$29)</f>
        <v>#REF!</v>
      </c>
      <c r="U135" t="e">
        <f>('No. of aircraft'!U18*1000)/(#REF!*'No. of aircraft'!$B$29)</f>
        <v>#REF!</v>
      </c>
      <c r="V135" t="e">
        <f>('No. of aircraft'!V18*1000)/(#REF!*'No. of aircraft'!$B$29)</f>
        <v>#REF!</v>
      </c>
      <c r="W135" s="642"/>
      <c r="X135" s="354"/>
      <c r="Y135" s="354"/>
      <c r="AD135" s="1333">
        <v>4</v>
      </c>
      <c r="AE135" s="307" t="s">
        <v>222</v>
      </c>
      <c r="AF135" s="653" t="e">
        <f t="shared" si="89"/>
        <v>#REF!</v>
      </c>
      <c r="AG135" s="653" t="e">
        <f t="shared" si="90"/>
        <v>#REF!</v>
      </c>
      <c r="AH135" s="653" t="e">
        <f t="shared" si="91"/>
        <v>#REF!</v>
      </c>
      <c r="AI135" s="653" t="e">
        <f t="shared" si="92"/>
        <v>#REF!</v>
      </c>
      <c r="AJ135" s="653" t="e">
        <f t="shared" si="93"/>
        <v>#REF!</v>
      </c>
      <c r="AK135" s="653" t="e">
        <f t="shared" si="94"/>
        <v>#REF!</v>
      </c>
      <c r="AL135" s="653" t="e">
        <f t="shared" si="95"/>
        <v>#REF!</v>
      </c>
      <c r="AM135" s="653" t="e">
        <f t="shared" si="96"/>
        <v>#REF!</v>
      </c>
      <c r="AN135" s="653" t="e">
        <f t="shared" si="109"/>
        <v>#REF!</v>
      </c>
      <c r="AO135" s="653" t="e">
        <f t="shared" si="110"/>
        <v>#REF!</v>
      </c>
      <c r="AP135" s="653" t="e">
        <f t="shared" si="111"/>
        <v>#REF!</v>
      </c>
      <c r="AQ135" s="653" t="e">
        <f t="shared" si="112"/>
        <v>#REF!</v>
      </c>
      <c r="AR135" s="634">
        <v>1</v>
      </c>
      <c r="AS135" s="634">
        <v>1</v>
      </c>
      <c r="AT135" s="634">
        <v>1</v>
      </c>
      <c r="AU135" s="634">
        <v>1</v>
      </c>
      <c r="AV135" s="634">
        <v>1</v>
      </c>
      <c r="AW135" s="634">
        <v>1</v>
      </c>
      <c r="AX135" s="634">
        <v>1</v>
      </c>
      <c r="AY135" s="634">
        <v>1</v>
      </c>
    </row>
    <row r="136" spans="1:51" ht="14.65" customHeight="1">
      <c r="A136" s="1333"/>
      <c r="B136" s="308" t="s">
        <v>224</v>
      </c>
      <c r="C136" s="93" t="e">
        <f>('No. of aircraft'!C19*1000)/(#REF!*'No. of aircraft'!$B$29)</f>
        <v>#REF!</v>
      </c>
      <c r="D136" s="93" t="e">
        <f>('No. of aircraft'!D19*1000)/(#REF!*'No. of aircraft'!$B$29)</f>
        <v>#REF!</v>
      </c>
      <c r="E136" s="93" t="e">
        <f>('No. of aircraft'!E19*1000)/(#REF!*'No. of aircraft'!$B$29)</f>
        <v>#REF!</v>
      </c>
      <c r="F136" s="93" t="e">
        <f>('No. of aircraft'!F19*1000)/(#REF!*'No. of aircraft'!$B$29)</f>
        <v>#REF!</v>
      </c>
      <c r="G136" s="93" t="e">
        <f>('No. of aircraft'!G19*1000)/(#REF!*'No. of aircraft'!$B$29)</f>
        <v>#REF!</v>
      </c>
      <c r="H136" s="93" t="e">
        <f>('No. of aircraft'!H19*1000)/(#REF!*'No. of aircraft'!$B$29)</f>
        <v>#REF!</v>
      </c>
      <c r="I136" s="93" t="e">
        <f>('No. of aircraft'!I19*1000)/(#REF!*'No. of aircraft'!$B$29)</f>
        <v>#REF!</v>
      </c>
      <c r="J136" s="93" t="e">
        <f>('No. of aircraft'!J19*1000)/(#REF!*'No. of aircraft'!$B$29)</f>
        <v>#REF!</v>
      </c>
      <c r="K136" s="93" t="e">
        <f>('No. of aircraft'!K19*1000)/(#REF!*'No. of aircraft'!$B$29)</f>
        <v>#REF!</v>
      </c>
      <c r="L136" s="93" t="e">
        <f>('No. of aircraft'!L19*1000)/(#REF!*'No. of aircraft'!$B$29)</f>
        <v>#REF!</v>
      </c>
      <c r="M136" s="93" t="e">
        <f>('No. of aircraft'!M19*1000)/(#REF!*'No. of aircraft'!$B$29)</f>
        <v>#REF!</v>
      </c>
      <c r="N136" s="93" t="e">
        <f>('No. of aircraft'!N19*1000)/(#REF!*'No. of aircraft'!$B$29)</f>
        <v>#REF!</v>
      </c>
      <c r="O136" t="e">
        <f>('No. of aircraft'!O19*1000)/(#REF!*'No. of aircraft'!$B$29)</f>
        <v>#REF!</v>
      </c>
      <c r="P136" t="e">
        <f>('No. of aircraft'!P19*1000)/(#REF!*'No. of aircraft'!$B$29)</f>
        <v>#REF!</v>
      </c>
      <c r="Q136" t="e">
        <f>('No. of aircraft'!Q19*1000)/(#REF!*'No. of aircraft'!$B$29)</f>
        <v>#REF!</v>
      </c>
      <c r="R136" t="e">
        <f>('No. of aircraft'!R19*1000)/(#REF!*'No. of aircraft'!$B$29)</f>
        <v>#REF!</v>
      </c>
      <c r="S136" t="e">
        <f>('No. of aircraft'!S19*1000)/(#REF!*'No. of aircraft'!$B$29)</f>
        <v>#REF!</v>
      </c>
      <c r="T136" t="e">
        <f>('No. of aircraft'!T19*1000)/(#REF!*'No. of aircraft'!$B$29)</f>
        <v>#REF!</v>
      </c>
      <c r="U136" t="e">
        <f>('No. of aircraft'!U19*1000)/(#REF!*'No. of aircraft'!$B$29)</f>
        <v>#REF!</v>
      </c>
      <c r="V136" t="e">
        <f>('No. of aircraft'!V19*1000)/(#REF!*'No. of aircraft'!$B$29)</f>
        <v>#REF!</v>
      </c>
      <c r="W136" s="354"/>
      <c r="X136" s="354"/>
      <c r="Y136" s="354"/>
      <c r="AD136" s="1333"/>
      <c r="AE136" s="308" t="s">
        <v>223</v>
      </c>
      <c r="AF136" s="653" t="e">
        <f t="shared" si="89"/>
        <v>#REF!</v>
      </c>
      <c r="AG136" s="653" t="e">
        <f t="shared" si="90"/>
        <v>#REF!</v>
      </c>
      <c r="AH136" s="653" t="e">
        <f t="shared" si="91"/>
        <v>#REF!</v>
      </c>
      <c r="AI136" s="653" t="e">
        <f t="shared" si="92"/>
        <v>#REF!</v>
      </c>
      <c r="AJ136" s="653" t="e">
        <f t="shared" si="93"/>
        <v>#REF!</v>
      </c>
      <c r="AK136" s="653" t="e">
        <f t="shared" si="94"/>
        <v>#REF!</v>
      </c>
      <c r="AL136" s="653" t="e">
        <f t="shared" si="95"/>
        <v>#REF!</v>
      </c>
      <c r="AM136" s="653" t="e">
        <f t="shared" si="96"/>
        <v>#REF!</v>
      </c>
      <c r="AN136" s="653" t="e">
        <f t="shared" si="109"/>
        <v>#REF!</v>
      </c>
      <c r="AO136" s="653" t="e">
        <f t="shared" si="110"/>
        <v>#REF!</v>
      </c>
      <c r="AP136" s="653" t="e">
        <f t="shared" si="111"/>
        <v>#REF!</v>
      </c>
      <c r="AQ136" s="653" t="e">
        <f t="shared" si="112"/>
        <v>#REF!</v>
      </c>
      <c r="AR136" s="634">
        <v>1</v>
      </c>
      <c r="AS136" s="634">
        <v>1</v>
      </c>
      <c r="AT136" s="634">
        <v>1</v>
      </c>
      <c r="AU136" s="634">
        <v>1</v>
      </c>
      <c r="AV136" s="634">
        <v>1</v>
      </c>
      <c r="AW136" s="634">
        <v>1</v>
      </c>
      <c r="AX136" s="634">
        <v>1</v>
      </c>
      <c r="AY136" s="634">
        <v>1</v>
      </c>
    </row>
    <row r="137" spans="1:51" ht="14.65" customHeight="1">
      <c r="A137" s="1403"/>
      <c r="B137" s="630" t="s">
        <v>225</v>
      </c>
      <c r="C137" s="93" t="e">
        <f>('No. of aircraft'!C20*1000)/(#REF!*'No. of aircraft'!$B$29)</f>
        <v>#REF!</v>
      </c>
      <c r="D137" s="93" t="e">
        <f>('No. of aircraft'!D20*1000)/(#REF!*'No. of aircraft'!$B$29)</f>
        <v>#REF!</v>
      </c>
      <c r="E137" s="93" t="e">
        <f>('No. of aircraft'!E20*1000)/(#REF!*'No. of aircraft'!$B$29)</f>
        <v>#REF!</v>
      </c>
      <c r="F137" s="93" t="e">
        <f>('No. of aircraft'!F20*1000)/(#REF!*'No. of aircraft'!$B$29)</f>
        <v>#REF!</v>
      </c>
      <c r="G137" s="93" t="e">
        <f>('No. of aircraft'!G20*1000)/(#REF!*'No. of aircraft'!$B$29)</f>
        <v>#REF!</v>
      </c>
      <c r="H137" s="93" t="e">
        <f>('No. of aircraft'!H20*1000)/(#REF!*'No. of aircraft'!$B$29)</f>
        <v>#REF!</v>
      </c>
      <c r="I137" s="93" t="e">
        <f>('No. of aircraft'!I20*1000)/(#REF!*'No. of aircraft'!$B$29)</f>
        <v>#REF!</v>
      </c>
      <c r="J137" s="93" t="e">
        <f>('No. of aircraft'!J20*1000)/(#REF!*'No. of aircraft'!$B$29)</f>
        <v>#REF!</v>
      </c>
      <c r="K137" s="93" t="e">
        <f>('No. of aircraft'!K20*1000)/(#REF!*'No. of aircraft'!$B$29)</f>
        <v>#REF!</v>
      </c>
      <c r="L137" s="93" t="e">
        <f>('No. of aircraft'!L20*1000)/(#REF!*'No. of aircraft'!$B$29)</f>
        <v>#REF!</v>
      </c>
      <c r="M137" s="93" t="e">
        <f>('No. of aircraft'!M20*1000)/(#REF!*'No. of aircraft'!$B$29)</f>
        <v>#REF!</v>
      </c>
      <c r="N137" s="93" t="e">
        <f>('No. of aircraft'!N20*1000)/(#REF!*'No. of aircraft'!$B$29)</f>
        <v>#REF!</v>
      </c>
      <c r="O137" t="e">
        <f>('No. of aircraft'!O20*1000)/(#REF!*'No. of aircraft'!$B$29)</f>
        <v>#REF!</v>
      </c>
      <c r="P137" t="e">
        <f>('No. of aircraft'!P20*1000)/(#REF!*'No. of aircraft'!$B$29)</f>
        <v>#REF!</v>
      </c>
      <c r="Q137" t="e">
        <f>('No. of aircraft'!Q20*1000)/(#REF!*'No. of aircraft'!$B$29)</f>
        <v>#REF!</v>
      </c>
      <c r="R137" t="e">
        <f>('No. of aircraft'!R20*1000)/(#REF!*'No. of aircraft'!$B$29)</f>
        <v>#REF!</v>
      </c>
      <c r="S137" t="e">
        <f>('No. of aircraft'!S20*1000)/(#REF!*'No. of aircraft'!$B$29)</f>
        <v>#REF!</v>
      </c>
      <c r="T137" t="e">
        <f>('No. of aircraft'!T20*1000)/(#REF!*'No. of aircraft'!$B$29)</f>
        <v>#REF!</v>
      </c>
      <c r="U137" t="e">
        <f>('No. of aircraft'!U20*1000)/(#REF!*'No. of aircraft'!$B$29)</f>
        <v>#REF!</v>
      </c>
      <c r="V137" t="e">
        <f>('No. of aircraft'!V20*1000)/(#REF!*'No. of aircraft'!$B$29)</f>
        <v>#REF!</v>
      </c>
      <c r="W137" s="354"/>
      <c r="X137" s="354"/>
      <c r="Y137" s="354"/>
      <c r="AD137" s="1333"/>
      <c r="AE137" s="308" t="s">
        <v>224</v>
      </c>
      <c r="AF137" s="653" t="e">
        <f t="shared" si="89"/>
        <v>#REF!</v>
      </c>
      <c r="AG137" s="653" t="e">
        <f t="shared" si="90"/>
        <v>#REF!</v>
      </c>
      <c r="AH137" s="653" t="e">
        <f t="shared" si="91"/>
        <v>#REF!</v>
      </c>
      <c r="AI137" s="653" t="e">
        <f t="shared" si="92"/>
        <v>#REF!</v>
      </c>
      <c r="AJ137" s="653" t="e">
        <f t="shared" si="93"/>
        <v>#REF!</v>
      </c>
      <c r="AK137" s="653" t="e">
        <f t="shared" si="94"/>
        <v>#REF!</v>
      </c>
      <c r="AL137" s="653" t="e">
        <f t="shared" si="95"/>
        <v>#REF!</v>
      </c>
      <c r="AM137" s="653" t="e">
        <f t="shared" si="96"/>
        <v>#REF!</v>
      </c>
      <c r="AN137" s="653" t="e">
        <f t="shared" si="109"/>
        <v>#REF!</v>
      </c>
      <c r="AO137" s="653" t="e">
        <f t="shared" si="110"/>
        <v>#REF!</v>
      </c>
      <c r="AP137" s="653" t="e">
        <f t="shared" si="111"/>
        <v>#REF!</v>
      </c>
      <c r="AQ137" s="653" t="e">
        <f t="shared" si="112"/>
        <v>#REF!</v>
      </c>
      <c r="AR137" s="634">
        <v>1</v>
      </c>
      <c r="AS137" s="634">
        <v>1</v>
      </c>
      <c r="AT137" s="634">
        <v>1</v>
      </c>
      <c r="AU137" s="634">
        <v>1</v>
      </c>
      <c r="AV137" s="634">
        <v>1</v>
      </c>
      <c r="AW137" s="634">
        <v>1</v>
      </c>
      <c r="AX137" s="634">
        <v>1</v>
      </c>
      <c r="AY137" s="634">
        <v>1</v>
      </c>
    </row>
    <row r="138" spans="1:51" ht="14.65" customHeight="1">
      <c r="A138" s="94"/>
      <c r="B138" s="637"/>
      <c r="W138" s="354"/>
      <c r="X138" s="354"/>
      <c r="Y138" s="354"/>
      <c r="AD138" s="1403"/>
      <c r="AE138" s="630" t="s">
        <v>225</v>
      </c>
      <c r="AF138" s="654">
        <f t="shared" si="89"/>
        <v>0</v>
      </c>
      <c r="AG138" s="654">
        <f t="shared" si="90"/>
        <v>0</v>
      </c>
      <c r="AH138" s="654">
        <f t="shared" si="91"/>
        <v>0</v>
      </c>
      <c r="AI138" s="654">
        <f t="shared" si="92"/>
        <v>0</v>
      </c>
      <c r="AJ138" s="654">
        <f t="shared" si="93"/>
        <v>0</v>
      </c>
      <c r="AK138" s="654">
        <f t="shared" si="94"/>
        <v>0</v>
      </c>
      <c r="AL138" s="654">
        <f t="shared" si="95"/>
        <v>0</v>
      </c>
      <c r="AM138" s="654">
        <f t="shared" si="96"/>
        <v>0</v>
      </c>
      <c r="AN138" s="654">
        <f t="shared" si="109"/>
        <v>0</v>
      </c>
      <c r="AO138" s="654">
        <f t="shared" si="110"/>
        <v>0</v>
      </c>
      <c r="AP138" s="654">
        <f t="shared" si="111"/>
        <v>0</v>
      </c>
      <c r="AQ138" s="654">
        <f t="shared" si="112"/>
        <v>0</v>
      </c>
      <c r="AR138" s="635">
        <v>1</v>
      </c>
      <c r="AS138" s="635">
        <v>1</v>
      </c>
      <c r="AT138" s="635">
        <v>1</v>
      </c>
      <c r="AU138" s="635">
        <v>1</v>
      </c>
      <c r="AV138" s="635">
        <v>1</v>
      </c>
      <c r="AW138" s="635">
        <v>1</v>
      </c>
      <c r="AX138" s="635">
        <v>1</v>
      </c>
      <c r="AY138" s="635">
        <v>1</v>
      </c>
    </row>
    <row r="139" spans="1:51" ht="14.65" customHeight="1">
      <c r="A139" s="94"/>
      <c r="B139" s="637"/>
      <c r="W139" s="354"/>
      <c r="X139" s="354"/>
      <c r="Y139" s="354"/>
      <c r="AD139" s="94"/>
      <c r="AE139" s="637"/>
      <c r="AF139" s="636"/>
      <c r="AG139" s="636"/>
      <c r="AH139" s="636"/>
      <c r="AI139" s="636"/>
      <c r="AJ139" s="636"/>
      <c r="AK139" s="636"/>
      <c r="AL139" s="636"/>
      <c r="AM139" s="636"/>
      <c r="AN139" s="636"/>
      <c r="AO139" s="636"/>
      <c r="AP139" s="636"/>
      <c r="AQ139" s="636"/>
      <c r="AR139" s="636"/>
      <c r="AS139" s="636"/>
      <c r="AT139" s="636"/>
      <c r="AU139" s="636"/>
      <c r="AV139" s="636"/>
      <c r="AW139" s="636"/>
      <c r="AX139" s="636"/>
      <c r="AY139" s="636"/>
    </row>
    <row r="140" spans="1:51">
      <c r="A140" s="94"/>
      <c r="B140" s="638"/>
      <c r="W140" s="354"/>
      <c r="X140" s="354"/>
      <c r="Y140" s="354"/>
      <c r="AD140" s="94"/>
      <c r="AE140" s="637"/>
      <c r="AF140" s="636"/>
      <c r="AG140" s="636"/>
      <c r="AH140" s="636"/>
      <c r="AI140" s="636"/>
      <c r="AJ140" s="636"/>
      <c r="AK140" s="636"/>
      <c r="AL140" s="636"/>
      <c r="AM140" s="636"/>
      <c r="AN140" s="636"/>
      <c r="AO140" s="636"/>
      <c r="AP140" s="636"/>
      <c r="AQ140" s="636"/>
      <c r="AR140" s="636"/>
      <c r="AS140" s="636"/>
      <c r="AT140" s="636"/>
      <c r="AU140" s="636"/>
      <c r="AV140" s="636"/>
      <c r="AW140" s="636"/>
      <c r="AX140" s="636"/>
      <c r="AY140" s="636"/>
    </row>
    <row r="141" spans="1:51" ht="14.65" customHeight="1">
      <c r="A141" s="133"/>
      <c r="B141" s="57"/>
      <c r="AD141" s="94"/>
      <c r="AE141" s="638"/>
      <c r="AF141" s="636"/>
      <c r="AG141" s="636"/>
      <c r="AH141" s="636"/>
      <c r="AI141" s="636"/>
      <c r="AJ141" s="636"/>
      <c r="AK141" s="636"/>
      <c r="AL141" s="636"/>
      <c r="AM141" s="636"/>
      <c r="AN141" s="636"/>
      <c r="AO141" s="636"/>
      <c r="AP141" s="636"/>
      <c r="AQ141" s="636"/>
      <c r="AR141" s="636"/>
      <c r="AS141" s="636"/>
      <c r="AT141" s="636"/>
      <c r="AU141" s="636"/>
      <c r="AV141" s="636"/>
      <c r="AW141" s="636"/>
      <c r="AX141" s="636"/>
      <c r="AY141" s="636"/>
    </row>
    <row r="142" spans="1:51">
      <c r="A142" s="133"/>
      <c r="B142" s="57"/>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row>
    <row r="143" spans="1:51">
      <c r="A143" s="133"/>
      <c r="B143" s="57"/>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row>
    <row r="144" spans="1:51">
      <c r="A144" s="133"/>
      <c r="B144" s="57"/>
    </row>
    <row r="145" spans="1:33" ht="14.65" customHeight="1">
      <c r="A145" s="58"/>
      <c r="B145" s="300"/>
      <c r="C145" s="1397" t="s">
        <v>318</v>
      </c>
      <c r="D145" s="1397"/>
      <c r="E145" s="1397"/>
      <c r="F145" s="1398"/>
      <c r="G145" s="1400" t="s">
        <v>319</v>
      </c>
      <c r="H145" s="1400"/>
      <c r="I145" s="1400"/>
      <c r="J145" s="1400"/>
      <c r="K145" s="1388" t="s">
        <v>320</v>
      </c>
      <c r="L145" s="1388"/>
      <c r="M145" s="1388"/>
      <c r="N145" s="1388"/>
      <c r="O145" s="1397" t="s">
        <v>321</v>
      </c>
      <c r="P145" s="1397"/>
      <c r="Q145" s="1397"/>
      <c r="R145" s="1397"/>
      <c r="S145" s="1400" t="s">
        <v>322</v>
      </c>
      <c r="T145" s="1400"/>
      <c r="U145" s="1400"/>
      <c r="V145" s="1400"/>
      <c r="W145" s="1388" t="s">
        <v>323</v>
      </c>
      <c r="X145" s="1388"/>
      <c r="Y145" s="1388"/>
      <c r="Z145" s="1388"/>
      <c r="AC145" s="1315" t="s">
        <v>324</v>
      </c>
      <c r="AD145" s="1315"/>
      <c r="AE145" s="1315"/>
      <c r="AG145" t="s">
        <v>325</v>
      </c>
    </row>
    <row r="146" spans="1:33" ht="14.65" customHeight="1">
      <c r="A146" s="58"/>
      <c r="B146" s="300"/>
      <c r="C146" s="63" t="s">
        <v>317</v>
      </c>
      <c r="D146" s="63" t="s">
        <v>326</v>
      </c>
      <c r="E146" s="63" t="s">
        <v>327</v>
      </c>
      <c r="F146" s="255" t="s">
        <v>328</v>
      </c>
      <c r="G146" s="63" t="s">
        <v>317</v>
      </c>
      <c r="H146" s="63" t="s">
        <v>326</v>
      </c>
      <c r="I146" s="63" t="s">
        <v>327</v>
      </c>
      <c r="J146" s="63" t="s">
        <v>328</v>
      </c>
      <c r="K146" s="63" t="s">
        <v>317</v>
      </c>
      <c r="L146" s="63" t="s">
        <v>326</v>
      </c>
      <c r="M146" s="63" t="s">
        <v>327</v>
      </c>
      <c r="N146" s="63" t="s">
        <v>328</v>
      </c>
      <c r="O146" s="63" t="s">
        <v>317</v>
      </c>
      <c r="P146" s="265" t="s">
        <v>326</v>
      </c>
      <c r="Q146" s="265" t="s">
        <v>327</v>
      </c>
      <c r="R146" s="265" t="s">
        <v>328</v>
      </c>
      <c r="S146" s="63" t="s">
        <v>317</v>
      </c>
      <c r="T146" s="63" t="s">
        <v>326</v>
      </c>
      <c r="U146" s="63" t="s">
        <v>102</v>
      </c>
      <c r="V146" s="63" t="s">
        <v>328</v>
      </c>
      <c r="W146" s="63" t="s">
        <v>317</v>
      </c>
      <c r="X146" s="63" t="s">
        <v>326</v>
      </c>
      <c r="Y146" s="63" t="s">
        <v>102</v>
      </c>
      <c r="Z146" s="63" t="s">
        <v>328</v>
      </c>
      <c r="AC146" s="1315"/>
      <c r="AD146" s="1315"/>
      <c r="AE146" s="1315"/>
    </row>
    <row r="147" spans="1:33" ht="15" customHeight="1">
      <c r="A147" s="1393">
        <v>1</v>
      </c>
      <c r="B147" s="63" t="s">
        <v>209</v>
      </c>
      <c r="C147" s="256" t="e" cm="1">
        <f t="array" ref="C147">TRANSPOSE(#REF!)</f>
        <v>#REF!</v>
      </c>
      <c r="D147" s="256" t="e" cm="1">
        <f t="array" ref="D147">TRANSPOSE(#REF!)</f>
        <v>#REF!</v>
      </c>
      <c r="E147" s="256" t="e" cm="1">
        <f t="array" ref="E147">TRANSPOSE(#REF!)</f>
        <v>#REF!</v>
      </c>
      <c r="F147" s="257" t="e" cm="1">
        <f t="array" ref="F147">TRANSPOSE(#REF!)</f>
        <v>#REF!</v>
      </c>
      <c r="G147" s="300" t="e">
        <f>E94</f>
        <v>#REF!</v>
      </c>
      <c r="H147" s="300" t="e">
        <f>F121</f>
        <v>#REF!</v>
      </c>
      <c r="I147" s="300">
        <v>1</v>
      </c>
      <c r="J147" s="300">
        <v>1</v>
      </c>
      <c r="K147" s="260" t="e">
        <f t="shared" ref="K147:K161" si="121">C147*G147</f>
        <v>#REF!</v>
      </c>
      <c r="L147" s="260" t="e">
        <f t="shared" ref="L147:L161" si="122">D147*H147</f>
        <v>#REF!</v>
      </c>
      <c r="M147" s="260" t="e">
        <f t="shared" ref="M147:M161" si="123">E147*I147</f>
        <v>#REF!</v>
      </c>
      <c r="N147" s="260" t="e">
        <f t="shared" ref="N147:N161" si="124">F147*J147</f>
        <v>#REF!</v>
      </c>
      <c r="O147" s="263" t="e">
        <f>(F4/G147)/$E$162</f>
        <v>#REF!</v>
      </c>
      <c r="P147" s="261" t="e">
        <f>(F4/H147)/$F$162</f>
        <v>#REF!</v>
      </c>
      <c r="Q147" s="262">
        <f>(F4/I147)/$G$162</f>
        <v>0.47619047619047616</v>
      </c>
      <c r="R147" s="261">
        <f>(F4/J147)/$H$162</f>
        <v>1.0714285714285714</v>
      </c>
      <c r="S147" s="264"/>
      <c r="T147" s="300"/>
      <c r="U147" s="300"/>
      <c r="V147" s="300"/>
      <c r="W147" s="300"/>
      <c r="X147" s="300"/>
      <c r="Y147" s="300"/>
      <c r="Z147" s="300"/>
      <c r="AC147" s="1399">
        <v>1</v>
      </c>
      <c r="AD147" s="63" t="s">
        <v>209</v>
      </c>
      <c r="AE147" s="90">
        <v>1.5</v>
      </c>
    </row>
    <row r="148" spans="1:33" ht="15" customHeight="1">
      <c r="A148" s="1393"/>
      <c r="B148" s="63" t="s">
        <v>329</v>
      </c>
      <c r="C148" s="256"/>
      <c r="D148" s="256"/>
      <c r="E148" s="256"/>
      <c r="F148" s="257"/>
      <c r="G148" s="278" t="e">
        <f>E95</f>
        <v>#REF!</v>
      </c>
      <c r="H148" s="300" t="e">
        <f>F122</f>
        <v>#REF!</v>
      </c>
      <c r="I148" s="300">
        <v>1</v>
      </c>
      <c r="J148" s="300">
        <v>1</v>
      </c>
      <c r="K148" s="260" t="e">
        <f t="shared" si="121"/>
        <v>#REF!</v>
      </c>
      <c r="L148" s="260" t="e">
        <f t="shared" si="122"/>
        <v>#REF!</v>
      </c>
      <c r="M148" s="260">
        <f t="shared" si="123"/>
        <v>0</v>
      </c>
      <c r="N148" s="260">
        <f t="shared" si="124"/>
        <v>0</v>
      </c>
      <c r="O148" s="263" t="e">
        <f>(F5/G148)/$E$162</f>
        <v>#REF!</v>
      </c>
      <c r="P148" s="261" t="e">
        <f>(F5/H148)/$F$162</f>
        <v>#REF!</v>
      </c>
      <c r="Q148" s="262">
        <f>(F5/I148)/$G$162</f>
        <v>0.24730158730158727</v>
      </c>
      <c r="R148" s="261">
        <f>(F5/J148)/$H$162</f>
        <v>0.55642857142857138</v>
      </c>
      <c r="S148" s="264"/>
      <c r="T148" s="300"/>
      <c r="U148" s="300"/>
      <c r="V148" s="300"/>
      <c r="W148" s="300"/>
      <c r="X148" s="300"/>
      <c r="Y148" s="300"/>
      <c r="Z148" s="300"/>
      <c r="AC148" s="1399"/>
      <c r="AD148" s="63" t="s">
        <v>329</v>
      </c>
      <c r="AE148" s="90">
        <v>1.5</v>
      </c>
    </row>
    <row r="149" spans="1:33" ht="15" customHeight="1">
      <c r="A149" s="1393"/>
      <c r="B149" s="63" t="s">
        <v>212</v>
      </c>
      <c r="C149" s="256"/>
      <c r="D149" s="256"/>
      <c r="E149" s="256"/>
      <c r="F149" s="257"/>
      <c r="G149" s="300" t="e">
        <f>E96</f>
        <v>#REF!</v>
      </c>
      <c r="H149" s="300" t="e">
        <f>F123</f>
        <v>#REF!</v>
      </c>
      <c r="I149" s="300">
        <v>1</v>
      </c>
      <c r="J149" s="300">
        <v>1</v>
      </c>
      <c r="K149" s="260" t="e">
        <f t="shared" si="121"/>
        <v>#REF!</v>
      </c>
      <c r="L149" s="260" t="e">
        <f t="shared" si="122"/>
        <v>#REF!</v>
      </c>
      <c r="M149" s="260">
        <f t="shared" si="123"/>
        <v>0</v>
      </c>
      <c r="N149" s="260">
        <f t="shared" si="124"/>
        <v>0</v>
      </c>
      <c r="O149" s="263" t="e">
        <f>(F6/G149)/$E$162</f>
        <v>#REF!</v>
      </c>
      <c r="P149" s="261" t="e">
        <f>(F6/H149)/$F$162</f>
        <v>#REF!</v>
      </c>
      <c r="Q149" s="262">
        <f>(F6/I149)/$G$162</f>
        <v>0.16346499787989641</v>
      </c>
      <c r="R149" s="261">
        <f>(F6/J149)/$H$162</f>
        <v>0.36779624522976689</v>
      </c>
      <c r="S149" s="264"/>
      <c r="T149" s="300"/>
      <c r="U149" s="300"/>
      <c r="V149" s="300"/>
      <c r="W149" s="300"/>
      <c r="X149" s="300"/>
      <c r="Y149" s="300"/>
      <c r="Z149" s="300"/>
      <c r="AC149" s="1399"/>
      <c r="AD149" s="63" t="s">
        <v>212</v>
      </c>
      <c r="AE149" s="90">
        <v>1.5</v>
      </c>
    </row>
    <row r="150" spans="1:33" ht="15" customHeight="1">
      <c r="A150" s="1393"/>
      <c r="B150" s="63" t="s">
        <v>213</v>
      </c>
      <c r="C150" s="256"/>
      <c r="D150" s="256"/>
      <c r="E150" s="256"/>
      <c r="F150" s="257"/>
      <c r="G150" s="300" t="e">
        <f>E97</f>
        <v>#REF!</v>
      </c>
      <c r="H150" s="300" t="e">
        <f>F124</f>
        <v>#REF!</v>
      </c>
      <c r="I150" s="300">
        <v>1</v>
      </c>
      <c r="J150" s="300">
        <v>1</v>
      </c>
      <c r="K150" s="260" t="e">
        <f t="shared" si="121"/>
        <v>#REF!</v>
      </c>
      <c r="L150" s="260" t="e">
        <f t="shared" si="122"/>
        <v>#REF!</v>
      </c>
      <c r="M150" s="260">
        <f t="shared" si="123"/>
        <v>0</v>
      </c>
      <c r="N150" s="260">
        <f t="shared" si="124"/>
        <v>0</v>
      </c>
      <c r="O150" s="263" t="e">
        <f>(F7/G150)/$E$162</f>
        <v>#REF!</v>
      </c>
      <c r="P150" s="261" t="e">
        <f>(F7/H150)/$F$162</f>
        <v>#REF!</v>
      </c>
      <c r="Q150" s="262">
        <f>(F7/I150)/$G$162</f>
        <v>0.47619047619047616</v>
      </c>
      <c r="R150" s="261">
        <f>(F7/J150)/$H$162</f>
        <v>1.0714285714285714</v>
      </c>
      <c r="S150" s="264"/>
      <c r="T150" s="300"/>
      <c r="U150" s="300"/>
      <c r="V150" s="300"/>
      <c r="W150" s="300"/>
      <c r="X150" s="300"/>
      <c r="Y150" s="300"/>
      <c r="Z150" s="300"/>
      <c r="AC150" s="1399"/>
      <c r="AD150" s="63" t="s">
        <v>213</v>
      </c>
      <c r="AE150" s="90">
        <v>1.5</v>
      </c>
    </row>
    <row r="151" spans="1:33" ht="15" customHeight="1">
      <c r="A151" s="1393">
        <v>2</v>
      </c>
      <c r="B151" s="63" t="s">
        <v>214</v>
      </c>
      <c r="C151" s="256"/>
      <c r="D151" s="256"/>
      <c r="E151" s="256"/>
      <c r="F151" s="257"/>
      <c r="G151" s="300" t="e">
        <f>I98</f>
        <v>#REF!</v>
      </c>
      <c r="H151" s="300" t="e">
        <f>J125</f>
        <v>#REF!</v>
      </c>
      <c r="I151" s="300">
        <v>1</v>
      </c>
      <c r="J151" s="300">
        <v>2</v>
      </c>
      <c r="K151" s="260" t="e">
        <f t="shared" si="121"/>
        <v>#REF!</v>
      </c>
      <c r="L151" s="260" t="e">
        <f t="shared" si="122"/>
        <v>#REF!</v>
      </c>
      <c r="M151" s="260">
        <f t="shared" si="123"/>
        <v>0</v>
      </c>
      <c r="N151" s="260">
        <f t="shared" si="124"/>
        <v>0</v>
      </c>
      <c r="O151" s="263" t="e">
        <f>(J8/G151)/$E$162</f>
        <v>#REF!</v>
      </c>
      <c r="P151" s="261" t="e">
        <f>(J8/H151)/$F$162</f>
        <v>#REF!</v>
      </c>
      <c r="Q151" s="262">
        <f>(J8/I151)/$G$162</f>
        <v>3.6958491795238101E-2</v>
      </c>
      <c r="R151" s="261">
        <f>(J8/J151)/$H$162</f>
        <v>4.1578303269642861E-2</v>
      </c>
      <c r="S151" s="264"/>
      <c r="T151" s="300"/>
      <c r="U151" s="300"/>
      <c r="V151" s="300"/>
      <c r="W151" s="300"/>
      <c r="X151" s="300"/>
      <c r="Y151" s="300"/>
      <c r="Z151" s="300"/>
      <c r="AC151" s="1399">
        <v>2</v>
      </c>
      <c r="AD151" s="63" t="s">
        <v>214</v>
      </c>
      <c r="AE151" s="90">
        <v>1.5</v>
      </c>
    </row>
    <row r="152" spans="1:33" ht="15" customHeight="1">
      <c r="A152" s="1393"/>
      <c r="B152" s="63" t="s">
        <v>234</v>
      </c>
      <c r="C152" s="256"/>
      <c r="D152" s="256"/>
      <c r="E152" s="256"/>
      <c r="F152" s="257"/>
      <c r="G152" s="300" t="e">
        <f>I99</f>
        <v>#REF!</v>
      </c>
      <c r="H152" s="300">
        <v>2</v>
      </c>
      <c r="I152" s="300">
        <v>1</v>
      </c>
      <c r="J152" s="300">
        <v>2</v>
      </c>
      <c r="K152" s="260" t="e">
        <f t="shared" si="121"/>
        <v>#REF!</v>
      </c>
      <c r="L152" s="260">
        <f t="shared" si="122"/>
        <v>0</v>
      </c>
      <c r="M152" s="260">
        <f t="shared" si="123"/>
        <v>0</v>
      </c>
      <c r="N152" s="260">
        <f t="shared" si="124"/>
        <v>0</v>
      </c>
      <c r="O152" s="263" t="e">
        <f>(J9/G152)/$E$162</f>
        <v>#REF!</v>
      </c>
      <c r="P152" s="261">
        <f>(J9/H152)/$F$162</f>
        <v>0.21092199907138792</v>
      </c>
      <c r="Q152" s="262">
        <f>(J9/I152)/$G$162</f>
        <v>0.34818869687975151</v>
      </c>
      <c r="R152" s="261">
        <f>(J9/J152)/$H$162</f>
        <v>0.39171228398972041</v>
      </c>
      <c r="S152" s="264"/>
      <c r="T152" s="300"/>
      <c r="U152" s="300"/>
      <c r="V152" s="300"/>
      <c r="W152" s="300"/>
      <c r="X152" s="300"/>
      <c r="Y152" s="300"/>
      <c r="Z152" s="300"/>
      <c r="AC152" s="1399"/>
      <c r="AD152" s="63" t="s">
        <v>234</v>
      </c>
      <c r="AE152" s="90">
        <v>1.5</v>
      </c>
    </row>
    <row r="153" spans="1:33" ht="15" customHeight="1">
      <c r="A153" s="1393"/>
      <c r="B153" s="63" t="s">
        <v>224</v>
      </c>
      <c r="C153" s="256"/>
      <c r="D153" s="256"/>
      <c r="E153" s="256"/>
      <c r="F153" s="257"/>
      <c r="G153" s="300" t="e">
        <f>I100</f>
        <v>#REF!</v>
      </c>
      <c r="H153" s="300">
        <v>2</v>
      </c>
      <c r="I153" s="300">
        <v>5</v>
      </c>
      <c r="J153" s="300">
        <v>2</v>
      </c>
      <c r="K153" s="260" t="e">
        <f t="shared" si="121"/>
        <v>#REF!</v>
      </c>
      <c r="L153" s="260">
        <f t="shared" si="122"/>
        <v>0</v>
      </c>
      <c r="M153" s="260">
        <f t="shared" si="123"/>
        <v>0</v>
      </c>
      <c r="N153" s="260">
        <f t="shared" si="124"/>
        <v>0</v>
      </c>
      <c r="O153" s="263" t="e">
        <f>(J10/G153)/$E$162</f>
        <v>#REF!</v>
      </c>
      <c r="P153" s="261">
        <f>(J10/H153)/$F$162</f>
        <v>4.3269230769230768E-2</v>
      </c>
      <c r="Q153" s="262">
        <f>(J10/I153)/$G$162</f>
        <v>1.4285714285714285E-2</v>
      </c>
      <c r="R153" s="261">
        <f>(J10/J153)/$H$162</f>
        <v>8.0357142857142863E-2</v>
      </c>
      <c r="S153" s="264"/>
      <c r="T153" s="300"/>
      <c r="U153" s="300"/>
      <c r="V153" s="300"/>
      <c r="W153" s="300"/>
      <c r="X153" s="300"/>
      <c r="Y153" s="300"/>
      <c r="Z153" s="300"/>
      <c r="AC153" s="1399"/>
      <c r="AD153" s="63" t="s">
        <v>224</v>
      </c>
      <c r="AE153" s="90">
        <v>1.5</v>
      </c>
    </row>
    <row r="154" spans="1:33" ht="15" customHeight="1">
      <c r="A154" s="1393"/>
      <c r="B154" s="63" t="s">
        <v>235</v>
      </c>
      <c r="C154" s="256"/>
      <c r="D154" s="256"/>
      <c r="E154" s="256"/>
      <c r="F154" s="257"/>
      <c r="G154" s="300" t="e">
        <f>I101</f>
        <v>#REF!</v>
      </c>
      <c r="H154" s="300">
        <v>2</v>
      </c>
      <c r="I154" s="300">
        <v>1</v>
      </c>
      <c r="J154" s="300">
        <v>2</v>
      </c>
      <c r="K154" s="260" t="e">
        <f t="shared" si="121"/>
        <v>#REF!</v>
      </c>
      <c r="L154" s="260">
        <f t="shared" si="122"/>
        <v>0</v>
      </c>
      <c r="M154" s="260">
        <f t="shared" si="123"/>
        <v>0</v>
      </c>
      <c r="N154" s="260">
        <f t="shared" si="124"/>
        <v>0</v>
      </c>
      <c r="O154" s="263" t="e">
        <f>(J11/G154)/$E$162</f>
        <v>#REF!</v>
      </c>
      <c r="P154" s="261">
        <f>(J11/H154)/$F$162</f>
        <v>0.16962877636163856</v>
      </c>
      <c r="Q154" s="262">
        <f>(J11/I154)/$G$162</f>
        <v>0.28002210700968905</v>
      </c>
      <c r="R154" s="261">
        <f>(J11/J154)/$H$162</f>
        <v>0.31502487038590016</v>
      </c>
      <c r="S154" s="264"/>
      <c r="T154" s="300"/>
      <c r="U154" s="300"/>
      <c r="V154" s="300"/>
      <c r="W154" s="300"/>
      <c r="X154" s="300"/>
      <c r="Y154" s="300"/>
      <c r="Z154" s="300"/>
      <c r="AC154" s="1399"/>
      <c r="AD154" s="63" t="s">
        <v>235</v>
      </c>
      <c r="AE154" s="90">
        <v>1.5</v>
      </c>
    </row>
    <row r="155" spans="1:33" ht="15" customHeight="1">
      <c r="A155" s="1393">
        <v>3</v>
      </c>
      <c r="B155" s="63" t="s">
        <v>218</v>
      </c>
      <c r="C155" s="256"/>
      <c r="D155" s="256"/>
      <c r="E155" s="256"/>
      <c r="F155" s="257"/>
      <c r="G155" s="300" t="e">
        <f>M102</f>
        <v>#REF!</v>
      </c>
      <c r="H155" s="300">
        <v>2</v>
      </c>
      <c r="I155" s="300">
        <v>3</v>
      </c>
      <c r="J155" s="300">
        <v>1</v>
      </c>
      <c r="K155" s="260" t="e">
        <f t="shared" si="121"/>
        <v>#REF!</v>
      </c>
      <c r="L155" s="260">
        <f t="shared" si="122"/>
        <v>0</v>
      </c>
      <c r="M155" s="260">
        <f t="shared" si="123"/>
        <v>0</v>
      </c>
      <c r="N155" s="260">
        <f t="shared" si="124"/>
        <v>0</v>
      </c>
      <c r="O155" s="263" t="e">
        <f>(M12/G155)/$E$162</f>
        <v>#REF!</v>
      </c>
      <c r="P155" s="261">
        <f>(M12/H155)/$F$162</f>
        <v>7.2115384615384609E-2</v>
      </c>
      <c r="Q155" s="262">
        <f>(M12/I155)/$G$162</f>
        <v>3.968253968253968E-2</v>
      </c>
      <c r="R155" s="261">
        <f>(M12/J155)/$H$162</f>
        <v>0.26785714285714285</v>
      </c>
      <c r="S155" s="264"/>
      <c r="T155" s="300"/>
      <c r="U155" s="300"/>
      <c r="V155" s="300"/>
      <c r="W155" s="300"/>
      <c r="X155" s="300"/>
      <c r="Y155" s="300"/>
      <c r="Z155" s="300"/>
      <c r="AC155" s="1399">
        <v>3</v>
      </c>
      <c r="AD155" s="63" t="s">
        <v>218</v>
      </c>
      <c r="AE155" s="90">
        <v>1.5</v>
      </c>
    </row>
    <row r="156" spans="1:33" ht="15" customHeight="1">
      <c r="A156" s="1393"/>
      <c r="B156" s="63" t="s">
        <v>330</v>
      </c>
      <c r="C156" s="256"/>
      <c r="D156" s="256"/>
      <c r="E156" s="256"/>
      <c r="F156" s="257"/>
      <c r="G156" s="300" t="e">
        <f>M103</f>
        <v>#REF!</v>
      </c>
      <c r="H156" s="300" t="e">
        <f>N130</f>
        <v>#REF!</v>
      </c>
      <c r="I156" s="300">
        <v>1</v>
      </c>
      <c r="J156" s="300">
        <v>1</v>
      </c>
      <c r="K156" s="260" t="e">
        <f t="shared" si="121"/>
        <v>#REF!</v>
      </c>
      <c r="L156" s="260" t="e">
        <f t="shared" si="122"/>
        <v>#REF!</v>
      </c>
      <c r="M156" s="260">
        <f t="shared" si="123"/>
        <v>0</v>
      </c>
      <c r="N156" s="260">
        <f t="shared" si="124"/>
        <v>0</v>
      </c>
      <c r="O156" s="263" t="e">
        <f>(M13/G156)/$E$162</f>
        <v>#REF!</v>
      </c>
      <c r="P156" s="261" t="e">
        <f>(M13/H156)/$F$162</f>
        <v>#REF!</v>
      </c>
      <c r="Q156" s="262">
        <f>(M13/I156)/$G$162</f>
        <v>0.47619047619047616</v>
      </c>
      <c r="R156" s="261">
        <f>(M13/J156)/$H$162</f>
        <v>1.0714285714285714</v>
      </c>
      <c r="S156" s="264"/>
      <c r="T156" s="300"/>
      <c r="U156" s="300"/>
      <c r="V156" s="300"/>
      <c r="W156" s="300"/>
      <c r="X156" s="300"/>
      <c r="Y156" s="300"/>
      <c r="Z156" s="300"/>
      <c r="AC156" s="1399"/>
      <c r="AD156" s="63" t="s">
        <v>330</v>
      </c>
      <c r="AE156" s="90">
        <v>1.5</v>
      </c>
    </row>
    <row r="157" spans="1:33" ht="15" customHeight="1">
      <c r="A157" s="1393"/>
      <c r="B157" s="63" t="s">
        <v>221</v>
      </c>
      <c r="C157" s="256"/>
      <c r="D157" s="256"/>
      <c r="E157" s="256"/>
      <c r="F157" s="257"/>
      <c r="G157" s="300" t="e">
        <f>M104</f>
        <v>#REF!</v>
      </c>
      <c r="H157" s="300" t="e">
        <f>N131</f>
        <v>#REF!</v>
      </c>
      <c r="I157" s="300">
        <v>1</v>
      </c>
      <c r="J157" s="300">
        <v>1</v>
      </c>
      <c r="K157" s="260" t="e">
        <f t="shared" si="121"/>
        <v>#REF!</v>
      </c>
      <c r="L157" s="260" t="e">
        <f t="shared" si="122"/>
        <v>#REF!</v>
      </c>
      <c r="M157" s="260">
        <f t="shared" si="123"/>
        <v>0</v>
      </c>
      <c r="N157" s="260">
        <f t="shared" si="124"/>
        <v>0</v>
      </c>
      <c r="O157" s="263" t="e">
        <f>(M14/G157)/$E$162</f>
        <v>#REF!</v>
      </c>
      <c r="P157" s="261" t="e">
        <f>(M14/H157)/$F$162</f>
        <v>#REF!</v>
      </c>
      <c r="Q157" s="262">
        <f>(M14/I157)/$G$162</f>
        <v>0.20650793650793653</v>
      </c>
      <c r="R157" s="261">
        <f>(M14/J157)/$H$162</f>
        <v>0.46464285714285719</v>
      </c>
      <c r="S157" s="264"/>
      <c r="T157" s="300"/>
      <c r="U157" s="300"/>
      <c r="V157" s="300"/>
      <c r="W157" s="300"/>
      <c r="X157" s="300"/>
      <c r="Y157" s="300"/>
      <c r="Z157" s="300"/>
      <c r="AC157" s="1399"/>
      <c r="AD157" s="63" t="s">
        <v>221</v>
      </c>
      <c r="AE157" s="90">
        <v>1.5</v>
      </c>
    </row>
    <row r="158" spans="1:33" ht="15" customHeight="1">
      <c r="A158" s="1393">
        <v>4</v>
      </c>
      <c r="B158" s="63" t="s">
        <v>222</v>
      </c>
      <c r="C158" s="256"/>
      <c r="D158" s="256"/>
      <c r="E158" s="256"/>
      <c r="F158" s="257"/>
      <c r="G158" s="300">
        <v>1</v>
      </c>
      <c r="H158" s="300" t="e">
        <f>R132</f>
        <v>#REF!</v>
      </c>
      <c r="I158" s="300">
        <v>2</v>
      </c>
      <c r="J158" s="300">
        <v>2</v>
      </c>
      <c r="K158" s="260">
        <f t="shared" si="121"/>
        <v>0</v>
      </c>
      <c r="L158" s="260" t="e">
        <f t="shared" si="122"/>
        <v>#REF!</v>
      </c>
      <c r="M158" s="260">
        <f t="shared" si="123"/>
        <v>0</v>
      </c>
      <c r="N158" s="260">
        <f t="shared" si="124"/>
        <v>0</v>
      </c>
      <c r="O158" s="263">
        <f>(R15/G158)/$E$162</f>
        <v>5.7676172793582503E-2</v>
      </c>
      <c r="P158" s="261" t="e">
        <f>(R15/H158)/$F$162</f>
        <v>#REF!</v>
      </c>
      <c r="Q158" s="261">
        <f>(R15/I158)/$G$162</f>
        <v>3.2042318218656947E-2</v>
      </c>
      <c r="R158" s="261">
        <f>(R15/J158)/$H$162</f>
        <v>7.2095215991978129E-2</v>
      </c>
      <c r="S158" s="264"/>
      <c r="T158" s="300"/>
      <c r="U158" s="300"/>
      <c r="V158" s="300"/>
      <c r="W158" s="300"/>
      <c r="X158" s="300"/>
      <c r="Y158" s="300"/>
      <c r="Z158" s="300"/>
      <c r="AC158" s="1399">
        <v>4</v>
      </c>
      <c r="AD158" s="63" t="s">
        <v>331</v>
      </c>
      <c r="AE158" s="90">
        <v>1.5</v>
      </c>
    </row>
    <row r="159" spans="1:33" ht="15" customHeight="1">
      <c r="A159" s="1393"/>
      <c r="B159" s="63" t="s">
        <v>332</v>
      </c>
      <c r="C159" s="256"/>
      <c r="D159" s="256"/>
      <c r="E159" s="256"/>
      <c r="F159" s="257"/>
      <c r="G159" s="300">
        <v>1</v>
      </c>
      <c r="H159" s="300" t="e">
        <f>R133</f>
        <v>#REF!</v>
      </c>
      <c r="I159" s="300">
        <v>1</v>
      </c>
      <c r="J159" s="300">
        <v>2</v>
      </c>
      <c r="K159" s="260">
        <f t="shared" si="121"/>
        <v>0</v>
      </c>
      <c r="L159" s="260" t="e">
        <f t="shared" si="122"/>
        <v>#REF!</v>
      </c>
      <c r="M159" s="260">
        <f t="shared" si="123"/>
        <v>0</v>
      </c>
      <c r="N159" s="260">
        <f t="shared" si="124"/>
        <v>0</v>
      </c>
      <c r="O159" s="263">
        <f>(R16/G159)/$E$162</f>
        <v>0.12142857142857143</v>
      </c>
      <c r="P159" s="261" t="e">
        <f>(R16/H159)/$F$162</f>
        <v>#REF!</v>
      </c>
      <c r="Q159" s="261">
        <f>(R16/I159)/$G$162</f>
        <v>0.13492063492063491</v>
      </c>
      <c r="R159" s="261">
        <f>(R16/J159)/$H$162</f>
        <v>0.15178571428571427</v>
      </c>
      <c r="S159" s="264"/>
      <c r="T159" s="300"/>
      <c r="U159" s="300"/>
      <c r="V159" s="300"/>
      <c r="W159" s="300"/>
      <c r="X159" s="300"/>
      <c r="Y159" s="300"/>
      <c r="Z159" s="300"/>
      <c r="AC159" s="1399"/>
      <c r="AD159" s="63" t="s">
        <v>332</v>
      </c>
      <c r="AE159" s="90">
        <v>1.5</v>
      </c>
    </row>
    <row r="160" spans="1:33" ht="15" customHeight="1">
      <c r="A160" s="1393"/>
      <c r="B160" s="63" t="s">
        <v>216</v>
      </c>
      <c r="C160" s="256"/>
      <c r="D160" s="256"/>
      <c r="E160" s="256"/>
      <c r="F160" s="257"/>
      <c r="G160" s="300">
        <v>1</v>
      </c>
      <c r="H160" s="300" t="e">
        <f>R134</f>
        <v>#REF!</v>
      </c>
      <c r="I160" s="300">
        <v>1</v>
      </c>
      <c r="J160" s="300">
        <v>2</v>
      </c>
      <c r="K160" s="260">
        <f t="shared" si="121"/>
        <v>0</v>
      </c>
      <c r="L160" s="260" t="e">
        <f t="shared" si="122"/>
        <v>#REF!</v>
      </c>
      <c r="M160" s="260">
        <f t="shared" si="123"/>
        <v>0</v>
      </c>
      <c r="N160" s="260">
        <f t="shared" si="124"/>
        <v>0</v>
      </c>
      <c r="O160" s="263">
        <f>(R17/G160)/$E$162</f>
        <v>0.35714285714285715</v>
      </c>
      <c r="P160" s="261" t="e">
        <f>(R17/H160)/$F$162</f>
        <v>#REF!</v>
      </c>
      <c r="Q160" s="261">
        <f>(R17/I160)/$G$162</f>
        <v>0.3968253968253968</v>
      </c>
      <c r="R160" s="261">
        <f>(R17/J160)/$H$162</f>
        <v>0.44642857142857145</v>
      </c>
      <c r="S160" s="264"/>
      <c r="T160" s="300"/>
      <c r="U160" s="300"/>
      <c r="V160" s="300"/>
      <c r="W160" s="300"/>
      <c r="X160" s="300"/>
      <c r="Y160" s="300"/>
      <c r="Z160" s="300"/>
      <c r="AC160" s="1399"/>
      <c r="AD160" s="63" t="s">
        <v>216</v>
      </c>
      <c r="AE160" s="90">
        <v>1.5</v>
      </c>
    </row>
    <row r="161" spans="1:31" ht="15" customHeight="1">
      <c r="A161" s="1393"/>
      <c r="B161" s="63" t="s">
        <v>333</v>
      </c>
      <c r="C161" s="256"/>
      <c r="D161" s="256"/>
      <c r="E161" s="256"/>
      <c r="F161" s="257"/>
      <c r="G161" s="300">
        <v>1</v>
      </c>
      <c r="H161" s="300" t="e">
        <f>R135</f>
        <v>#REF!</v>
      </c>
      <c r="I161" s="300">
        <v>1</v>
      </c>
      <c r="J161" s="300">
        <v>2</v>
      </c>
      <c r="K161" s="260">
        <f t="shared" si="121"/>
        <v>0</v>
      </c>
      <c r="L161" s="260" t="e">
        <f t="shared" si="122"/>
        <v>#REF!</v>
      </c>
      <c r="M161" s="260">
        <f t="shared" si="123"/>
        <v>0</v>
      </c>
      <c r="N161" s="260">
        <f t="shared" si="124"/>
        <v>0</v>
      </c>
      <c r="O161" s="263">
        <f>(R18/G161)/$E$162</f>
        <v>0.10714285714285714</v>
      </c>
      <c r="P161" s="261" t="e">
        <f>(R18/H161)/$F$162</f>
        <v>#REF!</v>
      </c>
      <c r="Q161" s="261">
        <f>(R18/I161)/$G$162</f>
        <v>0.11904761904761904</v>
      </c>
      <c r="R161" s="261">
        <f>(R18/J161)/$H$162</f>
        <v>0.13392857142857142</v>
      </c>
      <c r="S161" s="264"/>
      <c r="T161" s="300"/>
      <c r="U161" s="300"/>
      <c r="V161" s="300"/>
      <c r="W161" s="300"/>
      <c r="X161" s="300"/>
      <c r="Y161" s="300"/>
      <c r="Z161" s="300"/>
      <c r="AC161" s="1399"/>
      <c r="AD161" s="63" t="s">
        <v>334</v>
      </c>
      <c r="AE161" s="90">
        <v>1.5</v>
      </c>
    </row>
    <row r="162" spans="1:31">
      <c r="D162" t="s">
        <v>335</v>
      </c>
      <c r="E162">
        <v>70</v>
      </c>
      <c r="F162">
        <v>52</v>
      </c>
      <c r="G162" s="259">
        <v>63</v>
      </c>
      <c r="H162">
        <v>28</v>
      </c>
    </row>
    <row r="163" spans="1:31">
      <c r="C163" t="s">
        <v>291</v>
      </c>
      <c r="E163" s="63" t="s">
        <v>317</v>
      </c>
      <c r="F163" s="63" t="s">
        <v>326</v>
      </c>
      <c r="G163" s="63" t="s">
        <v>336</v>
      </c>
      <c r="H163" s="63" t="s">
        <v>328</v>
      </c>
    </row>
    <row r="164" spans="1:31">
      <c r="C164">
        <v>1</v>
      </c>
      <c r="D164" s="258" t="e">
        <f>SUM(C147:C150)</f>
        <v>#REF!</v>
      </c>
      <c r="E164" t="e">
        <f>$D164/E$162</f>
        <v>#REF!</v>
      </c>
      <c r="F164" t="e">
        <f t="shared" ref="E164:H167" si="125">$D164/F$162</f>
        <v>#REF!</v>
      </c>
      <c r="G164" t="e">
        <f t="shared" si="125"/>
        <v>#REF!</v>
      </c>
      <c r="H164" t="e">
        <f t="shared" si="125"/>
        <v>#REF!</v>
      </c>
    </row>
    <row r="165" spans="1:31">
      <c r="C165">
        <v>2</v>
      </c>
      <c r="D165" s="258">
        <f>SUM(C151:C154)</f>
        <v>0</v>
      </c>
      <c r="E165">
        <f t="shared" si="125"/>
        <v>0</v>
      </c>
      <c r="F165">
        <f t="shared" si="125"/>
        <v>0</v>
      </c>
      <c r="G165">
        <f t="shared" si="125"/>
        <v>0</v>
      </c>
      <c r="H165">
        <f t="shared" si="125"/>
        <v>0</v>
      </c>
    </row>
    <row r="166" spans="1:31">
      <c r="C166">
        <v>3</v>
      </c>
      <c r="D166" s="258">
        <f>SUM(C155:C157)</f>
        <v>0</v>
      </c>
      <c r="E166">
        <f t="shared" si="125"/>
        <v>0</v>
      </c>
      <c r="F166">
        <f t="shared" si="125"/>
        <v>0</v>
      </c>
      <c r="G166">
        <f t="shared" si="125"/>
        <v>0</v>
      </c>
      <c r="H166">
        <f t="shared" si="125"/>
        <v>0</v>
      </c>
    </row>
    <row r="167" spans="1:31">
      <c r="C167">
        <v>4</v>
      </c>
      <c r="D167" s="258">
        <f>SUM(C158:C161)</f>
        <v>0</v>
      </c>
      <c r="E167">
        <f t="shared" si="125"/>
        <v>0</v>
      </c>
      <c r="F167">
        <f t="shared" si="125"/>
        <v>0</v>
      </c>
      <c r="G167">
        <f t="shared" si="125"/>
        <v>0</v>
      </c>
      <c r="H167">
        <f t="shared" si="125"/>
        <v>0</v>
      </c>
    </row>
    <row r="170" spans="1:31">
      <c r="C170" t="s">
        <v>291</v>
      </c>
      <c r="D170" s="63" t="s">
        <v>317</v>
      </c>
      <c r="E170" s="63" t="s">
        <v>326</v>
      </c>
      <c r="F170" s="63" t="s">
        <v>336</v>
      </c>
      <c r="G170" s="63" t="s">
        <v>328</v>
      </c>
    </row>
    <row r="171" spans="1:31">
      <c r="C171">
        <v>1</v>
      </c>
    </row>
    <row r="172" spans="1:31">
      <c r="C172">
        <v>2</v>
      </c>
    </row>
    <row r="173" spans="1:31">
      <c r="C173">
        <v>3</v>
      </c>
    </row>
    <row r="174" spans="1:31" ht="15" thickBot="1">
      <c r="C174">
        <v>4</v>
      </c>
    </row>
    <row r="175" spans="1:31" ht="15" thickBot="1">
      <c r="U175" s="1389" t="s">
        <v>337</v>
      </c>
      <c r="V175" s="1390"/>
      <c r="W175" s="1390"/>
      <c r="X175" s="1390"/>
      <c r="Y175" s="1390"/>
      <c r="Z175" s="1390"/>
      <c r="AA175" s="1391"/>
    </row>
    <row r="176" spans="1:31" ht="15" customHeight="1">
      <c r="D176" t="s">
        <v>338</v>
      </c>
      <c r="E176" t="s">
        <v>319</v>
      </c>
      <c r="F176" t="s">
        <v>339</v>
      </c>
      <c r="G176" t="s">
        <v>340</v>
      </c>
      <c r="H176" t="s">
        <v>341</v>
      </c>
      <c r="L176" s="1392">
        <v>1</v>
      </c>
      <c r="M176" s="279" t="s">
        <v>209</v>
      </c>
      <c r="N176" t="str">
        <f t="shared" ref="N176:N195" si="126">M176&amp;","</f>
        <v>PLM-SUB,</v>
      </c>
      <c r="O176" t="str">
        <f>_xlfn.CONCAT(N176:N180)</f>
        <v>PLM-SUB,SUB-CGK,CGK-PKY,PKY-CGK,CGK-PLM,</v>
      </c>
      <c r="U176" s="283" t="s">
        <v>230</v>
      </c>
      <c r="V176" s="284" t="s">
        <v>209</v>
      </c>
      <c r="W176" s="285" t="s">
        <v>210</v>
      </c>
      <c r="X176" s="285" t="s">
        <v>211</v>
      </c>
      <c r="Y176" s="284" t="s">
        <v>212</v>
      </c>
      <c r="Z176" s="284" t="s">
        <v>213</v>
      </c>
      <c r="AA176" s="286"/>
    </row>
    <row r="177" spans="1:27" ht="15" customHeight="1">
      <c r="B177">
        <v>1</v>
      </c>
      <c r="C177" t="e" cm="1">
        <f t="array" ref="C177">_xlfn._xlws.FILTER(B147:B161,O147:O161&lt;10%)</f>
        <v>#REF!</v>
      </c>
      <c r="D177" s="267">
        <v>1545092</v>
      </c>
      <c r="E177">
        <v>1150</v>
      </c>
      <c r="F177">
        <f t="shared" ref="F177:F183" si="127">D177/E177</f>
        <v>1343.5582608695652</v>
      </c>
      <c r="G177">
        <f>D177/365</f>
        <v>4233.1287671232876</v>
      </c>
      <c r="H177" t="s">
        <v>257</v>
      </c>
      <c r="L177" s="1392"/>
      <c r="M177" s="280" t="s">
        <v>210</v>
      </c>
      <c r="N177" t="str">
        <f t="shared" si="126"/>
        <v>SUB-CGK,</v>
      </c>
      <c r="U177" s="287" t="s">
        <v>342</v>
      </c>
      <c r="V177" s="279" t="s">
        <v>214</v>
      </c>
      <c r="W177" s="279" t="s">
        <v>234</v>
      </c>
      <c r="X177" s="279" t="s">
        <v>224</v>
      </c>
      <c r="Y177" s="279" t="s">
        <v>235</v>
      </c>
      <c r="Z177" s="282"/>
      <c r="AA177" s="288"/>
    </row>
    <row r="178" spans="1:27" ht="15" customHeight="1">
      <c r="B178">
        <v>2</v>
      </c>
      <c r="D178">
        <v>2123956</v>
      </c>
      <c r="E178">
        <v>4492</v>
      </c>
      <c r="F178">
        <f t="shared" si="127"/>
        <v>472.83081032947462</v>
      </c>
      <c r="G178">
        <f>D178/365</f>
        <v>5819.0575342465754</v>
      </c>
      <c r="H178" t="s">
        <v>257</v>
      </c>
      <c r="L178" s="1392"/>
      <c r="M178" s="280" t="s">
        <v>211</v>
      </c>
      <c r="N178" t="str">
        <f t="shared" si="126"/>
        <v>CGK-PKY,</v>
      </c>
      <c r="U178" s="287" t="s">
        <v>232</v>
      </c>
      <c r="V178" s="279" t="s">
        <v>218</v>
      </c>
      <c r="W178" s="280" t="s">
        <v>219</v>
      </c>
      <c r="X178" s="280" t="s">
        <v>220</v>
      </c>
      <c r="Y178" s="280" t="s">
        <v>236</v>
      </c>
      <c r="Z178" s="280" t="s">
        <v>237</v>
      </c>
      <c r="AA178" s="288"/>
    </row>
    <row r="179" spans="1:27" ht="15" customHeight="1" thickBot="1">
      <c r="B179">
        <v>3</v>
      </c>
      <c r="D179">
        <v>3321868</v>
      </c>
      <c r="E179">
        <v>4492</v>
      </c>
      <c r="F179">
        <f t="shared" si="127"/>
        <v>739.50756901157615</v>
      </c>
      <c r="G179">
        <f>D179/365</f>
        <v>9101.0082191780821</v>
      </c>
      <c r="H179" t="s">
        <v>257</v>
      </c>
      <c r="L179" s="1392"/>
      <c r="M179" s="279" t="s">
        <v>212</v>
      </c>
      <c r="N179" t="str">
        <f t="shared" si="126"/>
        <v>PKY-CGK,</v>
      </c>
      <c r="U179" s="289" t="s">
        <v>233</v>
      </c>
      <c r="V179" s="290" t="s">
        <v>222</v>
      </c>
      <c r="W179" s="291" t="s">
        <v>238</v>
      </c>
      <c r="X179" s="291" t="s">
        <v>239</v>
      </c>
      <c r="Y179" s="290" t="s">
        <v>216</v>
      </c>
      <c r="Z179" s="292" t="s">
        <v>226</v>
      </c>
      <c r="AA179" s="293" t="s">
        <v>225</v>
      </c>
    </row>
    <row r="180" spans="1:27" ht="15" customHeight="1">
      <c r="B180">
        <v>4</v>
      </c>
      <c r="D180">
        <v>93220</v>
      </c>
      <c r="E180">
        <v>844</v>
      </c>
      <c r="F180">
        <f t="shared" si="127"/>
        <v>110.45023696682465</v>
      </c>
      <c r="G180">
        <f>D180/365</f>
        <v>255.39726027397259</v>
      </c>
      <c r="H180" t="s">
        <v>343</v>
      </c>
      <c r="L180" s="1392"/>
      <c r="M180" s="279" t="s">
        <v>213</v>
      </c>
      <c r="N180" t="str">
        <f t="shared" si="126"/>
        <v>CGK-PLM,</v>
      </c>
    </row>
    <row r="181" spans="1:27" ht="15" customHeight="1">
      <c r="B181">
        <v>5</v>
      </c>
      <c r="D181">
        <v>0</v>
      </c>
      <c r="E181">
        <v>0</v>
      </c>
      <c r="F181" t="e">
        <f t="shared" si="127"/>
        <v>#DIV/0!</v>
      </c>
      <c r="H181" t="s">
        <v>270</v>
      </c>
      <c r="L181" s="1392">
        <v>2</v>
      </c>
      <c r="M181" s="279" t="s">
        <v>214</v>
      </c>
      <c r="N181" t="str">
        <f t="shared" si="126"/>
        <v>MDC-SRG,</v>
      </c>
      <c r="O181" t="str">
        <f>_xlfn.CONCAT(N181:N184)</f>
        <v>MDC-SRG,SRG-AMQ,AMQ-CGK,CGK-MDC,</v>
      </c>
    </row>
    <row r="182" spans="1:27" ht="15" customHeight="1">
      <c r="B182">
        <v>6</v>
      </c>
      <c r="D182">
        <v>0</v>
      </c>
      <c r="E182">
        <v>0</v>
      </c>
      <c r="F182" t="e">
        <f t="shared" si="127"/>
        <v>#DIV/0!</v>
      </c>
      <c r="H182" t="s">
        <v>270</v>
      </c>
      <c r="L182" s="1392"/>
      <c r="M182" s="279" t="s">
        <v>234</v>
      </c>
      <c r="N182" t="str">
        <f t="shared" si="126"/>
        <v>SRG-AMQ,</v>
      </c>
    </row>
    <row r="183" spans="1:27" ht="15" customHeight="1">
      <c r="B183">
        <v>7</v>
      </c>
      <c r="D183">
        <v>0</v>
      </c>
      <c r="E183">
        <v>0</v>
      </c>
      <c r="F183" t="e">
        <f t="shared" si="127"/>
        <v>#DIV/0!</v>
      </c>
      <c r="H183" t="s">
        <v>257</v>
      </c>
      <c r="L183" s="1392"/>
      <c r="M183" s="279" t="s">
        <v>224</v>
      </c>
      <c r="N183" t="str">
        <f t="shared" si="126"/>
        <v>AMQ-CGK,</v>
      </c>
    </row>
    <row r="184" spans="1:27" ht="15" customHeight="1">
      <c r="A184" t="s">
        <v>344</v>
      </c>
      <c r="B184">
        <v>27</v>
      </c>
      <c r="L184" s="1392"/>
      <c r="M184" s="279" t="s">
        <v>235</v>
      </c>
      <c r="N184" t="str">
        <f t="shared" si="126"/>
        <v>CGK-MDC,</v>
      </c>
    </row>
    <row r="185" spans="1:27" ht="15" customHeight="1">
      <c r="A185" t="s">
        <v>345</v>
      </c>
      <c r="B185" t="s">
        <v>346</v>
      </c>
      <c r="E185" t="s">
        <v>338</v>
      </c>
      <c r="F185" t="s">
        <v>319</v>
      </c>
      <c r="G185" t="s">
        <v>339</v>
      </c>
      <c r="H185" t="s">
        <v>340</v>
      </c>
      <c r="L185" s="1392">
        <v>3</v>
      </c>
      <c r="M185" s="279" t="s">
        <v>218</v>
      </c>
      <c r="N185" t="str">
        <f t="shared" si="126"/>
        <v>TTE-KNO,</v>
      </c>
      <c r="O185" t="str">
        <f>_xlfn.CONCAT(N185:N189)</f>
        <v>TTE-KNO,KNO-PKU,PKU-BDO,BDO-UPG,UPG-TTE,</v>
      </c>
    </row>
    <row r="186" spans="1:27" ht="15" customHeight="1">
      <c r="A186">
        <v>2.5</v>
      </c>
      <c r="B186">
        <v>12.28</v>
      </c>
      <c r="C186" s="1288" t="s">
        <v>329</v>
      </c>
      <c r="D186" t="s">
        <v>210</v>
      </c>
      <c r="E186">
        <v>8263046</v>
      </c>
      <c r="F186">
        <v>8606</v>
      </c>
      <c r="G186" s="268">
        <f t="shared" ref="G186:G195" si="128">E186/F186</f>
        <v>960.14943062979319</v>
      </c>
      <c r="H186">
        <f t="shared" ref="H186:H195" si="129">E186/365</f>
        <v>22638.482191780822</v>
      </c>
      <c r="I186">
        <f t="shared" ref="I186:I195" si="130">G186+H186/2</f>
        <v>12279.390526520205</v>
      </c>
      <c r="J186">
        <f>I186/1000</f>
        <v>12.279390526520205</v>
      </c>
      <c r="L186" s="1392"/>
      <c r="M186" s="280" t="s">
        <v>219</v>
      </c>
      <c r="N186" t="str">
        <f t="shared" si="126"/>
        <v>KNO-PKU,</v>
      </c>
    </row>
    <row r="187" spans="1:27" ht="15" customHeight="1">
      <c r="A187" s="346">
        <f>A186/$B$184</f>
        <v>9.2592592592592587E-2</v>
      </c>
      <c r="B187" s="346">
        <f>IF(B186/$B$184&gt;0.8,80%,B186/$B$184)</f>
        <v>0.45481481481481478</v>
      </c>
      <c r="C187" s="1288"/>
      <c r="D187" t="s">
        <v>211</v>
      </c>
      <c r="E187">
        <v>3791552</v>
      </c>
      <c r="F187">
        <v>1402</v>
      </c>
      <c r="G187" s="268">
        <f t="shared" si="128"/>
        <v>2704.3880171184023</v>
      </c>
      <c r="H187">
        <f t="shared" si="129"/>
        <v>10387.813698630138</v>
      </c>
      <c r="I187">
        <f t="shared" si="130"/>
        <v>7898.2948664334708</v>
      </c>
      <c r="J187">
        <f t="shared" ref="J187:J195" si="131">I187/1000</f>
        <v>7.8982948664334707</v>
      </c>
      <c r="K187" s="347">
        <f>B187-A187</f>
        <v>0.36222222222222222</v>
      </c>
      <c r="L187" s="1392"/>
      <c r="M187" s="280" t="s">
        <v>220</v>
      </c>
      <c r="N187" t="str">
        <f t="shared" si="126"/>
        <v>PKU-BDO,</v>
      </c>
    </row>
    <row r="188" spans="1:27" ht="15" customHeight="1">
      <c r="A188">
        <v>16.3</v>
      </c>
      <c r="B188">
        <v>47.18</v>
      </c>
      <c r="C188" s="1288" t="s">
        <v>330</v>
      </c>
      <c r="D188" t="s">
        <v>219</v>
      </c>
      <c r="E188">
        <v>76670</v>
      </c>
      <c r="F188">
        <v>500</v>
      </c>
      <c r="G188">
        <f t="shared" si="128"/>
        <v>153.34</v>
      </c>
      <c r="H188">
        <f t="shared" si="129"/>
        <v>210.05479452054794</v>
      </c>
      <c r="I188">
        <f t="shared" si="130"/>
        <v>258.36739726027395</v>
      </c>
      <c r="J188">
        <f t="shared" si="131"/>
        <v>0.25836739726027397</v>
      </c>
      <c r="L188" s="1392"/>
      <c r="M188" s="280" t="s">
        <v>236</v>
      </c>
      <c r="N188" t="str">
        <f t="shared" si="126"/>
        <v>BDO-UPG,</v>
      </c>
    </row>
    <row r="189" spans="1:27" ht="15" customHeight="1">
      <c r="A189" s="346">
        <f>A188/$B$184</f>
        <v>0.60370370370370374</v>
      </c>
      <c r="B189" s="346">
        <f>IF(B188/$B$184&gt;0.8,80%,B188/$B$184)</f>
        <v>0.8</v>
      </c>
      <c r="C189" s="1288"/>
      <c r="D189" t="s">
        <v>220</v>
      </c>
      <c r="E189">
        <v>156384</v>
      </c>
      <c r="F189">
        <v>484</v>
      </c>
      <c r="G189">
        <f t="shared" si="128"/>
        <v>323.10743801652893</v>
      </c>
      <c r="H189">
        <f t="shared" si="129"/>
        <v>428.44931506849315</v>
      </c>
      <c r="I189">
        <f t="shared" si="130"/>
        <v>537.33209555077553</v>
      </c>
      <c r="J189">
        <f t="shared" si="131"/>
        <v>0.53733209555077555</v>
      </c>
      <c r="K189" s="347">
        <f>B189-A189</f>
        <v>0.1962962962962963</v>
      </c>
      <c r="L189" s="1392"/>
      <c r="M189" s="280" t="s">
        <v>237</v>
      </c>
      <c r="N189" t="str">
        <f t="shared" si="126"/>
        <v>UPG-TTE,</v>
      </c>
    </row>
    <row r="190" spans="1:27" ht="15" customHeight="1">
      <c r="A190">
        <v>17.600000000000001</v>
      </c>
      <c r="B190">
        <v>49.07</v>
      </c>
      <c r="C190" s="1288" t="s">
        <v>221</v>
      </c>
      <c r="D190" t="s">
        <v>236</v>
      </c>
      <c r="E190">
        <v>273169</v>
      </c>
      <c r="F190">
        <v>180</v>
      </c>
      <c r="G190">
        <f t="shared" si="128"/>
        <v>1517.6055555555556</v>
      </c>
      <c r="H190">
        <f t="shared" si="129"/>
        <v>748.40821917808216</v>
      </c>
      <c r="I190">
        <f t="shared" si="130"/>
        <v>1891.8096651445967</v>
      </c>
      <c r="J190">
        <f t="shared" si="131"/>
        <v>1.8918096651445966</v>
      </c>
      <c r="L190" s="1392">
        <v>4</v>
      </c>
      <c r="M190" s="279" t="s">
        <v>222</v>
      </c>
      <c r="N190" t="str">
        <f t="shared" si="126"/>
        <v>LOP-TIM,</v>
      </c>
      <c r="O190" t="str">
        <f>_xlfn.CONCAT(N190:N195)</f>
        <v>LOP-TIM,TIM-UPG,UPG-KDI,KDI-PNK,PNK-CGK,CGK-LOP,</v>
      </c>
    </row>
    <row r="191" spans="1:27">
      <c r="A191" s="346">
        <f>A190/$B$184</f>
        <v>0.6518518518518519</v>
      </c>
      <c r="B191" s="346">
        <f>IF(B190/$B$184&gt;0.8,80%,B190/$B$184)</f>
        <v>0.8</v>
      </c>
      <c r="C191" s="1288"/>
      <c r="D191" t="s">
        <v>237</v>
      </c>
      <c r="E191">
        <v>1691534</v>
      </c>
      <c r="F191">
        <v>1418</v>
      </c>
      <c r="G191">
        <f t="shared" si="128"/>
        <v>1192.9012693935119</v>
      </c>
      <c r="H191">
        <f t="shared" si="129"/>
        <v>4634.3397260273969</v>
      </c>
      <c r="I191">
        <f t="shared" si="130"/>
        <v>3510.0711324072104</v>
      </c>
      <c r="J191">
        <f t="shared" si="131"/>
        <v>3.5100711324072105</v>
      </c>
      <c r="K191" s="347">
        <f>B191-A191</f>
        <v>0.14814814814814814</v>
      </c>
      <c r="L191" s="1392"/>
      <c r="M191" s="280" t="s">
        <v>238</v>
      </c>
      <c r="N191" t="str">
        <f t="shared" si="126"/>
        <v>TIM-UPG,</v>
      </c>
    </row>
    <row r="192" spans="1:27">
      <c r="A192">
        <v>4.5999999999999996</v>
      </c>
      <c r="B192">
        <v>10.26</v>
      </c>
      <c r="C192" s="1288" t="s">
        <v>332</v>
      </c>
      <c r="D192" t="s">
        <v>238</v>
      </c>
      <c r="E192">
        <v>725642</v>
      </c>
      <c r="F192">
        <v>1344</v>
      </c>
      <c r="G192">
        <f t="shared" si="128"/>
        <v>539.91220238095241</v>
      </c>
      <c r="H192">
        <f t="shared" si="129"/>
        <v>1988.0602739726028</v>
      </c>
      <c r="I192">
        <f t="shared" si="130"/>
        <v>1533.9423393672537</v>
      </c>
      <c r="J192">
        <f t="shared" si="131"/>
        <v>1.5339423393672538</v>
      </c>
      <c r="L192" s="1392"/>
      <c r="M192" s="280" t="s">
        <v>239</v>
      </c>
      <c r="N192" t="str">
        <f t="shared" si="126"/>
        <v>UPG-KDI,</v>
      </c>
      <c r="P192" s="294" t="s">
        <v>347</v>
      </c>
      <c r="Q192" s="295">
        <v>27</v>
      </c>
    </row>
    <row r="193" spans="1:27">
      <c r="A193" s="346">
        <f>A192/$B$184</f>
        <v>0.17037037037037037</v>
      </c>
      <c r="B193" s="346">
        <f>IF(B192/$B$184&gt;0.8,80%,B192/$B$184)</f>
        <v>0.38</v>
      </c>
      <c r="C193" s="1288"/>
      <c r="D193" t="s">
        <v>239</v>
      </c>
      <c r="E193">
        <v>2381934</v>
      </c>
      <c r="F193">
        <v>2746</v>
      </c>
      <c r="G193">
        <f t="shared" si="128"/>
        <v>867.4195193008012</v>
      </c>
      <c r="H193">
        <f t="shared" si="129"/>
        <v>6525.8465753424662</v>
      </c>
      <c r="I193">
        <f t="shared" si="130"/>
        <v>4130.3428069720339</v>
      </c>
      <c r="J193">
        <f t="shared" si="131"/>
        <v>4.1303428069720338</v>
      </c>
      <c r="K193" s="347">
        <f>B193-A193</f>
        <v>0.20962962962962964</v>
      </c>
      <c r="L193" s="1392"/>
      <c r="M193" s="279" t="s">
        <v>216</v>
      </c>
      <c r="N193" t="str">
        <f t="shared" si="126"/>
        <v>KDI-PNK,</v>
      </c>
      <c r="P193" t="s">
        <v>348</v>
      </c>
      <c r="Q193" s="295">
        <v>1</v>
      </c>
    </row>
    <row r="194" spans="1:27">
      <c r="A194">
        <v>16.100000000000001</v>
      </c>
      <c r="B194">
        <v>29.12</v>
      </c>
      <c r="C194" s="1288" t="s">
        <v>349</v>
      </c>
      <c r="D194" t="s">
        <v>226</v>
      </c>
      <c r="E194">
        <v>3614776</v>
      </c>
      <c r="F194">
        <v>3994</v>
      </c>
      <c r="G194">
        <f t="shared" si="128"/>
        <v>905.05157736604906</v>
      </c>
      <c r="H194">
        <f t="shared" si="129"/>
        <v>9903.495890410959</v>
      </c>
      <c r="I194">
        <f t="shared" si="130"/>
        <v>5856.7995225715285</v>
      </c>
      <c r="J194">
        <f t="shared" si="131"/>
        <v>5.8567995225715288</v>
      </c>
      <c r="L194" s="1392"/>
      <c r="M194" s="281" t="s">
        <v>226</v>
      </c>
      <c r="N194" t="str">
        <f t="shared" si="126"/>
        <v>PNK-CGK,</v>
      </c>
    </row>
    <row r="195" spans="1:27">
      <c r="A195" s="346">
        <f>A194/$B$184</f>
        <v>0.59629629629629632</v>
      </c>
      <c r="B195" s="346">
        <f>IF(B194/$B$184&gt;0.8,80%,B194/$B$184)</f>
        <v>0.8</v>
      </c>
      <c r="C195" s="1288"/>
      <c r="D195" t="s">
        <v>225</v>
      </c>
      <c r="E195">
        <v>4216164</v>
      </c>
      <c r="F195">
        <v>2708</v>
      </c>
      <c r="G195">
        <f t="shared" si="128"/>
        <v>1556.9290989660267</v>
      </c>
      <c r="H195">
        <f t="shared" si="129"/>
        <v>11551.134246575342</v>
      </c>
      <c r="I195">
        <f t="shared" si="130"/>
        <v>7332.4962222536979</v>
      </c>
      <c r="J195">
        <f t="shared" si="131"/>
        <v>7.332496222253698</v>
      </c>
      <c r="K195" s="347">
        <f>B195-A195</f>
        <v>0.20370370370370372</v>
      </c>
      <c r="L195" s="1392"/>
      <c r="M195" s="280" t="s">
        <v>225</v>
      </c>
      <c r="N195" t="str">
        <f t="shared" si="126"/>
        <v>CGK-LOP,</v>
      </c>
    </row>
    <row r="196" spans="1:27">
      <c r="C196" s="58"/>
      <c r="D196">
        <v>2</v>
      </c>
      <c r="E196">
        <f t="shared" ref="E196:W196" si="132">D196+1</f>
        <v>3</v>
      </c>
      <c r="F196">
        <f t="shared" si="132"/>
        <v>4</v>
      </c>
      <c r="G196">
        <f t="shared" si="132"/>
        <v>5</v>
      </c>
      <c r="H196">
        <f t="shared" si="132"/>
        <v>6</v>
      </c>
      <c r="I196">
        <f t="shared" si="132"/>
        <v>7</v>
      </c>
      <c r="J196">
        <f t="shared" si="132"/>
        <v>8</v>
      </c>
      <c r="K196">
        <f t="shared" si="132"/>
        <v>9</v>
      </c>
      <c r="L196">
        <f t="shared" si="132"/>
        <v>10</v>
      </c>
      <c r="M196">
        <f t="shared" si="132"/>
        <v>11</v>
      </c>
      <c r="N196">
        <f t="shared" si="132"/>
        <v>12</v>
      </c>
      <c r="O196">
        <f t="shared" si="132"/>
        <v>13</v>
      </c>
      <c r="P196">
        <f t="shared" si="132"/>
        <v>14</v>
      </c>
      <c r="Q196">
        <f t="shared" si="132"/>
        <v>15</v>
      </c>
      <c r="R196">
        <f t="shared" si="132"/>
        <v>16</v>
      </c>
      <c r="S196">
        <f t="shared" si="132"/>
        <v>17</v>
      </c>
      <c r="T196">
        <f t="shared" si="132"/>
        <v>18</v>
      </c>
      <c r="U196">
        <f t="shared" si="132"/>
        <v>19</v>
      </c>
      <c r="V196">
        <f t="shared" si="132"/>
        <v>20</v>
      </c>
      <c r="W196">
        <f t="shared" si="132"/>
        <v>21</v>
      </c>
    </row>
    <row r="197" spans="1:27">
      <c r="D197" s="1384">
        <v>2022</v>
      </c>
      <c r="E197" s="1384"/>
      <c r="F197" s="1384"/>
      <c r="G197" s="1384"/>
      <c r="H197" s="1385">
        <v>2023</v>
      </c>
      <c r="I197" s="1385"/>
      <c r="J197" s="1385"/>
      <c r="K197" s="1385"/>
      <c r="L197" s="1386">
        <v>2024</v>
      </c>
      <c r="M197" s="1386"/>
      <c r="N197" s="1386"/>
      <c r="O197" s="1386"/>
      <c r="P197" s="1385">
        <v>2025</v>
      </c>
      <c r="Q197" s="1385"/>
      <c r="R197" s="1385"/>
      <c r="S197" s="1385"/>
      <c r="T197" s="1387">
        <v>2026</v>
      </c>
      <c r="U197" s="1387"/>
      <c r="V197" s="1387"/>
      <c r="W197" s="1387"/>
    </row>
    <row r="198" spans="1:27">
      <c r="D198" s="57">
        <v>1</v>
      </c>
      <c r="E198" s="57">
        <v>2</v>
      </c>
      <c r="F198" s="57">
        <v>3</v>
      </c>
      <c r="G198" s="57">
        <v>4</v>
      </c>
      <c r="H198" s="57">
        <v>1</v>
      </c>
      <c r="I198" s="57">
        <v>2</v>
      </c>
      <c r="J198" s="57">
        <v>3</v>
      </c>
      <c r="K198" s="57">
        <v>4</v>
      </c>
      <c r="L198" s="57">
        <v>1</v>
      </c>
      <c r="M198" s="57">
        <v>2</v>
      </c>
      <c r="N198" s="57">
        <v>3</v>
      </c>
      <c r="O198" s="57">
        <v>4</v>
      </c>
      <c r="P198" s="57">
        <v>1</v>
      </c>
      <c r="Q198" s="57">
        <v>2</v>
      </c>
      <c r="R198" s="57">
        <v>3</v>
      </c>
      <c r="S198" s="57">
        <v>4</v>
      </c>
      <c r="T198" s="57">
        <v>1</v>
      </c>
      <c r="U198" s="57">
        <v>2</v>
      </c>
      <c r="V198" s="57">
        <v>3</v>
      </c>
      <c r="W198" s="57">
        <v>4</v>
      </c>
    </row>
    <row r="199" spans="1:27">
      <c r="B199" s="1392">
        <v>1</v>
      </c>
      <c r="C199" s="279" t="s">
        <v>209</v>
      </c>
      <c r="D199" s="296" cm="1">
        <f t="array" aca="1" ref="D199" ca="1">D199:W218=VLOOKUP($C199,'[2]Aglis Total Tonnage'!$B$4:$V$18,D$196,FALSE)</f>
        <v>0</v>
      </c>
      <c r="E199" s="296">
        <f>VLOOKUP($C199,'[2]Aglis Total Tonnage'!$B$4:$V$18,E$196,FALSE)</f>
        <v>4.1916141212865448</v>
      </c>
      <c r="F199" s="296">
        <f>VLOOKUP($C199,'[2]Aglis Total Tonnage'!$B$4:$V$18,F$196,FALSE)</f>
        <v>6.287421181929818</v>
      </c>
      <c r="G199" s="296">
        <f>VLOOKUP($C199,'[2]Aglis Total Tonnage'!$B$4:$V$18,G$196,FALSE)</f>
        <v>8.3832282425730895</v>
      </c>
      <c r="H199" s="296">
        <f>VLOOKUP($C199,'[2]Aglis Total Tonnage'!$B$4:$V$18,H$196,FALSE)</f>
        <v>11.526938833537999</v>
      </c>
      <c r="I199" s="296">
        <f>VLOOKUP($C199,'[2]Aglis Total Tonnage'!$B$4:$V$18,I$196,FALSE)</f>
        <v>11.526938833537999</v>
      </c>
      <c r="J199" s="296">
        <f>VLOOKUP($C199,'[2]Aglis Total Tonnage'!$B$4:$V$18,J$196,FALSE)</f>
        <v>11.526938833537999</v>
      </c>
      <c r="K199" s="296">
        <f>VLOOKUP($C199,'[2]Aglis Total Tonnage'!$B$4:$V$18,K$196,FALSE)</f>
        <v>11.526938833537999</v>
      </c>
      <c r="L199" s="296">
        <f>VLOOKUP($C199,'[2]Aglis Total Tonnage'!$B$4:$V$18,L$196,FALSE)</f>
        <v>12.679632716891799</v>
      </c>
      <c r="M199" s="296">
        <f>VLOOKUP($C199,'[2]Aglis Total Tonnage'!$B$4:$V$18,M$196,FALSE)</f>
        <v>12.679632716891799</v>
      </c>
      <c r="N199" s="296">
        <f>VLOOKUP($C199,'[2]Aglis Total Tonnage'!$B$4:$V$18,N$196,FALSE)</f>
        <v>12.679632716891799</v>
      </c>
      <c r="O199" s="296">
        <f>VLOOKUP($C199,'[2]Aglis Total Tonnage'!$B$4:$V$18,O$196,FALSE)</f>
        <v>12.679632716891799</v>
      </c>
      <c r="P199" s="296">
        <f>VLOOKUP($C199,'[2]Aglis Total Tonnage'!$B$4:$V$18,P$196,FALSE)</f>
        <v>13.94759598858098</v>
      </c>
      <c r="Q199" s="296">
        <f>VLOOKUP($C199,'[2]Aglis Total Tonnage'!$B$4:$V$18,Q$196,FALSE)</f>
        <v>13.94759598858098</v>
      </c>
      <c r="R199" s="296">
        <f>VLOOKUP($C199,'[2]Aglis Total Tonnage'!$B$4:$V$18,R$196,FALSE)</f>
        <v>13.94759598858098</v>
      </c>
      <c r="S199" s="296">
        <f>VLOOKUP($C199,'[2]Aglis Total Tonnage'!$B$4:$V$18,S$196,FALSE)</f>
        <v>13.94759598858098</v>
      </c>
      <c r="T199" s="296">
        <f>VLOOKUP($C199,'[2]Aglis Total Tonnage'!$B$4:$V$18,T$196,FALSE)</f>
        <v>15.34235558743908</v>
      </c>
      <c r="U199" s="296">
        <f>VLOOKUP($C199,'[2]Aglis Total Tonnage'!$B$4:$V$18,U$196,FALSE)</f>
        <v>15.34235558743908</v>
      </c>
      <c r="V199" s="296">
        <f>VLOOKUP($C199,'[2]Aglis Total Tonnage'!$B$4:$V$18,V$196,FALSE)</f>
        <v>15.34235558743908</v>
      </c>
      <c r="W199" s="296">
        <f>VLOOKUP($C199,'[2]Aglis Total Tonnage'!$B$4:$V$18,W$196,FALSE)</f>
        <v>15.34235558743908</v>
      </c>
      <c r="AA199" s="275"/>
    </row>
    <row r="200" spans="1:27">
      <c r="B200" s="1392"/>
      <c r="C200" s="280" t="s">
        <v>210</v>
      </c>
      <c r="D200" s="296">
        <f>VLOOKUP($C200,'[2]Aglis Total Tonnage'!$B$4:$V$18,D$196,FALSE)</f>
        <v>2.3652482191780826</v>
      </c>
      <c r="E200" s="296">
        <f>VLOOKUP($C200,'[2]Aglis Total Tonnage'!$B$4:$V$18,E$196,FALSE)</f>
        <v>4.7304964383561652</v>
      </c>
      <c r="F200" s="296">
        <v>12.28</v>
      </c>
      <c r="G200" s="296">
        <f>F200+1.1</f>
        <v>13.379999999999999</v>
      </c>
      <c r="H200" s="296">
        <f t="shared" ref="H200:W200" si="133">G200+1.1</f>
        <v>14.479999999999999</v>
      </c>
      <c r="I200" s="296">
        <f t="shared" si="133"/>
        <v>15.579999999999998</v>
      </c>
      <c r="J200" s="296">
        <f t="shared" si="133"/>
        <v>16.68</v>
      </c>
      <c r="K200" s="296">
        <f t="shared" si="133"/>
        <v>17.78</v>
      </c>
      <c r="L200" s="296">
        <f t="shared" si="133"/>
        <v>18.880000000000003</v>
      </c>
      <c r="M200" s="296">
        <f t="shared" si="133"/>
        <v>19.980000000000004</v>
      </c>
      <c r="N200" s="296">
        <f t="shared" si="133"/>
        <v>21.080000000000005</v>
      </c>
      <c r="O200" s="296">
        <f t="shared" si="133"/>
        <v>22.180000000000007</v>
      </c>
      <c r="P200" s="296">
        <f t="shared" si="133"/>
        <v>23.280000000000008</v>
      </c>
      <c r="Q200" s="296">
        <f t="shared" si="133"/>
        <v>24.38000000000001</v>
      </c>
      <c r="R200" s="296">
        <f t="shared" si="133"/>
        <v>25.480000000000011</v>
      </c>
      <c r="S200" s="296">
        <f t="shared" si="133"/>
        <v>26.580000000000013</v>
      </c>
      <c r="T200" s="296">
        <f t="shared" si="133"/>
        <v>27.680000000000014</v>
      </c>
      <c r="U200" s="296">
        <f t="shared" si="133"/>
        <v>28.780000000000015</v>
      </c>
      <c r="V200" s="296">
        <f t="shared" si="133"/>
        <v>29.880000000000017</v>
      </c>
      <c r="W200" s="296">
        <f t="shared" si="133"/>
        <v>30.980000000000018</v>
      </c>
    </row>
    <row r="201" spans="1:27">
      <c r="B201" s="1392"/>
      <c r="C201" s="280" t="s">
        <v>211</v>
      </c>
      <c r="D201" s="296">
        <f>VLOOKUP($C201,'[2]Aglis Total Tonnage'!$B$4:$V$18,D$196,FALSE)</f>
        <v>1.4809733031963468</v>
      </c>
      <c r="E201" s="296">
        <f>VLOOKUP($C201,'[2]Aglis Total Tonnage'!$B$4:$V$18,E$196,FALSE)</f>
        <v>2.9619466063926936</v>
      </c>
      <c r="F201" s="296">
        <f>$J187</f>
        <v>7.8982948664334707</v>
      </c>
      <c r="G201" s="296">
        <f>F201+0.8</f>
        <v>8.6982948664334714</v>
      </c>
      <c r="H201" s="296">
        <f t="shared" ref="H201:W201" si="134">G201+0.8</f>
        <v>9.4982948664334721</v>
      </c>
      <c r="I201" s="296">
        <f t="shared" si="134"/>
        <v>10.298294866433473</v>
      </c>
      <c r="J201" s="296">
        <f t="shared" si="134"/>
        <v>11.098294866433474</v>
      </c>
      <c r="K201" s="296">
        <f t="shared" si="134"/>
        <v>11.898294866433474</v>
      </c>
      <c r="L201" s="296">
        <f t="shared" si="134"/>
        <v>12.698294866433475</v>
      </c>
      <c r="M201" s="296">
        <f t="shared" si="134"/>
        <v>13.498294866433476</v>
      </c>
      <c r="N201" s="296">
        <f t="shared" si="134"/>
        <v>14.298294866433476</v>
      </c>
      <c r="O201" s="296">
        <f t="shared" si="134"/>
        <v>15.098294866433477</v>
      </c>
      <c r="P201" s="296">
        <f t="shared" si="134"/>
        <v>15.898294866433478</v>
      </c>
      <c r="Q201" s="296">
        <f t="shared" si="134"/>
        <v>16.698294866433478</v>
      </c>
      <c r="R201" s="296">
        <f t="shared" si="134"/>
        <v>17.498294866433479</v>
      </c>
      <c r="S201" s="296">
        <f t="shared" si="134"/>
        <v>18.29829486643348</v>
      </c>
      <c r="T201" s="296">
        <f t="shared" si="134"/>
        <v>19.098294866433481</v>
      </c>
      <c r="U201" s="296">
        <f t="shared" si="134"/>
        <v>19.898294866433481</v>
      </c>
      <c r="V201" s="296">
        <f t="shared" si="134"/>
        <v>20.698294866433482</v>
      </c>
      <c r="W201" s="296">
        <f t="shared" si="134"/>
        <v>21.498294866433483</v>
      </c>
    </row>
    <row r="202" spans="1:27">
      <c r="B202" s="1392"/>
      <c r="C202" s="279" t="s">
        <v>212</v>
      </c>
      <c r="D202" s="296">
        <f>VLOOKUP($C202,'[2]Aglis Total Tonnage'!$B$4:$V$18,D$196,FALSE)</f>
        <v>1.8032417554794524</v>
      </c>
      <c r="E202" s="296">
        <f>VLOOKUP($C202,'[2]Aglis Total Tonnage'!$B$4:$V$18,E$196,FALSE)</f>
        <v>5.4097252664383584</v>
      </c>
      <c r="F202" s="296">
        <f>VLOOKUP($C202,'[2]Aglis Total Tonnage'!$B$4:$V$18,F$196,FALSE)</f>
        <v>9.0162087773972619</v>
      </c>
      <c r="G202" s="296">
        <f>VLOOKUP($C202,'[2]Aglis Total Tonnage'!$B$4:$V$18,G$196,FALSE)</f>
        <v>12.622692288356166</v>
      </c>
      <c r="H202" s="296">
        <f>VLOOKUP($C202,'[2]Aglis Total Tonnage'!$B$4:$V$18,H$196,FALSE)</f>
        <v>17.852093379246579</v>
      </c>
      <c r="I202" s="296">
        <f>VLOOKUP($C202,'[2]Aglis Total Tonnage'!$B$4:$V$18,I$196,FALSE)</f>
        <v>19.835659310273979</v>
      </c>
      <c r="J202" s="296">
        <f>VLOOKUP($C202,'[2]Aglis Total Tonnage'!$B$4:$V$18,J$196,FALSE)</f>
        <v>19.835659310273979</v>
      </c>
      <c r="K202" s="296">
        <f>VLOOKUP($C202,'[2]Aglis Total Tonnage'!$B$4:$V$18,K$196,FALSE)</f>
        <v>19.835659310273979</v>
      </c>
      <c r="L202" s="296">
        <f>VLOOKUP($C202,'[2]Aglis Total Tonnage'!$B$4:$V$18,L$196,FALSE)</f>
        <v>21.819225241301378</v>
      </c>
      <c r="M202" s="296">
        <f>VLOOKUP($C202,'[2]Aglis Total Tonnage'!$B$4:$V$18,M$196,FALSE)</f>
        <v>21.819225241301378</v>
      </c>
      <c r="N202" s="296">
        <f>VLOOKUP($C202,'[2]Aglis Total Tonnage'!$B$4:$V$18,N$196,FALSE)</f>
        <v>21.819225241301378</v>
      </c>
      <c r="O202" s="296">
        <f>VLOOKUP($C202,'[2]Aglis Total Tonnage'!$B$4:$V$18,O$196,FALSE)</f>
        <v>21.819225241301378</v>
      </c>
      <c r="P202" s="296">
        <f>VLOOKUP($C202,'[2]Aglis Total Tonnage'!$B$4:$V$18,P$196,FALSE)</f>
        <v>24.001147765431519</v>
      </c>
      <c r="Q202" s="296">
        <f>VLOOKUP($C202,'[2]Aglis Total Tonnage'!$B$4:$V$18,Q$196,FALSE)</f>
        <v>24.001147765431519</v>
      </c>
      <c r="R202" s="296">
        <f>VLOOKUP($C202,'[2]Aglis Total Tonnage'!$B$4:$V$18,R$196,FALSE)</f>
        <v>24.001147765431519</v>
      </c>
      <c r="S202" s="296">
        <f>VLOOKUP($C202,'[2]Aglis Total Tonnage'!$B$4:$V$18,S$196,FALSE)</f>
        <v>24.001147765431519</v>
      </c>
      <c r="T202" s="296">
        <f>VLOOKUP($C202,'[2]Aglis Total Tonnage'!$B$4:$V$18,T$196,FALSE)</f>
        <v>26.401262541974674</v>
      </c>
      <c r="U202" s="296">
        <f>VLOOKUP($C202,'[2]Aglis Total Tonnage'!$B$4:$V$18,U$196,FALSE)</f>
        <v>26.401262541974674</v>
      </c>
      <c r="V202" s="296">
        <f>VLOOKUP($C202,'[2]Aglis Total Tonnage'!$B$4:$V$18,V$196,FALSE)</f>
        <v>26.401262541974674</v>
      </c>
      <c r="W202" s="296">
        <f>VLOOKUP($C202,'[2]Aglis Total Tonnage'!$B$4:$V$18,W$196,FALSE)</f>
        <v>26.401262541974674</v>
      </c>
    </row>
    <row r="203" spans="1:27">
      <c r="B203" s="1392"/>
      <c r="C203" s="279" t="s">
        <v>213</v>
      </c>
      <c r="D203" s="296">
        <f>VLOOKUP($C203,'[2]Aglis Total Tonnage'!$B$4:$V$18,D$196,FALSE)</f>
        <v>0.69094676506849295</v>
      </c>
      <c r="E203" s="296">
        <f>VLOOKUP($C203,'[2]Aglis Total Tonnage'!$B$4:$V$18,E$196,FALSE)</f>
        <v>1.6122091184931502</v>
      </c>
      <c r="F203" s="296">
        <f>VLOOKUP($C203,'[2]Aglis Total Tonnage'!$B$4:$V$18,F$196,FALSE)</f>
        <v>2.533471471917808</v>
      </c>
      <c r="G203" s="296">
        <f>VLOOKUP($C203,'[2]Aglis Total Tonnage'!$B$4:$V$18,G$196,FALSE)</f>
        <v>3.4547338253424646</v>
      </c>
      <c r="H203" s="296">
        <f>VLOOKUP($C203,'[2]Aglis Total Tonnage'!$B$4:$V$18,H$196,FALSE)</f>
        <v>4.8135957966438347</v>
      </c>
      <c r="I203" s="296">
        <f>VLOOKUP($C203,'[2]Aglis Total Tonnage'!$B$4:$V$18,I$196,FALSE)</f>
        <v>5.0669429438356159</v>
      </c>
      <c r="J203" s="296">
        <f>VLOOKUP($C203,'[2]Aglis Total Tonnage'!$B$4:$V$18,J$196,FALSE)</f>
        <v>5.0669429438356159</v>
      </c>
      <c r="K203" s="296">
        <f>VLOOKUP($C203,'[2]Aglis Total Tonnage'!$B$4:$V$18,K$196,FALSE)</f>
        <v>5.0669429438356159</v>
      </c>
      <c r="L203" s="296">
        <f>VLOOKUP($C203,'[2]Aglis Total Tonnage'!$B$4:$V$18,L$196,FALSE)</f>
        <v>5.5736372382191783</v>
      </c>
      <c r="M203" s="296">
        <f>VLOOKUP($C203,'[2]Aglis Total Tonnage'!$B$4:$V$18,M$196,FALSE)</f>
        <v>5.5736372382191783</v>
      </c>
      <c r="N203" s="296">
        <f>VLOOKUP($C203,'[2]Aglis Total Tonnage'!$B$4:$V$18,N$196,FALSE)</f>
        <v>5.5736372382191783</v>
      </c>
      <c r="O203" s="296">
        <f>VLOOKUP($C203,'[2]Aglis Total Tonnage'!$B$4:$V$18,O$196,FALSE)</f>
        <v>5.5736372382191783</v>
      </c>
      <c r="P203" s="296">
        <f>VLOOKUP($C203,'[2]Aglis Total Tonnage'!$B$4:$V$18,P$196,FALSE)</f>
        <v>6.1310009620410968</v>
      </c>
      <c r="Q203" s="296">
        <f>VLOOKUP($C203,'[2]Aglis Total Tonnage'!$B$4:$V$18,Q$196,FALSE)</f>
        <v>6.1310009620410968</v>
      </c>
      <c r="R203" s="296">
        <f>VLOOKUP($C203,'[2]Aglis Total Tonnage'!$B$4:$V$18,R$196,FALSE)</f>
        <v>6.1310009620410968</v>
      </c>
      <c r="S203" s="296">
        <f>VLOOKUP($C203,'[2]Aglis Total Tonnage'!$B$4:$V$18,S$196,FALSE)</f>
        <v>6.1310009620410968</v>
      </c>
      <c r="T203" s="296">
        <f>VLOOKUP($C203,'[2]Aglis Total Tonnage'!$B$4:$V$18,T$196,FALSE)</f>
        <v>6.7441010582452074</v>
      </c>
      <c r="U203" s="296">
        <f>VLOOKUP($C203,'[2]Aglis Total Tonnage'!$B$4:$V$18,U$196,FALSE)</f>
        <v>6.7441010582452074</v>
      </c>
      <c r="V203" s="296">
        <f>VLOOKUP($C203,'[2]Aglis Total Tonnage'!$B$4:$V$18,V$196,FALSE)</f>
        <v>6.7441010582452074</v>
      </c>
      <c r="W203" s="296">
        <f>VLOOKUP($C203,'[2]Aglis Total Tonnage'!$B$4:$V$18,W$196,FALSE)</f>
        <v>6.7441010582452074</v>
      </c>
    </row>
    <row r="204" spans="1:27">
      <c r="B204" s="1392">
        <v>2</v>
      </c>
      <c r="C204" s="279" t="s">
        <v>214</v>
      </c>
      <c r="D204" s="296">
        <f>VLOOKUP($C204,'[2]Aglis Total Tonnage'!$B$4:$V$18,D$196,FALSE)</f>
        <v>11.055</v>
      </c>
      <c r="E204" s="296">
        <f>VLOOKUP($C204,'[2]Aglis Total Tonnage'!$B$4:$V$18,E$196,FALSE)</f>
        <v>10.050000000000001</v>
      </c>
      <c r="F204" s="296">
        <f>VLOOKUP($C204,'[2]Aglis Total Tonnage'!$B$4:$V$18,F$196,FALSE)</f>
        <v>12.06</v>
      </c>
      <c r="G204" s="296">
        <f>VLOOKUP($C204,'[2]Aglis Total Tonnage'!$B$4:$V$18,G$196,FALSE)</f>
        <v>14.07</v>
      </c>
      <c r="H204" s="296">
        <f>VLOOKUP($C204,'[2]Aglis Total Tonnage'!$B$4:$V$18,H$196,FALSE)</f>
        <v>17.688000000000002</v>
      </c>
      <c r="I204" s="296">
        <f>VLOOKUP($C204,'[2]Aglis Total Tonnage'!$B$4:$V$18,I$196,FALSE)</f>
        <v>17.688000000000002</v>
      </c>
      <c r="J204" s="296">
        <f>VLOOKUP($C204,'[2]Aglis Total Tonnage'!$B$4:$V$18,J$196,FALSE)</f>
        <v>17.688000000000002</v>
      </c>
      <c r="K204" s="296">
        <f>VLOOKUP($C204,'[2]Aglis Total Tonnage'!$B$4:$V$18,K$196,FALSE)</f>
        <v>17.688000000000002</v>
      </c>
      <c r="L204" s="296">
        <f>VLOOKUP($C204,'[2]Aglis Total Tonnage'!$B$4:$V$18,L$196,FALSE)</f>
        <v>19.456800000000005</v>
      </c>
      <c r="M204" s="296">
        <f>VLOOKUP($C204,'[2]Aglis Total Tonnage'!$B$4:$V$18,M$196,FALSE)</f>
        <v>19.456800000000005</v>
      </c>
      <c r="N204" s="296">
        <f>VLOOKUP($C204,'[2]Aglis Total Tonnage'!$B$4:$V$18,N$196,FALSE)</f>
        <v>19.456800000000005</v>
      </c>
      <c r="O204" s="296">
        <f>VLOOKUP($C204,'[2]Aglis Total Tonnage'!$B$4:$V$18,O$196,FALSE)</f>
        <v>19.456800000000005</v>
      </c>
      <c r="P204" s="296">
        <f>VLOOKUP($C204,'[2]Aglis Total Tonnage'!$B$4:$V$18,P$196,FALSE)</f>
        <v>21.402480000000008</v>
      </c>
      <c r="Q204" s="296">
        <f>VLOOKUP($C204,'[2]Aglis Total Tonnage'!$B$4:$V$18,Q$196,FALSE)</f>
        <v>21.402480000000008</v>
      </c>
      <c r="R204" s="296">
        <f>VLOOKUP($C204,'[2]Aglis Total Tonnage'!$B$4:$V$18,R$196,FALSE)</f>
        <v>21.402480000000008</v>
      </c>
      <c r="S204" s="296">
        <f>VLOOKUP($C204,'[2]Aglis Total Tonnage'!$B$4:$V$18,S$196,FALSE)</f>
        <v>21.402480000000008</v>
      </c>
      <c r="T204" s="296">
        <f>VLOOKUP($C204,'[2]Aglis Total Tonnage'!$B$4:$V$18,T$196,FALSE)</f>
        <v>23.542728000000011</v>
      </c>
      <c r="U204" s="296">
        <f>VLOOKUP($C204,'[2]Aglis Total Tonnage'!$B$4:$V$18,U$196,FALSE)</f>
        <v>23.542728000000011</v>
      </c>
      <c r="V204" s="296">
        <f>VLOOKUP($C204,'[2]Aglis Total Tonnage'!$B$4:$V$18,V$196,FALSE)</f>
        <v>23.542728000000011</v>
      </c>
      <c r="W204" s="296">
        <f>VLOOKUP($C204,'[2]Aglis Total Tonnage'!$B$4:$V$18,W$196,FALSE)</f>
        <v>23.542728000000011</v>
      </c>
    </row>
    <row r="205" spans="1:27">
      <c r="B205" s="1392"/>
      <c r="C205" s="279" t="s">
        <v>234</v>
      </c>
      <c r="D205" s="296" t="e">
        <f>VLOOKUP($C205,'[2]Aglis Total Tonnage'!$B$4:$V$18,D$196,FALSE)</f>
        <v>#N/A</v>
      </c>
      <c r="E205" s="296" t="e">
        <f>VLOOKUP($C205,'[2]Aglis Total Tonnage'!$B$4:$V$18,E$196,FALSE)</f>
        <v>#N/A</v>
      </c>
      <c r="F205" s="296" t="e">
        <f>VLOOKUP($C205,'[2]Aglis Total Tonnage'!$B$4:$V$18,F$196,FALSE)</f>
        <v>#N/A</v>
      </c>
      <c r="G205" s="296" t="e">
        <f>VLOOKUP($C205,'[2]Aglis Total Tonnage'!$B$4:$V$18,G$196,FALSE)</f>
        <v>#N/A</v>
      </c>
      <c r="H205" s="296" t="e">
        <f>VLOOKUP($C205,'[2]Aglis Total Tonnage'!$B$4:$V$18,H$196,FALSE)</f>
        <v>#N/A</v>
      </c>
      <c r="I205" s="296" t="e">
        <f>VLOOKUP($C205,'[2]Aglis Total Tonnage'!$B$4:$V$18,I$196,FALSE)</f>
        <v>#N/A</v>
      </c>
      <c r="J205" s="296" t="e">
        <f>VLOOKUP($C205,'[2]Aglis Total Tonnage'!$B$4:$V$18,J$196,FALSE)</f>
        <v>#N/A</v>
      </c>
      <c r="K205" s="296" t="e">
        <f>VLOOKUP($C205,'[2]Aglis Total Tonnage'!$B$4:$V$18,K$196,FALSE)</f>
        <v>#N/A</v>
      </c>
      <c r="L205" s="296" t="e">
        <f>VLOOKUP($C205,'[2]Aglis Total Tonnage'!$B$4:$V$18,L$196,FALSE)</f>
        <v>#N/A</v>
      </c>
      <c r="M205" s="296" t="e">
        <f>VLOOKUP($C205,'[2]Aglis Total Tonnage'!$B$4:$V$18,M$196,FALSE)</f>
        <v>#N/A</v>
      </c>
      <c r="N205" s="296" t="e">
        <f>VLOOKUP($C205,'[2]Aglis Total Tonnage'!$B$4:$V$18,N$196,FALSE)</f>
        <v>#N/A</v>
      </c>
      <c r="O205" s="296" t="e">
        <f>VLOOKUP($C205,'[2]Aglis Total Tonnage'!$B$4:$V$18,O$196,FALSE)</f>
        <v>#N/A</v>
      </c>
      <c r="P205" s="296" t="e">
        <f>VLOOKUP($C205,'[2]Aglis Total Tonnage'!$B$4:$V$18,P$196,FALSE)</f>
        <v>#N/A</v>
      </c>
      <c r="Q205" s="296" t="e">
        <f>VLOOKUP($C205,'[2]Aglis Total Tonnage'!$B$4:$V$18,Q$196,FALSE)</f>
        <v>#N/A</v>
      </c>
      <c r="R205" s="296" t="e">
        <f>VLOOKUP($C205,'[2]Aglis Total Tonnage'!$B$4:$V$18,R$196,FALSE)</f>
        <v>#N/A</v>
      </c>
      <c r="S205" s="296" t="e">
        <f>VLOOKUP($C205,'[2]Aglis Total Tonnage'!$B$4:$V$18,S$196,FALSE)</f>
        <v>#N/A</v>
      </c>
      <c r="T205" s="296" t="e">
        <f>VLOOKUP($C205,'[2]Aglis Total Tonnage'!$B$4:$V$18,T$196,FALSE)</f>
        <v>#N/A</v>
      </c>
      <c r="U205" s="296" t="e">
        <f>VLOOKUP($C205,'[2]Aglis Total Tonnage'!$B$4:$V$18,U$196,FALSE)</f>
        <v>#N/A</v>
      </c>
      <c r="V205" s="296" t="e">
        <f>VLOOKUP($C205,'[2]Aglis Total Tonnage'!$B$4:$V$18,V$196,FALSE)</f>
        <v>#N/A</v>
      </c>
      <c r="W205" s="296" t="e">
        <f>VLOOKUP($C205,'[2]Aglis Total Tonnage'!$B$4:$V$18,W$196,FALSE)</f>
        <v>#N/A</v>
      </c>
    </row>
    <row r="206" spans="1:27">
      <c r="B206" s="1392"/>
      <c r="C206" s="279" t="s">
        <v>224</v>
      </c>
      <c r="D206" s="296" t="e">
        <f>VLOOKUP($C206,'[2]Aglis Total Tonnage'!$B$4:$V$18,D$196,FALSE)</f>
        <v>#N/A</v>
      </c>
      <c r="E206" s="296" t="e">
        <f>VLOOKUP($C206,'[2]Aglis Total Tonnage'!$B$4:$V$18,E$196,FALSE)</f>
        <v>#N/A</v>
      </c>
      <c r="F206" s="296" t="e">
        <f>VLOOKUP($C206,'[2]Aglis Total Tonnage'!$B$4:$V$18,F$196,FALSE)</f>
        <v>#N/A</v>
      </c>
      <c r="G206" s="296" t="e">
        <f>VLOOKUP($C206,'[2]Aglis Total Tonnage'!$B$4:$V$18,G$196,FALSE)</f>
        <v>#N/A</v>
      </c>
      <c r="H206" s="296" t="e">
        <f>VLOOKUP($C206,'[2]Aglis Total Tonnage'!$B$4:$V$18,H$196,FALSE)</f>
        <v>#N/A</v>
      </c>
      <c r="I206" s="296" t="e">
        <f>VLOOKUP($C206,'[2]Aglis Total Tonnage'!$B$4:$V$18,I$196,FALSE)</f>
        <v>#N/A</v>
      </c>
      <c r="J206" s="296" t="e">
        <f>VLOOKUP($C206,'[2]Aglis Total Tonnage'!$B$4:$V$18,J$196,FALSE)</f>
        <v>#N/A</v>
      </c>
      <c r="K206" s="296" t="e">
        <f>VLOOKUP($C206,'[2]Aglis Total Tonnage'!$B$4:$V$18,K$196,FALSE)</f>
        <v>#N/A</v>
      </c>
      <c r="L206" s="296" t="e">
        <f>VLOOKUP($C206,'[2]Aglis Total Tonnage'!$B$4:$V$18,L$196,FALSE)</f>
        <v>#N/A</v>
      </c>
      <c r="M206" s="296" t="e">
        <f>VLOOKUP($C206,'[2]Aglis Total Tonnage'!$B$4:$V$18,M$196,FALSE)</f>
        <v>#N/A</v>
      </c>
      <c r="N206" s="296" t="e">
        <f>VLOOKUP($C206,'[2]Aglis Total Tonnage'!$B$4:$V$18,N$196,FALSE)</f>
        <v>#N/A</v>
      </c>
      <c r="O206" s="296" t="e">
        <f>VLOOKUP($C206,'[2]Aglis Total Tonnage'!$B$4:$V$18,O$196,FALSE)</f>
        <v>#N/A</v>
      </c>
      <c r="P206" s="296" t="e">
        <f>VLOOKUP($C206,'[2]Aglis Total Tonnage'!$B$4:$V$18,P$196,FALSE)</f>
        <v>#N/A</v>
      </c>
      <c r="Q206" s="296" t="e">
        <f>VLOOKUP($C206,'[2]Aglis Total Tonnage'!$B$4:$V$18,Q$196,FALSE)</f>
        <v>#N/A</v>
      </c>
      <c r="R206" s="296" t="e">
        <f>VLOOKUP($C206,'[2]Aglis Total Tonnage'!$B$4:$V$18,R$196,FALSE)</f>
        <v>#N/A</v>
      </c>
      <c r="S206" s="296" t="e">
        <f>VLOOKUP($C206,'[2]Aglis Total Tonnage'!$B$4:$V$18,S$196,FALSE)</f>
        <v>#N/A</v>
      </c>
      <c r="T206" s="296" t="e">
        <f>VLOOKUP($C206,'[2]Aglis Total Tonnage'!$B$4:$V$18,T$196,FALSE)</f>
        <v>#N/A</v>
      </c>
      <c r="U206" s="296" t="e">
        <f>VLOOKUP($C206,'[2]Aglis Total Tonnage'!$B$4:$V$18,U$196,FALSE)</f>
        <v>#N/A</v>
      </c>
      <c r="V206" s="296" t="e">
        <f>VLOOKUP($C206,'[2]Aglis Total Tonnage'!$B$4:$V$18,V$196,FALSE)</f>
        <v>#N/A</v>
      </c>
      <c r="W206" s="296" t="e">
        <f>VLOOKUP($C206,'[2]Aglis Total Tonnage'!$B$4:$V$18,W$196,FALSE)</f>
        <v>#N/A</v>
      </c>
    </row>
    <row r="207" spans="1:27">
      <c r="B207" s="1392"/>
      <c r="C207" s="279" t="s">
        <v>235</v>
      </c>
      <c r="D207" s="296" t="e">
        <f>VLOOKUP($C207,'[2]Aglis Total Tonnage'!$B$4:$V$18,D$196,FALSE)</f>
        <v>#N/A</v>
      </c>
      <c r="E207" s="296" t="e">
        <f>VLOOKUP($C207,'[2]Aglis Total Tonnage'!$B$4:$V$18,E$196,FALSE)</f>
        <v>#N/A</v>
      </c>
      <c r="F207" s="296" t="e">
        <f>VLOOKUP($C207,'[2]Aglis Total Tonnage'!$B$4:$V$18,F$196,FALSE)</f>
        <v>#N/A</v>
      </c>
      <c r="G207" s="296" t="e">
        <f>VLOOKUP($C207,'[2]Aglis Total Tonnage'!$B$4:$V$18,G$196,FALSE)</f>
        <v>#N/A</v>
      </c>
      <c r="H207" s="296" t="e">
        <f>VLOOKUP($C207,'[2]Aglis Total Tonnage'!$B$4:$V$18,H$196,FALSE)</f>
        <v>#N/A</v>
      </c>
      <c r="I207" s="296" t="e">
        <f>VLOOKUP($C207,'[2]Aglis Total Tonnage'!$B$4:$V$18,I$196,FALSE)</f>
        <v>#N/A</v>
      </c>
      <c r="J207" s="296" t="e">
        <f>VLOOKUP($C207,'[2]Aglis Total Tonnage'!$B$4:$V$18,J$196,FALSE)</f>
        <v>#N/A</v>
      </c>
      <c r="K207" s="296" t="e">
        <f>VLOOKUP($C207,'[2]Aglis Total Tonnage'!$B$4:$V$18,K$196,FALSE)</f>
        <v>#N/A</v>
      </c>
      <c r="L207" s="296" t="e">
        <f>VLOOKUP($C207,'[2]Aglis Total Tonnage'!$B$4:$V$18,L$196,FALSE)</f>
        <v>#N/A</v>
      </c>
      <c r="M207" s="296" t="e">
        <f>VLOOKUP($C207,'[2]Aglis Total Tonnage'!$B$4:$V$18,M$196,FALSE)</f>
        <v>#N/A</v>
      </c>
      <c r="N207" s="296" t="e">
        <f>VLOOKUP($C207,'[2]Aglis Total Tonnage'!$B$4:$V$18,N$196,FALSE)</f>
        <v>#N/A</v>
      </c>
      <c r="O207" s="296" t="e">
        <f>VLOOKUP($C207,'[2]Aglis Total Tonnage'!$B$4:$V$18,O$196,FALSE)</f>
        <v>#N/A</v>
      </c>
      <c r="P207" s="296" t="e">
        <f>VLOOKUP($C207,'[2]Aglis Total Tonnage'!$B$4:$V$18,P$196,FALSE)</f>
        <v>#N/A</v>
      </c>
      <c r="Q207" s="296" t="e">
        <f>VLOOKUP($C207,'[2]Aglis Total Tonnage'!$B$4:$V$18,Q$196,FALSE)</f>
        <v>#N/A</v>
      </c>
      <c r="R207" s="296" t="e">
        <f>VLOOKUP($C207,'[2]Aglis Total Tonnage'!$B$4:$V$18,R$196,FALSE)</f>
        <v>#N/A</v>
      </c>
      <c r="S207" s="296" t="e">
        <f>VLOOKUP($C207,'[2]Aglis Total Tonnage'!$B$4:$V$18,S$196,FALSE)</f>
        <v>#N/A</v>
      </c>
      <c r="T207" s="296" t="e">
        <f>VLOOKUP($C207,'[2]Aglis Total Tonnage'!$B$4:$V$18,T$196,FALSE)</f>
        <v>#N/A</v>
      </c>
      <c r="U207" s="296" t="e">
        <f>VLOOKUP($C207,'[2]Aglis Total Tonnage'!$B$4:$V$18,U$196,FALSE)</f>
        <v>#N/A</v>
      </c>
      <c r="V207" s="296" t="e">
        <f>VLOOKUP($C207,'[2]Aglis Total Tonnage'!$B$4:$V$18,V$196,FALSE)</f>
        <v>#N/A</v>
      </c>
      <c r="W207" s="296" t="e">
        <f>VLOOKUP($C207,'[2]Aglis Total Tonnage'!$B$4:$V$18,W$196,FALSE)</f>
        <v>#N/A</v>
      </c>
    </row>
    <row r="208" spans="1:27">
      <c r="B208" s="1392">
        <v>3</v>
      </c>
      <c r="C208" s="279" t="s">
        <v>218</v>
      </c>
      <c r="D208" s="296">
        <f>VLOOKUP($C208,'[2]Aglis Total Tonnage'!$B$4:$V$18,D$196,FALSE)</f>
        <v>0</v>
      </c>
      <c r="E208" s="296">
        <f>VLOOKUP($C208,'[2]Aglis Total Tonnage'!$B$4:$V$18,E$196,FALSE)</f>
        <v>0</v>
      </c>
      <c r="F208" s="296">
        <f>VLOOKUP($C208,'[2]Aglis Total Tonnage'!$B$4:$V$18,F$196,FALSE)</f>
        <v>0</v>
      </c>
      <c r="G208" s="296">
        <f>VLOOKUP($C208,'[2]Aglis Total Tonnage'!$B$4:$V$18,G$196,FALSE)</f>
        <v>0</v>
      </c>
      <c r="H208" s="296">
        <f>VLOOKUP($C208,'[2]Aglis Total Tonnage'!$B$4:$V$18,H$196,FALSE)</f>
        <v>0</v>
      </c>
      <c r="I208" s="296">
        <f>VLOOKUP($C208,'[2]Aglis Total Tonnage'!$B$4:$V$18,I$196,FALSE)</f>
        <v>0</v>
      </c>
      <c r="J208" s="296">
        <f>VLOOKUP($C208,'[2]Aglis Total Tonnage'!$B$4:$V$18,J$196,FALSE)</f>
        <v>0</v>
      </c>
      <c r="K208" s="296">
        <f>VLOOKUP($C208,'[2]Aglis Total Tonnage'!$B$4:$V$18,K$196,FALSE)</f>
        <v>0</v>
      </c>
      <c r="L208" s="296">
        <f>VLOOKUP($C208,'[2]Aglis Total Tonnage'!$B$4:$V$18,L$196,FALSE)</f>
        <v>13.118303516178496</v>
      </c>
      <c r="M208" s="296">
        <f>VLOOKUP($C208,'[2]Aglis Total Tonnage'!$B$4:$V$18,M$196,FALSE)</f>
        <v>15.503449610029133</v>
      </c>
      <c r="N208" s="296">
        <f>VLOOKUP($C208,'[2]Aglis Total Tonnage'!$B$4:$V$18,N$196,FALSE)</f>
        <v>17.888595703879769</v>
      </c>
      <c r="O208" s="296">
        <f>VLOOKUP($C208,'[2]Aglis Total Tonnage'!$B$4:$V$18,O$196,FALSE)</f>
        <v>19.081168750805087</v>
      </c>
      <c r="P208" s="296">
        <f>VLOOKUP($C208,'[2]Aglis Total Tonnage'!$B$4:$V$18,P$196,FALSE)</f>
        <v>20.9892856258856</v>
      </c>
      <c r="Q208" s="296">
        <f>VLOOKUP($C208,'[2]Aglis Total Tonnage'!$B$4:$V$18,Q$196,FALSE)</f>
        <v>20.9892856258856</v>
      </c>
      <c r="R208" s="296">
        <f>VLOOKUP($C208,'[2]Aglis Total Tonnage'!$B$4:$V$18,R$196,FALSE)</f>
        <v>20.9892856258856</v>
      </c>
      <c r="S208" s="296">
        <f>VLOOKUP($C208,'[2]Aglis Total Tonnage'!$B$4:$V$18,S$196,FALSE)</f>
        <v>20.9892856258856</v>
      </c>
      <c r="T208" s="296">
        <f>VLOOKUP($C208,'[2]Aglis Total Tonnage'!$B$4:$V$18,T$196,FALSE)</f>
        <v>23.088214188474161</v>
      </c>
      <c r="U208" s="296">
        <f>VLOOKUP($C208,'[2]Aglis Total Tonnage'!$B$4:$V$18,U$196,FALSE)</f>
        <v>23.088214188474161</v>
      </c>
      <c r="V208" s="296">
        <f>VLOOKUP($C208,'[2]Aglis Total Tonnage'!$B$4:$V$18,V$196,FALSE)</f>
        <v>23.088214188474161</v>
      </c>
      <c r="W208" s="296">
        <f>VLOOKUP($C208,'[2]Aglis Total Tonnage'!$B$4:$V$18,W$196,FALSE)</f>
        <v>23.088214188474161</v>
      </c>
    </row>
    <row r="209" spans="2:25">
      <c r="B209" s="1392"/>
      <c r="C209" s="515" t="s">
        <v>219</v>
      </c>
      <c r="D209" s="516">
        <f>VLOOKUP($C209,'[2]Aglis Total Tonnage'!$B$4:$V$18,D$196,FALSE)</f>
        <v>0</v>
      </c>
      <c r="E209" s="516">
        <f>VLOOKUP($C209,'[2]Aglis Total Tonnage'!$B$4:$V$18,E$196,FALSE)</f>
        <v>0</v>
      </c>
      <c r="F209" s="516">
        <f>VLOOKUP($C209,'[2]Aglis Total Tonnage'!$B$4:$V$18,F$196,FALSE)</f>
        <v>0</v>
      </c>
      <c r="G209" s="516">
        <f>VLOOKUP($C209,'[2]Aglis Total Tonnage'!$B$4:$V$18,G$196,FALSE)</f>
        <v>0</v>
      </c>
      <c r="H209" s="516">
        <f>VLOOKUP($C209,'[2]Aglis Total Tonnage'!$B$4:$V$18,H$196,FALSE)</f>
        <v>0</v>
      </c>
      <c r="I209" s="516">
        <f>VLOOKUP($C209,'[2]Aglis Total Tonnage'!$B$4:$V$18,I$196,FALSE)</f>
        <v>0</v>
      </c>
      <c r="J209" s="516">
        <f>VLOOKUP($C209,'[2]Aglis Total Tonnage'!$B$4:$V$18,J$196,FALSE)</f>
        <v>0</v>
      </c>
      <c r="K209" s="516">
        <f>VLOOKUP($C209,'[2]Aglis Total Tonnage'!$B$4:$V$18,K$196,FALSE)</f>
        <v>0</v>
      </c>
      <c r="L209" s="516">
        <f>VLOOKUP($C209,'[2]Aglis Total Tonnage'!$B$4:$V$18,L$196,FALSE)</f>
        <v>8.8558866734589063</v>
      </c>
      <c r="M209" s="516">
        <f>VLOOKUP($C209,'[2]Aglis Total Tonnage'!$B$4:$V$18,M$196,FALSE)</f>
        <v>10.121013341095894</v>
      </c>
      <c r="N209" s="516">
        <v>12.41</v>
      </c>
      <c r="O209" s="516">
        <f t="shared" ref="O209:W209" si="135">N209+0.3</f>
        <v>12.71</v>
      </c>
      <c r="P209" s="516">
        <f t="shared" si="135"/>
        <v>13.010000000000002</v>
      </c>
      <c r="Q209" s="516">
        <f t="shared" si="135"/>
        <v>13.310000000000002</v>
      </c>
      <c r="R209" s="516">
        <f t="shared" si="135"/>
        <v>13.610000000000003</v>
      </c>
      <c r="S209" s="516">
        <f t="shared" si="135"/>
        <v>13.910000000000004</v>
      </c>
      <c r="T209" s="516">
        <f t="shared" si="135"/>
        <v>14.210000000000004</v>
      </c>
      <c r="U209" s="516">
        <f t="shared" si="135"/>
        <v>14.510000000000005</v>
      </c>
      <c r="V209" s="516">
        <f t="shared" si="135"/>
        <v>14.810000000000006</v>
      </c>
      <c r="W209" s="516">
        <f t="shared" si="135"/>
        <v>15.110000000000007</v>
      </c>
      <c r="Y209" t="s">
        <v>350</v>
      </c>
    </row>
    <row r="210" spans="2:25">
      <c r="B210" s="1392"/>
      <c r="C210" s="280" t="s">
        <v>220</v>
      </c>
      <c r="D210" s="296">
        <f>VLOOKUP($C210,'[2]Aglis Total Tonnage'!$B$4:$V$18,D$196,FALSE)</f>
        <v>0</v>
      </c>
      <c r="E210" s="296">
        <f>VLOOKUP($C210,'[2]Aglis Total Tonnage'!$B$4:$V$18,E$196,FALSE)</f>
        <v>0</v>
      </c>
      <c r="F210" s="296">
        <f>VLOOKUP($C210,'[2]Aglis Total Tonnage'!$B$4:$V$18,F$196,FALSE)</f>
        <v>0</v>
      </c>
      <c r="G210" s="296">
        <f>VLOOKUP($C210,'[2]Aglis Total Tonnage'!$B$4:$V$18,G$196,FALSE)</f>
        <v>0</v>
      </c>
      <c r="H210" s="296">
        <f>VLOOKUP($C210,'[2]Aglis Total Tonnage'!$B$4:$V$18,H$196,FALSE)</f>
        <v>0</v>
      </c>
      <c r="I210" s="296">
        <f>VLOOKUP($C210,'[2]Aglis Total Tonnage'!$B$4:$V$18,I$196,FALSE)</f>
        <v>0</v>
      </c>
      <c r="J210" s="296">
        <f>VLOOKUP($C210,'[2]Aglis Total Tonnage'!$B$4:$V$18,J$196,FALSE)</f>
        <v>0</v>
      </c>
      <c r="K210" s="296">
        <f>VLOOKUP($C210,'[2]Aglis Total Tonnage'!$B$4:$V$18,K$196,FALSE)</f>
        <v>0</v>
      </c>
      <c r="L210" s="296">
        <f>VLOOKUP($C210,'[2]Aglis Total Tonnage'!$B$4:$V$18,L$196,FALSE)</f>
        <v>9.0408668323630135</v>
      </c>
      <c r="M210" s="296">
        <f>VLOOKUP($C210,'[2]Aglis Total Tonnage'!$B$4:$V$18,M$196,FALSE)</f>
        <v>10.332419236986302</v>
      </c>
      <c r="N210" s="296">
        <f>J189</f>
        <v>0.53733209555077555</v>
      </c>
      <c r="O210" s="296">
        <f t="shared" ref="O210:W210" si="136">N210+0.5</f>
        <v>1.0373320955507754</v>
      </c>
      <c r="P210" s="296">
        <f t="shared" si="136"/>
        <v>1.5373320955507754</v>
      </c>
      <c r="Q210" s="296">
        <f t="shared" si="136"/>
        <v>2.0373320955507754</v>
      </c>
      <c r="R210" s="296">
        <f t="shared" si="136"/>
        <v>2.5373320955507754</v>
      </c>
      <c r="S210" s="296">
        <f t="shared" si="136"/>
        <v>3.0373320955507754</v>
      </c>
      <c r="T210" s="296">
        <f t="shared" si="136"/>
        <v>3.5373320955507754</v>
      </c>
      <c r="U210" s="296">
        <f t="shared" si="136"/>
        <v>4.0373320955507754</v>
      </c>
      <c r="V210" s="296">
        <f t="shared" si="136"/>
        <v>4.5373320955507754</v>
      </c>
      <c r="W210" s="296">
        <f t="shared" si="136"/>
        <v>5.0373320955507754</v>
      </c>
    </row>
    <row r="211" spans="2:25">
      <c r="B211" s="1392"/>
      <c r="C211" s="280" t="s">
        <v>236</v>
      </c>
      <c r="D211" s="296" t="e">
        <f>VLOOKUP($C211,'[2]Aglis Total Tonnage'!$B$4:$V$18,D$196,FALSE)</f>
        <v>#N/A</v>
      </c>
      <c r="E211" s="296" t="e">
        <f>VLOOKUP($C211,'[2]Aglis Total Tonnage'!$B$4:$V$18,E$196,FALSE)</f>
        <v>#N/A</v>
      </c>
      <c r="F211" s="296" t="e">
        <f>VLOOKUP($C211,'[2]Aglis Total Tonnage'!$B$4:$V$18,F$196,FALSE)</f>
        <v>#N/A</v>
      </c>
      <c r="G211" s="296" t="e">
        <f>VLOOKUP($C211,'[2]Aglis Total Tonnage'!$B$4:$V$18,G$196,FALSE)</f>
        <v>#N/A</v>
      </c>
      <c r="H211" s="296" t="e">
        <f>VLOOKUP($C211,'[2]Aglis Total Tonnage'!$B$4:$V$18,H$196,FALSE)</f>
        <v>#N/A</v>
      </c>
      <c r="I211" s="296" t="e">
        <f>VLOOKUP($C211,'[2]Aglis Total Tonnage'!$B$4:$V$18,I$196,FALSE)</f>
        <v>#N/A</v>
      </c>
      <c r="J211" s="296" t="e">
        <f>VLOOKUP($C211,'[2]Aglis Total Tonnage'!$B$4:$V$18,J$196,FALSE)</f>
        <v>#N/A</v>
      </c>
      <c r="K211" s="296" t="e">
        <f>VLOOKUP($C211,'[2]Aglis Total Tonnage'!$B$4:$V$18,K$196,FALSE)</f>
        <v>#N/A</v>
      </c>
      <c r="L211" s="296" t="e">
        <f>VLOOKUP($C211,'[2]Aglis Total Tonnage'!$B$4:$V$18,L$196,FALSE)</f>
        <v>#N/A</v>
      </c>
      <c r="M211" s="296" t="e">
        <f>VLOOKUP($C211,'[2]Aglis Total Tonnage'!$B$4:$V$18,M$196,FALSE)</f>
        <v>#N/A</v>
      </c>
      <c r="N211" s="296">
        <f>J190+M14</f>
        <v>14.901809665144597</v>
      </c>
      <c r="O211" s="296">
        <f t="shared" ref="O211:W211" si="137">N211+2</f>
        <v>16.901809665144597</v>
      </c>
      <c r="P211" s="296">
        <f t="shared" si="137"/>
        <v>18.901809665144597</v>
      </c>
      <c r="Q211" s="296">
        <f t="shared" si="137"/>
        <v>20.901809665144597</v>
      </c>
      <c r="R211" s="296">
        <f t="shared" si="137"/>
        <v>22.901809665144597</v>
      </c>
      <c r="S211" s="296">
        <f t="shared" si="137"/>
        <v>24.901809665144597</v>
      </c>
      <c r="T211" s="296">
        <f t="shared" si="137"/>
        <v>26.901809665144597</v>
      </c>
      <c r="U211" s="296">
        <f t="shared" si="137"/>
        <v>28.901809665144597</v>
      </c>
      <c r="V211" s="296">
        <f t="shared" si="137"/>
        <v>30.901809665144597</v>
      </c>
      <c r="W211" s="296">
        <f t="shared" si="137"/>
        <v>32.901809665144597</v>
      </c>
    </row>
    <row r="212" spans="2:25">
      <c r="B212" s="1392"/>
      <c r="C212" s="280" t="s">
        <v>237</v>
      </c>
      <c r="D212" s="296" t="e">
        <f>VLOOKUP($C212,'[2]Aglis Total Tonnage'!$B$4:$V$18,D$196,FALSE)</f>
        <v>#N/A</v>
      </c>
      <c r="E212" s="296" t="e">
        <f>VLOOKUP($C212,'[2]Aglis Total Tonnage'!$B$4:$V$18,E$196,FALSE)</f>
        <v>#N/A</v>
      </c>
      <c r="F212" s="296" t="e">
        <f>VLOOKUP($C212,'[2]Aglis Total Tonnage'!$B$4:$V$18,F$196,FALSE)</f>
        <v>#N/A</v>
      </c>
      <c r="G212" s="296" t="e">
        <f>VLOOKUP($C212,'[2]Aglis Total Tonnage'!$B$4:$V$18,G$196,FALSE)</f>
        <v>#N/A</v>
      </c>
      <c r="H212" s="296" t="e">
        <f>VLOOKUP($C212,'[2]Aglis Total Tonnage'!$B$4:$V$18,H$196,FALSE)</f>
        <v>#N/A</v>
      </c>
      <c r="I212" s="296" t="e">
        <f>VLOOKUP($C212,'[2]Aglis Total Tonnage'!$B$4:$V$18,I$196,FALSE)</f>
        <v>#N/A</v>
      </c>
      <c r="J212" s="296" t="e">
        <f>VLOOKUP($C212,'[2]Aglis Total Tonnage'!$B$4:$V$18,J$196,FALSE)</f>
        <v>#N/A</v>
      </c>
      <c r="K212" s="296" t="e">
        <f>VLOOKUP($C212,'[2]Aglis Total Tonnage'!$B$4:$V$18,K$196,FALSE)</f>
        <v>#N/A</v>
      </c>
      <c r="L212" s="296" t="e">
        <f>VLOOKUP($C212,'[2]Aglis Total Tonnage'!$B$4:$V$18,L$196,FALSE)</f>
        <v>#N/A</v>
      </c>
      <c r="M212" s="296" t="e">
        <f>VLOOKUP($C212,'[2]Aglis Total Tonnage'!$B$4:$V$18,M$196,FALSE)</f>
        <v>#N/A</v>
      </c>
      <c r="N212" s="296">
        <f>J191</f>
        <v>3.5100711324072105</v>
      </c>
      <c r="O212" s="296">
        <f>N212+1.1</f>
        <v>4.6100711324072101</v>
      </c>
      <c r="P212" s="296">
        <f t="shared" ref="P212:W212" si="138">O212+1.1</f>
        <v>5.7100711324072098</v>
      </c>
      <c r="Q212" s="296">
        <f t="shared" si="138"/>
        <v>6.8100711324072094</v>
      </c>
      <c r="R212" s="296">
        <f t="shared" si="138"/>
        <v>7.910071132407209</v>
      </c>
      <c r="S212" s="296">
        <f t="shared" si="138"/>
        <v>9.0100711324072087</v>
      </c>
      <c r="T212" s="296">
        <f t="shared" si="138"/>
        <v>10.110071132407208</v>
      </c>
      <c r="U212" s="296">
        <f t="shared" si="138"/>
        <v>11.210071132407208</v>
      </c>
      <c r="V212" s="296">
        <f t="shared" si="138"/>
        <v>12.310071132407208</v>
      </c>
      <c r="W212" s="296">
        <f t="shared" si="138"/>
        <v>13.410071132407207</v>
      </c>
    </row>
    <row r="213" spans="2:25">
      <c r="B213" s="1392">
        <v>4</v>
      </c>
      <c r="C213" s="279" t="s">
        <v>222</v>
      </c>
      <c r="D213" s="296">
        <f>VLOOKUP($C213,'[2]Aglis Total Tonnage'!$B$4:$V$18,D$196,FALSE)</f>
        <v>0</v>
      </c>
      <c r="E213" s="296">
        <f>VLOOKUP($C213,'[2]Aglis Total Tonnage'!$B$4:$V$18,E$196,FALSE)</f>
        <v>0</v>
      </c>
      <c r="F213" s="296">
        <f>VLOOKUP($C213,'[2]Aglis Total Tonnage'!$B$4:$V$18,F$196,FALSE)</f>
        <v>0</v>
      </c>
      <c r="G213" s="296">
        <f>VLOOKUP($C213,'[2]Aglis Total Tonnage'!$B$4:$V$18,G$196,FALSE)</f>
        <v>0</v>
      </c>
      <c r="H213" s="296">
        <f>VLOOKUP($C213,'[2]Aglis Total Tonnage'!$B$4:$V$18,H$196,FALSE)</f>
        <v>0</v>
      </c>
      <c r="I213" s="296">
        <f>VLOOKUP($C213,'[2]Aglis Total Tonnage'!$B$4:$V$18,I$196,FALSE)</f>
        <v>0</v>
      </c>
      <c r="J213" s="296">
        <f>VLOOKUP($C213,'[2]Aglis Total Tonnage'!$B$4:$V$18,J$196,FALSE)</f>
        <v>0</v>
      </c>
      <c r="K213" s="296">
        <f>VLOOKUP($C213,'[2]Aglis Total Tonnage'!$B$4:$V$18,K$196,FALSE)</f>
        <v>0</v>
      </c>
      <c r="L213" s="296">
        <f>VLOOKUP($C213,'[2]Aglis Total Tonnage'!$B$4:$V$18,L$196,FALSE)</f>
        <v>0</v>
      </c>
      <c r="M213" s="296">
        <f>VLOOKUP($C213,'[2]Aglis Total Tonnage'!$B$4:$V$18,M$196,FALSE)</f>
        <v>0</v>
      </c>
      <c r="N213" s="296">
        <f>VLOOKUP($C213,'[2]Aglis Total Tonnage'!$B$4:$V$18,N$196,FALSE)</f>
        <v>0</v>
      </c>
      <c r="O213" s="296">
        <f>VLOOKUP($C213,'[2]Aglis Total Tonnage'!$B$4:$V$18,O$196,FALSE)</f>
        <v>0</v>
      </c>
      <c r="P213" s="296">
        <f>VLOOKUP($C213,'[2]Aglis Total Tonnage'!$B$4:$V$18,P$196,FALSE)</f>
        <v>9.2867541097714223</v>
      </c>
      <c r="Q213" s="296">
        <f>VLOOKUP($C213,'[2]Aglis Total Tonnage'!$B$4:$V$18,Q$196,FALSE)</f>
        <v>10.715485511274718</v>
      </c>
      <c r="R213" s="296">
        <f>VLOOKUP($C213,'[2]Aglis Total Tonnage'!$B$4:$V$18,R$196,FALSE)</f>
        <v>11.429851212026369</v>
      </c>
      <c r="S213" s="296">
        <f>VLOOKUP($C213,'[2]Aglis Total Tonnage'!$B$4:$V$18,S$196,FALSE)</f>
        <v>11.429851212026369</v>
      </c>
      <c r="T213" s="296">
        <f>VLOOKUP($C213,'[2]Aglis Total Tonnage'!$B$4:$V$18,T$196,FALSE)</f>
        <v>12.572836333229006</v>
      </c>
      <c r="U213" s="296">
        <f>VLOOKUP($C213,'[2]Aglis Total Tonnage'!$B$4:$V$18,U$196,FALSE)</f>
        <v>12.572836333229006</v>
      </c>
      <c r="V213" s="296">
        <f>VLOOKUP($C213,'[2]Aglis Total Tonnage'!$B$4:$V$18,V$196,FALSE)</f>
        <v>12.572836333229006</v>
      </c>
      <c r="W213" s="296">
        <f>VLOOKUP($C213,'[2]Aglis Total Tonnage'!$B$4:$V$18,W$196,FALSE)</f>
        <v>12.572836333229006</v>
      </c>
    </row>
    <row r="214" spans="2:25">
      <c r="B214" s="1392"/>
      <c r="C214" s="280" t="s">
        <v>238</v>
      </c>
      <c r="D214" s="296" t="e">
        <f>VLOOKUP($C214,'[2]Aglis Total Tonnage'!$B$4:$V$18,D$196,FALSE)</f>
        <v>#N/A</v>
      </c>
      <c r="E214" s="296" t="e">
        <f>VLOOKUP($C214,'[2]Aglis Total Tonnage'!$B$4:$V$18,E$196,FALSE)</f>
        <v>#N/A</v>
      </c>
      <c r="F214" s="296" t="e">
        <f>VLOOKUP($C214,'[2]Aglis Total Tonnage'!$B$4:$V$18,F$196,FALSE)</f>
        <v>#N/A</v>
      </c>
      <c r="G214" s="296" t="e">
        <f>VLOOKUP($C214,'[2]Aglis Total Tonnage'!$B$4:$V$18,G$196,FALSE)</f>
        <v>#N/A</v>
      </c>
      <c r="H214" s="296" t="e">
        <f>VLOOKUP($C214,'[2]Aglis Total Tonnage'!$B$4:$V$18,H$196,FALSE)</f>
        <v>#N/A</v>
      </c>
      <c r="I214" s="296" t="e">
        <f>VLOOKUP($C214,'[2]Aglis Total Tonnage'!$B$4:$V$18,I$196,FALSE)</f>
        <v>#N/A</v>
      </c>
      <c r="J214" s="296" t="e">
        <f>VLOOKUP($C214,'[2]Aglis Total Tonnage'!$B$4:$V$18,J$196,FALSE)</f>
        <v>#N/A</v>
      </c>
      <c r="K214" s="296" t="e">
        <f>VLOOKUP($C214,'[2]Aglis Total Tonnage'!$B$4:$V$18,K$196,FALSE)</f>
        <v>#N/A</v>
      </c>
      <c r="L214" s="296" t="e">
        <f>VLOOKUP($C214,'[2]Aglis Total Tonnage'!$B$4:$V$18,L$196,FALSE)</f>
        <v>#N/A</v>
      </c>
      <c r="M214" s="296" t="e">
        <f>VLOOKUP($C214,'[2]Aglis Total Tonnage'!$B$4:$V$18,M$196,FALSE)</f>
        <v>#N/A</v>
      </c>
      <c r="N214" s="296" t="e">
        <f>VLOOKUP($C214,'[2]Aglis Total Tonnage'!$B$4:$V$18,N$196,FALSE)</f>
        <v>#N/A</v>
      </c>
      <c r="O214" s="296" t="e">
        <f>VLOOKUP($C214,'[2]Aglis Total Tonnage'!$B$4:$V$18,O$196,FALSE)</f>
        <v>#N/A</v>
      </c>
      <c r="P214" s="296" t="e">
        <f>VLOOKUP($C214,'[2]Aglis Total Tonnage'!$B$4:$V$18,P$196,FALSE)</f>
        <v>#N/A</v>
      </c>
      <c r="Q214" s="296" t="e">
        <f>VLOOKUP($C214,'[2]Aglis Total Tonnage'!$B$4:$V$18,Q$196,FALSE)</f>
        <v>#N/A</v>
      </c>
      <c r="R214" s="296">
        <f>J192+A192</f>
        <v>6.1339423393672536</v>
      </c>
      <c r="S214" s="296">
        <f t="shared" ref="S214:W215" si="139">R214+2</f>
        <v>8.1339423393672536</v>
      </c>
      <c r="T214" s="296">
        <f t="shared" si="139"/>
        <v>10.133942339367254</v>
      </c>
      <c r="U214" s="296">
        <f t="shared" si="139"/>
        <v>12.133942339367254</v>
      </c>
      <c r="V214" s="296">
        <f t="shared" si="139"/>
        <v>14.133942339367254</v>
      </c>
      <c r="W214" s="296">
        <f t="shared" si="139"/>
        <v>16.133942339367252</v>
      </c>
    </row>
    <row r="215" spans="2:25">
      <c r="B215" s="1392"/>
      <c r="C215" s="280" t="s">
        <v>239</v>
      </c>
      <c r="D215" s="296" t="e">
        <f>VLOOKUP($C215,'[2]Aglis Total Tonnage'!$B$4:$V$18,D$196,FALSE)</f>
        <v>#N/A</v>
      </c>
      <c r="E215" s="296" t="e">
        <f>VLOOKUP($C215,'[2]Aglis Total Tonnage'!$B$4:$V$18,E$196,FALSE)</f>
        <v>#N/A</v>
      </c>
      <c r="F215" s="296" t="e">
        <f>VLOOKUP($C215,'[2]Aglis Total Tonnage'!$B$4:$V$18,F$196,FALSE)</f>
        <v>#N/A</v>
      </c>
      <c r="G215" s="296" t="e">
        <f>VLOOKUP($C215,'[2]Aglis Total Tonnage'!$B$4:$V$18,G$196,FALSE)</f>
        <v>#N/A</v>
      </c>
      <c r="H215" s="296" t="e">
        <f>VLOOKUP($C215,'[2]Aglis Total Tonnage'!$B$4:$V$18,H$196,FALSE)</f>
        <v>#N/A</v>
      </c>
      <c r="I215" s="296" t="e">
        <f>VLOOKUP($C215,'[2]Aglis Total Tonnage'!$B$4:$V$18,I$196,FALSE)</f>
        <v>#N/A</v>
      </c>
      <c r="J215" s="296" t="e">
        <f>VLOOKUP($C215,'[2]Aglis Total Tonnage'!$B$4:$V$18,J$196,FALSE)</f>
        <v>#N/A</v>
      </c>
      <c r="K215" s="296" t="e">
        <f>VLOOKUP($C215,'[2]Aglis Total Tonnage'!$B$4:$V$18,K$196,FALSE)</f>
        <v>#N/A</v>
      </c>
      <c r="L215" s="296" t="e">
        <f>VLOOKUP($C215,'[2]Aglis Total Tonnage'!$B$4:$V$18,L$196,FALSE)</f>
        <v>#N/A</v>
      </c>
      <c r="M215" s="296" t="e">
        <f>VLOOKUP($C215,'[2]Aglis Total Tonnage'!$B$4:$V$18,M$196,FALSE)</f>
        <v>#N/A</v>
      </c>
      <c r="N215" s="296" t="e">
        <f>VLOOKUP($C215,'[2]Aglis Total Tonnage'!$B$4:$V$18,N$196,FALSE)</f>
        <v>#N/A</v>
      </c>
      <c r="O215" s="296" t="e">
        <f>VLOOKUP($C215,'[2]Aglis Total Tonnage'!$B$4:$V$18,O$196,FALSE)</f>
        <v>#N/A</v>
      </c>
      <c r="P215" s="296" t="e">
        <f>VLOOKUP($C215,'[2]Aglis Total Tonnage'!$B$4:$V$18,P$196,FALSE)</f>
        <v>#N/A</v>
      </c>
      <c r="Q215" s="296" t="e">
        <f>VLOOKUP($C215,'[2]Aglis Total Tonnage'!$B$4:$V$18,Q$196,FALSE)</f>
        <v>#N/A</v>
      </c>
      <c r="R215" s="296">
        <f>J193</f>
        <v>4.1303428069720338</v>
      </c>
      <c r="S215" s="296">
        <f t="shared" si="139"/>
        <v>6.1303428069720338</v>
      </c>
      <c r="T215" s="296">
        <f t="shared" si="139"/>
        <v>8.1303428069720347</v>
      </c>
      <c r="U215" s="296">
        <f t="shared" si="139"/>
        <v>10.130342806972035</v>
      </c>
      <c r="V215" s="296">
        <f t="shared" si="139"/>
        <v>12.130342806972035</v>
      </c>
      <c r="W215" s="296">
        <f t="shared" si="139"/>
        <v>14.130342806972035</v>
      </c>
    </row>
    <row r="216" spans="2:25">
      <c r="B216" s="1392"/>
      <c r="C216" s="279" t="s">
        <v>216</v>
      </c>
      <c r="D216" s="296">
        <f>VLOOKUP($C216,'[2]Aglis Total Tonnage'!$B$4:$V$18,D$196,FALSE)</f>
        <v>14.2</v>
      </c>
      <c r="E216" s="296">
        <f>VLOOKUP($C216,'[2]Aglis Total Tonnage'!$B$4:$V$18,E$196,FALSE)</f>
        <v>17.04</v>
      </c>
      <c r="F216" s="296">
        <f>VLOOKUP($C216,'[2]Aglis Total Tonnage'!$B$4:$V$18,F$196,FALSE)</f>
        <v>19.88</v>
      </c>
      <c r="G216" s="296">
        <f>VLOOKUP($C216,'[2]Aglis Total Tonnage'!$B$4:$V$18,G$196,FALSE)</f>
        <v>22.719999999999995</v>
      </c>
      <c r="H216" s="296">
        <f>VLOOKUP($C216,'[2]Aglis Total Tonnage'!$B$4:$V$18,H$196,FALSE)</f>
        <v>24.992000000000004</v>
      </c>
      <c r="I216" s="296">
        <f>VLOOKUP($C216,'[2]Aglis Total Tonnage'!$B$4:$V$18,I$196,FALSE)</f>
        <v>24.992000000000004</v>
      </c>
      <c r="J216" s="296">
        <f>VLOOKUP($C216,'[2]Aglis Total Tonnage'!$B$4:$V$18,J$196,FALSE)</f>
        <v>24.992000000000004</v>
      </c>
      <c r="K216" s="296">
        <f>VLOOKUP($C216,'[2]Aglis Total Tonnage'!$B$4:$V$18,K$196,FALSE)</f>
        <v>24.992000000000004</v>
      </c>
      <c r="L216" s="296">
        <f>VLOOKUP($C216,'[2]Aglis Total Tonnage'!$B$4:$V$18,L$196,FALSE)</f>
        <v>27.491200000000006</v>
      </c>
      <c r="M216" s="296">
        <f>VLOOKUP($C216,'[2]Aglis Total Tonnage'!$B$4:$V$18,M$196,FALSE)</f>
        <v>27.491200000000006</v>
      </c>
      <c r="N216" s="296">
        <f>VLOOKUP($C216,'[2]Aglis Total Tonnage'!$B$4:$V$18,N$196,FALSE)</f>
        <v>27.491200000000006</v>
      </c>
      <c r="O216" s="296">
        <f>VLOOKUP($C216,'[2]Aglis Total Tonnage'!$B$4:$V$18,O$196,FALSE)</f>
        <v>27.491200000000006</v>
      </c>
      <c r="P216" s="296">
        <f>VLOOKUP($C216,'[2]Aglis Total Tonnage'!$B$4:$V$18,P$196,FALSE)</f>
        <v>30.240320000000011</v>
      </c>
      <c r="Q216" s="296">
        <f>VLOOKUP($C216,'[2]Aglis Total Tonnage'!$B$4:$V$18,Q$196,FALSE)</f>
        <v>30.240320000000011</v>
      </c>
      <c r="R216" s="296">
        <f>VLOOKUP($C216,'[2]Aglis Total Tonnage'!$B$4:$V$18,R$196,FALSE)</f>
        <v>30.240320000000011</v>
      </c>
      <c r="S216" s="296">
        <f>VLOOKUP($C216,'[2]Aglis Total Tonnage'!$B$4:$V$18,S$196,FALSE)</f>
        <v>30.240320000000011</v>
      </c>
      <c r="T216" s="296">
        <f>VLOOKUP($C216,'[2]Aglis Total Tonnage'!$B$4:$V$18,T$196,FALSE)</f>
        <v>33.264352000000017</v>
      </c>
      <c r="U216" s="296">
        <f>VLOOKUP($C216,'[2]Aglis Total Tonnage'!$B$4:$V$18,U$196,FALSE)</f>
        <v>33.264352000000017</v>
      </c>
      <c r="V216" s="296">
        <f>VLOOKUP($C216,'[2]Aglis Total Tonnage'!$B$4:$V$18,V$196,FALSE)</f>
        <v>33.264352000000017</v>
      </c>
      <c r="W216" s="296">
        <f>VLOOKUP($C216,'[2]Aglis Total Tonnage'!$B$4:$V$18,W$196,FALSE)</f>
        <v>33.264352000000017</v>
      </c>
    </row>
    <row r="217" spans="2:25">
      <c r="B217" s="1392"/>
      <c r="C217" s="281" t="s">
        <v>226</v>
      </c>
      <c r="D217" s="296" t="e">
        <f>VLOOKUP($C217,'[2]Aglis Total Tonnage'!$B$4:$V$18,D$196,FALSE)</f>
        <v>#N/A</v>
      </c>
      <c r="E217" s="296" t="e">
        <f>VLOOKUP($C217,'[2]Aglis Total Tonnage'!$B$4:$V$18,E$196,FALSE)</f>
        <v>#N/A</v>
      </c>
      <c r="F217" s="296" t="e">
        <f>VLOOKUP($C217,'[2]Aglis Total Tonnage'!$B$4:$V$18,F$196,FALSE)</f>
        <v>#N/A</v>
      </c>
      <c r="G217" s="296" t="e">
        <f>VLOOKUP($C217,'[2]Aglis Total Tonnage'!$B$4:$V$18,G$196,FALSE)</f>
        <v>#N/A</v>
      </c>
      <c r="H217" s="296" t="e">
        <f>VLOOKUP($C217,'[2]Aglis Total Tonnage'!$B$4:$V$18,H$196,FALSE)</f>
        <v>#N/A</v>
      </c>
      <c r="I217" s="296" t="e">
        <f>VLOOKUP($C217,'[2]Aglis Total Tonnage'!$B$4:$V$18,I$196,FALSE)</f>
        <v>#N/A</v>
      </c>
      <c r="J217" s="296" t="e">
        <f>VLOOKUP($C217,'[2]Aglis Total Tonnage'!$B$4:$V$18,J$196,FALSE)</f>
        <v>#N/A</v>
      </c>
      <c r="K217" s="296" t="e">
        <f>VLOOKUP($C217,'[2]Aglis Total Tonnage'!$B$4:$V$18,K$196,FALSE)</f>
        <v>#N/A</v>
      </c>
      <c r="L217" s="296" t="e">
        <f>VLOOKUP($C217,'[2]Aglis Total Tonnage'!$B$4:$V$18,L$196,FALSE)</f>
        <v>#N/A</v>
      </c>
      <c r="M217" s="296" t="e">
        <f>VLOOKUP($C217,'[2]Aglis Total Tonnage'!$B$4:$V$18,M$196,FALSE)</f>
        <v>#N/A</v>
      </c>
      <c r="N217" s="296" t="e">
        <f>VLOOKUP($C217,'[2]Aglis Total Tonnage'!$B$4:$V$18,N$196,FALSE)</f>
        <v>#N/A</v>
      </c>
      <c r="O217" s="296" t="e">
        <f>VLOOKUP($C217,'[2]Aglis Total Tonnage'!$B$4:$V$18,O$196,FALSE)</f>
        <v>#N/A</v>
      </c>
      <c r="P217" s="296" t="e">
        <f>VLOOKUP($C217,'[2]Aglis Total Tonnage'!$B$4:$V$18,P$196,FALSE)</f>
        <v>#N/A</v>
      </c>
      <c r="Q217" s="296" t="e">
        <f>VLOOKUP($C217,'[2]Aglis Total Tonnage'!$B$4:$V$18,Q$196,FALSE)</f>
        <v>#N/A</v>
      </c>
      <c r="R217" s="296">
        <f>J194+A194/2</f>
        <v>13.906799522571529</v>
      </c>
      <c r="S217" s="296">
        <f t="shared" ref="S217:W218" si="140">R217+2</f>
        <v>15.906799522571529</v>
      </c>
      <c r="T217" s="296">
        <f t="shared" si="140"/>
        <v>17.906799522571529</v>
      </c>
      <c r="U217" s="296">
        <f t="shared" si="140"/>
        <v>19.906799522571529</v>
      </c>
      <c r="V217" s="296">
        <f t="shared" si="140"/>
        <v>21.906799522571529</v>
      </c>
      <c r="W217" s="296">
        <f t="shared" si="140"/>
        <v>23.906799522571529</v>
      </c>
    </row>
    <row r="218" spans="2:25">
      <c r="B218" s="1392"/>
      <c r="C218" s="280" t="s">
        <v>225</v>
      </c>
      <c r="D218" s="296" t="e">
        <f>VLOOKUP($C218,'[2]Aglis Total Tonnage'!$B$4:$V$18,D$196,FALSE)</f>
        <v>#N/A</v>
      </c>
      <c r="E218" s="296" t="e">
        <f>VLOOKUP($C218,'[2]Aglis Total Tonnage'!$B$4:$V$18,E$196,FALSE)</f>
        <v>#N/A</v>
      </c>
      <c r="F218" s="296" t="e">
        <f>VLOOKUP($C218,'[2]Aglis Total Tonnage'!$B$4:$V$18,F$196,FALSE)</f>
        <v>#N/A</v>
      </c>
      <c r="G218" s="296" t="e">
        <f>VLOOKUP($C218,'[2]Aglis Total Tonnage'!$B$4:$V$18,G$196,FALSE)</f>
        <v>#N/A</v>
      </c>
      <c r="H218" s="296" t="e">
        <f>VLOOKUP($C218,'[2]Aglis Total Tonnage'!$B$4:$V$18,H$196,FALSE)</f>
        <v>#N/A</v>
      </c>
      <c r="I218" s="296" t="e">
        <f>VLOOKUP($C218,'[2]Aglis Total Tonnage'!$B$4:$V$18,I$196,FALSE)</f>
        <v>#N/A</v>
      </c>
      <c r="J218" s="296" t="e">
        <f>VLOOKUP($C218,'[2]Aglis Total Tonnage'!$B$4:$V$18,J$196,FALSE)</f>
        <v>#N/A</v>
      </c>
      <c r="K218" s="296" t="e">
        <f>VLOOKUP($C218,'[2]Aglis Total Tonnage'!$B$4:$V$18,K$196,FALSE)</f>
        <v>#N/A</v>
      </c>
      <c r="L218" s="296" t="e">
        <f>VLOOKUP($C218,'[2]Aglis Total Tonnage'!$B$4:$V$18,L$196,FALSE)</f>
        <v>#N/A</v>
      </c>
      <c r="M218" s="296" t="e">
        <f>VLOOKUP($C218,'[2]Aglis Total Tonnage'!$B$4:$V$18,M$196,FALSE)</f>
        <v>#N/A</v>
      </c>
      <c r="N218" s="296" t="e">
        <f>VLOOKUP($C218,'[2]Aglis Total Tonnage'!$B$4:$V$18,N$196,FALSE)</f>
        <v>#N/A</v>
      </c>
      <c r="O218" s="296" t="e">
        <f>VLOOKUP($C218,'[2]Aglis Total Tonnage'!$B$4:$V$18,O$196,FALSE)</f>
        <v>#N/A</v>
      </c>
      <c r="P218" s="296" t="e">
        <f>VLOOKUP($C218,'[2]Aglis Total Tonnage'!$B$4:$V$18,P$196,FALSE)</f>
        <v>#N/A</v>
      </c>
      <c r="Q218" s="296" t="e">
        <f>VLOOKUP($C218,'[2]Aglis Total Tonnage'!$B$4:$V$18,Q$196,FALSE)</f>
        <v>#N/A</v>
      </c>
      <c r="R218" s="296">
        <f>J195+A194/2</f>
        <v>15.3824962222537</v>
      </c>
      <c r="S218" s="296">
        <f t="shared" si="140"/>
        <v>17.3824962222537</v>
      </c>
      <c r="T218" s="296">
        <f t="shared" si="140"/>
        <v>19.3824962222537</v>
      </c>
      <c r="U218" s="296">
        <f t="shared" si="140"/>
        <v>21.3824962222537</v>
      </c>
      <c r="V218" s="296">
        <f t="shared" si="140"/>
        <v>23.3824962222537</v>
      </c>
      <c r="W218" s="296">
        <f t="shared" si="140"/>
        <v>25.3824962222537</v>
      </c>
    </row>
    <row r="221" spans="2:25">
      <c r="D221">
        <f t="shared" ref="D221:W221" ca="1" si="141">D199/$Q$192</f>
        <v>0</v>
      </c>
      <c r="E221">
        <f t="shared" si="141"/>
        <v>0.15524496745505723</v>
      </c>
      <c r="F221">
        <f t="shared" si="141"/>
        <v>0.23286745118258587</v>
      </c>
      <c r="G221">
        <f t="shared" si="141"/>
        <v>0.31048993491011445</v>
      </c>
      <c r="H221">
        <f t="shared" si="141"/>
        <v>0.42692366050140734</v>
      </c>
      <c r="I221">
        <f t="shared" si="141"/>
        <v>0.42692366050140734</v>
      </c>
      <c r="J221">
        <f t="shared" si="141"/>
        <v>0.42692366050140734</v>
      </c>
      <c r="K221">
        <f t="shared" si="141"/>
        <v>0.42692366050140734</v>
      </c>
      <c r="L221">
        <f t="shared" si="141"/>
        <v>0.4696160265515481</v>
      </c>
      <c r="M221">
        <f t="shared" si="141"/>
        <v>0.4696160265515481</v>
      </c>
      <c r="N221">
        <f t="shared" si="141"/>
        <v>0.4696160265515481</v>
      </c>
      <c r="O221">
        <f t="shared" si="141"/>
        <v>0.4696160265515481</v>
      </c>
      <c r="P221">
        <f t="shared" si="141"/>
        <v>0.51657762920670303</v>
      </c>
      <c r="Q221">
        <f t="shared" si="141"/>
        <v>0.51657762920670303</v>
      </c>
      <c r="R221">
        <f t="shared" si="141"/>
        <v>0.51657762920670303</v>
      </c>
      <c r="S221">
        <f t="shared" si="141"/>
        <v>0.51657762920670303</v>
      </c>
      <c r="T221">
        <f t="shared" si="141"/>
        <v>0.56823539212737328</v>
      </c>
      <c r="U221">
        <f t="shared" si="141"/>
        <v>0.56823539212737328</v>
      </c>
      <c r="V221">
        <f t="shared" si="141"/>
        <v>0.56823539212737328</v>
      </c>
      <c r="W221">
        <f t="shared" si="141"/>
        <v>0.56823539212737328</v>
      </c>
    </row>
    <row r="222" spans="2:25">
      <c r="D222">
        <f t="shared" ref="D222:W222" si="142">D200/$Q$192</f>
        <v>8.7601785895484535E-2</v>
      </c>
      <c r="E222">
        <f t="shared" si="142"/>
        <v>0.17520357179096907</v>
      </c>
      <c r="F222">
        <f t="shared" si="142"/>
        <v>0.45481481481481478</v>
      </c>
      <c r="G222">
        <f t="shared" si="142"/>
        <v>0.49555555555555553</v>
      </c>
      <c r="H222">
        <f t="shared" si="142"/>
        <v>0.53629629629629627</v>
      </c>
      <c r="I222">
        <f t="shared" si="142"/>
        <v>0.57703703703703701</v>
      </c>
      <c r="J222">
        <f t="shared" si="142"/>
        <v>0.61777777777777776</v>
      </c>
      <c r="K222">
        <f t="shared" si="142"/>
        <v>0.65851851851851861</v>
      </c>
      <c r="L222">
        <f t="shared" si="142"/>
        <v>0.69925925925925936</v>
      </c>
      <c r="M222">
        <f t="shared" si="142"/>
        <v>0.7400000000000001</v>
      </c>
      <c r="N222">
        <f t="shared" si="142"/>
        <v>0.78074074074074096</v>
      </c>
      <c r="O222">
        <f t="shared" si="142"/>
        <v>0.8214814814814817</v>
      </c>
      <c r="P222">
        <f t="shared" si="142"/>
        <v>0.86222222222222256</v>
      </c>
      <c r="Q222">
        <f t="shared" si="142"/>
        <v>0.9029629629629633</v>
      </c>
      <c r="R222">
        <f t="shared" si="142"/>
        <v>0.94370370370370416</v>
      </c>
      <c r="S222">
        <f t="shared" si="142"/>
        <v>0.9844444444444449</v>
      </c>
      <c r="T222">
        <f t="shared" si="142"/>
        <v>1.0251851851851856</v>
      </c>
      <c r="U222">
        <f t="shared" si="142"/>
        <v>1.0659259259259264</v>
      </c>
      <c r="V222">
        <f t="shared" si="142"/>
        <v>1.1066666666666674</v>
      </c>
      <c r="W222">
        <f t="shared" si="142"/>
        <v>1.1474074074074081</v>
      </c>
    </row>
    <row r="223" spans="2:25">
      <c r="D223">
        <f t="shared" ref="D223:W223" si="143">D201/$Q$192</f>
        <v>5.4850863081346179E-2</v>
      </c>
      <c r="E223">
        <f t="shared" si="143"/>
        <v>0.10970172616269236</v>
      </c>
      <c r="F223">
        <f t="shared" si="143"/>
        <v>0.29252943949753596</v>
      </c>
      <c r="G223">
        <f t="shared" si="143"/>
        <v>0.32215906912716563</v>
      </c>
      <c r="H223">
        <f t="shared" si="143"/>
        <v>0.35178869875679525</v>
      </c>
      <c r="I223">
        <f t="shared" si="143"/>
        <v>0.38141832838642492</v>
      </c>
      <c r="J223">
        <f t="shared" si="143"/>
        <v>0.41104795801605459</v>
      </c>
      <c r="K223">
        <f t="shared" si="143"/>
        <v>0.44067758764568421</v>
      </c>
      <c r="L223">
        <f t="shared" si="143"/>
        <v>0.47030721727531388</v>
      </c>
      <c r="M223">
        <f t="shared" si="143"/>
        <v>0.49993684690494355</v>
      </c>
      <c r="N223">
        <f t="shared" si="143"/>
        <v>0.52956647653457323</v>
      </c>
      <c r="O223">
        <f t="shared" si="143"/>
        <v>0.5591961061642029</v>
      </c>
      <c r="P223">
        <f t="shared" si="143"/>
        <v>0.58882573579383246</v>
      </c>
      <c r="Q223">
        <f t="shared" si="143"/>
        <v>0.61845536542346213</v>
      </c>
      <c r="R223">
        <f t="shared" si="143"/>
        <v>0.64808499505309181</v>
      </c>
      <c r="S223">
        <f t="shared" si="143"/>
        <v>0.67771462468272148</v>
      </c>
      <c r="T223">
        <f t="shared" si="143"/>
        <v>0.70734425431235115</v>
      </c>
      <c r="U223">
        <f t="shared" si="143"/>
        <v>0.73697388394198082</v>
      </c>
      <c r="V223">
        <f t="shared" si="143"/>
        <v>0.7666035135716105</v>
      </c>
      <c r="W223">
        <f t="shared" si="143"/>
        <v>0.79623314320124006</v>
      </c>
    </row>
    <row r="224" spans="2:25">
      <c r="D224">
        <f t="shared" ref="D224:W224" si="144">D202/$Q$192</f>
        <v>6.6786731684424158E-2</v>
      </c>
      <c r="E224">
        <f t="shared" si="144"/>
        <v>0.20036019505327254</v>
      </c>
      <c r="F224">
        <f t="shared" si="144"/>
        <v>0.3339336584221208</v>
      </c>
      <c r="G224">
        <f t="shared" si="144"/>
        <v>0.46750712179096915</v>
      </c>
      <c r="H224">
        <f t="shared" si="144"/>
        <v>0.66118864367579921</v>
      </c>
      <c r="I224">
        <f t="shared" si="144"/>
        <v>0.73465404852866589</v>
      </c>
      <c r="J224">
        <f t="shared" si="144"/>
        <v>0.73465404852866589</v>
      </c>
      <c r="K224">
        <f t="shared" si="144"/>
        <v>0.73465404852866589</v>
      </c>
      <c r="L224">
        <f t="shared" si="144"/>
        <v>0.80811945338153257</v>
      </c>
      <c r="M224">
        <f t="shared" si="144"/>
        <v>0.80811945338153257</v>
      </c>
      <c r="N224">
        <f t="shared" si="144"/>
        <v>0.80811945338153257</v>
      </c>
      <c r="O224">
        <f t="shared" si="144"/>
        <v>0.80811945338153257</v>
      </c>
      <c r="P224">
        <f t="shared" si="144"/>
        <v>0.88893139871968585</v>
      </c>
      <c r="Q224">
        <f t="shared" si="144"/>
        <v>0.88893139871968585</v>
      </c>
      <c r="R224">
        <f t="shared" si="144"/>
        <v>0.88893139871968585</v>
      </c>
      <c r="S224">
        <f t="shared" si="144"/>
        <v>0.88893139871968585</v>
      </c>
      <c r="T224">
        <f t="shared" si="144"/>
        <v>0.97782453859165464</v>
      </c>
      <c r="U224">
        <f t="shared" si="144"/>
        <v>0.97782453859165464</v>
      </c>
      <c r="V224">
        <f t="shared" si="144"/>
        <v>0.97782453859165464</v>
      </c>
      <c r="W224">
        <f t="shared" si="144"/>
        <v>0.97782453859165464</v>
      </c>
    </row>
    <row r="225" spans="4:23">
      <c r="D225">
        <f t="shared" ref="D225:W225" si="145">D203/$Q$192</f>
        <v>2.5590620928462701E-2</v>
      </c>
      <c r="E225">
        <f t="shared" si="145"/>
        <v>5.9711448833079633E-2</v>
      </c>
      <c r="F225">
        <f t="shared" si="145"/>
        <v>9.383227673769659E-2</v>
      </c>
      <c r="G225">
        <f t="shared" si="145"/>
        <v>0.12795310464231349</v>
      </c>
      <c r="H225">
        <f t="shared" si="145"/>
        <v>0.17828132580162351</v>
      </c>
      <c r="I225">
        <f t="shared" si="145"/>
        <v>0.18766455347539318</v>
      </c>
      <c r="J225">
        <f t="shared" si="145"/>
        <v>0.18766455347539318</v>
      </c>
      <c r="K225">
        <f t="shared" si="145"/>
        <v>0.18766455347539318</v>
      </c>
      <c r="L225">
        <f t="shared" si="145"/>
        <v>0.20643100882293253</v>
      </c>
      <c r="M225">
        <f t="shared" si="145"/>
        <v>0.20643100882293253</v>
      </c>
      <c r="N225">
        <f t="shared" si="145"/>
        <v>0.20643100882293253</v>
      </c>
      <c r="O225">
        <f t="shared" si="145"/>
        <v>0.20643100882293253</v>
      </c>
      <c r="P225">
        <f t="shared" si="145"/>
        <v>0.22707410970522582</v>
      </c>
      <c r="Q225">
        <f t="shared" si="145"/>
        <v>0.22707410970522582</v>
      </c>
      <c r="R225">
        <f t="shared" si="145"/>
        <v>0.22707410970522582</v>
      </c>
      <c r="S225">
        <f t="shared" si="145"/>
        <v>0.22707410970522582</v>
      </c>
      <c r="T225">
        <f t="shared" si="145"/>
        <v>0.24978152067574844</v>
      </c>
      <c r="U225">
        <f t="shared" si="145"/>
        <v>0.24978152067574844</v>
      </c>
      <c r="V225">
        <f t="shared" si="145"/>
        <v>0.24978152067574844</v>
      </c>
      <c r="W225">
        <f t="shared" si="145"/>
        <v>0.24978152067574844</v>
      </c>
    </row>
    <row r="226" spans="4:23">
      <c r="D226">
        <f t="shared" ref="D226:W226" si="146">D204/$Q$192</f>
        <v>0.40944444444444444</v>
      </c>
      <c r="E226">
        <f t="shared" si="146"/>
        <v>0.37222222222222223</v>
      </c>
      <c r="F226">
        <f t="shared" si="146"/>
        <v>0.44666666666666671</v>
      </c>
      <c r="G226">
        <f t="shared" si="146"/>
        <v>0.52111111111111108</v>
      </c>
      <c r="H226">
        <f t="shared" si="146"/>
        <v>0.6551111111111112</v>
      </c>
      <c r="I226">
        <f t="shared" si="146"/>
        <v>0.6551111111111112</v>
      </c>
      <c r="J226">
        <f t="shared" si="146"/>
        <v>0.6551111111111112</v>
      </c>
      <c r="K226">
        <f t="shared" si="146"/>
        <v>0.6551111111111112</v>
      </c>
      <c r="L226">
        <f t="shared" si="146"/>
        <v>0.72062222222222239</v>
      </c>
      <c r="M226">
        <f t="shared" si="146"/>
        <v>0.72062222222222239</v>
      </c>
      <c r="N226">
        <f t="shared" si="146"/>
        <v>0.72062222222222239</v>
      </c>
      <c r="O226">
        <f t="shared" si="146"/>
        <v>0.72062222222222239</v>
      </c>
      <c r="P226">
        <f t="shared" si="146"/>
        <v>0.79268444444444475</v>
      </c>
      <c r="Q226">
        <f t="shared" si="146"/>
        <v>0.79268444444444475</v>
      </c>
      <c r="R226">
        <f t="shared" si="146"/>
        <v>0.79268444444444475</v>
      </c>
      <c r="S226">
        <f t="shared" si="146"/>
        <v>0.79268444444444475</v>
      </c>
      <c r="T226">
        <f t="shared" si="146"/>
        <v>0.87195288888888933</v>
      </c>
      <c r="U226">
        <f t="shared" si="146"/>
        <v>0.87195288888888933</v>
      </c>
      <c r="V226">
        <f t="shared" si="146"/>
        <v>0.87195288888888933</v>
      </c>
      <c r="W226">
        <f t="shared" si="146"/>
        <v>0.87195288888888933</v>
      </c>
    </row>
    <row r="227" spans="4:23">
      <c r="D227" t="e">
        <f t="shared" ref="D227:W227" si="147">D205/$Q$192</f>
        <v>#N/A</v>
      </c>
      <c r="E227" t="e">
        <f t="shared" si="147"/>
        <v>#N/A</v>
      </c>
      <c r="F227" t="e">
        <f t="shared" si="147"/>
        <v>#N/A</v>
      </c>
      <c r="G227" t="e">
        <f t="shared" si="147"/>
        <v>#N/A</v>
      </c>
      <c r="H227" t="e">
        <f t="shared" si="147"/>
        <v>#N/A</v>
      </c>
      <c r="I227" t="e">
        <f t="shared" si="147"/>
        <v>#N/A</v>
      </c>
      <c r="J227" t="e">
        <f t="shared" si="147"/>
        <v>#N/A</v>
      </c>
      <c r="K227" t="e">
        <f t="shared" si="147"/>
        <v>#N/A</v>
      </c>
      <c r="L227" t="e">
        <f t="shared" si="147"/>
        <v>#N/A</v>
      </c>
      <c r="M227" t="e">
        <f t="shared" si="147"/>
        <v>#N/A</v>
      </c>
      <c r="N227" t="e">
        <f t="shared" si="147"/>
        <v>#N/A</v>
      </c>
      <c r="O227" t="e">
        <f t="shared" si="147"/>
        <v>#N/A</v>
      </c>
      <c r="P227" t="e">
        <f t="shared" si="147"/>
        <v>#N/A</v>
      </c>
      <c r="Q227" t="e">
        <f t="shared" si="147"/>
        <v>#N/A</v>
      </c>
      <c r="R227" t="e">
        <f t="shared" si="147"/>
        <v>#N/A</v>
      </c>
      <c r="S227" t="e">
        <f t="shared" si="147"/>
        <v>#N/A</v>
      </c>
      <c r="T227" t="e">
        <f t="shared" si="147"/>
        <v>#N/A</v>
      </c>
      <c r="U227" t="e">
        <f t="shared" si="147"/>
        <v>#N/A</v>
      </c>
      <c r="V227" t="e">
        <f t="shared" si="147"/>
        <v>#N/A</v>
      </c>
      <c r="W227" t="e">
        <f t="shared" si="147"/>
        <v>#N/A</v>
      </c>
    </row>
    <row r="228" spans="4:23">
      <c r="D228" t="e">
        <f t="shared" ref="D228:W228" si="148">D206/$Q$192</f>
        <v>#N/A</v>
      </c>
      <c r="E228" t="e">
        <f t="shared" si="148"/>
        <v>#N/A</v>
      </c>
      <c r="F228" t="e">
        <f t="shared" si="148"/>
        <v>#N/A</v>
      </c>
      <c r="G228" t="e">
        <f t="shared" si="148"/>
        <v>#N/A</v>
      </c>
      <c r="H228" t="e">
        <f t="shared" si="148"/>
        <v>#N/A</v>
      </c>
      <c r="I228" t="e">
        <f t="shared" si="148"/>
        <v>#N/A</v>
      </c>
      <c r="J228" t="e">
        <f t="shared" si="148"/>
        <v>#N/A</v>
      </c>
      <c r="K228" t="e">
        <f t="shared" si="148"/>
        <v>#N/A</v>
      </c>
      <c r="L228" t="e">
        <f t="shared" si="148"/>
        <v>#N/A</v>
      </c>
      <c r="M228" t="e">
        <f t="shared" si="148"/>
        <v>#N/A</v>
      </c>
      <c r="N228" t="e">
        <f t="shared" si="148"/>
        <v>#N/A</v>
      </c>
      <c r="O228" t="e">
        <f t="shared" si="148"/>
        <v>#N/A</v>
      </c>
      <c r="P228" t="e">
        <f t="shared" si="148"/>
        <v>#N/A</v>
      </c>
      <c r="Q228" t="e">
        <f t="shared" si="148"/>
        <v>#N/A</v>
      </c>
      <c r="R228" t="e">
        <f t="shared" si="148"/>
        <v>#N/A</v>
      </c>
      <c r="S228" t="e">
        <f t="shared" si="148"/>
        <v>#N/A</v>
      </c>
      <c r="T228" t="e">
        <f t="shared" si="148"/>
        <v>#N/A</v>
      </c>
      <c r="U228" t="e">
        <f t="shared" si="148"/>
        <v>#N/A</v>
      </c>
      <c r="V228" t="e">
        <f t="shared" si="148"/>
        <v>#N/A</v>
      </c>
      <c r="W228" t="e">
        <f t="shared" si="148"/>
        <v>#N/A</v>
      </c>
    </row>
    <row r="229" spans="4:23">
      <c r="D229" t="e">
        <f t="shared" ref="D229:W229" si="149">D207/$Q$192</f>
        <v>#N/A</v>
      </c>
      <c r="E229" t="e">
        <f t="shared" si="149"/>
        <v>#N/A</v>
      </c>
      <c r="F229" t="e">
        <f t="shared" si="149"/>
        <v>#N/A</v>
      </c>
      <c r="G229" t="e">
        <f t="shared" si="149"/>
        <v>#N/A</v>
      </c>
      <c r="H229" t="e">
        <f t="shared" si="149"/>
        <v>#N/A</v>
      </c>
      <c r="I229" t="e">
        <f t="shared" si="149"/>
        <v>#N/A</v>
      </c>
      <c r="J229" t="e">
        <f t="shared" si="149"/>
        <v>#N/A</v>
      </c>
      <c r="K229" t="e">
        <f t="shared" si="149"/>
        <v>#N/A</v>
      </c>
      <c r="L229" t="e">
        <f t="shared" si="149"/>
        <v>#N/A</v>
      </c>
      <c r="M229" t="e">
        <f t="shared" si="149"/>
        <v>#N/A</v>
      </c>
      <c r="N229" t="e">
        <f t="shared" si="149"/>
        <v>#N/A</v>
      </c>
      <c r="O229" t="e">
        <f t="shared" si="149"/>
        <v>#N/A</v>
      </c>
      <c r="P229" t="e">
        <f t="shared" si="149"/>
        <v>#N/A</v>
      </c>
      <c r="Q229" t="e">
        <f t="shared" si="149"/>
        <v>#N/A</v>
      </c>
      <c r="R229" t="e">
        <f t="shared" si="149"/>
        <v>#N/A</v>
      </c>
      <c r="S229" t="e">
        <f t="shared" si="149"/>
        <v>#N/A</v>
      </c>
      <c r="T229" t="e">
        <f t="shared" si="149"/>
        <v>#N/A</v>
      </c>
      <c r="U229" t="e">
        <f t="shared" si="149"/>
        <v>#N/A</v>
      </c>
      <c r="V229" t="e">
        <f t="shared" si="149"/>
        <v>#N/A</v>
      </c>
      <c r="W229" t="e">
        <f t="shared" si="149"/>
        <v>#N/A</v>
      </c>
    </row>
    <row r="230" spans="4:23">
      <c r="D230">
        <f t="shared" ref="D230:W230" si="150">D208/$Q$192</f>
        <v>0</v>
      </c>
      <c r="E230">
        <f t="shared" si="150"/>
        <v>0</v>
      </c>
      <c r="F230">
        <f t="shared" si="150"/>
        <v>0</v>
      </c>
      <c r="G230">
        <f t="shared" si="150"/>
        <v>0</v>
      </c>
      <c r="H230">
        <f t="shared" si="150"/>
        <v>0</v>
      </c>
      <c r="I230">
        <f t="shared" si="150"/>
        <v>0</v>
      </c>
      <c r="J230">
        <f t="shared" si="150"/>
        <v>0</v>
      </c>
      <c r="K230">
        <f t="shared" si="150"/>
        <v>0</v>
      </c>
      <c r="L230">
        <f t="shared" si="150"/>
        <v>0.48586309319179616</v>
      </c>
      <c r="M230">
        <f t="shared" si="150"/>
        <v>0.5742018374084864</v>
      </c>
      <c r="N230">
        <f t="shared" si="150"/>
        <v>0.66254058162517659</v>
      </c>
      <c r="O230">
        <f t="shared" si="150"/>
        <v>0.70670995373352175</v>
      </c>
      <c r="P230">
        <f t="shared" si="150"/>
        <v>0.77738094910687405</v>
      </c>
      <c r="Q230">
        <f t="shared" si="150"/>
        <v>0.77738094910687405</v>
      </c>
      <c r="R230">
        <f t="shared" si="150"/>
        <v>0.77738094910687405</v>
      </c>
      <c r="S230">
        <f t="shared" si="150"/>
        <v>0.77738094910687405</v>
      </c>
      <c r="T230">
        <f t="shared" si="150"/>
        <v>0.85511904401756156</v>
      </c>
      <c r="U230">
        <f t="shared" si="150"/>
        <v>0.85511904401756156</v>
      </c>
      <c r="V230">
        <f t="shared" si="150"/>
        <v>0.85511904401756156</v>
      </c>
      <c r="W230">
        <f t="shared" si="150"/>
        <v>0.85511904401756156</v>
      </c>
    </row>
    <row r="231" spans="4:23">
      <c r="D231">
        <f t="shared" ref="D231:W231" si="151">D209/$Q$192</f>
        <v>0</v>
      </c>
      <c r="E231">
        <f t="shared" si="151"/>
        <v>0</v>
      </c>
      <c r="F231">
        <f t="shared" si="151"/>
        <v>0</v>
      </c>
      <c r="G231">
        <f t="shared" si="151"/>
        <v>0</v>
      </c>
      <c r="H231">
        <f t="shared" si="151"/>
        <v>0</v>
      </c>
      <c r="I231">
        <f t="shared" si="151"/>
        <v>0</v>
      </c>
      <c r="J231">
        <f t="shared" si="151"/>
        <v>0</v>
      </c>
      <c r="K231">
        <f t="shared" si="151"/>
        <v>0</v>
      </c>
      <c r="L231">
        <f t="shared" si="151"/>
        <v>0.32799580272070022</v>
      </c>
      <c r="M231">
        <f t="shared" si="151"/>
        <v>0.37485234596651462</v>
      </c>
      <c r="N231">
        <f t="shared" si="151"/>
        <v>0.45962962962962961</v>
      </c>
      <c r="O231">
        <f t="shared" si="151"/>
        <v>0.47074074074074079</v>
      </c>
      <c r="P231">
        <f t="shared" si="151"/>
        <v>0.48185185185185192</v>
      </c>
      <c r="Q231">
        <f t="shared" si="151"/>
        <v>0.49296296296296305</v>
      </c>
      <c r="R231">
        <f t="shared" si="151"/>
        <v>0.50407407407407423</v>
      </c>
      <c r="S231">
        <f t="shared" si="151"/>
        <v>0.5151851851851853</v>
      </c>
      <c r="T231">
        <f t="shared" si="151"/>
        <v>0.52629629629629648</v>
      </c>
      <c r="U231">
        <f t="shared" si="151"/>
        <v>0.53740740740740756</v>
      </c>
      <c r="V231">
        <f t="shared" si="151"/>
        <v>0.54851851851851874</v>
      </c>
      <c r="W231">
        <f t="shared" si="151"/>
        <v>0.55962962962962992</v>
      </c>
    </row>
    <row r="232" spans="4:23">
      <c r="D232">
        <f t="shared" ref="D232:W232" si="152">D210/$Q$192</f>
        <v>0</v>
      </c>
      <c r="E232">
        <f t="shared" si="152"/>
        <v>0</v>
      </c>
      <c r="F232">
        <f t="shared" si="152"/>
        <v>0</v>
      </c>
      <c r="G232">
        <f t="shared" si="152"/>
        <v>0</v>
      </c>
      <c r="H232">
        <f t="shared" si="152"/>
        <v>0</v>
      </c>
      <c r="I232">
        <f t="shared" si="152"/>
        <v>0</v>
      </c>
      <c r="J232">
        <f t="shared" si="152"/>
        <v>0</v>
      </c>
      <c r="K232">
        <f t="shared" si="152"/>
        <v>0</v>
      </c>
      <c r="L232">
        <f t="shared" si="152"/>
        <v>0.33484691971714864</v>
      </c>
      <c r="M232">
        <f t="shared" si="152"/>
        <v>0.38268219396245562</v>
      </c>
      <c r="N232">
        <f t="shared" si="152"/>
        <v>1.9901188724102799E-2</v>
      </c>
      <c r="O232">
        <f t="shared" si="152"/>
        <v>3.8419707242621309E-2</v>
      </c>
      <c r="P232">
        <f t="shared" si="152"/>
        <v>5.6938225761139834E-2</v>
      </c>
      <c r="Q232">
        <f t="shared" si="152"/>
        <v>7.5456744279658344E-2</v>
      </c>
      <c r="R232">
        <f t="shared" si="152"/>
        <v>9.3975262798176862E-2</v>
      </c>
      <c r="S232">
        <f t="shared" si="152"/>
        <v>0.11249378131669539</v>
      </c>
      <c r="T232">
        <f t="shared" si="152"/>
        <v>0.1310122998352139</v>
      </c>
      <c r="U232">
        <f t="shared" si="152"/>
        <v>0.14953081835373241</v>
      </c>
      <c r="V232">
        <f t="shared" si="152"/>
        <v>0.16804933687225093</v>
      </c>
      <c r="W232">
        <f t="shared" si="152"/>
        <v>0.18656785539076945</v>
      </c>
    </row>
    <row r="233" spans="4:23">
      <c r="D233" t="e">
        <f t="shared" ref="D233:W233" si="153">D211/$Q$192</f>
        <v>#N/A</v>
      </c>
      <c r="E233" t="e">
        <f t="shared" si="153"/>
        <v>#N/A</v>
      </c>
      <c r="F233" t="e">
        <f t="shared" si="153"/>
        <v>#N/A</v>
      </c>
      <c r="G233" t="e">
        <f t="shared" si="153"/>
        <v>#N/A</v>
      </c>
      <c r="H233" t="e">
        <f t="shared" si="153"/>
        <v>#N/A</v>
      </c>
      <c r="I233" t="e">
        <f t="shared" si="153"/>
        <v>#N/A</v>
      </c>
      <c r="J233" t="e">
        <f t="shared" si="153"/>
        <v>#N/A</v>
      </c>
      <c r="K233" t="e">
        <f t="shared" si="153"/>
        <v>#N/A</v>
      </c>
      <c r="L233" t="e">
        <f t="shared" si="153"/>
        <v>#N/A</v>
      </c>
      <c r="M233" t="e">
        <f t="shared" si="153"/>
        <v>#N/A</v>
      </c>
      <c r="N233">
        <f t="shared" si="153"/>
        <v>0.55191887648683691</v>
      </c>
      <c r="O233">
        <f t="shared" si="153"/>
        <v>0.62599295056091098</v>
      </c>
      <c r="P233">
        <f t="shared" si="153"/>
        <v>0.70006702463498505</v>
      </c>
      <c r="Q233">
        <f t="shared" si="153"/>
        <v>0.77414109870905912</v>
      </c>
      <c r="R233">
        <f t="shared" si="153"/>
        <v>0.84821517278313319</v>
      </c>
      <c r="S233">
        <f t="shared" si="153"/>
        <v>0.92228924685720726</v>
      </c>
      <c r="T233">
        <f t="shared" si="153"/>
        <v>0.99636332093128133</v>
      </c>
      <c r="U233">
        <f t="shared" si="153"/>
        <v>1.0704373950053554</v>
      </c>
      <c r="V233">
        <f t="shared" si="153"/>
        <v>1.1445114690794296</v>
      </c>
      <c r="W233">
        <f t="shared" si="153"/>
        <v>1.2185855431535035</v>
      </c>
    </row>
    <row r="234" spans="4:23">
      <c r="D234" t="e">
        <f t="shared" ref="D234:W234" si="154">D212/$Q$192</f>
        <v>#N/A</v>
      </c>
      <c r="E234" t="e">
        <f t="shared" si="154"/>
        <v>#N/A</v>
      </c>
      <c r="F234" t="e">
        <f t="shared" si="154"/>
        <v>#N/A</v>
      </c>
      <c r="G234" t="e">
        <f t="shared" si="154"/>
        <v>#N/A</v>
      </c>
      <c r="H234" t="e">
        <f t="shared" si="154"/>
        <v>#N/A</v>
      </c>
      <c r="I234" t="e">
        <f t="shared" si="154"/>
        <v>#N/A</v>
      </c>
      <c r="J234" t="e">
        <f t="shared" si="154"/>
        <v>#N/A</v>
      </c>
      <c r="K234" t="e">
        <f t="shared" si="154"/>
        <v>#N/A</v>
      </c>
      <c r="L234" t="e">
        <f t="shared" si="154"/>
        <v>#N/A</v>
      </c>
      <c r="M234" t="e">
        <f t="shared" si="154"/>
        <v>#N/A</v>
      </c>
      <c r="N234">
        <f t="shared" si="154"/>
        <v>0.13000263453360039</v>
      </c>
      <c r="O234">
        <f t="shared" si="154"/>
        <v>0.17074337527434111</v>
      </c>
      <c r="P234">
        <f t="shared" si="154"/>
        <v>0.21148411601508185</v>
      </c>
      <c r="Q234">
        <f t="shared" si="154"/>
        <v>0.25222485675582257</v>
      </c>
      <c r="R234">
        <f t="shared" si="154"/>
        <v>0.29296559749656331</v>
      </c>
      <c r="S234">
        <f t="shared" si="154"/>
        <v>0.333706338237304</v>
      </c>
      <c r="T234">
        <f t="shared" si="154"/>
        <v>0.37444707897804475</v>
      </c>
      <c r="U234">
        <f t="shared" si="154"/>
        <v>0.41518781971878549</v>
      </c>
      <c r="V234">
        <f t="shared" si="154"/>
        <v>0.45592856045952623</v>
      </c>
      <c r="W234">
        <f t="shared" si="154"/>
        <v>0.49666930120026692</v>
      </c>
    </row>
  </sheetData>
  <mergeCells count="263">
    <mergeCell ref="A134:A137"/>
    <mergeCell ref="AD71:AD74"/>
    <mergeCell ref="AD75:AD78"/>
    <mergeCell ref="AD103:AD106"/>
    <mergeCell ref="AD107:AD110"/>
    <mergeCell ref="AD131:AD134"/>
    <mergeCell ref="AD135:AD138"/>
    <mergeCell ref="A13:A16"/>
    <mergeCell ref="A17:A20"/>
    <mergeCell ref="A43:A46"/>
    <mergeCell ref="A47:A50"/>
    <mergeCell ref="A71:A74"/>
    <mergeCell ref="A75:A78"/>
    <mergeCell ref="A103:A106"/>
    <mergeCell ref="A107:A110"/>
    <mergeCell ref="A130:A133"/>
    <mergeCell ref="AD31:AY31"/>
    <mergeCell ref="AF32:AI32"/>
    <mergeCell ref="AJ32:AM32"/>
    <mergeCell ref="AN32:AQ32"/>
    <mergeCell ref="AR32:AU32"/>
    <mergeCell ref="AV32:AY32"/>
    <mergeCell ref="AD34:AD38"/>
    <mergeCell ref="AD39:AD42"/>
    <mergeCell ref="CW42:CW46"/>
    <mergeCell ref="CX42:CX46"/>
    <mergeCell ref="CY42:CY46"/>
    <mergeCell ref="CS47:CS52"/>
    <mergeCell ref="CU47:CU52"/>
    <mergeCell ref="CV47:CV52"/>
    <mergeCell ref="CW47:CW52"/>
    <mergeCell ref="CX47:CX52"/>
    <mergeCell ref="CY47:CY52"/>
    <mergeCell ref="AZ38:BC53"/>
    <mergeCell ref="BR31:BR32"/>
    <mergeCell ref="BS31:BS32"/>
    <mergeCell ref="BZ31:BZ32"/>
    <mergeCell ref="CA31:CA32"/>
    <mergeCell ref="CS30:CY30"/>
    <mergeCell ref="CS31:CS32"/>
    <mergeCell ref="CT31:CT32"/>
    <mergeCell ref="CU31:CY31"/>
    <mergeCell ref="CS33:CS37"/>
    <mergeCell ref="CU33:CU37"/>
    <mergeCell ref="CV33:CV37"/>
    <mergeCell ref="CW33:CW37"/>
    <mergeCell ref="CX33:CX37"/>
    <mergeCell ref="CY33:CY37"/>
    <mergeCell ref="CS38:CS41"/>
    <mergeCell ref="CU38:CU41"/>
    <mergeCell ref="CV38:CV41"/>
    <mergeCell ref="CW38:CW41"/>
    <mergeCell ref="CX38:CX41"/>
    <mergeCell ref="CY38:CY41"/>
    <mergeCell ref="CS42:CS46"/>
    <mergeCell ref="CU42:CU46"/>
    <mergeCell ref="CV42:CV46"/>
    <mergeCell ref="AC147:AC150"/>
    <mergeCell ref="AC151:AC154"/>
    <mergeCell ref="AC155:AC157"/>
    <mergeCell ref="AC158:AC161"/>
    <mergeCell ref="L176:L180"/>
    <mergeCell ref="AC145:AE146"/>
    <mergeCell ref="C119:F119"/>
    <mergeCell ref="G119:J119"/>
    <mergeCell ref="K119:N119"/>
    <mergeCell ref="O119:R119"/>
    <mergeCell ref="S119:V119"/>
    <mergeCell ref="G145:J145"/>
    <mergeCell ref="K145:N145"/>
    <mergeCell ref="O145:R145"/>
    <mergeCell ref="S145:V145"/>
    <mergeCell ref="B213:B218"/>
    <mergeCell ref="D197:G197"/>
    <mergeCell ref="H197:K197"/>
    <mergeCell ref="L197:O197"/>
    <mergeCell ref="P197:S197"/>
    <mergeCell ref="T197:W197"/>
    <mergeCell ref="B199:B203"/>
    <mergeCell ref="B204:B207"/>
    <mergeCell ref="B208:B212"/>
    <mergeCell ref="AD43:AD46"/>
    <mergeCell ref="AD47:AD50"/>
    <mergeCell ref="L185:L189"/>
    <mergeCell ref="L190:L195"/>
    <mergeCell ref="W2:W3"/>
    <mergeCell ref="A4:A8"/>
    <mergeCell ref="A9:A12"/>
    <mergeCell ref="A34:A38"/>
    <mergeCell ref="A39:A42"/>
    <mergeCell ref="A31:V31"/>
    <mergeCell ref="G92:J92"/>
    <mergeCell ref="K92:N92"/>
    <mergeCell ref="O92:R92"/>
    <mergeCell ref="S92:V92"/>
    <mergeCell ref="A62:A66"/>
    <mergeCell ref="A67:A70"/>
    <mergeCell ref="A59:V59"/>
    <mergeCell ref="C192:C193"/>
    <mergeCell ref="C194:C195"/>
    <mergeCell ref="A147:A150"/>
    <mergeCell ref="A151:A154"/>
    <mergeCell ref="A155:A157"/>
    <mergeCell ref="A158:A161"/>
    <mergeCell ref="C145:F145"/>
    <mergeCell ref="AV60:AY60"/>
    <mergeCell ref="C186:C187"/>
    <mergeCell ref="C188:C189"/>
    <mergeCell ref="C190:C191"/>
    <mergeCell ref="AD59:AY59"/>
    <mergeCell ref="AD118:AY118"/>
    <mergeCell ref="AF92:AI92"/>
    <mergeCell ref="AJ92:AM92"/>
    <mergeCell ref="AN92:AQ92"/>
    <mergeCell ref="AR92:AU92"/>
    <mergeCell ref="AV92:AY92"/>
    <mergeCell ref="AD91:AY91"/>
    <mergeCell ref="AF60:AI60"/>
    <mergeCell ref="AJ60:AM60"/>
    <mergeCell ref="AN60:AQ60"/>
    <mergeCell ref="AR60:AU60"/>
    <mergeCell ref="C60:F60"/>
    <mergeCell ref="G60:J60"/>
    <mergeCell ref="K60:N60"/>
    <mergeCell ref="O60:R60"/>
    <mergeCell ref="S60:V60"/>
    <mergeCell ref="W145:Z145"/>
    <mergeCell ref="U175:AA175"/>
    <mergeCell ref="L181:L184"/>
    <mergeCell ref="C1:V1"/>
    <mergeCell ref="C2:F2"/>
    <mergeCell ref="G2:J2"/>
    <mergeCell ref="K2:N2"/>
    <mergeCell ref="O2:R2"/>
    <mergeCell ref="S2:V2"/>
    <mergeCell ref="C32:F32"/>
    <mergeCell ref="G32:J32"/>
    <mergeCell ref="K32:N32"/>
    <mergeCell ref="O32:R32"/>
    <mergeCell ref="S32:V32"/>
    <mergeCell ref="AD62:AD66"/>
    <mergeCell ref="AD67:AD70"/>
    <mergeCell ref="AD94:AD98"/>
    <mergeCell ref="AD99:AD102"/>
    <mergeCell ref="A118:V118"/>
    <mergeCell ref="A94:A98"/>
    <mergeCell ref="A99:A102"/>
    <mergeCell ref="A121:A125"/>
    <mergeCell ref="A126:A129"/>
    <mergeCell ref="A91:V91"/>
    <mergeCell ref="C92:F92"/>
    <mergeCell ref="AD119:AY119"/>
    <mergeCell ref="AF120:AI120"/>
    <mergeCell ref="AJ120:AM120"/>
    <mergeCell ref="AN120:AQ120"/>
    <mergeCell ref="AR120:AU120"/>
    <mergeCell ref="AV120:AY120"/>
    <mergeCell ref="AD122:AD126"/>
    <mergeCell ref="AD127:AD130"/>
    <mergeCell ref="BJ33:BJ37"/>
    <mergeCell ref="BJ38:BJ41"/>
    <mergeCell ref="BJ42:BJ46"/>
    <mergeCell ref="BJ47:BJ52"/>
    <mergeCell ref="BL31:BP31"/>
    <mergeCell ref="BJ30:BP30"/>
    <mergeCell ref="BL33:BL37"/>
    <mergeCell ref="BL38:BL41"/>
    <mergeCell ref="BL42:BL46"/>
    <mergeCell ref="BL47:BL52"/>
    <mergeCell ref="BM33:BM37"/>
    <mergeCell ref="BN33:BN37"/>
    <mergeCell ref="BO33:BO37"/>
    <mergeCell ref="BP33:BP37"/>
    <mergeCell ref="BM38:BM41"/>
    <mergeCell ref="BN38:BN41"/>
    <mergeCell ref="BO38:BO41"/>
    <mergeCell ref="BP38:BP41"/>
    <mergeCell ref="BM42:BM46"/>
    <mergeCell ref="BN42:BN46"/>
    <mergeCell ref="BO42:BO46"/>
    <mergeCell ref="BP42:BP46"/>
    <mergeCell ref="BM47:BM52"/>
    <mergeCell ref="BN47:BN52"/>
    <mergeCell ref="BO47:BO52"/>
    <mergeCell ref="BP47:BP52"/>
    <mergeCell ref="BR30:BX30"/>
    <mergeCell ref="BT31:BX31"/>
    <mergeCell ref="BR33:BR37"/>
    <mergeCell ref="BT33:BT37"/>
    <mergeCell ref="BU33:BU37"/>
    <mergeCell ref="BV33:BV37"/>
    <mergeCell ref="BW33:BW37"/>
    <mergeCell ref="BX33:BX37"/>
    <mergeCell ref="BR38:BR41"/>
    <mergeCell ref="BT38:BT41"/>
    <mergeCell ref="BU38:BU41"/>
    <mergeCell ref="BV38:BV41"/>
    <mergeCell ref="BW38:BW41"/>
    <mergeCell ref="BX38:BX41"/>
    <mergeCell ref="BR42:BR46"/>
    <mergeCell ref="BT42:BT46"/>
    <mergeCell ref="BU42:BU46"/>
    <mergeCell ref="BV42:BV46"/>
    <mergeCell ref="BW42:BW46"/>
    <mergeCell ref="BX42:BX46"/>
    <mergeCell ref="BR47:BR52"/>
    <mergeCell ref="BT47:BT52"/>
    <mergeCell ref="BU47:BU52"/>
    <mergeCell ref="BV47:BV52"/>
    <mergeCell ref="BW47:BW52"/>
    <mergeCell ref="BX47:BX52"/>
    <mergeCell ref="BZ30:CF30"/>
    <mergeCell ref="CB31:CF31"/>
    <mergeCell ref="BZ33:BZ37"/>
    <mergeCell ref="CB33:CB37"/>
    <mergeCell ref="CC33:CC37"/>
    <mergeCell ref="CD33:CD37"/>
    <mergeCell ref="CE33:CE37"/>
    <mergeCell ref="CF33:CF37"/>
    <mergeCell ref="BZ38:BZ41"/>
    <mergeCell ref="CB38:CB41"/>
    <mergeCell ref="CC38:CC41"/>
    <mergeCell ref="CD38:CD41"/>
    <mergeCell ref="CE38:CE41"/>
    <mergeCell ref="CF38:CF41"/>
    <mergeCell ref="BZ42:BZ46"/>
    <mergeCell ref="CB42:CB46"/>
    <mergeCell ref="CC42:CC46"/>
    <mergeCell ref="CD42:CD46"/>
    <mergeCell ref="CE42:CE46"/>
    <mergeCell ref="CF42:CF46"/>
    <mergeCell ref="CH30:CN30"/>
    <mergeCell ref="CJ31:CN31"/>
    <mergeCell ref="CH33:CH37"/>
    <mergeCell ref="CJ33:CJ37"/>
    <mergeCell ref="CK33:CK37"/>
    <mergeCell ref="CL33:CL37"/>
    <mergeCell ref="CM33:CM37"/>
    <mergeCell ref="CN33:CN37"/>
    <mergeCell ref="CH38:CH41"/>
    <mergeCell ref="CJ38:CJ41"/>
    <mergeCell ref="CK38:CK41"/>
    <mergeCell ref="CL38:CL41"/>
    <mergeCell ref="CM38:CM41"/>
    <mergeCell ref="CN38:CN41"/>
    <mergeCell ref="CM42:CM46"/>
    <mergeCell ref="CN42:CN46"/>
    <mergeCell ref="CH47:CH52"/>
    <mergeCell ref="CJ47:CJ52"/>
    <mergeCell ref="CK47:CK52"/>
    <mergeCell ref="CL47:CL52"/>
    <mergeCell ref="CM47:CM52"/>
    <mergeCell ref="CN47:CN52"/>
    <mergeCell ref="BZ47:BZ52"/>
    <mergeCell ref="CB47:CB52"/>
    <mergeCell ref="CC47:CC52"/>
    <mergeCell ref="CD47:CD52"/>
    <mergeCell ref="CE47:CE52"/>
    <mergeCell ref="CF47:CF52"/>
    <mergeCell ref="CH42:CH46"/>
    <mergeCell ref="CJ42:CJ46"/>
    <mergeCell ref="CK42:CK46"/>
    <mergeCell ref="CL42:CL46"/>
  </mergeCells>
  <phoneticPr fontId="8" type="noConversion"/>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A32D0-DFCB-4DAC-B09E-AC5FDC776385}">
  <sheetPr codeName="Sheet7"/>
  <dimension ref="A1:W55"/>
  <sheetViews>
    <sheetView topLeftCell="B14" zoomScale="91" workbookViewId="0">
      <selection activeCell="O16" sqref="O16"/>
    </sheetView>
  </sheetViews>
  <sheetFormatPr defaultRowHeight="14.45"/>
  <cols>
    <col min="1" max="1" width="40.28515625" bestFit="1" customWidth="1"/>
    <col min="2" max="2" width="32" bestFit="1" customWidth="1"/>
    <col min="3" max="3" width="22.5703125" customWidth="1"/>
    <col min="4" max="4" width="9.28515625" bestFit="1" customWidth="1"/>
    <col min="5" max="5" width="25.28515625" bestFit="1" customWidth="1"/>
    <col min="6" max="6" width="11" bestFit="1" customWidth="1"/>
    <col min="7" max="7" width="15.42578125" bestFit="1" customWidth="1"/>
    <col min="14" max="14" width="40.5703125" bestFit="1" customWidth="1"/>
    <col min="15" max="15" width="15" bestFit="1" customWidth="1"/>
    <col min="16" max="16" width="15.7109375" bestFit="1" customWidth="1"/>
    <col min="17" max="17" width="18.42578125" bestFit="1" customWidth="1"/>
    <col min="18" max="18" width="17.5703125" bestFit="1" customWidth="1"/>
    <col min="19" max="19" width="13.7109375" bestFit="1" customWidth="1"/>
  </cols>
  <sheetData>
    <row r="1" spans="1:23">
      <c r="A1" s="1409" t="s">
        <v>351</v>
      </c>
      <c r="B1" s="1410"/>
      <c r="D1" s="1411" t="s">
        <v>352</v>
      </c>
      <c r="E1" s="1897"/>
      <c r="F1" s="1897"/>
      <c r="G1" s="1898"/>
    </row>
    <row r="2" spans="1:23">
      <c r="A2" s="155" t="s">
        <v>101</v>
      </c>
      <c r="B2" s="160" t="s">
        <v>96</v>
      </c>
      <c r="D2" s="160" t="s">
        <v>205</v>
      </c>
      <c r="E2" s="189" t="s">
        <v>353</v>
      </c>
      <c r="F2" s="189" t="s">
        <v>354</v>
      </c>
      <c r="G2" s="189" t="s">
        <v>355</v>
      </c>
      <c r="N2" s="300"/>
      <c r="O2" s="300" t="s">
        <v>356</v>
      </c>
      <c r="P2" s="300" t="s">
        <v>99</v>
      </c>
      <c r="Q2" s="300" t="s">
        <v>357</v>
      </c>
      <c r="R2" s="300" t="s">
        <v>100</v>
      </c>
      <c r="S2" s="300" t="s">
        <v>98</v>
      </c>
    </row>
    <row r="3" spans="1:23">
      <c r="A3" s="154" t="s">
        <v>104</v>
      </c>
      <c r="B3" s="528" t="s">
        <v>105</v>
      </c>
      <c r="D3" s="530">
        <v>1</v>
      </c>
      <c r="E3" s="365" t="s">
        <v>358</v>
      </c>
      <c r="F3" s="366">
        <f>IF(B24="YES", (7.66*B35)+(0.337*B8/1000), (7.66*C35)+(0.337*B8/1000))</f>
        <v>25.153500000000001</v>
      </c>
      <c r="G3" s="366">
        <f>IF(B24="YES",(1.21*B35)+(0.062*B8/1000),(1.21*C35)+(0.062*B8/1000))</f>
        <v>4.3985000000000003</v>
      </c>
      <c r="I3" t="s">
        <v>359</v>
      </c>
      <c r="N3" s="192" t="s">
        <v>360</v>
      </c>
      <c r="O3" s="90">
        <v>505.32012516570057</v>
      </c>
      <c r="P3" s="90">
        <v>769.15804725486146</v>
      </c>
      <c r="Q3" s="90">
        <v>405.78213627994887</v>
      </c>
      <c r="R3" s="90">
        <v>703.87594804202297</v>
      </c>
      <c r="S3" s="90">
        <v>614.88995647757929</v>
      </c>
    </row>
    <row r="4" spans="1:23">
      <c r="A4" s="155" t="s">
        <v>111</v>
      </c>
      <c r="B4" s="530">
        <v>2</v>
      </c>
      <c r="D4" s="530">
        <v>2</v>
      </c>
      <c r="E4" s="365" t="s">
        <v>361</v>
      </c>
      <c r="F4" s="366">
        <v>5.1025999999999998</v>
      </c>
      <c r="G4" s="366">
        <v>4.5199999999999996</v>
      </c>
      <c r="I4" t="s">
        <v>362</v>
      </c>
      <c r="N4" s="192" t="s">
        <v>154</v>
      </c>
      <c r="O4" s="90">
        <v>534.69643711103481</v>
      </c>
      <c r="P4" s="90">
        <v>750.08933488016737</v>
      </c>
      <c r="Q4" s="90">
        <v>466.27514927205459</v>
      </c>
      <c r="R4" s="90">
        <v>681.30117192396301</v>
      </c>
      <c r="S4" s="90">
        <v>604.07138193679191</v>
      </c>
    </row>
    <row r="5" spans="1:23">
      <c r="A5" s="154" t="s">
        <v>160</v>
      </c>
      <c r="B5" s="533">
        <v>120000000</v>
      </c>
      <c r="D5" s="530">
        <v>3</v>
      </c>
      <c r="E5" s="365" t="s">
        <v>363</v>
      </c>
      <c r="F5" s="366">
        <f>IF(B24="YES",11.29*B36, 11.29*C36)</f>
        <v>13.547999999999998</v>
      </c>
      <c r="G5" s="366">
        <f>2.621*1.2</f>
        <v>3.1452</v>
      </c>
      <c r="I5" t="s">
        <v>364</v>
      </c>
      <c r="N5" s="300" t="s">
        <v>365</v>
      </c>
      <c r="O5" s="300">
        <v>28</v>
      </c>
      <c r="P5" s="300">
        <v>70</v>
      </c>
      <c r="Q5" s="300">
        <v>23.9</v>
      </c>
      <c r="R5" s="300">
        <v>51.93</v>
      </c>
      <c r="S5" s="300">
        <v>30</v>
      </c>
    </row>
    <row r="6" spans="1:23">
      <c r="A6" s="155" t="s">
        <v>115</v>
      </c>
      <c r="B6" s="530">
        <v>240000</v>
      </c>
      <c r="D6" s="549">
        <v>4</v>
      </c>
      <c r="E6" s="549" t="s">
        <v>366</v>
      </c>
      <c r="F6" s="550">
        <f>0.0276*B12</f>
        <v>0</v>
      </c>
      <c r="G6" s="550">
        <f>0.0118*B12</f>
        <v>0</v>
      </c>
      <c r="I6" t="s">
        <v>367</v>
      </c>
    </row>
    <row r="7" spans="1:23">
      <c r="A7" s="154" t="s">
        <v>118</v>
      </c>
      <c r="B7" s="528">
        <v>93500</v>
      </c>
      <c r="D7" s="530">
        <v>5</v>
      </c>
      <c r="E7" s="365" t="s">
        <v>368</v>
      </c>
      <c r="F7" s="366">
        <f>4.306</f>
        <v>4.306</v>
      </c>
      <c r="G7" s="366">
        <f>5.748</f>
        <v>5.7480000000000002</v>
      </c>
      <c r="I7" t="s">
        <v>362</v>
      </c>
    </row>
    <row r="8" spans="1:23">
      <c r="A8" s="155" t="s">
        <v>120</v>
      </c>
      <c r="B8" s="530">
        <v>48500</v>
      </c>
      <c r="D8" s="365"/>
      <c r="E8" s="365" t="s">
        <v>369</v>
      </c>
      <c r="F8" s="366">
        <v>9.11</v>
      </c>
      <c r="G8" s="366">
        <v>2.38</v>
      </c>
      <c r="I8" t="s">
        <v>367</v>
      </c>
    </row>
    <row r="9" spans="1:23">
      <c r="A9" s="154" t="s">
        <v>122</v>
      </c>
      <c r="B9" s="528">
        <v>73800</v>
      </c>
      <c r="D9" s="530">
        <v>7</v>
      </c>
      <c r="E9" s="365" t="s">
        <v>370</v>
      </c>
      <c r="F9" s="366">
        <f>0.213+ (2.29* (2+B4))</f>
        <v>9.3729999999999993</v>
      </c>
      <c r="G9" s="366">
        <f>0.365*(2+B4)</f>
        <v>1.46</v>
      </c>
      <c r="I9" t="s">
        <v>371</v>
      </c>
    </row>
    <row r="10" spans="1:23">
      <c r="A10" s="155" t="s">
        <v>124</v>
      </c>
      <c r="B10" s="530">
        <v>37397</v>
      </c>
      <c r="D10" s="530">
        <v>8</v>
      </c>
      <c r="E10" s="365" t="s">
        <v>372</v>
      </c>
      <c r="F10" s="366">
        <f>IF(B24="YES",(6.84*B37)+(0.0035*B7/1000),(6.84*C37)+(0.0035*B7/1000))</f>
        <v>8.5352499999999996</v>
      </c>
      <c r="G10" s="366">
        <f>IF(B24="YES",(3.874*B37)+(0.00655*B7/1000),(3.874*C37)+(0.00655*B7/1000))</f>
        <v>5.2612249999999996</v>
      </c>
      <c r="I10" t="s">
        <v>364</v>
      </c>
    </row>
    <row r="11" spans="1:23" ht="15" thickBot="1">
      <c r="A11" s="154" t="s">
        <v>126</v>
      </c>
      <c r="B11" s="528">
        <v>737</v>
      </c>
      <c r="D11" s="530">
        <v>9</v>
      </c>
      <c r="E11" s="365" t="s">
        <v>373</v>
      </c>
      <c r="F11" s="366">
        <f>IF(B24="YES",1.14 + (0.0035*B38*(B7-B9)/1000),1.14 + (0.0035*C38*(B7-B9)/1000))</f>
        <v>1.2296349999999998</v>
      </c>
      <c r="G11" s="366">
        <f>IF(B24="YES",0.595 + (0.0123*B38*(B7-B9)/1000),0.595 + (0.0123*C38*(B7-B9)/1000))</f>
        <v>0.91000300000000001</v>
      </c>
      <c r="I11" t="s">
        <v>374</v>
      </c>
    </row>
    <row r="12" spans="1:23" ht="15" thickBot="1">
      <c r="A12" s="155" t="s">
        <v>128</v>
      </c>
      <c r="B12" s="156">
        <v>0</v>
      </c>
      <c r="D12" s="530">
        <v>10</v>
      </c>
      <c r="E12" s="365" t="s">
        <v>375</v>
      </c>
      <c r="F12" s="366">
        <v>3.33</v>
      </c>
      <c r="G12" s="366">
        <v>3.95</v>
      </c>
      <c r="I12" t="s">
        <v>362</v>
      </c>
      <c r="O12" s="1408" t="s">
        <v>376</v>
      </c>
      <c r="P12" s="1903"/>
      <c r="Q12" s="1903"/>
      <c r="R12" s="1903"/>
      <c r="S12" s="1903"/>
      <c r="T12" s="1903"/>
      <c r="U12" s="1903"/>
      <c r="V12" s="1903"/>
      <c r="W12" s="1904"/>
    </row>
    <row r="13" spans="1:23" ht="15" thickTop="1">
      <c r="A13" s="154" t="s">
        <v>131</v>
      </c>
      <c r="B13" s="528">
        <v>24668.705402650354</v>
      </c>
      <c r="D13" s="530">
        <v>11</v>
      </c>
      <c r="E13" s="365" t="s">
        <v>377</v>
      </c>
      <c r="F13" s="366">
        <f>0.5089 + (0.013*B7/1000)</f>
        <v>1.7244000000000002</v>
      </c>
      <c r="G13" s="366">
        <f>0.0847 + (0.0037*B7/1000)</f>
        <v>0.43064999999999998</v>
      </c>
      <c r="I13" t="s">
        <v>378</v>
      </c>
      <c r="O13" s="37"/>
      <c r="P13" s="38" t="s">
        <v>379</v>
      </c>
      <c r="Q13" s="38">
        <v>1</v>
      </c>
      <c r="R13" s="38">
        <v>2</v>
      </c>
      <c r="S13" s="38">
        <v>3</v>
      </c>
      <c r="T13" s="38">
        <v>4</v>
      </c>
      <c r="U13" s="38">
        <v>5</v>
      </c>
      <c r="V13" s="38">
        <v>6</v>
      </c>
      <c r="W13" s="39">
        <v>7</v>
      </c>
    </row>
    <row r="14" spans="1:23">
      <c r="A14" s="155" t="s">
        <v>133</v>
      </c>
      <c r="B14" s="530">
        <v>122.4</v>
      </c>
      <c r="D14" s="530">
        <v>12</v>
      </c>
      <c r="E14" s="365" t="s">
        <v>380</v>
      </c>
      <c r="F14" s="366">
        <f>IF(B24="YES",(0.509*B39) + (0.009*B8/1000),(0.509*C39) + (0.009*B8/1000))</f>
        <v>1.0218499999999999</v>
      </c>
      <c r="G14" s="366">
        <f>IF(B24="YES",(0.235*B39) + (0.0031*B8/1000),(0.235*C39) + (0.0031*B8/1000))</f>
        <v>0.42059999999999997</v>
      </c>
      <c r="I14" t="s">
        <v>381</v>
      </c>
      <c r="O14" s="40" t="s">
        <v>382</v>
      </c>
      <c r="P14" s="14">
        <v>0.311</v>
      </c>
      <c r="Q14" s="14">
        <v>0.57599999999999996</v>
      </c>
      <c r="R14" s="14">
        <v>0.753</v>
      </c>
      <c r="S14" s="14">
        <v>0.86199999999999999</v>
      </c>
      <c r="T14" s="14">
        <v>0.92400000000000004</v>
      </c>
      <c r="U14" s="14">
        <v>0.95699999999999996</v>
      </c>
      <c r="V14" s="14">
        <v>1</v>
      </c>
      <c r="W14" s="41">
        <v>1</v>
      </c>
    </row>
    <row r="15" spans="1:23">
      <c r="A15" s="154" t="s">
        <v>135</v>
      </c>
      <c r="B15" s="551">
        <v>28</v>
      </c>
      <c r="D15" s="530">
        <v>13</v>
      </c>
      <c r="E15" s="365" t="s">
        <v>383</v>
      </c>
      <c r="F15" s="366">
        <f>4.58 + (0.071*B7/1000)</f>
        <v>11.218499999999999</v>
      </c>
      <c r="G15" s="366">
        <f>4.961 + (0.181*B7/1000)</f>
        <v>21.884500000000003</v>
      </c>
      <c r="I15" t="s">
        <v>378</v>
      </c>
      <c r="O15" s="42"/>
      <c r="P15" s="43">
        <v>8</v>
      </c>
      <c r="Q15" s="43">
        <v>9</v>
      </c>
      <c r="R15" s="43">
        <v>10</v>
      </c>
      <c r="S15" s="43">
        <v>11</v>
      </c>
      <c r="T15" s="43">
        <v>12</v>
      </c>
      <c r="U15" s="43">
        <v>13</v>
      </c>
      <c r="V15" s="43">
        <v>14</v>
      </c>
      <c r="W15" s="44">
        <v>15</v>
      </c>
    </row>
    <row r="16" spans="1:23" ht="15" thickBot="1">
      <c r="A16" s="155" t="s">
        <v>136</v>
      </c>
      <c r="B16" s="552">
        <v>3800</v>
      </c>
      <c r="D16" s="365"/>
      <c r="E16" s="365" t="s">
        <v>384</v>
      </c>
      <c r="F16" s="366">
        <v>1.51</v>
      </c>
      <c r="G16" s="366">
        <v>4.7E-2</v>
      </c>
      <c r="I16" t="s">
        <v>367</v>
      </c>
      <c r="O16" s="45" t="s">
        <v>382</v>
      </c>
      <c r="P16" s="46">
        <v>1.008</v>
      </c>
      <c r="Q16" s="46">
        <v>1.0189999999999999</v>
      </c>
      <c r="R16" s="46">
        <v>1.03</v>
      </c>
      <c r="S16" s="46">
        <v>1.042</v>
      </c>
      <c r="T16" s="46">
        <v>1.0529999999999999</v>
      </c>
      <c r="U16" s="46">
        <v>1.0640000000000001</v>
      </c>
      <c r="V16" s="46">
        <v>1.073</v>
      </c>
      <c r="W16" s="89">
        <v>1.0860000000000001</v>
      </c>
    </row>
    <row r="17" spans="1:9">
      <c r="A17" s="157" t="s">
        <v>138</v>
      </c>
      <c r="B17" s="158" t="s">
        <v>139</v>
      </c>
      <c r="D17" s="530">
        <v>15</v>
      </c>
      <c r="E17" s="365" t="s">
        <v>385</v>
      </c>
      <c r="F17" s="366">
        <f>IF(B24="YES",10.077*B40,10.077*C40)</f>
        <v>15.115500000000001</v>
      </c>
      <c r="G17" s="366">
        <f>IF(B24="YES",7.166*B40,7.166*C40)</f>
        <v>10.749000000000001</v>
      </c>
    </row>
    <row r="18" spans="1:9">
      <c r="A18" s="157" t="s">
        <v>141</v>
      </c>
      <c r="B18" s="158" t="s">
        <v>11</v>
      </c>
      <c r="D18" s="365"/>
      <c r="E18" s="365" t="s">
        <v>386</v>
      </c>
      <c r="F18" s="366">
        <v>0.51500000000000001</v>
      </c>
      <c r="G18" s="366">
        <f>0.0072*2</f>
        <v>1.44E-2</v>
      </c>
      <c r="I18" t="s">
        <v>367</v>
      </c>
    </row>
    <row r="19" spans="1:9" ht="26.45">
      <c r="A19" s="159" t="s">
        <v>143</v>
      </c>
      <c r="B19" s="537">
        <v>2028.47</v>
      </c>
      <c r="C19" s="553" t="s">
        <v>387</v>
      </c>
      <c r="D19" s="530">
        <v>17</v>
      </c>
      <c r="E19" s="365" t="s">
        <v>388</v>
      </c>
      <c r="F19" s="366">
        <f>0.181+(0.0003*200*2.018*B13*B4/1000)</f>
        <v>6.1547737003058085</v>
      </c>
      <c r="G19" s="366">
        <f>0.0019*200*2.018*B13*B4/1000</f>
        <v>37.833900101936791</v>
      </c>
      <c r="I19" t="s">
        <v>389</v>
      </c>
    </row>
    <row r="20" spans="1:9">
      <c r="A20" s="160" t="s">
        <v>166</v>
      </c>
      <c r="B20" s="530">
        <v>215.05</v>
      </c>
      <c r="D20" s="365"/>
      <c r="E20" s="365" t="s">
        <v>390</v>
      </c>
      <c r="F20" s="366">
        <v>0.33900000000000002</v>
      </c>
      <c r="G20" s="366">
        <v>0</v>
      </c>
      <c r="I20" t="s">
        <v>367</v>
      </c>
    </row>
    <row r="21" spans="1:9">
      <c r="A21" s="154" t="s">
        <v>145</v>
      </c>
      <c r="B21" s="528">
        <v>12</v>
      </c>
      <c r="D21" s="530">
        <v>19</v>
      </c>
      <c r="E21" s="365" t="s">
        <v>391</v>
      </c>
      <c r="F21" s="366">
        <f>0.315</f>
        <v>0.315</v>
      </c>
      <c r="G21" s="366">
        <f>0.462</f>
        <v>0.46200000000000002</v>
      </c>
      <c r="I21" t="s">
        <v>362</v>
      </c>
    </row>
    <row r="22" spans="1:9">
      <c r="A22" s="157" t="s">
        <v>146</v>
      </c>
      <c r="B22" s="554">
        <v>3.0617999999999999</v>
      </c>
      <c r="D22" s="530">
        <v>20</v>
      </c>
      <c r="E22" s="365" t="s">
        <v>392</v>
      </c>
      <c r="F22" s="366">
        <f>3+(0.099*B8/1000)</f>
        <v>7.8014999999999999</v>
      </c>
      <c r="G22" s="366">
        <v>0</v>
      </c>
      <c r="I22" t="s">
        <v>393</v>
      </c>
    </row>
    <row r="23" spans="1:9">
      <c r="A23" s="190" t="s">
        <v>147</v>
      </c>
      <c r="B23" s="555">
        <v>1.9</v>
      </c>
      <c r="C23" s="556"/>
      <c r="D23" s="365">
        <v>21</v>
      </c>
      <c r="E23" s="365" t="s">
        <v>394</v>
      </c>
      <c r="F23" s="366">
        <f>1.147+(0.006*B12)</f>
        <v>1.147</v>
      </c>
      <c r="G23" s="366">
        <f>0.387+(0.00785*B12)</f>
        <v>0.38700000000000001</v>
      </c>
      <c r="I23" t="s">
        <v>367</v>
      </c>
    </row>
    <row r="24" spans="1:9" ht="16.149999999999999">
      <c r="A24" s="163" t="s">
        <v>148</v>
      </c>
      <c r="B24" s="164" t="s">
        <v>149</v>
      </c>
      <c r="D24" s="530">
        <v>22</v>
      </c>
      <c r="E24" s="365" t="s">
        <v>395</v>
      </c>
      <c r="F24" s="366">
        <f>1.5+(0.046*B8/1000)</f>
        <v>3.7309999999999999</v>
      </c>
      <c r="G24" s="366">
        <f>0.5833</f>
        <v>0.58330000000000004</v>
      </c>
      <c r="I24" t="s">
        <v>393</v>
      </c>
    </row>
    <row r="25" spans="1:9">
      <c r="D25" s="530">
        <v>23</v>
      </c>
      <c r="E25" s="365" t="s">
        <v>396</v>
      </c>
      <c r="F25" s="366">
        <f>IF(B4&lt;4,0.3366*2, 0.3366*4)</f>
        <v>0.67320000000000002</v>
      </c>
      <c r="G25" s="366">
        <f>0.1391</f>
        <v>0.1391</v>
      </c>
    </row>
    <row r="26" spans="1:9">
      <c r="B26" s="557"/>
      <c r="D26" s="530">
        <v>24</v>
      </c>
      <c r="E26" s="365" t="s">
        <v>397</v>
      </c>
      <c r="F26" s="366">
        <f>2.9475</f>
        <v>2.9474999999999998</v>
      </c>
      <c r="G26" s="366">
        <f>0.126+(0.00506*B14)</f>
        <v>0.74534400000000001</v>
      </c>
      <c r="I26" t="s">
        <v>398</v>
      </c>
    </row>
    <row r="27" spans="1:9">
      <c r="D27" s="530">
        <v>25</v>
      </c>
      <c r="E27" s="365" t="s">
        <v>399</v>
      </c>
      <c r="F27" s="366">
        <f>0.8321</f>
        <v>0.83209999999999995</v>
      </c>
      <c r="G27" s="366">
        <f>0.3737</f>
        <v>0.37369999999999998</v>
      </c>
      <c r="I27" t="s">
        <v>362</v>
      </c>
    </row>
    <row r="28" spans="1:9">
      <c r="D28" s="365"/>
      <c r="E28" s="365" t="s">
        <v>400</v>
      </c>
      <c r="F28" s="366">
        <v>0.76300000000000001</v>
      </c>
      <c r="G28" s="366">
        <v>0</v>
      </c>
      <c r="I28" t="s">
        <v>367</v>
      </c>
    </row>
    <row r="29" spans="1:9">
      <c r="D29" s="1412" t="s">
        <v>401</v>
      </c>
      <c r="E29" s="1905"/>
      <c r="F29" s="558">
        <f>SUM(F3:F28)</f>
        <v>135.49730870030584</v>
      </c>
      <c r="G29" s="558">
        <f>SUM(G3:G28)</f>
        <v>105.84342210193678</v>
      </c>
      <c r="H29" t="s">
        <v>402</v>
      </c>
    </row>
    <row r="32" spans="1:9">
      <c r="E32" s="1906"/>
      <c r="F32" s="365" t="s">
        <v>403</v>
      </c>
      <c r="G32" s="365" t="s">
        <v>404</v>
      </c>
    </row>
    <row r="33" spans="1:10" ht="15" thickBot="1">
      <c r="E33" s="1899"/>
      <c r="F33" s="559"/>
      <c r="G33" s="560">
        <v>4.0808</v>
      </c>
    </row>
    <row r="34" spans="1:10" ht="15" thickBot="1">
      <c r="A34" s="179" t="s">
        <v>405</v>
      </c>
      <c r="B34" s="180" t="s">
        <v>149</v>
      </c>
      <c r="C34" s="181" t="s">
        <v>174</v>
      </c>
      <c r="E34" s="554" t="s">
        <v>406</v>
      </c>
      <c r="F34" s="558">
        <f>F29/2.5</f>
        <v>54.198923480122332</v>
      </c>
      <c r="G34" s="558">
        <f>F34*G33</f>
        <v>221.17496693768322</v>
      </c>
      <c r="H34" t="s">
        <v>402</v>
      </c>
    </row>
    <row r="35" spans="1:10">
      <c r="A35" s="182" t="s">
        <v>407</v>
      </c>
      <c r="B35" s="561">
        <v>1.1499999999999999</v>
      </c>
      <c r="C35" s="183">
        <v>1</v>
      </c>
      <c r="E35" s="554" t="s">
        <v>408</v>
      </c>
      <c r="F35" s="558">
        <f>G29/2.5</f>
        <v>42.337368840774715</v>
      </c>
      <c r="G35" s="558">
        <f>F35*G33</f>
        <v>172.77033476543346</v>
      </c>
      <c r="H35" t="s">
        <v>402</v>
      </c>
    </row>
    <row r="36" spans="1:10">
      <c r="A36" s="184" t="s">
        <v>409</v>
      </c>
      <c r="B36" s="164">
        <v>1.2</v>
      </c>
      <c r="C36" s="185">
        <v>1</v>
      </c>
    </row>
    <row r="37" spans="1:10">
      <c r="A37" s="184" t="s">
        <v>410</v>
      </c>
      <c r="B37" s="164">
        <v>1.2</v>
      </c>
      <c r="C37" s="185">
        <v>1</v>
      </c>
      <c r="E37" s="1906"/>
      <c r="F37" s="365" t="s">
        <v>403</v>
      </c>
      <c r="G37" s="365" t="s">
        <v>404</v>
      </c>
    </row>
    <row r="38" spans="1:10">
      <c r="A38" s="184" t="s">
        <v>411</v>
      </c>
      <c r="B38" s="164">
        <v>1.3</v>
      </c>
      <c r="C38" s="185">
        <v>1</v>
      </c>
      <c r="E38" s="1899"/>
      <c r="F38" s="554"/>
      <c r="G38" s="560">
        <f>G33</f>
        <v>4.0808</v>
      </c>
    </row>
    <row r="39" spans="1:10">
      <c r="A39" s="184" t="s">
        <v>412</v>
      </c>
      <c r="B39" s="164">
        <v>1.1499999999999999</v>
      </c>
      <c r="C39" s="185">
        <v>1</v>
      </c>
      <c r="E39" s="554" t="s">
        <v>413</v>
      </c>
      <c r="F39" s="558">
        <f>88.5*(B4/10)*((B13/20000)^0.5)</f>
        <v>19.657643189859165</v>
      </c>
      <c r="G39" s="558">
        <f>F39*G38</f>
        <v>80.218910329177277</v>
      </c>
      <c r="H39" t="s">
        <v>402</v>
      </c>
    </row>
    <row r="40" spans="1:10" ht="15" thickBot="1">
      <c r="A40" s="186" t="s">
        <v>414</v>
      </c>
      <c r="B40" s="187">
        <v>1.5</v>
      </c>
      <c r="C40" s="188">
        <v>1</v>
      </c>
      <c r="E40" s="554" t="s">
        <v>415</v>
      </c>
      <c r="F40" s="558">
        <f>109.5*(B4/10)*((B13/20000)^1/2)</f>
        <v>13.50611620795107</v>
      </c>
      <c r="G40" s="558">
        <f>F40*G38</f>
        <v>55.115759021406724</v>
      </c>
      <c r="H40" t="s">
        <v>402</v>
      </c>
    </row>
    <row r="42" spans="1:10">
      <c r="E42" s="562"/>
      <c r="F42" s="365" t="s">
        <v>403</v>
      </c>
      <c r="G42" s="365" t="s">
        <v>404</v>
      </c>
    </row>
    <row r="43" spans="1:10">
      <c r="E43" s="554" t="s">
        <v>416</v>
      </c>
      <c r="F43" s="558">
        <f>F34+F39</f>
        <v>73.856566669981504</v>
      </c>
      <c r="G43" s="558">
        <f>G34+G39</f>
        <v>301.3938772668605</v>
      </c>
      <c r="H43" t="s">
        <v>402</v>
      </c>
    </row>
    <row r="44" spans="1:10">
      <c r="E44" s="554" t="s">
        <v>417</v>
      </c>
      <c r="F44" s="558">
        <f>F35+F40</f>
        <v>55.843485048725782</v>
      </c>
      <c r="G44" s="558">
        <f>G35+G40</f>
        <v>227.88609378684018</v>
      </c>
      <c r="H44" t="s">
        <v>402</v>
      </c>
    </row>
    <row r="46" spans="1:10">
      <c r="E46" s="562"/>
      <c r="F46" s="365" t="s">
        <v>403</v>
      </c>
      <c r="G46" s="365" t="s">
        <v>404</v>
      </c>
    </row>
    <row r="47" spans="1:10">
      <c r="E47" s="554" t="s">
        <v>418</v>
      </c>
      <c r="F47" s="558">
        <f>F43+F44</f>
        <v>129.7000517187073</v>
      </c>
      <c r="G47" s="191">
        <f>G43+G44</f>
        <v>529.27997105370071</v>
      </c>
      <c r="H47" t="s">
        <v>402</v>
      </c>
    </row>
    <row r="48" spans="1:10">
      <c r="E48" s="554" t="s">
        <v>419</v>
      </c>
      <c r="F48" s="558">
        <f>F43*1.9</f>
        <v>140.32747667296485</v>
      </c>
      <c r="G48" s="191">
        <f>G43*2.1</f>
        <v>632.92714226040709</v>
      </c>
      <c r="H48" t="s">
        <v>402</v>
      </c>
      <c r="J48" t="s">
        <v>420</v>
      </c>
    </row>
    <row r="50" spans="3:8">
      <c r="E50" s="562"/>
      <c r="F50" s="365" t="s">
        <v>403</v>
      </c>
      <c r="G50" s="365" t="s">
        <v>404</v>
      </c>
    </row>
    <row r="51" spans="3:8">
      <c r="E51" s="554" t="s">
        <v>421</v>
      </c>
      <c r="F51" s="558">
        <f>((1+1.9)*F43)+F44</f>
        <v>270.02752839167215</v>
      </c>
      <c r="G51" s="558">
        <f>((1+1.9)*G43)+G44</f>
        <v>1101.9283378607356</v>
      </c>
      <c r="H51" t="s">
        <v>402</v>
      </c>
    </row>
    <row r="52" spans="3:8">
      <c r="C52" s="557" t="s">
        <v>422</v>
      </c>
    </row>
    <row r="53" spans="3:8" ht="53.45">
      <c r="C53" s="563" t="s">
        <v>423</v>
      </c>
    </row>
    <row r="54" spans="3:8" ht="40.15">
      <c r="C54" s="563" t="s">
        <v>424</v>
      </c>
    </row>
    <row r="55" spans="3:8" ht="53.45">
      <c r="C55" s="563" t="s">
        <v>425</v>
      </c>
    </row>
  </sheetData>
  <mergeCells count="6">
    <mergeCell ref="E37:E38"/>
    <mergeCell ref="O12:W12"/>
    <mergeCell ref="A1:B1"/>
    <mergeCell ref="D1:G1"/>
    <mergeCell ref="D29:E29"/>
    <mergeCell ref="E32:E3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2A3DF-6063-470D-BF83-926695132175}">
  <sheetPr codeName="Sheet8"/>
  <dimension ref="A1:DR157"/>
  <sheetViews>
    <sheetView topLeftCell="Z1" zoomScale="64" zoomScaleNormal="85" workbookViewId="0">
      <selection activeCell="AE136" sqref="AE136"/>
    </sheetView>
  </sheetViews>
  <sheetFormatPr defaultColWidth="8.7109375" defaultRowHeight="13.15"/>
  <cols>
    <col min="1" max="1" width="49.5703125" style="22" customWidth="1"/>
    <col min="2" max="2" width="30.5703125" style="22" bestFit="1" customWidth="1"/>
    <col min="3" max="3" width="63.28515625" style="22" bestFit="1" customWidth="1"/>
    <col min="4" max="4" width="30.42578125" style="22" bestFit="1" customWidth="1"/>
    <col min="5" max="8" width="30.42578125" style="22" customWidth="1"/>
    <col min="9" max="9" width="28.28515625" style="22" bestFit="1" customWidth="1"/>
    <col min="10" max="10" width="42.28515625" style="22" bestFit="1" customWidth="1"/>
    <col min="11" max="11" width="17.5703125" style="22" customWidth="1"/>
    <col min="12" max="12" width="16.7109375" style="22" bestFit="1" customWidth="1"/>
    <col min="13" max="13" width="13.7109375" style="22" bestFit="1" customWidth="1"/>
    <col min="14" max="14" width="15.28515625" style="22" bestFit="1" customWidth="1"/>
    <col min="15" max="15" width="16.5703125" style="22" customWidth="1"/>
    <col min="16" max="17" width="12.5703125" style="22" bestFit="1" customWidth="1"/>
    <col min="18" max="18" width="16.42578125" style="22" customWidth="1"/>
    <col min="19" max="25" width="13" style="22" bestFit="1" customWidth="1"/>
    <col min="26" max="26" width="13.42578125" style="22" bestFit="1" customWidth="1"/>
    <col min="27" max="27" width="41.7109375" style="22" bestFit="1" customWidth="1"/>
    <col min="28" max="28" width="12" style="22" bestFit="1" customWidth="1"/>
    <col min="29" max="29" width="39.42578125" style="22" bestFit="1" customWidth="1"/>
    <col min="30" max="30" width="20.7109375" style="22" bestFit="1" customWidth="1"/>
    <col min="31" max="31" width="16.7109375" style="22" bestFit="1" customWidth="1"/>
    <col min="32" max="32" width="18.28515625" style="22" bestFit="1" customWidth="1"/>
    <col min="33" max="33" width="15.5703125" style="22" bestFit="1" customWidth="1"/>
    <col min="34" max="35" width="14.28515625" style="22" bestFit="1" customWidth="1"/>
    <col min="36" max="36" width="17.42578125" style="22" customWidth="1"/>
    <col min="37" max="37" width="14.28515625" style="22" bestFit="1" customWidth="1"/>
    <col min="38" max="38" width="14.28515625" style="22" customWidth="1"/>
    <col min="39" max="42" width="14.28515625" style="22" bestFit="1" customWidth="1"/>
    <col min="43" max="43" width="14" style="22" bestFit="1" customWidth="1"/>
    <col min="44" max="47" width="12.5703125" style="22" customWidth="1"/>
    <col min="48" max="49" width="28.7109375" style="22" bestFit="1" customWidth="1"/>
    <col min="50" max="50" width="14.5703125" style="22" bestFit="1" customWidth="1"/>
    <col min="51" max="51" width="13.5703125" style="22" bestFit="1" customWidth="1"/>
    <col min="52" max="52" width="39.85546875" style="22" bestFit="1" customWidth="1"/>
    <col min="53" max="53" width="15.7109375" style="22" bestFit="1" customWidth="1"/>
    <col min="54" max="60" width="14.28515625" style="22" bestFit="1" customWidth="1"/>
    <col min="61" max="61" width="13" style="22" bestFit="1" customWidth="1"/>
    <col min="62" max="62" width="14.28515625" style="22" bestFit="1" customWidth="1"/>
    <col min="63" max="66" width="13" style="22" bestFit="1" customWidth="1"/>
    <col min="67" max="67" width="14.28515625" style="22" bestFit="1" customWidth="1"/>
    <col min="68" max="68" width="12.5703125" style="22" bestFit="1" customWidth="1"/>
    <col min="69" max="74" width="12.42578125" style="22" customWidth="1"/>
    <col min="75" max="76" width="8.7109375" style="22"/>
    <col min="77" max="77" width="33.42578125" style="22" bestFit="1" customWidth="1"/>
    <col min="78" max="80" width="12.5703125" style="22" bestFit="1" customWidth="1"/>
    <col min="81" max="81" width="13.5703125" style="22" bestFit="1" customWidth="1"/>
    <col min="82" max="82" width="12.42578125" style="22" bestFit="1" customWidth="1"/>
    <col min="83" max="86" width="12.5703125" style="22" bestFit="1" customWidth="1"/>
    <col min="87" max="87" width="13.7109375" style="22" bestFit="1" customWidth="1"/>
    <col min="88" max="88" width="12.5703125" style="22" bestFit="1" customWidth="1"/>
    <col min="89" max="89" width="12.42578125" style="22" bestFit="1" customWidth="1"/>
    <col min="90" max="90" width="12.5703125" style="22" bestFit="1" customWidth="1"/>
    <col min="91" max="91" width="13.7109375" style="22" bestFit="1" customWidth="1"/>
    <col min="92" max="92" width="12.5703125" style="22" bestFit="1" customWidth="1"/>
    <col min="93" max="96" width="12" style="22" customWidth="1"/>
    <col min="97" max="99" width="12.42578125" style="22" customWidth="1"/>
    <col min="100" max="101" width="8.7109375" style="22"/>
    <col min="102" max="102" width="33" style="22" bestFit="1" customWidth="1"/>
    <col min="103" max="103" width="13.5703125" style="22" bestFit="1" customWidth="1"/>
    <col min="104" max="105" width="12.5703125" style="22" bestFit="1" customWidth="1"/>
    <col min="106" max="106" width="14" style="22" bestFit="1" customWidth="1"/>
    <col min="107" max="107" width="13.5703125" style="22" bestFit="1" customWidth="1"/>
    <col min="108" max="117" width="14.42578125" style="22" bestFit="1" customWidth="1"/>
    <col min="118" max="118" width="12.5703125" style="22" bestFit="1" customWidth="1"/>
    <col min="119" max="120" width="13.28515625" style="22" bestFit="1" customWidth="1"/>
    <col min="121" max="121" width="12.28515625" style="22" bestFit="1" customWidth="1"/>
    <col min="122" max="122" width="12.5703125" style="22" bestFit="1" customWidth="1"/>
    <col min="123" max="16384" width="8.7109375" style="22"/>
  </cols>
  <sheetData>
    <row r="1" spans="1:122" ht="14.45">
      <c r="A1" s="22" t="s">
        <v>175</v>
      </c>
      <c r="B1" s="463">
        <f>((B6-2*B7)*(1+$B83))+(2*B7*(1+$B84))</f>
        <v>130175000</v>
      </c>
      <c r="C1" s="463">
        <f t="shared" ref="C1:F1" si="0">((C6-2*C7)*(1+$B83))+(2*C7*(1+$B84))</f>
        <v>105795000</v>
      </c>
      <c r="D1" s="463">
        <f t="shared" si="0"/>
        <v>42400000</v>
      </c>
      <c r="E1" s="463">
        <f t="shared" si="0"/>
        <v>253249800</v>
      </c>
      <c r="F1" s="463">
        <f t="shared" si="0"/>
        <v>208360000</v>
      </c>
      <c r="K1" s="1433" t="s">
        <v>426</v>
      </c>
      <c r="L1" s="1433"/>
      <c r="M1" s="1433"/>
      <c r="N1" s="1433"/>
      <c r="O1" s="1433"/>
      <c r="P1" s="1433"/>
      <c r="Q1" s="1433"/>
      <c r="R1" s="1433"/>
      <c r="S1" s="1433"/>
      <c r="AZ1"/>
      <c r="BA1"/>
      <c r="BB1"/>
      <c r="BC1"/>
      <c r="BD1"/>
      <c r="BE1"/>
      <c r="BF1"/>
      <c r="BG1"/>
      <c r="BH1"/>
      <c r="BI1"/>
      <c r="BJ1"/>
      <c r="BV1" s="420"/>
      <c r="BW1" s="420"/>
      <c r="BX1" s="420"/>
      <c r="BY1" s="420"/>
      <c r="BZ1" s="420"/>
      <c r="CA1" s="420"/>
      <c r="CB1" s="420"/>
      <c r="CC1" s="420"/>
      <c r="CD1" s="420"/>
      <c r="CE1" s="420"/>
      <c r="CF1" s="420"/>
      <c r="CG1" s="420"/>
      <c r="CH1" s="420"/>
      <c r="CI1" s="420"/>
      <c r="CJ1" s="420"/>
      <c r="CK1" s="420"/>
      <c r="CL1" s="420"/>
      <c r="CM1" s="420"/>
      <c r="CN1" s="420"/>
      <c r="CO1" s="420"/>
      <c r="CP1" s="420"/>
      <c r="CQ1" s="420"/>
      <c r="CR1" s="420"/>
      <c r="CS1" s="420"/>
      <c r="CT1" s="420"/>
      <c r="CU1" s="420"/>
      <c r="CV1" s="420"/>
      <c r="CW1" s="420"/>
      <c r="CX1" s="420"/>
      <c r="CY1" s="420"/>
      <c r="CZ1" s="420"/>
      <c r="DA1" s="420"/>
      <c r="DB1" s="420"/>
      <c r="DC1" s="420"/>
      <c r="DD1" s="420"/>
      <c r="DE1" s="420"/>
      <c r="DF1" s="420"/>
      <c r="DG1" s="420"/>
      <c r="DH1" s="420"/>
      <c r="DI1" s="420"/>
      <c r="DJ1" s="420"/>
      <c r="DK1" s="420"/>
      <c r="DL1" s="420"/>
      <c r="DM1" s="420"/>
      <c r="DN1" s="420"/>
      <c r="DO1" s="420"/>
      <c r="DP1" s="420"/>
      <c r="DQ1" s="420"/>
    </row>
    <row r="2" spans="1:122" ht="15" thickBot="1">
      <c r="A2" s="21" t="s">
        <v>178</v>
      </c>
      <c r="B2" s="468">
        <f>6*B8</f>
        <v>1470000</v>
      </c>
      <c r="C2" s="468">
        <f>C1/((1-(1/((1+$B89)^($B88*2))))*(1/$B89))</f>
        <v>11179460.732178045</v>
      </c>
      <c r="D2" s="468">
        <f>D1/((1-(1/((1+$B89)^($B88*2))))*(1/$B89))</f>
        <v>4480449.3127685534</v>
      </c>
      <c r="E2" s="468">
        <f>E1/((1-(1/((1+$B89)^($B88*2))))*(1/$B89))</f>
        <v>26761153.12190504</v>
      </c>
      <c r="F2" s="468">
        <f>F1/((1-(1/((1+$B89)^($B88*2))))*(1/$B89))</f>
        <v>22017604.217180561</v>
      </c>
      <c r="G2" s="31"/>
      <c r="H2" s="31"/>
      <c r="K2" s="1433"/>
      <c r="L2" s="1433"/>
      <c r="M2" s="1433"/>
      <c r="N2" s="1433"/>
      <c r="O2" s="1433"/>
      <c r="P2" s="1433"/>
      <c r="Q2" s="1433"/>
      <c r="R2" s="1433"/>
      <c r="S2" s="1433"/>
      <c r="Y2" s="32"/>
      <c r="AC2" s="1433"/>
      <c r="AD2" s="1433"/>
      <c r="AZ2"/>
      <c r="BA2"/>
      <c r="BB2"/>
      <c r="BC2"/>
      <c r="BD2"/>
      <c r="BE2"/>
      <c r="BF2"/>
      <c r="BG2"/>
      <c r="BH2"/>
      <c r="BI2"/>
      <c r="BJ2"/>
      <c r="BV2" s="420"/>
      <c r="BW2" s="420"/>
      <c r="BX2" s="420"/>
      <c r="BY2" s="420"/>
      <c r="BZ2" s="420"/>
      <c r="CA2" s="420"/>
      <c r="CB2" s="420"/>
      <c r="CC2" s="420"/>
      <c r="CD2" s="420"/>
      <c r="CE2" s="420"/>
      <c r="CF2" s="420"/>
      <c r="CG2" s="420"/>
      <c r="CH2" s="420"/>
      <c r="CI2" s="420"/>
      <c r="CJ2" s="420"/>
      <c r="CK2" s="420"/>
      <c r="CL2" s="420"/>
      <c r="CM2" s="420"/>
      <c r="CN2" s="420"/>
      <c r="CO2" s="420"/>
      <c r="CP2" s="420"/>
      <c r="CQ2" s="420"/>
      <c r="CR2" s="420"/>
      <c r="CS2" s="420"/>
      <c r="CT2" s="420"/>
      <c r="CU2" s="420"/>
      <c r="CV2" s="420"/>
      <c r="CW2" s="420"/>
      <c r="CX2" s="420"/>
      <c r="CY2" s="420"/>
      <c r="CZ2" s="420"/>
      <c r="DA2" s="420"/>
      <c r="DB2" s="420"/>
      <c r="DC2" s="420"/>
      <c r="DD2" s="420"/>
      <c r="DE2" s="420"/>
      <c r="DF2" s="420"/>
      <c r="DG2" s="420"/>
      <c r="DH2" s="420"/>
      <c r="DI2" s="420"/>
      <c r="DJ2" s="420"/>
      <c r="DK2" s="420"/>
      <c r="DL2" s="420"/>
      <c r="DM2" s="420"/>
      <c r="DN2" s="420"/>
      <c r="DO2" s="420"/>
      <c r="DP2" s="420"/>
      <c r="DQ2" s="420"/>
    </row>
    <row r="3" spans="1:122" ht="15" thickBot="1">
      <c r="A3" s="234"/>
      <c r="B3" s="235" t="s">
        <v>96</v>
      </c>
      <c r="C3" s="236" t="s">
        <v>97</v>
      </c>
      <c r="D3" s="237" t="s">
        <v>98</v>
      </c>
      <c r="E3" s="103" t="s">
        <v>99</v>
      </c>
      <c r="F3" s="105" t="s">
        <v>179</v>
      </c>
      <c r="G3" s="9"/>
      <c r="H3" s="9"/>
      <c r="J3" s="9"/>
      <c r="K3" s="1433"/>
      <c r="L3" s="1433"/>
      <c r="M3" s="1433"/>
      <c r="N3" s="1433"/>
      <c r="O3" s="1433"/>
      <c r="P3" s="1433"/>
      <c r="Q3" s="1433"/>
      <c r="R3" s="1433"/>
      <c r="S3" s="1433"/>
      <c r="T3" s="9"/>
      <c r="U3" s="11"/>
      <c r="V3" s="9"/>
      <c r="W3" s="9"/>
      <c r="AC3" s="9"/>
      <c r="AD3" s="9"/>
      <c r="AE3" s="13"/>
      <c r="AZ3"/>
      <c r="BA3"/>
      <c r="BB3"/>
      <c r="BC3"/>
      <c r="BD3"/>
      <c r="BE3"/>
      <c r="BF3"/>
      <c r="BG3"/>
      <c r="BH3"/>
      <c r="BI3"/>
      <c r="BJ3"/>
      <c r="BV3" s="420"/>
      <c r="BW3" s="420"/>
      <c r="BX3" s="420"/>
      <c r="BY3" s="420"/>
      <c r="BZ3" s="420"/>
      <c r="CA3" s="420"/>
      <c r="CB3" s="420"/>
      <c r="CC3" s="420"/>
      <c r="CD3" s="420"/>
      <c r="CE3" s="420"/>
      <c r="CF3" s="420"/>
      <c r="CG3" s="420"/>
      <c r="CH3" s="420"/>
      <c r="CI3" s="420"/>
      <c r="CJ3" s="420"/>
      <c r="CK3" s="420"/>
      <c r="CL3" s="420"/>
      <c r="CM3" s="420"/>
      <c r="CN3" s="420"/>
      <c r="CO3" s="420"/>
      <c r="CP3" s="420"/>
      <c r="CQ3" s="420"/>
      <c r="CR3" s="420"/>
      <c r="CS3" s="420"/>
      <c r="CT3" s="420"/>
      <c r="CU3" s="420"/>
      <c r="CV3" s="420"/>
      <c r="CW3" s="420"/>
      <c r="CX3" s="420"/>
      <c r="CY3" s="420"/>
      <c r="CZ3" s="420"/>
      <c r="DA3" s="420"/>
      <c r="DB3" s="420"/>
      <c r="DC3" s="420"/>
      <c r="DD3" s="420"/>
      <c r="DE3" s="420"/>
      <c r="DF3" s="420"/>
      <c r="DG3" s="420"/>
      <c r="DH3" s="420"/>
      <c r="DI3" s="420"/>
      <c r="DJ3" s="420"/>
      <c r="DK3" s="420"/>
      <c r="DL3" s="420"/>
      <c r="DM3" s="420"/>
      <c r="DN3" s="420"/>
      <c r="DO3" s="420"/>
      <c r="DP3" s="420"/>
      <c r="DQ3" s="420"/>
    </row>
    <row r="4" spans="1:122" ht="15" thickBot="1">
      <c r="A4" s="96" t="s">
        <v>104</v>
      </c>
      <c r="B4" s="23" t="s">
        <v>105</v>
      </c>
      <c r="C4" s="220" t="s">
        <v>106</v>
      </c>
      <c r="D4" s="404"/>
      <c r="E4" s="233" t="s">
        <v>107</v>
      </c>
      <c r="F4" s="238" t="s">
        <v>158</v>
      </c>
      <c r="G4" s="9"/>
      <c r="H4" s="9"/>
      <c r="J4" s="9"/>
      <c r="K4" s="9"/>
      <c r="L4" s="9"/>
      <c r="M4" s="9"/>
      <c r="N4" s="9"/>
      <c r="O4" s="9"/>
      <c r="Q4" s="9"/>
      <c r="R4" s="9"/>
      <c r="S4" s="9"/>
      <c r="T4" s="9"/>
      <c r="U4" s="9"/>
      <c r="V4" s="9"/>
      <c r="W4" s="9"/>
      <c r="AC4" s="10"/>
      <c r="AD4" s="10"/>
      <c r="AZ4"/>
      <c r="BA4"/>
      <c r="BB4"/>
      <c r="BC4"/>
      <c r="BD4"/>
      <c r="BE4"/>
      <c r="BF4"/>
      <c r="BG4"/>
      <c r="BH4"/>
      <c r="BI4"/>
      <c r="BJ4"/>
      <c r="BV4" s="420"/>
      <c r="BW4" s="420"/>
      <c r="BX4" s="420"/>
      <c r="BY4" s="420"/>
      <c r="BZ4" s="420"/>
      <c r="CA4" s="420"/>
      <c r="CB4" s="420"/>
      <c r="CC4" s="420"/>
      <c r="CD4" s="420"/>
      <c r="CE4" s="420"/>
      <c r="CF4" s="420"/>
      <c r="CG4" s="420"/>
      <c r="CH4" s="420"/>
      <c r="CI4" s="420"/>
      <c r="CJ4" s="420"/>
      <c r="CK4" s="420"/>
      <c r="CL4" s="420"/>
      <c r="CM4" s="420"/>
      <c r="CN4" s="420"/>
      <c r="CO4" s="420"/>
      <c r="CP4" s="420"/>
      <c r="CQ4" s="420"/>
      <c r="CR4" s="420"/>
      <c r="CS4" s="420"/>
      <c r="CT4" s="420"/>
      <c r="CU4" s="420"/>
      <c r="CV4" s="420"/>
      <c r="CW4" s="420"/>
      <c r="CX4" s="420"/>
      <c r="CY4" s="420"/>
      <c r="CZ4" s="420"/>
      <c r="DA4" s="420"/>
      <c r="DB4" s="420"/>
      <c r="DC4" s="420"/>
      <c r="DD4" s="420"/>
      <c r="DE4" s="420"/>
      <c r="DF4" s="420"/>
      <c r="DG4" s="420"/>
      <c r="DH4" s="420"/>
      <c r="DI4" s="420"/>
      <c r="DJ4" s="420"/>
      <c r="DK4" s="420"/>
      <c r="DL4" s="420"/>
      <c r="DM4" s="420"/>
      <c r="DN4" s="420"/>
      <c r="DO4" s="420"/>
      <c r="DP4" s="420"/>
      <c r="DQ4" s="420"/>
    </row>
    <row r="5" spans="1:122" ht="14.65" customHeight="1">
      <c r="A5" s="96" t="s">
        <v>180</v>
      </c>
      <c r="B5" s="23">
        <v>2020</v>
      </c>
      <c r="C5" s="220">
        <v>2018</v>
      </c>
      <c r="D5" s="483"/>
      <c r="E5" s="192">
        <v>2010</v>
      </c>
      <c r="F5" s="239">
        <v>1995</v>
      </c>
      <c r="G5" s="9"/>
      <c r="H5" s="9"/>
      <c r="J5" s="1475" t="s">
        <v>427</v>
      </c>
      <c r="K5" s="1476"/>
      <c r="L5" s="1476"/>
      <c r="M5" s="1476"/>
      <c r="N5" s="1476"/>
      <c r="O5" s="1476"/>
      <c r="P5" s="1476"/>
      <c r="Q5" s="1476"/>
      <c r="R5" s="1476"/>
      <c r="S5" s="1476"/>
      <c r="T5" s="1476"/>
      <c r="U5" s="1476"/>
      <c r="V5" s="1476"/>
      <c r="W5" s="1476"/>
      <c r="X5" s="1476"/>
      <c r="Y5" s="1477"/>
      <c r="Z5" s="13"/>
      <c r="AC5" s="1484" t="s">
        <v>428</v>
      </c>
      <c r="AD5" s="1485"/>
      <c r="AE5" s="1485"/>
      <c r="AF5" s="1485"/>
      <c r="AG5" s="1485"/>
      <c r="AH5" s="1485"/>
      <c r="AI5" s="1485"/>
      <c r="AJ5" s="1485"/>
      <c r="AK5" s="1485"/>
      <c r="AL5" s="1485"/>
      <c r="AM5" s="1485"/>
      <c r="AN5" s="1485"/>
      <c r="AO5" s="1485"/>
      <c r="AP5" s="1485"/>
      <c r="AQ5" s="1485"/>
      <c r="AR5" s="1485"/>
      <c r="AS5" s="1485"/>
      <c r="AT5" s="1486"/>
      <c r="AU5" s="617"/>
      <c r="AV5" s="617"/>
      <c r="AW5" s="617"/>
      <c r="AX5" s="20"/>
      <c r="AY5" s="20"/>
      <c r="AZ5" s="1493" t="s">
        <v>96</v>
      </c>
      <c r="BA5" s="1494"/>
      <c r="BB5" s="1494"/>
      <c r="BC5" s="1494"/>
      <c r="BD5" s="1494"/>
      <c r="BE5" s="1494"/>
      <c r="BF5" s="1494"/>
      <c r="BG5" s="1494"/>
      <c r="BH5" s="1494"/>
      <c r="BI5" s="1494"/>
      <c r="BJ5" s="1494"/>
      <c r="BK5" s="1494"/>
      <c r="BL5" s="1494"/>
      <c r="BM5" s="1494"/>
      <c r="BN5" s="1494"/>
      <c r="BO5" s="1494"/>
      <c r="BP5" s="1494"/>
      <c r="BQ5" s="1495"/>
      <c r="BR5" s="617"/>
      <c r="BS5" s="617"/>
      <c r="BT5" s="617"/>
      <c r="BV5" s="420"/>
      <c r="BW5" s="420"/>
      <c r="BX5" s="420"/>
      <c r="BY5" s="1459" t="s">
        <v>99</v>
      </c>
      <c r="BZ5" s="1460"/>
      <c r="CA5" s="1460"/>
      <c r="CB5" s="1460"/>
      <c r="CC5" s="1460"/>
      <c r="CD5" s="1460"/>
      <c r="CE5" s="1460"/>
      <c r="CF5" s="1460"/>
      <c r="CG5" s="1460"/>
      <c r="CH5" s="1460"/>
      <c r="CI5" s="1460"/>
      <c r="CJ5" s="1460"/>
      <c r="CK5" s="1460"/>
      <c r="CL5" s="1460"/>
      <c r="CM5" s="1460"/>
      <c r="CN5" s="1460"/>
      <c r="CO5" s="1460"/>
      <c r="CP5" s="1461"/>
      <c r="CQ5" s="867"/>
      <c r="CR5" s="867"/>
      <c r="CS5" s="867"/>
      <c r="CT5" s="420"/>
      <c r="CU5" s="420"/>
      <c r="CV5" s="420"/>
      <c r="CW5" s="420"/>
      <c r="CX5" s="1459" t="s">
        <v>100</v>
      </c>
      <c r="CY5" s="1460"/>
      <c r="CZ5" s="1460"/>
      <c r="DA5" s="1460"/>
      <c r="DB5" s="1460"/>
      <c r="DC5" s="1460"/>
      <c r="DD5" s="1460"/>
      <c r="DE5" s="1460"/>
      <c r="DF5" s="1460"/>
      <c r="DG5" s="1460"/>
      <c r="DH5" s="1460"/>
      <c r="DI5" s="1460"/>
      <c r="DJ5" s="1460"/>
      <c r="DK5" s="1460"/>
      <c r="DL5" s="1460"/>
      <c r="DM5" s="1460"/>
      <c r="DN5" s="1460"/>
      <c r="DO5" s="1461"/>
      <c r="DP5" s="868"/>
      <c r="DQ5" s="868"/>
      <c r="DR5" s="740"/>
    </row>
    <row r="6" spans="1:122" ht="14.65" customHeight="1">
      <c r="A6" s="96" t="s">
        <v>183</v>
      </c>
      <c r="B6" s="231">
        <v>120000000</v>
      </c>
      <c r="C6" s="213">
        <v>97000000</v>
      </c>
      <c r="D6" s="484">
        <v>40000000</v>
      </c>
      <c r="E6" s="471">
        <v>237000000</v>
      </c>
      <c r="F6" s="472">
        <f>194000000</f>
        <v>194000000</v>
      </c>
      <c r="G6" s="211" t="s">
        <v>429</v>
      </c>
      <c r="H6" s="211"/>
      <c r="J6" s="1478"/>
      <c r="K6" s="1479"/>
      <c r="L6" s="1479"/>
      <c r="M6" s="1479"/>
      <c r="N6" s="1479"/>
      <c r="O6" s="1479"/>
      <c r="P6" s="1479"/>
      <c r="Q6" s="1479"/>
      <c r="R6" s="1479"/>
      <c r="S6" s="1479"/>
      <c r="T6" s="1479"/>
      <c r="U6" s="1479"/>
      <c r="V6" s="1479"/>
      <c r="W6" s="1479"/>
      <c r="X6" s="1479"/>
      <c r="Y6" s="1480"/>
      <c r="Z6" s="13"/>
      <c r="AC6" s="1487"/>
      <c r="AD6" s="1488"/>
      <c r="AE6" s="1488"/>
      <c r="AF6" s="1488"/>
      <c r="AG6" s="1488"/>
      <c r="AH6" s="1488"/>
      <c r="AI6" s="1488"/>
      <c r="AJ6" s="1488"/>
      <c r="AK6" s="1488"/>
      <c r="AL6" s="1488"/>
      <c r="AM6" s="1488"/>
      <c r="AN6" s="1488"/>
      <c r="AO6" s="1488"/>
      <c r="AP6" s="1488"/>
      <c r="AQ6" s="1488"/>
      <c r="AR6" s="1488"/>
      <c r="AS6" s="1488"/>
      <c r="AT6" s="1489"/>
      <c r="AU6" s="617"/>
      <c r="AV6" s="617"/>
      <c r="AW6" s="617"/>
      <c r="AX6" s="20"/>
      <c r="AY6" s="20"/>
      <c r="AZ6" s="1496"/>
      <c r="BA6" s="1497"/>
      <c r="BB6" s="1497"/>
      <c r="BC6" s="1497"/>
      <c r="BD6" s="1497"/>
      <c r="BE6" s="1497"/>
      <c r="BF6" s="1497"/>
      <c r="BG6" s="1497"/>
      <c r="BH6" s="1497"/>
      <c r="BI6" s="1497"/>
      <c r="BJ6" s="1497"/>
      <c r="BK6" s="1497"/>
      <c r="BL6" s="1497"/>
      <c r="BM6" s="1497"/>
      <c r="BN6" s="1497"/>
      <c r="BO6" s="1497"/>
      <c r="BP6" s="1497"/>
      <c r="BQ6" s="1498"/>
      <c r="BR6" s="617"/>
      <c r="BS6" s="617"/>
      <c r="BT6" s="617"/>
      <c r="BV6" s="420"/>
      <c r="BW6" s="420"/>
      <c r="BX6" s="420"/>
      <c r="BY6" s="1462"/>
      <c r="BZ6" s="1463"/>
      <c r="CA6" s="1463"/>
      <c r="CB6" s="1463"/>
      <c r="CC6" s="1463"/>
      <c r="CD6" s="1463"/>
      <c r="CE6" s="1463"/>
      <c r="CF6" s="1463"/>
      <c r="CG6" s="1463"/>
      <c r="CH6" s="1463"/>
      <c r="CI6" s="1463"/>
      <c r="CJ6" s="1463"/>
      <c r="CK6" s="1463"/>
      <c r="CL6" s="1463"/>
      <c r="CM6" s="1463"/>
      <c r="CN6" s="1463"/>
      <c r="CO6" s="1463"/>
      <c r="CP6" s="1464"/>
      <c r="CQ6" s="867"/>
      <c r="CR6" s="867"/>
      <c r="CS6" s="867"/>
      <c r="CT6" s="420"/>
      <c r="CU6" s="420"/>
      <c r="CV6" s="420"/>
      <c r="CW6" s="420"/>
      <c r="CX6" s="1462"/>
      <c r="CY6" s="1463"/>
      <c r="CZ6" s="1463"/>
      <c r="DA6" s="1463"/>
      <c r="DB6" s="1463"/>
      <c r="DC6" s="1463"/>
      <c r="DD6" s="1463"/>
      <c r="DE6" s="1463"/>
      <c r="DF6" s="1463"/>
      <c r="DG6" s="1463"/>
      <c r="DH6" s="1463"/>
      <c r="DI6" s="1463"/>
      <c r="DJ6" s="1463"/>
      <c r="DK6" s="1463"/>
      <c r="DL6" s="1463"/>
      <c r="DM6" s="1463"/>
      <c r="DN6" s="1463"/>
      <c r="DO6" s="1464"/>
      <c r="DP6" s="868"/>
      <c r="DQ6" s="868"/>
      <c r="DR6" s="740"/>
    </row>
    <row r="7" spans="1:122" ht="15" customHeight="1" thickBot="1">
      <c r="A7" s="230" t="s">
        <v>114</v>
      </c>
      <c r="B7" s="393">
        <v>8750000</v>
      </c>
      <c r="C7" s="393">
        <v>8750000</v>
      </c>
      <c r="D7" s="485"/>
      <c r="E7" s="462">
        <v>5970000</v>
      </c>
      <c r="F7" s="393">
        <v>8000000</v>
      </c>
      <c r="G7" s="211"/>
      <c r="H7" s="211"/>
      <c r="J7" s="1481"/>
      <c r="K7" s="1482"/>
      <c r="L7" s="1482"/>
      <c r="M7" s="1482"/>
      <c r="N7" s="1482"/>
      <c r="O7" s="1482"/>
      <c r="P7" s="1482"/>
      <c r="Q7" s="1482"/>
      <c r="R7" s="1482"/>
      <c r="S7" s="1482"/>
      <c r="T7" s="1482"/>
      <c r="U7" s="1482"/>
      <c r="V7" s="1482"/>
      <c r="W7" s="1482"/>
      <c r="X7" s="1482"/>
      <c r="Y7" s="1483"/>
      <c r="Z7" s="13"/>
      <c r="AC7" s="1490"/>
      <c r="AD7" s="1491"/>
      <c r="AE7" s="1491"/>
      <c r="AF7" s="1491"/>
      <c r="AG7" s="1491"/>
      <c r="AH7" s="1491"/>
      <c r="AI7" s="1491"/>
      <c r="AJ7" s="1491"/>
      <c r="AK7" s="1491"/>
      <c r="AL7" s="1491"/>
      <c r="AM7" s="1491"/>
      <c r="AN7" s="1491"/>
      <c r="AO7" s="1491"/>
      <c r="AP7" s="1491"/>
      <c r="AQ7" s="1491"/>
      <c r="AR7" s="1491"/>
      <c r="AS7" s="1491"/>
      <c r="AT7" s="1492"/>
      <c r="AU7" s="617"/>
      <c r="AV7" s="617"/>
      <c r="AW7" s="617"/>
      <c r="AX7" s="20"/>
      <c r="AY7" s="20"/>
      <c r="AZ7" s="1499"/>
      <c r="BA7" s="1500"/>
      <c r="BB7" s="1500"/>
      <c r="BC7" s="1500"/>
      <c r="BD7" s="1500"/>
      <c r="BE7" s="1500"/>
      <c r="BF7" s="1500"/>
      <c r="BG7" s="1500"/>
      <c r="BH7" s="1500"/>
      <c r="BI7" s="1500"/>
      <c r="BJ7" s="1500"/>
      <c r="BK7" s="1500"/>
      <c r="BL7" s="1500"/>
      <c r="BM7" s="1500"/>
      <c r="BN7" s="1500"/>
      <c r="BO7" s="1500"/>
      <c r="BP7" s="1500"/>
      <c r="BQ7" s="1501"/>
      <c r="BR7" s="617"/>
      <c r="BS7" s="617"/>
      <c r="BT7" s="617"/>
      <c r="BV7" s="420"/>
      <c r="BW7" s="420"/>
      <c r="BX7" s="420"/>
      <c r="BY7" s="1469"/>
      <c r="BZ7" s="1470"/>
      <c r="CA7" s="1470"/>
      <c r="CB7" s="1470"/>
      <c r="CC7" s="1470"/>
      <c r="CD7" s="1470"/>
      <c r="CE7" s="1470"/>
      <c r="CF7" s="1470"/>
      <c r="CG7" s="1470"/>
      <c r="CH7" s="1470"/>
      <c r="CI7" s="1470"/>
      <c r="CJ7" s="1470"/>
      <c r="CK7" s="1470"/>
      <c r="CL7" s="1470"/>
      <c r="CM7" s="1470"/>
      <c r="CN7" s="1470"/>
      <c r="CO7" s="1470"/>
      <c r="CP7" s="1471"/>
      <c r="CQ7" s="867"/>
      <c r="CR7" s="867"/>
      <c r="CS7" s="867"/>
      <c r="CT7" s="420"/>
      <c r="CU7" s="420"/>
      <c r="CV7" s="420"/>
      <c r="CW7" s="420"/>
      <c r="CX7" s="1465"/>
      <c r="CY7" s="1466"/>
      <c r="CZ7" s="1466"/>
      <c r="DA7" s="1466"/>
      <c r="DB7" s="1466"/>
      <c r="DC7" s="1466"/>
      <c r="DD7" s="1466"/>
      <c r="DE7" s="1466"/>
      <c r="DF7" s="1466"/>
      <c r="DG7" s="1466"/>
      <c r="DH7" s="1466"/>
      <c r="DI7" s="1466"/>
      <c r="DJ7" s="1466"/>
      <c r="DK7" s="1466"/>
      <c r="DL7" s="1466"/>
      <c r="DM7" s="1466"/>
      <c r="DN7" s="1466"/>
      <c r="DO7" s="1467"/>
      <c r="DP7" s="868"/>
      <c r="DQ7" s="868"/>
      <c r="DR7" s="740"/>
    </row>
    <row r="8" spans="1:122">
      <c r="A8" s="470" t="s">
        <v>186</v>
      </c>
      <c r="B8" s="227">
        <v>245000</v>
      </c>
      <c r="C8" s="227">
        <v>200000</v>
      </c>
      <c r="D8" s="461">
        <f t="shared" ref="D8" si="1">((12*D1)/((1-1/((1+$B87)^(12*$B88)))*(1/$B87)))/12</f>
        <v>668565.23827896581</v>
      </c>
      <c r="E8" s="227">
        <f>((12*E1)/((1-1/((1+$B87)^(12*$B88)))*(1/$B87)))/12</f>
        <v>3993255.02078067</v>
      </c>
      <c r="F8" s="227">
        <f>((12*F1)/((1-1/((1+$B87)^(12*$B88)))*(1/$B87)))/12</f>
        <v>3285430.4964105021</v>
      </c>
      <c r="G8" s="211"/>
      <c r="H8" s="211"/>
      <c r="I8" s="22" t="s">
        <v>430</v>
      </c>
      <c r="J8" s="400" t="s">
        <v>247</v>
      </c>
      <c r="K8" s="401" t="str" cm="1">
        <f t="array" ref="K8:Y9">TRANSPOSE('Block time &amp; Fuel'!B3:C17)</f>
        <v>PLM-SUB</v>
      </c>
      <c r="L8" s="402" t="str">
        <v>SUB-CGK</v>
      </c>
      <c r="M8" s="401" t="str">
        <v>CGK-PKY</v>
      </c>
      <c r="N8" s="402" t="str">
        <v>PKY-CGK</v>
      </c>
      <c r="O8" s="401" t="str">
        <v>CGK-PLM</v>
      </c>
      <c r="P8" s="402" t="str">
        <v>MDC-SRG</v>
      </c>
      <c r="Q8" s="403" t="str">
        <v>SRG-KDI</v>
      </c>
      <c r="R8" s="404" t="str">
        <v>KDI-PNK</v>
      </c>
      <c r="S8" s="404" t="str">
        <v>PNK-MDC</v>
      </c>
      <c r="T8" s="404" t="str">
        <v>TTE-KNO</v>
      </c>
      <c r="U8" s="404" t="str">
        <v>KNO-PKU</v>
      </c>
      <c r="V8" s="404" t="str">
        <v>PKU-BDO</v>
      </c>
      <c r="W8" s="404" t="str">
        <v>BDO-TTE</v>
      </c>
      <c r="X8" s="405" t="str">
        <v>LOP-TIM</v>
      </c>
      <c r="Y8" s="406" t="str">
        <v>TIM-AMQ</v>
      </c>
      <c r="Z8" s="29"/>
      <c r="AC8" s="648" t="s">
        <v>247</v>
      </c>
      <c r="AD8" s="643" t="str" cm="1">
        <f t="array" ref="AD8:AT9">_xlfn.ANCHORARRAY(BA8)</f>
        <v>PLM-SUB</v>
      </c>
      <c r="AE8" s="643" t="str">
        <v>SUB-CGK</v>
      </c>
      <c r="AF8" s="643" t="str">
        <v>CGK-PKY</v>
      </c>
      <c r="AG8" s="643" t="str">
        <v>PKY-CGK</v>
      </c>
      <c r="AH8" s="643" t="str">
        <v>CGK-PLM</v>
      </c>
      <c r="AI8" s="643" t="str">
        <v>MDC-SRG</v>
      </c>
      <c r="AJ8" s="643" t="str">
        <v>SRG-KDI</v>
      </c>
      <c r="AK8" s="643" t="str">
        <v>KDI-PNK</v>
      </c>
      <c r="AL8" s="644" t="str">
        <v>PNK-MDC</v>
      </c>
      <c r="AM8" s="644" t="str">
        <v>TTE-KNO</v>
      </c>
      <c r="AN8" s="644" t="str">
        <v>KNO-PKU</v>
      </c>
      <c r="AO8" s="644" t="str">
        <v>PKU-BDO</v>
      </c>
      <c r="AP8" s="644" t="str">
        <v>BDO-TTE</v>
      </c>
      <c r="AQ8" s="644" t="str">
        <v>LOP-TIM</v>
      </c>
      <c r="AR8" s="644" t="str">
        <v>TIM-AMQ</v>
      </c>
      <c r="AS8" s="644" t="str">
        <v>AMQ-CGK</v>
      </c>
      <c r="AT8" s="649" t="str">
        <v>CGK-LOP</v>
      </c>
      <c r="AU8" s="29"/>
      <c r="AV8" s="29"/>
      <c r="AW8" s="29"/>
      <c r="AX8" s="29"/>
      <c r="AY8" s="29"/>
      <c r="AZ8" s="648" t="s">
        <v>247</v>
      </c>
      <c r="BA8" s="643" t="str" cm="1">
        <f t="array" ref="BA8:BQ9">TRANSPOSE('Block time &amp; Fuel'!B3:C19)</f>
        <v>PLM-SUB</v>
      </c>
      <c r="BB8" s="643" t="str">
        <v>SUB-CGK</v>
      </c>
      <c r="BC8" s="643" t="str">
        <v>CGK-PKY</v>
      </c>
      <c r="BD8" s="643" t="str">
        <v>PKY-CGK</v>
      </c>
      <c r="BE8" s="643" t="str">
        <v>CGK-PLM</v>
      </c>
      <c r="BF8" s="643" t="str">
        <v>MDC-SRG</v>
      </c>
      <c r="BG8" s="643" t="str">
        <v>SRG-KDI</v>
      </c>
      <c r="BH8" s="643" t="str">
        <v>KDI-PNK</v>
      </c>
      <c r="BI8" s="644" t="str">
        <v>PNK-MDC</v>
      </c>
      <c r="BJ8" s="644" t="str">
        <v>TTE-KNO</v>
      </c>
      <c r="BK8" s="644" t="str">
        <v>KNO-PKU</v>
      </c>
      <c r="BL8" s="644" t="str">
        <v>PKU-BDO</v>
      </c>
      <c r="BM8" s="644" t="str">
        <v>BDO-TTE</v>
      </c>
      <c r="BN8" s="644" t="str">
        <v>LOP-TIM</v>
      </c>
      <c r="BO8" s="644" t="str">
        <v>TIM-AMQ</v>
      </c>
      <c r="BP8" s="644" t="str">
        <v>AMQ-CGK</v>
      </c>
      <c r="BQ8" s="649" t="str">
        <v>CGK-LOP</v>
      </c>
      <c r="BR8" s="29"/>
      <c r="BS8" s="29"/>
      <c r="BT8" s="29"/>
      <c r="BV8" s="420"/>
      <c r="BW8" s="420"/>
      <c r="BX8" s="420"/>
      <c r="BY8" s="869" t="s">
        <v>247</v>
      </c>
      <c r="BZ8" s="404" t="str" cm="1">
        <f t="array" ref="BZ8:CP9">TRANSPOSE('Block time &amp; Fuel'!B3:C19)</f>
        <v>PLM-SUB</v>
      </c>
      <c r="CA8" s="404" t="str">
        <v>SUB-CGK</v>
      </c>
      <c r="CB8" s="404" t="str">
        <v>CGK-PKY</v>
      </c>
      <c r="CC8" s="404" t="str">
        <v>PKY-CGK</v>
      </c>
      <c r="CD8" s="404" t="str">
        <v>CGK-PLM</v>
      </c>
      <c r="CE8" s="404" t="str">
        <v>MDC-SRG</v>
      </c>
      <c r="CF8" s="404" t="str">
        <v>SRG-KDI</v>
      </c>
      <c r="CG8" s="870" t="str">
        <v>KDI-PNK</v>
      </c>
      <c r="CH8" s="405" t="str">
        <v>PNK-MDC</v>
      </c>
      <c r="CI8" s="405" t="str">
        <v>TTE-KNO</v>
      </c>
      <c r="CJ8" s="405" t="str">
        <v>KNO-PKU</v>
      </c>
      <c r="CK8" s="405" t="str">
        <v>PKU-BDO</v>
      </c>
      <c r="CL8" s="405" t="str">
        <v>BDO-TTE</v>
      </c>
      <c r="CM8" s="405" t="str">
        <v>LOP-TIM</v>
      </c>
      <c r="CN8" s="871" t="str">
        <v>TIM-AMQ</v>
      </c>
      <c r="CO8" s="405" t="str">
        <v>AMQ-CGK</v>
      </c>
      <c r="CP8" s="872" t="str">
        <v>CGK-LOP</v>
      </c>
      <c r="CQ8" s="419"/>
      <c r="CR8" s="419"/>
      <c r="CS8" s="420"/>
      <c r="CT8" s="420"/>
      <c r="CU8" s="420"/>
      <c r="CV8" s="420"/>
      <c r="CW8" s="420"/>
      <c r="CX8" s="836" t="s">
        <v>247</v>
      </c>
      <c r="CY8" s="837" t="str" cm="1">
        <f t="array" ref="CY8:DO9">TRANSPOSE('Block time &amp; Fuel'!B3:C19)</f>
        <v>PLM-SUB</v>
      </c>
      <c r="CZ8" s="837" t="str">
        <v>SUB-CGK</v>
      </c>
      <c r="DA8" s="837" t="str">
        <v>CGK-PKY</v>
      </c>
      <c r="DB8" s="837" t="str">
        <v>PKY-CGK</v>
      </c>
      <c r="DC8" s="837" t="str">
        <v>CGK-PLM</v>
      </c>
      <c r="DD8" s="837" t="str">
        <v>MDC-SRG</v>
      </c>
      <c r="DE8" s="837" t="str">
        <v>SRG-KDI</v>
      </c>
      <c r="DF8" s="873" t="str">
        <v>KDI-PNK</v>
      </c>
      <c r="DG8" s="838" t="str">
        <v>PNK-MDC</v>
      </c>
      <c r="DH8" s="838" t="str">
        <v>TTE-KNO</v>
      </c>
      <c r="DI8" s="838" t="str">
        <v>KNO-PKU</v>
      </c>
      <c r="DJ8" s="838" t="str">
        <v>PKU-BDO</v>
      </c>
      <c r="DK8" s="838" t="str">
        <v>BDO-TTE</v>
      </c>
      <c r="DL8" s="838" t="str">
        <v>LOP-TIM</v>
      </c>
      <c r="DM8" s="874" t="str">
        <v>TIM-AMQ</v>
      </c>
      <c r="DN8" s="838" t="str">
        <v>AMQ-CGK</v>
      </c>
      <c r="DO8" s="839" t="str">
        <v>CGK-LOP</v>
      </c>
      <c r="DP8" s="419"/>
      <c r="DQ8" s="419"/>
      <c r="DR8" s="29"/>
    </row>
    <row r="9" spans="1:122">
      <c r="A9" s="230" t="s">
        <v>119</v>
      </c>
      <c r="B9" s="473">
        <v>93500</v>
      </c>
      <c r="C9" s="34">
        <v>79000</v>
      </c>
      <c r="D9" s="461">
        <v>103000</v>
      </c>
      <c r="E9" s="227">
        <v>233000</v>
      </c>
      <c r="F9" s="227">
        <v>186800</v>
      </c>
      <c r="G9" s="211"/>
      <c r="H9" s="211"/>
      <c r="J9" s="407" t="s">
        <v>431</v>
      </c>
      <c r="K9" s="408">
        <v>1024</v>
      </c>
      <c r="L9" s="409">
        <v>692</v>
      </c>
      <c r="M9" s="408">
        <v>917</v>
      </c>
      <c r="N9" s="409">
        <v>917</v>
      </c>
      <c r="O9" s="408">
        <v>418</v>
      </c>
      <c r="P9" s="409">
        <v>1871</v>
      </c>
      <c r="Q9" s="410">
        <v>1372</v>
      </c>
      <c r="R9" s="411">
        <v>1511</v>
      </c>
      <c r="S9" s="411">
        <v>1738.0871999999999</v>
      </c>
      <c r="T9" s="411">
        <v>3185</v>
      </c>
      <c r="U9" s="411">
        <v>453</v>
      </c>
      <c r="V9" s="411">
        <v>930</v>
      </c>
      <c r="W9" s="411">
        <v>2428</v>
      </c>
      <c r="X9" s="412">
        <v>2326</v>
      </c>
      <c r="Y9" s="413">
        <v>981</v>
      </c>
      <c r="Z9" s="29"/>
      <c r="AC9" s="650" t="s">
        <v>431</v>
      </c>
      <c r="AD9" s="1248">
        <v>1024</v>
      </c>
      <c r="AE9" s="1249">
        <v>692</v>
      </c>
      <c r="AF9" s="1249">
        <v>917</v>
      </c>
      <c r="AG9" s="1249">
        <v>917</v>
      </c>
      <c r="AH9" s="1249">
        <v>418</v>
      </c>
      <c r="AI9" s="1249">
        <v>1871</v>
      </c>
      <c r="AJ9" s="1249">
        <v>1372</v>
      </c>
      <c r="AK9" s="1249">
        <v>1511</v>
      </c>
      <c r="AL9" s="1080">
        <v>1738.0871999999999</v>
      </c>
      <c r="AM9" s="1080">
        <v>3185</v>
      </c>
      <c r="AN9" s="1080">
        <v>453</v>
      </c>
      <c r="AO9" s="1080">
        <v>930</v>
      </c>
      <c r="AP9" s="1080">
        <v>2428</v>
      </c>
      <c r="AQ9" s="1080">
        <v>2326</v>
      </c>
      <c r="AR9" s="1080">
        <v>981</v>
      </c>
      <c r="AS9" s="1080">
        <v>2392</v>
      </c>
      <c r="AT9" s="1081">
        <v>1101</v>
      </c>
      <c r="AU9" s="618"/>
      <c r="AV9" s="618"/>
      <c r="AW9" s="29"/>
      <c r="AX9" s="29"/>
      <c r="AY9" s="29"/>
      <c r="AZ9" s="650" t="s">
        <v>431</v>
      </c>
      <c r="BA9" s="1248">
        <v>1024</v>
      </c>
      <c r="BB9" s="1249">
        <v>692</v>
      </c>
      <c r="BC9" s="1249">
        <v>917</v>
      </c>
      <c r="BD9" s="1249">
        <v>917</v>
      </c>
      <c r="BE9" s="1249">
        <v>418</v>
      </c>
      <c r="BF9" s="1249">
        <v>1871</v>
      </c>
      <c r="BG9" s="1249">
        <v>1372</v>
      </c>
      <c r="BH9" s="1249">
        <v>1511</v>
      </c>
      <c r="BI9" s="1080">
        <v>1738.0871999999999</v>
      </c>
      <c r="BJ9" s="1080">
        <v>3185</v>
      </c>
      <c r="BK9" s="1080">
        <v>453</v>
      </c>
      <c r="BL9" s="1080">
        <v>930</v>
      </c>
      <c r="BM9" s="1080">
        <v>2428</v>
      </c>
      <c r="BN9" s="1080">
        <v>2326</v>
      </c>
      <c r="BO9" s="1080">
        <v>981</v>
      </c>
      <c r="BP9" s="1080">
        <v>2392</v>
      </c>
      <c r="BQ9" s="1081">
        <v>1101</v>
      </c>
      <c r="BR9" s="29"/>
      <c r="BS9" s="29"/>
      <c r="BT9" s="29"/>
      <c r="BV9" s="420"/>
      <c r="BW9" s="420"/>
      <c r="BX9" s="420"/>
      <c r="BY9" s="875" t="s">
        <v>431</v>
      </c>
      <c r="BZ9" s="840">
        <v>1024</v>
      </c>
      <c r="CA9" s="483">
        <v>692</v>
      </c>
      <c r="CB9" s="483">
        <v>917</v>
      </c>
      <c r="CC9" s="483">
        <v>917</v>
      </c>
      <c r="CD9" s="841">
        <v>418</v>
      </c>
      <c r="CE9" s="841">
        <v>1871</v>
      </c>
      <c r="CF9" s="841">
        <v>1372</v>
      </c>
      <c r="CG9" s="876">
        <v>1511</v>
      </c>
      <c r="CH9" s="412">
        <v>1738.0871999999999</v>
      </c>
      <c r="CI9" s="412">
        <v>3185</v>
      </c>
      <c r="CJ9" s="412">
        <v>453</v>
      </c>
      <c r="CK9" s="412">
        <v>930</v>
      </c>
      <c r="CL9" s="412">
        <v>2428</v>
      </c>
      <c r="CM9" s="412">
        <v>2326</v>
      </c>
      <c r="CN9" s="877">
        <v>981</v>
      </c>
      <c r="CO9" s="412">
        <v>2392</v>
      </c>
      <c r="CP9" s="842">
        <v>1101</v>
      </c>
      <c r="CQ9" s="878"/>
      <c r="CR9" s="878"/>
      <c r="CS9" s="420"/>
      <c r="CT9" s="420"/>
      <c r="CU9" s="420"/>
      <c r="CV9" s="420"/>
      <c r="CW9" s="420"/>
      <c r="CX9" s="875" t="s">
        <v>431</v>
      </c>
      <c r="CY9" s="840">
        <v>1024</v>
      </c>
      <c r="CZ9" s="483">
        <v>692</v>
      </c>
      <c r="DA9" s="483">
        <v>917</v>
      </c>
      <c r="DB9" s="483">
        <v>917</v>
      </c>
      <c r="DC9" s="841">
        <v>418</v>
      </c>
      <c r="DD9" s="841">
        <v>1871</v>
      </c>
      <c r="DE9" s="841">
        <v>1372</v>
      </c>
      <c r="DF9" s="876">
        <v>1511</v>
      </c>
      <c r="DG9" s="412">
        <v>1738.0871999999999</v>
      </c>
      <c r="DH9" s="412">
        <v>3185</v>
      </c>
      <c r="DI9" s="412">
        <v>453</v>
      </c>
      <c r="DJ9" s="412">
        <v>930</v>
      </c>
      <c r="DK9" s="412">
        <v>2428</v>
      </c>
      <c r="DL9" s="412">
        <v>2326</v>
      </c>
      <c r="DM9" s="877">
        <v>981</v>
      </c>
      <c r="DN9" s="879">
        <v>2392</v>
      </c>
      <c r="DO9" s="880">
        <v>1101</v>
      </c>
      <c r="DP9" s="419"/>
      <c r="DQ9" s="419"/>
      <c r="DR9" s="29"/>
    </row>
    <row r="10" spans="1:122">
      <c r="A10" s="230" t="s">
        <v>121</v>
      </c>
      <c r="B10" s="473">
        <v>48500</v>
      </c>
      <c r="C10" s="34">
        <v>41410</v>
      </c>
      <c r="D10" s="461">
        <v>59300</v>
      </c>
      <c r="E10" s="227">
        <v>119600</v>
      </c>
      <c r="F10" s="227">
        <v>87180</v>
      </c>
      <c r="G10" s="211"/>
      <c r="H10" s="211"/>
      <c r="J10" s="407" t="s">
        <v>432</v>
      </c>
      <c r="K10" s="408" cm="1">
        <f t="array" ref="K10:Y10">TRANSPOSE('Block time &amp; Fuel'!H3:H17)</f>
        <v>1.7047058823529411</v>
      </c>
      <c r="L10" s="409">
        <v>1.3141176470588234</v>
      </c>
      <c r="M10" s="408">
        <v>1.5788235294117647</v>
      </c>
      <c r="N10" s="409">
        <v>1.5788235294117647</v>
      </c>
      <c r="O10" s="408">
        <v>0.99176470588235288</v>
      </c>
      <c r="P10" s="409">
        <v>2.7011764705882353</v>
      </c>
      <c r="Q10" s="410">
        <v>2.1141176470588237</v>
      </c>
      <c r="R10" s="411">
        <v>2.2776470588235291</v>
      </c>
      <c r="S10" s="411">
        <v>2.5448084705882352</v>
      </c>
      <c r="T10" s="411">
        <v>4.2470588235294118</v>
      </c>
      <c r="U10" s="411">
        <v>1.0329411764705883</v>
      </c>
      <c r="V10" s="411">
        <v>1.5941176470588236</v>
      </c>
      <c r="W10" s="411">
        <v>3.3564705882352941</v>
      </c>
      <c r="X10" s="412">
        <v>3.236470588235294</v>
      </c>
      <c r="Y10" s="413">
        <v>1.6541176470588235</v>
      </c>
      <c r="Z10" s="29"/>
      <c r="AC10" s="650" t="s">
        <v>432</v>
      </c>
      <c r="AD10" s="311" cm="1">
        <f t="array" ref="AD10:AT10">TRANSPOSE('Block time &amp; Fuel'!F3:F19)</f>
        <v>1.8819909306845173</v>
      </c>
      <c r="AE10" s="312">
        <v>1.4339235586266463</v>
      </c>
      <c r="AF10" s="312">
        <v>1.7375836752321312</v>
      </c>
      <c r="AG10" s="312">
        <v>1.7375836752321312</v>
      </c>
      <c r="AH10" s="312">
        <v>1.0641330166270784</v>
      </c>
      <c r="AI10" s="312">
        <v>3.0251025696393867</v>
      </c>
      <c r="AJ10" s="312">
        <v>2.3516519110343337</v>
      </c>
      <c r="AK10" s="312">
        <v>2.5392463830706111</v>
      </c>
      <c r="AL10" s="590">
        <v>2.84572338587778</v>
      </c>
      <c r="AM10" s="590">
        <v>4.7984776506154176</v>
      </c>
      <c r="AN10" s="590">
        <v>1.1113690347657093</v>
      </c>
      <c r="AO10" s="590">
        <v>1.7551284819693369</v>
      </c>
      <c r="AP10" s="590">
        <v>3.7768300583027421</v>
      </c>
      <c r="AQ10" s="590">
        <v>3.639170805441589</v>
      </c>
      <c r="AR10" s="590">
        <v>1.8239581083999135</v>
      </c>
      <c r="AS10" s="590">
        <v>3.7282444396458647</v>
      </c>
      <c r="AT10" s="1082">
        <v>1.9859101705895055</v>
      </c>
      <c r="AU10" s="618"/>
      <c r="AV10" s="618"/>
      <c r="AW10" s="618"/>
      <c r="AX10" s="29"/>
      <c r="AY10" s="29"/>
      <c r="AZ10" s="650" t="s">
        <v>432</v>
      </c>
      <c r="BA10" s="311" cm="1">
        <f t="array" ref="BA10:BQ10">TRANSPOSE('Block time &amp; Fuel'!G3:G19)</f>
        <v>1.889416553595658</v>
      </c>
      <c r="BB10" s="312">
        <v>1.4389416553595658</v>
      </c>
      <c r="BC10" s="312">
        <v>1.7442333785617368</v>
      </c>
      <c r="BD10" s="312">
        <v>1.7442333785617368</v>
      </c>
      <c r="BE10" s="312">
        <v>1.0671641791044775</v>
      </c>
      <c r="BF10" s="312">
        <v>3.0386702849389415</v>
      </c>
      <c r="BG10" s="312">
        <v>2.3616010854816825</v>
      </c>
      <c r="BH10" s="312">
        <v>2.550203527815468</v>
      </c>
      <c r="BI10" s="590">
        <v>2.8583272727272728</v>
      </c>
      <c r="BJ10" s="590">
        <v>4.8215739484396201</v>
      </c>
      <c r="BK10" s="590">
        <v>1.1146540027137042</v>
      </c>
      <c r="BL10" s="590">
        <v>1.7618724559023067</v>
      </c>
      <c r="BM10" s="590">
        <v>3.794436906377205</v>
      </c>
      <c r="BN10" s="590">
        <v>3.6560379918588874</v>
      </c>
      <c r="BO10" s="590">
        <v>1.8310719131614654</v>
      </c>
      <c r="BP10" s="590">
        <v>3.7455902306648574</v>
      </c>
      <c r="BQ10" s="1082">
        <v>1.9938941655359566</v>
      </c>
      <c r="BR10" s="29"/>
      <c r="BS10" s="29"/>
      <c r="BT10" s="29"/>
      <c r="BV10" s="420"/>
      <c r="BW10" s="420"/>
      <c r="BX10" s="420"/>
      <c r="BY10" s="875" t="s">
        <v>432</v>
      </c>
      <c r="BZ10" s="843" cm="1">
        <f t="array" ref="BZ10:CP10">TRANSPOSE('Block time &amp; Fuel'!D3:D19)</f>
        <v>1.7745195658667727</v>
      </c>
      <c r="CA10" s="411">
        <v>1.361296425370905</v>
      </c>
      <c r="CB10" s="411">
        <v>1.6413422284178034</v>
      </c>
      <c r="CC10" s="411">
        <v>1.6413422284178034</v>
      </c>
      <c r="CD10" s="411">
        <v>1.0202628696604599</v>
      </c>
      <c r="CE10" s="411">
        <v>2.828736433336652</v>
      </c>
      <c r="CF10" s="411">
        <v>2.2076570745793092</v>
      </c>
      <c r="CG10" s="881">
        <v>2.3806631484616148</v>
      </c>
      <c r="CH10" s="412">
        <v>2.6633067808423774</v>
      </c>
      <c r="CI10" s="412">
        <v>4.4642039231305386</v>
      </c>
      <c r="CJ10" s="412">
        <v>1.063825550134422</v>
      </c>
      <c r="CK10" s="412">
        <v>1.6575226525938465</v>
      </c>
      <c r="CL10" s="412">
        <v>3.5220053768794184</v>
      </c>
      <c r="CM10" s="412">
        <v>3.3950512794981575</v>
      </c>
      <c r="CN10" s="877">
        <v>1.7209997012844767</v>
      </c>
      <c r="CO10" s="412">
        <v>3.4771980483919145</v>
      </c>
      <c r="CP10" s="842">
        <v>1.870357462909489</v>
      </c>
      <c r="CQ10" s="878"/>
      <c r="CR10" s="878"/>
      <c r="CS10" s="420"/>
      <c r="CT10" s="420"/>
      <c r="CU10" s="420"/>
      <c r="CV10" s="420"/>
      <c r="CW10" s="420"/>
      <c r="CX10" s="875" t="s">
        <v>432</v>
      </c>
      <c r="CY10" s="843" cm="1">
        <f t="array" ref="CY10:DO10">TRANSPOSE('Block time &amp; Fuel'!E3:E19)</f>
        <v>1.8641692422466163</v>
      </c>
      <c r="CZ10" s="411">
        <v>1.4218799957369712</v>
      </c>
      <c r="DA10" s="411">
        <v>1.7216242140040499</v>
      </c>
      <c r="DB10" s="411">
        <v>1.7216242140040499</v>
      </c>
      <c r="DC10" s="411">
        <v>1.0568581477139509</v>
      </c>
      <c r="DD10" s="411">
        <v>2.9925396994564637</v>
      </c>
      <c r="DE10" s="411">
        <v>2.3277736331663648</v>
      </c>
      <c r="DF10" s="881">
        <v>2.5129489502291378</v>
      </c>
      <c r="DG10" s="412">
        <v>2.8154737290845144</v>
      </c>
      <c r="DH10" s="412">
        <v>4.7430459341362035</v>
      </c>
      <c r="DI10" s="412">
        <v>1.103485026111052</v>
      </c>
      <c r="DJ10" s="412">
        <v>1.738942768837259</v>
      </c>
      <c r="DK10" s="412">
        <v>3.7345731642331876</v>
      </c>
      <c r="DL10" s="412">
        <v>3.5986891186187786</v>
      </c>
      <c r="DM10" s="877">
        <v>1.8068847916444635</v>
      </c>
      <c r="DN10" s="879">
        <v>3.6866140893104551</v>
      </c>
      <c r="DO10" s="880">
        <v>1.9667483747202388</v>
      </c>
      <c r="DP10" s="419"/>
      <c r="DQ10" s="419"/>
      <c r="DR10" s="29"/>
    </row>
    <row r="11" spans="1:122" ht="14.45">
      <c r="A11" s="230" t="s">
        <v>123</v>
      </c>
      <c r="B11" s="474">
        <v>77800</v>
      </c>
      <c r="C11" s="475">
        <v>66350</v>
      </c>
      <c r="D11" s="461">
        <v>88000</v>
      </c>
      <c r="E11" s="227">
        <v>187000</v>
      </c>
      <c r="F11" s="227">
        <v>147870</v>
      </c>
      <c r="G11" s="211"/>
      <c r="H11" s="211">
        <f>K11*((1+(D39/100))^5)</f>
        <v>5584.8247133713921</v>
      </c>
      <c r="J11" s="414" t="s">
        <v>433</v>
      </c>
      <c r="K11" s="409" cm="1">
        <f t="array" ref="K11:Y11">TRANSPOSE('Block time &amp; Fuel'!M3:M17)</f>
        <v>5058.3478103999987</v>
      </c>
      <c r="L11" s="409">
        <v>3499.8452567999993</v>
      </c>
      <c r="M11" s="409">
        <v>4556.0593368</v>
      </c>
      <c r="N11" s="409">
        <v>4556.0593368</v>
      </c>
      <c r="O11" s="409">
        <v>2213.6112215999992</v>
      </c>
      <c r="P11" s="409">
        <v>9034.4070359999987</v>
      </c>
      <c r="Q11" s="415">
        <v>6691.9589207999998</v>
      </c>
      <c r="R11" s="416">
        <v>7344.4645079999982</v>
      </c>
      <c r="S11" s="416">
        <v>8410.476499234559</v>
      </c>
      <c r="T11" s="412">
        <v>15202.697263199998</v>
      </c>
      <c r="U11" s="412">
        <v>2377.9111895999999</v>
      </c>
      <c r="V11" s="412">
        <v>4617.0850391999993</v>
      </c>
      <c r="W11" s="412">
        <v>11649.123669599998</v>
      </c>
      <c r="X11" s="412">
        <v>11170.306619999998</v>
      </c>
      <c r="Y11" s="413">
        <v>4856.4935639999985</v>
      </c>
      <c r="Z11" s="29"/>
      <c r="AC11" s="650" t="s">
        <v>433</v>
      </c>
      <c r="AD11" s="1248" cm="1">
        <f t="array" ref="AD11:AT11">TRANSPOSE('Block time &amp; Fuel'!K3:K19)</f>
        <v>4089.8322927086051</v>
      </c>
      <c r="AE11" s="1248">
        <v>2827.5986495576744</v>
      </c>
      <c r="AF11" s="1248">
        <v>3683.0280763918895</v>
      </c>
      <c r="AG11" s="1248">
        <v>3683.0280763918895</v>
      </c>
      <c r="AH11" s="1248">
        <v>1785.8757031017863</v>
      </c>
      <c r="AI11" s="1248">
        <v>7310.048846168962</v>
      </c>
      <c r="AJ11" s="1248">
        <v>5412.8964728788578</v>
      </c>
      <c r="AK11" s="1248">
        <v>5941.3617632342184</v>
      </c>
      <c r="AL11" s="1080">
        <v>6804.7265336226028</v>
      </c>
      <c r="AM11" s="1080">
        <v>12305.756698880778</v>
      </c>
      <c r="AN11" s="1080">
        <v>1918.9425028315529</v>
      </c>
      <c r="AO11" s="1080">
        <v>3732.4528877200883</v>
      </c>
      <c r="AP11" s="1080">
        <v>9427.7119161541086</v>
      </c>
      <c r="AQ11" s="1080">
        <v>9039.9172426559307</v>
      </c>
      <c r="AR11" s="1080">
        <v>3926.3502244691772</v>
      </c>
      <c r="AS11" s="1080">
        <v>9290.8432078606329</v>
      </c>
      <c r="AT11" s="1081">
        <v>4382.579252114092</v>
      </c>
      <c r="AU11" s="618"/>
      <c r="AV11" s="618"/>
      <c r="AW11" s="618"/>
      <c r="AX11" s="29"/>
      <c r="AY11" s="29"/>
      <c r="AZ11" s="650" t="s">
        <v>433</v>
      </c>
      <c r="BA11" s="1248" cm="1">
        <f t="array" ref="BA11:BQ11">TRANSPOSE('Block time &amp; Fuel'!L3:L19)</f>
        <v>3219.1105795346539</v>
      </c>
      <c r="BB11" s="1248">
        <v>2249.4054337214652</v>
      </c>
      <c r="BC11" s="1248">
        <v>2906.5851259141382</v>
      </c>
      <c r="BD11" s="1248">
        <v>2906.5851259141382</v>
      </c>
      <c r="BE11" s="1248">
        <v>1449.1066085623877</v>
      </c>
      <c r="BF11" s="1248">
        <v>5693.0270208110715</v>
      </c>
      <c r="BG11" s="1248">
        <v>4235.5485034593212</v>
      </c>
      <c r="BH11" s="1248">
        <v>4641.5395133027941</v>
      </c>
      <c r="BI11" s="1080">
        <v>5304.8154964001114</v>
      </c>
      <c r="BJ11" s="1080">
        <v>9530.9564232162811</v>
      </c>
      <c r="BK11" s="1080">
        <v>1551.3345606812481</v>
      </c>
      <c r="BL11" s="1080">
        <v>2944.5555081297152</v>
      </c>
      <c r="BM11" s="1080">
        <v>7319.9118588169331</v>
      </c>
      <c r="BN11" s="1080">
        <v>7021.9903983562554</v>
      </c>
      <c r="BO11" s="1080">
        <v>3093.5162383600541</v>
      </c>
      <c r="BP11" s="1080">
        <v>7214.7631080661058</v>
      </c>
      <c r="BQ11" s="1081">
        <v>3444.0120741961464</v>
      </c>
      <c r="BR11" s="29"/>
      <c r="BS11" s="29"/>
      <c r="BT11" s="29"/>
      <c r="BV11" s="420"/>
      <c r="BW11" s="420"/>
      <c r="BX11" s="420"/>
      <c r="BY11" s="875" t="s">
        <v>433</v>
      </c>
      <c r="BZ11" s="840" cm="1">
        <f t="array" ref="BZ11:CP11">TRANSPOSE('Block time &amp; Fuel'!I3:I19)</f>
        <v>8401.3336869497944</v>
      </c>
      <c r="CA11" s="840">
        <v>5950.0309100902914</v>
      </c>
      <c r="CB11" s="840">
        <v>7611.3053823595328</v>
      </c>
      <c r="CC11" s="840">
        <v>7611.3053823595328</v>
      </c>
      <c r="CD11" s="840">
        <v>3926.9677749713019</v>
      </c>
      <c r="CE11" s="840">
        <v>14655.109144781118</v>
      </c>
      <c r="CF11" s="840">
        <v>10970.771537392891</v>
      </c>
      <c r="CG11" s="882">
        <v>11997.069989150332</v>
      </c>
      <c r="CH11" s="412">
        <v>13673.755181768553</v>
      </c>
      <c r="CI11" s="412">
        <v>24356.952062833494</v>
      </c>
      <c r="CJ11" s="412">
        <v>4185.3882484354081</v>
      </c>
      <c r="CK11" s="412">
        <v>7707.2901296462005</v>
      </c>
      <c r="CL11" s="412">
        <v>18767.686393909866</v>
      </c>
      <c r="CM11" s="412">
        <v>18014.575299814474</v>
      </c>
      <c r="CN11" s="877">
        <v>8083.8456766938943</v>
      </c>
      <c r="CO11" s="412">
        <v>18501.882478346786</v>
      </c>
      <c r="CP11" s="842">
        <v>8969.8587285708236</v>
      </c>
      <c r="CQ11" s="878"/>
      <c r="CR11" s="878"/>
      <c r="CS11" s="420"/>
      <c r="CT11" s="420"/>
      <c r="CU11" s="420"/>
      <c r="CV11" s="420"/>
      <c r="CW11" s="420"/>
      <c r="CX11" s="875" t="s">
        <v>433</v>
      </c>
      <c r="CY11" s="840" cm="1">
        <f t="array" ref="CY11:DO11">TRANSPOSE('Block time &amp; Fuel'!J3:J19)</f>
        <v>8201.8644537354448</v>
      </c>
      <c r="CZ11" s="840">
        <v>5761.1878428434065</v>
      </c>
      <c r="DA11" s="840">
        <v>7415.2608472130096</v>
      </c>
      <c r="DB11" s="840">
        <v>7415.2608472130096</v>
      </c>
      <c r="DC11" s="840">
        <v>3746.8944952999768</v>
      </c>
      <c r="DD11" s="840">
        <v>14428.530385740132</v>
      </c>
      <c r="DE11" s="840">
        <v>10760.164033827099</v>
      </c>
      <c r="DF11" s="882">
        <v>11782.013578748767</v>
      </c>
      <c r="DG11" s="412">
        <v>13451.43049945046</v>
      </c>
      <c r="DH11" s="412">
        <v>24088.316731258619</v>
      </c>
      <c r="DI11" s="412">
        <v>4004.1947404241378</v>
      </c>
      <c r="DJ11" s="412">
        <v>7510.8295096876991</v>
      </c>
      <c r="DK11" s="412">
        <v>18523.280001001775</v>
      </c>
      <c r="DL11" s="412">
        <v>17773.433572354221</v>
      </c>
      <c r="DM11" s="877">
        <v>7885.7527240114759</v>
      </c>
      <c r="DN11" s="879">
        <v>18258.62832030264</v>
      </c>
      <c r="DO11" s="880">
        <v>8767.9249930085971</v>
      </c>
      <c r="DP11" s="419"/>
      <c r="DQ11" s="419"/>
      <c r="DR11" s="29"/>
    </row>
    <row r="12" spans="1:122" ht="14.65" customHeight="1">
      <c r="A12" s="479" t="s">
        <v>434</v>
      </c>
      <c r="B12" s="480">
        <v>26000</v>
      </c>
      <c r="C12" s="481">
        <f>20770-1800</f>
        <v>18970</v>
      </c>
      <c r="D12" s="461">
        <v>21000</v>
      </c>
      <c r="E12" s="482">
        <f>70000-5000</f>
        <v>65000</v>
      </c>
      <c r="F12" s="482">
        <f>52500-4000</f>
        <v>48500</v>
      </c>
      <c r="G12" s="211" t="s">
        <v>435</v>
      </c>
      <c r="H12" s="211">
        <f>H11*$B57/2.903</f>
        <v>3655.2418034466568</v>
      </c>
      <c r="J12" s="417"/>
      <c r="K12" s="418"/>
      <c r="L12" s="418"/>
      <c r="M12" s="418"/>
      <c r="N12" s="419"/>
      <c r="O12" s="419"/>
      <c r="P12" s="420"/>
      <c r="Q12" s="421"/>
      <c r="R12" s="422"/>
      <c r="S12" s="422"/>
      <c r="T12" s="421"/>
      <c r="U12" s="421"/>
      <c r="V12" s="421"/>
      <c r="W12" s="421"/>
      <c r="X12" s="420"/>
      <c r="Y12" s="423"/>
      <c r="AC12" s="650" t="s">
        <v>436</v>
      </c>
      <c r="AD12" s="1417">
        <f>SUM(AD10:AH10)*AD13</f>
        <v>2804.3117037356942</v>
      </c>
      <c r="AE12" s="1418"/>
      <c r="AF12" s="1418"/>
      <c r="AG12" s="1418"/>
      <c r="AH12" s="1419"/>
      <c r="AI12" s="1420">
        <f>SUM(AI10:AL10)*AI13</f>
        <v>3788.1269358669833</v>
      </c>
      <c r="AJ12" s="1421"/>
      <c r="AK12" s="1421"/>
      <c r="AL12" s="1422"/>
      <c r="AM12" s="1420">
        <f>SUM(AM10:AP10)*AM13</f>
        <v>4084.7244655581949</v>
      </c>
      <c r="AN12" s="1421"/>
      <c r="AO12" s="1421"/>
      <c r="AP12" s="1422"/>
      <c r="AQ12" s="1420">
        <f>SUM(AQ10:AT10)*AQ13</f>
        <v>3979.1129345713671</v>
      </c>
      <c r="AR12" s="1421"/>
      <c r="AS12" s="1421"/>
      <c r="AT12" s="1458"/>
      <c r="AU12" s="22" t="s">
        <v>437</v>
      </c>
      <c r="AV12" s="22" t="s">
        <v>438</v>
      </c>
      <c r="AW12" s="22" t="s">
        <v>439</v>
      </c>
      <c r="AZ12" s="650" t="s">
        <v>436</v>
      </c>
      <c r="BA12" s="1417">
        <f>SUM(BA10:BE10)*BA13</f>
        <v>2814.5841248303936</v>
      </c>
      <c r="BB12" s="1418"/>
      <c r="BC12" s="1418"/>
      <c r="BD12" s="1418"/>
      <c r="BE12" s="1419"/>
      <c r="BF12" s="1420">
        <f>SUM(BF10:BI10)*BF13</f>
        <v>3804.6983641791044</v>
      </c>
      <c r="BG12" s="1421"/>
      <c r="BH12" s="1421"/>
      <c r="BI12" s="1422"/>
      <c r="BJ12" s="1420">
        <f>SUM(BJ10:BM10)*BJ13</f>
        <v>4102.8358208955224</v>
      </c>
      <c r="BK12" s="1421"/>
      <c r="BL12" s="1421"/>
      <c r="BM12" s="1422"/>
      <c r="BN12" s="1420">
        <f>SUM(BN10:BQ10)*BN13</f>
        <v>3996.6675712347351</v>
      </c>
      <c r="BO12" s="1421"/>
      <c r="BP12" s="1421"/>
      <c r="BQ12" s="1458"/>
      <c r="BR12" s="616"/>
      <c r="BS12" s="616"/>
      <c r="BT12" s="616"/>
      <c r="BV12" s="420"/>
      <c r="BW12" s="420"/>
      <c r="BX12" s="420"/>
      <c r="BY12" s="875" t="s">
        <v>436</v>
      </c>
      <c r="BZ12" s="1455">
        <f>SUM(BZ10:CD10)*365</f>
        <v>2715.1486109728171</v>
      </c>
      <c r="CA12" s="1456"/>
      <c r="CB12" s="1456"/>
      <c r="CC12" s="1456"/>
      <c r="CD12" s="1457"/>
      <c r="CE12" s="1443">
        <f>SUM(CE10:CH10)*365</f>
        <v>3679.3326545852829</v>
      </c>
      <c r="CF12" s="1444"/>
      <c r="CG12" s="1444"/>
      <c r="CH12" s="1445"/>
      <c r="CI12" s="1448">
        <f>SUM(CI10:CL10)*365</f>
        <v>3908.2584884994526</v>
      </c>
      <c r="CJ12" s="1449"/>
      <c r="CK12" s="1449"/>
      <c r="CL12" s="1450"/>
      <c r="CM12" s="1448">
        <f>SUM(CM10:CP10)*365</f>
        <v>3819.2163696106741</v>
      </c>
      <c r="CN12" s="1449"/>
      <c r="CO12" s="1449"/>
      <c r="CP12" s="1451"/>
      <c r="CQ12" s="420"/>
      <c r="CR12" s="420"/>
      <c r="CS12" s="420"/>
      <c r="CT12" s="420"/>
      <c r="CU12" s="420"/>
      <c r="CV12" s="420"/>
      <c r="CW12" s="420"/>
      <c r="CX12" s="875" t="s">
        <v>436</v>
      </c>
      <c r="CY12" s="1446">
        <f>SUM(CY10:DC10)*365</f>
        <v>2841.9468720025579</v>
      </c>
      <c r="CZ12" s="1446"/>
      <c r="DA12" s="1446"/>
      <c r="DB12" s="1446"/>
      <c r="DC12" s="1446"/>
      <c r="DD12" s="1447">
        <f>SUM(DD10:DG10)*365</f>
        <v>3886.7886443568159</v>
      </c>
      <c r="DE12" s="1447"/>
      <c r="DF12" s="1447"/>
      <c r="DG12" s="1447"/>
      <c r="DH12" s="1448">
        <f>SUM(DH10:DL10)*365</f>
        <v>5445.3386443568152</v>
      </c>
      <c r="DI12" s="1449"/>
      <c r="DJ12" s="1449"/>
      <c r="DK12" s="1450"/>
      <c r="DL12" s="1448">
        <f>SUM(DM10:DR10)*365</f>
        <v>2722.9902483214323</v>
      </c>
      <c r="DM12" s="1449"/>
      <c r="DN12" s="1449"/>
      <c r="DO12" s="1451"/>
      <c r="DP12" s="420"/>
      <c r="DQ12" s="420"/>
    </row>
    <row r="13" spans="1:122" ht="13.9" thickBot="1">
      <c r="A13" s="230" t="s">
        <v>127</v>
      </c>
      <c r="B13" s="476">
        <v>3800</v>
      </c>
      <c r="C13" s="475">
        <v>3700</v>
      </c>
      <c r="D13" s="461">
        <v>4600</v>
      </c>
      <c r="E13" s="227">
        <v>7400</v>
      </c>
      <c r="F13" s="227">
        <v>6111.6</v>
      </c>
      <c r="G13" s="211"/>
      <c r="H13" s="211"/>
      <c r="J13" s="424"/>
      <c r="K13" s="419"/>
      <c r="L13" s="419"/>
      <c r="M13" s="420"/>
      <c r="N13" s="419"/>
      <c r="O13" s="419"/>
      <c r="P13" s="420"/>
      <c r="Q13" s="421"/>
      <c r="R13" s="421"/>
      <c r="S13" s="421"/>
      <c r="T13" s="421"/>
      <c r="U13" s="421"/>
      <c r="V13" s="421"/>
      <c r="W13" s="421"/>
      <c r="X13" s="420"/>
      <c r="Y13" s="423"/>
      <c r="AC13" s="651" t="s">
        <v>440</v>
      </c>
      <c r="AD13" s="1417">
        <v>357</v>
      </c>
      <c r="AE13" s="1418"/>
      <c r="AF13" s="1418"/>
      <c r="AG13" s="1418"/>
      <c r="AH13" s="1419"/>
      <c r="AI13" s="1420">
        <v>352</v>
      </c>
      <c r="AJ13" s="1421"/>
      <c r="AK13" s="1421"/>
      <c r="AL13" s="1422"/>
      <c r="AM13" s="1420">
        <v>357</v>
      </c>
      <c r="AN13" s="1421"/>
      <c r="AO13" s="1421"/>
      <c r="AP13" s="1422"/>
      <c r="AQ13" s="1420">
        <v>356</v>
      </c>
      <c r="AR13" s="1421"/>
      <c r="AS13" s="1421"/>
      <c r="AT13" s="1422"/>
      <c r="AU13" s="771">
        <v>0.4382613971652054</v>
      </c>
      <c r="AV13" s="770"/>
      <c r="AW13" s="742" t="s">
        <v>6</v>
      </c>
      <c r="AZ13" s="651" t="s">
        <v>440</v>
      </c>
      <c r="BA13" s="1417">
        <v>357</v>
      </c>
      <c r="BB13" s="1418"/>
      <c r="BC13" s="1418"/>
      <c r="BD13" s="1418"/>
      <c r="BE13" s="1419"/>
      <c r="BF13" s="1420">
        <v>352</v>
      </c>
      <c r="BG13" s="1421"/>
      <c r="BH13" s="1421"/>
      <c r="BI13" s="1422"/>
      <c r="BJ13" s="1420">
        <v>357</v>
      </c>
      <c r="BK13" s="1421"/>
      <c r="BL13" s="1421"/>
      <c r="BM13" s="1422"/>
      <c r="BN13" s="1420">
        <v>356</v>
      </c>
      <c r="BO13" s="1421"/>
      <c r="BP13" s="1421"/>
      <c r="BQ13" s="1422"/>
      <c r="BR13" s="29"/>
      <c r="BS13" s="29"/>
      <c r="BT13" s="29"/>
      <c r="BV13" s="420"/>
      <c r="BW13" s="420"/>
      <c r="BX13" s="420"/>
      <c r="BY13" s="883"/>
      <c r="BZ13" s="846"/>
      <c r="CA13" s="420"/>
      <c r="CB13" s="420"/>
      <c r="CC13" s="420"/>
      <c r="CD13" s="420"/>
      <c r="CE13" s="420"/>
      <c r="CF13" s="420"/>
      <c r="CG13" s="420"/>
      <c r="CH13" s="419"/>
      <c r="CI13" s="419"/>
      <c r="CJ13" s="419"/>
      <c r="CK13" s="419"/>
      <c r="CL13" s="419"/>
      <c r="CM13" s="419"/>
      <c r="CN13" s="419"/>
      <c r="CO13" s="419"/>
      <c r="CP13" s="884"/>
      <c r="CQ13" s="419"/>
      <c r="CR13" s="419"/>
      <c r="CS13" s="420"/>
      <c r="CT13" s="420"/>
      <c r="CU13" s="420"/>
      <c r="CV13" s="420"/>
      <c r="CW13" s="420"/>
      <c r="CX13" s="883"/>
      <c r="CY13" s="846"/>
      <c r="CZ13" s="420"/>
      <c r="DA13" s="420"/>
      <c r="DB13" s="420"/>
      <c r="DC13" s="420"/>
      <c r="DD13" s="420"/>
      <c r="DE13" s="420"/>
      <c r="DF13" s="420"/>
      <c r="DG13" s="419"/>
      <c r="DH13" s="419"/>
      <c r="DI13" s="419"/>
      <c r="DJ13" s="419"/>
      <c r="DK13" s="419"/>
      <c r="DL13" s="419"/>
      <c r="DM13" s="419"/>
      <c r="DN13" s="420"/>
      <c r="DO13" s="844"/>
      <c r="DP13" s="420"/>
      <c r="DQ13" s="420"/>
    </row>
    <row r="14" spans="1:122" ht="13.9" thickBot="1">
      <c r="A14" s="230" t="s">
        <v>129</v>
      </c>
      <c r="B14" s="227"/>
      <c r="C14" s="227"/>
      <c r="D14" s="461"/>
      <c r="E14" s="227"/>
      <c r="F14" s="227"/>
      <c r="G14" s="211"/>
      <c r="H14" s="211"/>
      <c r="J14" s="425" t="s">
        <v>441</v>
      </c>
      <c r="K14" s="426">
        <v>2</v>
      </c>
      <c r="L14" s="419"/>
      <c r="M14" s="419"/>
      <c r="N14" s="1468"/>
      <c r="O14" s="1468"/>
      <c r="P14" s="420"/>
      <c r="Q14" s="421"/>
      <c r="R14" s="421"/>
      <c r="S14" s="421"/>
      <c r="T14" s="421"/>
      <c r="U14" s="421"/>
      <c r="V14" s="421"/>
      <c r="W14" s="421"/>
      <c r="X14" s="420"/>
      <c r="Y14" s="423"/>
      <c r="AC14" s="1251" t="s">
        <v>442</v>
      </c>
      <c r="AD14" s="1472">
        <v>2</v>
      </c>
      <c r="AE14" s="1473"/>
      <c r="AF14" s="1473"/>
      <c r="AG14" s="1473"/>
      <c r="AH14" s="1473"/>
      <c r="AI14" s="1473"/>
      <c r="AJ14" s="1473"/>
      <c r="AK14" s="1473"/>
      <c r="AL14" s="1473"/>
      <c r="AM14" s="1473"/>
      <c r="AN14" s="1473"/>
      <c r="AO14" s="1473"/>
      <c r="AP14" s="1473"/>
      <c r="AQ14" s="1473"/>
      <c r="AR14" s="1473"/>
      <c r="AS14" s="1473"/>
      <c r="AT14" s="1474"/>
      <c r="AU14" s="771">
        <v>0.25158911287816471</v>
      </c>
      <c r="AV14" s="770"/>
      <c r="AW14" s="743" t="s">
        <v>443</v>
      </c>
      <c r="AZ14" s="1251" t="s">
        <v>442</v>
      </c>
      <c r="BA14" s="1472">
        <v>2</v>
      </c>
      <c r="BB14" s="1473"/>
      <c r="BC14" s="1473"/>
      <c r="BD14" s="1473"/>
      <c r="BE14" s="1473"/>
      <c r="BF14" s="1473"/>
      <c r="BG14" s="1473"/>
      <c r="BH14" s="1473"/>
      <c r="BI14" s="1473"/>
      <c r="BJ14" s="1473"/>
      <c r="BK14" s="1473"/>
      <c r="BL14" s="1473"/>
      <c r="BM14" s="1473"/>
      <c r="BN14" s="1473"/>
      <c r="BO14" s="1473"/>
      <c r="BP14" s="1473"/>
      <c r="BQ14" s="1474"/>
      <c r="BR14" s="29"/>
      <c r="BS14" s="29"/>
      <c r="BT14" s="29"/>
      <c r="BV14" s="420"/>
      <c r="BW14" s="420"/>
      <c r="BX14" s="420"/>
      <c r="BY14" s="885" t="s">
        <v>441</v>
      </c>
      <c r="BZ14" s="845">
        <v>3</v>
      </c>
      <c r="CA14" s="420"/>
      <c r="CB14" s="419"/>
      <c r="CC14" s="1468"/>
      <c r="CD14" s="1468"/>
      <c r="CE14" s="420"/>
      <c r="CF14" s="420"/>
      <c r="CG14" s="420"/>
      <c r="CH14" s="419"/>
      <c r="CI14" s="419"/>
      <c r="CJ14" s="419"/>
      <c r="CK14" s="419"/>
      <c r="CL14" s="419"/>
      <c r="CM14" s="419"/>
      <c r="CN14" s="419"/>
      <c r="CO14" s="419"/>
      <c r="CP14" s="884"/>
      <c r="CQ14" s="419"/>
      <c r="CR14" s="419"/>
      <c r="CS14" s="420"/>
      <c r="CT14" s="420"/>
      <c r="CU14" s="420"/>
      <c r="CV14" s="420"/>
      <c r="CW14" s="420"/>
      <c r="CX14" s="885" t="s">
        <v>441</v>
      </c>
      <c r="CY14" s="845">
        <v>3</v>
      </c>
      <c r="CZ14" s="420"/>
      <c r="DA14" s="419"/>
      <c r="DB14" s="1468"/>
      <c r="DC14" s="1468"/>
      <c r="DD14" s="420"/>
      <c r="DE14" s="420"/>
      <c r="DF14" s="420"/>
      <c r="DG14" s="419"/>
      <c r="DH14" s="419"/>
      <c r="DI14" s="419"/>
      <c r="DJ14" s="419"/>
      <c r="DK14" s="419"/>
      <c r="DL14" s="419"/>
      <c r="DM14" s="419"/>
      <c r="DN14" s="420"/>
      <c r="DO14" s="844"/>
      <c r="DP14" s="420"/>
      <c r="DQ14" s="420"/>
    </row>
    <row r="15" spans="1:122">
      <c r="A15" s="230" t="s">
        <v>132</v>
      </c>
      <c r="B15" s="227"/>
      <c r="C15" s="227"/>
      <c r="D15" s="461"/>
      <c r="E15" s="227"/>
      <c r="F15" s="227"/>
      <c r="G15" s="211"/>
      <c r="H15" s="211"/>
      <c r="J15" s="417"/>
      <c r="K15" s="420"/>
      <c r="L15" s="420"/>
      <c r="M15" s="420">
        <f>4000/365</f>
        <v>10.95890410958904</v>
      </c>
      <c r="N15" s="420"/>
      <c r="O15" s="420"/>
      <c r="P15" s="420"/>
      <c r="Q15" s="421"/>
      <c r="R15" s="421"/>
      <c r="S15" s="421"/>
      <c r="T15" s="421"/>
      <c r="U15" s="421"/>
      <c r="V15" s="421"/>
      <c r="W15" s="421"/>
      <c r="X15" s="420"/>
      <c r="Y15" s="423"/>
      <c r="AC15" s="10"/>
      <c r="AD15" s="1252"/>
      <c r="AE15" s="1252"/>
      <c r="AF15" s="1252"/>
      <c r="AG15" s="1252"/>
      <c r="AH15" s="1252"/>
      <c r="AI15" s="1252"/>
      <c r="AJ15" s="1252"/>
      <c r="AK15" s="1252"/>
      <c r="AL15" s="1252"/>
      <c r="AM15" s="1253"/>
      <c r="AN15" s="1253"/>
      <c r="AO15" s="1253"/>
      <c r="AP15" s="1253"/>
      <c r="AQ15" s="1253"/>
      <c r="AR15" s="1253"/>
      <c r="AS15" s="1253"/>
      <c r="AT15" s="1253"/>
      <c r="AU15" s="771">
        <v>0.17036506127648648</v>
      </c>
      <c r="AV15" s="770"/>
      <c r="AW15" s="743" t="s">
        <v>444</v>
      </c>
      <c r="AZ15" s="10"/>
      <c r="BA15" s="1252"/>
      <c r="BB15" s="1252"/>
      <c r="BC15" s="1252"/>
      <c r="BD15" s="1252"/>
      <c r="BE15" s="1252"/>
      <c r="BF15" s="1252"/>
      <c r="BG15" s="1252"/>
      <c r="BH15" s="1252"/>
      <c r="BI15" s="1252"/>
      <c r="BJ15" s="1253"/>
      <c r="BK15" s="1253"/>
      <c r="BL15" s="1253"/>
      <c r="BM15" s="1253"/>
      <c r="BN15" s="1253"/>
      <c r="BO15" s="1253"/>
      <c r="BP15" s="1253"/>
      <c r="BQ15" s="1253"/>
      <c r="BR15" s="29"/>
      <c r="BS15" s="29"/>
      <c r="BT15" s="29"/>
      <c r="BV15" s="420"/>
      <c r="BW15" s="420"/>
      <c r="BX15" s="420"/>
      <c r="BY15" s="883"/>
      <c r="BZ15" s="846"/>
      <c r="CA15" s="420"/>
      <c r="CB15" s="420"/>
      <c r="CC15" s="420"/>
      <c r="CD15" s="420"/>
      <c r="CE15" s="420"/>
      <c r="CF15" s="420"/>
      <c r="CG15" s="420"/>
      <c r="CH15" s="419"/>
      <c r="CI15" s="419"/>
      <c r="CJ15" s="419"/>
      <c r="CK15" s="419"/>
      <c r="CL15" s="419"/>
      <c r="CM15" s="419"/>
      <c r="CN15" s="419"/>
      <c r="CO15" s="419"/>
      <c r="CP15" s="884"/>
      <c r="CQ15" s="419"/>
      <c r="CR15" s="419"/>
      <c r="CS15" s="420"/>
      <c r="CT15" s="420"/>
      <c r="CU15" s="420"/>
      <c r="CV15" s="420"/>
      <c r="CW15" s="420"/>
      <c r="CX15" s="883"/>
      <c r="CY15" s="846"/>
      <c r="CZ15" s="420"/>
      <c r="DA15" s="420"/>
      <c r="DB15" s="420"/>
      <c r="DC15" s="420"/>
      <c r="DD15" s="420"/>
      <c r="DE15" s="420"/>
      <c r="DF15" s="420"/>
      <c r="DG15" s="419"/>
      <c r="DH15" s="419"/>
      <c r="DI15" s="419"/>
      <c r="DJ15" s="419"/>
      <c r="DK15" s="419"/>
      <c r="DL15" s="419"/>
      <c r="DM15" s="419"/>
      <c r="DN15" s="420"/>
      <c r="DO15" s="844"/>
      <c r="DP15" s="420"/>
      <c r="DQ15" s="420"/>
    </row>
    <row r="16" spans="1:122">
      <c r="A16" s="230" t="s">
        <v>134</v>
      </c>
      <c r="B16" s="227">
        <v>2028.47</v>
      </c>
      <c r="C16" s="310">
        <v>2602.5300000000002</v>
      </c>
      <c r="D16" s="486">
        <v>3760</v>
      </c>
      <c r="E16" s="228">
        <v>5590</v>
      </c>
      <c r="F16" s="228">
        <v>5200</v>
      </c>
      <c r="G16" s="212"/>
      <c r="H16" s="212"/>
      <c r="J16" s="424"/>
      <c r="K16" s="421"/>
      <c r="L16" s="421"/>
      <c r="M16" s="421"/>
      <c r="N16" s="420"/>
      <c r="O16" s="420"/>
      <c r="P16" s="420"/>
      <c r="Q16" s="421"/>
      <c r="R16" s="421"/>
      <c r="S16" s="421"/>
      <c r="T16" s="421"/>
      <c r="U16" s="421"/>
      <c r="V16" s="421"/>
      <c r="W16" s="421"/>
      <c r="X16" s="420"/>
      <c r="Y16" s="423"/>
      <c r="AC16" s="651"/>
      <c r="AD16" s="1250"/>
      <c r="AE16" s="29"/>
      <c r="AF16" s="29"/>
      <c r="AG16" s="29"/>
      <c r="AH16" s="29"/>
      <c r="AI16" s="29"/>
      <c r="AJ16" s="29"/>
      <c r="AK16" s="29"/>
      <c r="AL16" s="29"/>
      <c r="AM16" s="29"/>
      <c r="AN16" s="29"/>
      <c r="AO16" s="29"/>
      <c r="AP16" s="29"/>
      <c r="AQ16" s="29"/>
      <c r="AR16" s="29"/>
      <c r="AS16" s="29"/>
      <c r="AT16" s="652"/>
      <c r="AU16" s="771">
        <v>5.1782352388971602E-2</v>
      </c>
      <c r="AV16" s="770"/>
      <c r="AW16" s="743" t="s">
        <v>22</v>
      </c>
      <c r="AZ16" s="651"/>
      <c r="BA16" s="1250"/>
      <c r="BB16" s="29"/>
      <c r="BC16" s="29"/>
      <c r="BD16" s="29"/>
      <c r="BE16" s="29"/>
      <c r="BF16" s="29"/>
      <c r="BG16" s="29"/>
      <c r="BH16" s="29"/>
      <c r="BI16" s="29"/>
      <c r="BJ16" s="29"/>
      <c r="BK16" s="29"/>
      <c r="BL16" s="29"/>
      <c r="BM16" s="29"/>
      <c r="BN16" s="29"/>
      <c r="BO16" s="29"/>
      <c r="BP16" s="29"/>
      <c r="BQ16" s="652"/>
      <c r="BR16" s="29"/>
      <c r="BS16" s="29"/>
      <c r="BT16" s="29"/>
      <c r="BV16" s="420"/>
      <c r="BW16" s="420"/>
      <c r="BX16" s="420"/>
      <c r="BY16" s="883"/>
      <c r="BZ16" s="846"/>
      <c r="CA16" s="420"/>
      <c r="CB16" s="420"/>
      <c r="CC16" s="420"/>
      <c r="CD16" s="420"/>
      <c r="CE16" s="420"/>
      <c r="CF16" s="420"/>
      <c r="CG16" s="420"/>
      <c r="CH16" s="419"/>
      <c r="CI16" s="419"/>
      <c r="CJ16" s="419"/>
      <c r="CK16" s="419"/>
      <c r="CL16" s="419"/>
      <c r="CM16" s="419"/>
      <c r="CN16" s="419"/>
      <c r="CO16" s="419"/>
      <c r="CP16" s="884"/>
      <c r="CQ16" s="419"/>
      <c r="CR16" s="419"/>
      <c r="CS16" s="420"/>
      <c r="CT16" s="420"/>
      <c r="CU16" s="420"/>
      <c r="CV16" s="420"/>
      <c r="CW16" s="420"/>
      <c r="CX16" s="883"/>
      <c r="CY16" s="846"/>
      <c r="CZ16" s="420"/>
      <c r="DA16" s="420"/>
      <c r="DB16" s="420"/>
      <c r="DC16" s="420"/>
      <c r="DD16" s="420"/>
      <c r="DE16" s="420"/>
      <c r="DF16" s="420"/>
      <c r="DG16" s="419"/>
      <c r="DH16" s="419"/>
      <c r="DI16" s="419"/>
      <c r="DJ16" s="419"/>
      <c r="DK16" s="419"/>
      <c r="DL16" s="419"/>
      <c r="DM16" s="419"/>
      <c r="DN16" s="420"/>
      <c r="DO16" s="844"/>
      <c r="DP16" s="420"/>
      <c r="DQ16" s="420"/>
    </row>
    <row r="17" spans="1:122">
      <c r="A17" s="230"/>
      <c r="B17" s="227"/>
      <c r="C17" s="227"/>
      <c r="D17" s="461"/>
      <c r="E17" s="227"/>
      <c r="F17" s="227"/>
      <c r="G17" s="211"/>
      <c r="H17" s="211"/>
      <c r="J17" s="424"/>
      <c r="K17" s="419"/>
      <c r="L17" s="419"/>
      <c r="M17" s="419"/>
      <c r="N17" s="420"/>
      <c r="O17" s="420"/>
      <c r="P17" s="420"/>
      <c r="Q17" s="421"/>
      <c r="R17" s="421"/>
      <c r="S17" s="421"/>
      <c r="T17" s="421"/>
      <c r="U17" s="421"/>
      <c r="V17" s="421"/>
      <c r="W17" s="420"/>
      <c r="X17" s="420"/>
      <c r="Y17" s="423"/>
      <c r="AC17" s="741"/>
      <c r="AD17" s="585"/>
      <c r="AE17" s="29"/>
      <c r="AF17" s="585"/>
      <c r="AG17" s="29"/>
      <c r="AH17" s="29"/>
      <c r="AI17" s="585"/>
      <c r="AJ17" s="29"/>
      <c r="AK17" s="29"/>
      <c r="AL17" s="29"/>
      <c r="AM17" s="29"/>
      <c r="AN17" s="29"/>
      <c r="AO17" s="29"/>
      <c r="AP17" s="29"/>
      <c r="AQ17" s="29"/>
      <c r="AR17" s="29"/>
      <c r="AS17" s="29"/>
      <c r="AT17" s="652"/>
      <c r="AU17" s="771">
        <v>4.2557053297150801E-2</v>
      </c>
      <c r="AV17" s="770"/>
      <c r="AW17" s="743" t="s">
        <v>445</v>
      </c>
      <c r="AZ17" s="741"/>
      <c r="BA17" s="585"/>
      <c r="BB17" s="29"/>
      <c r="BC17" s="585"/>
      <c r="BD17" s="29"/>
      <c r="BE17" s="29"/>
      <c r="BF17" s="585"/>
      <c r="BG17" s="29"/>
      <c r="BH17" s="29"/>
      <c r="BI17" s="29"/>
      <c r="BJ17" s="29"/>
      <c r="BK17" s="29"/>
      <c r="BL17" s="29"/>
      <c r="BM17" s="29"/>
      <c r="BN17" s="29"/>
      <c r="BO17" s="29"/>
      <c r="BP17" s="29"/>
      <c r="BQ17" s="652"/>
      <c r="BR17" s="29"/>
      <c r="BS17" s="29"/>
      <c r="BT17" s="29"/>
      <c r="BV17" s="420"/>
      <c r="BW17" s="420"/>
      <c r="BX17" s="420"/>
      <c r="BY17" s="886"/>
      <c r="BZ17" s="420"/>
      <c r="CA17" s="420"/>
      <c r="CB17" s="420"/>
      <c r="CC17" s="420"/>
      <c r="CD17" s="420"/>
      <c r="CE17" s="420"/>
      <c r="CF17" s="420"/>
      <c r="CG17" s="420"/>
      <c r="CH17" s="419"/>
      <c r="CI17" s="419"/>
      <c r="CJ17" s="419"/>
      <c r="CK17" s="419"/>
      <c r="CL17" s="419"/>
      <c r="CM17" s="419"/>
      <c r="CN17" s="419"/>
      <c r="CO17" s="419"/>
      <c r="CP17" s="884"/>
      <c r="CQ17" s="419"/>
      <c r="CR17" s="419"/>
      <c r="CS17" s="420"/>
      <c r="CT17" s="420"/>
      <c r="CU17" s="420"/>
      <c r="CV17" s="420"/>
      <c r="CW17" s="420"/>
      <c r="CX17" s="886"/>
      <c r="CY17" s="420"/>
      <c r="CZ17" s="420"/>
      <c r="DA17" s="420"/>
      <c r="DB17" s="420"/>
      <c r="DC17" s="420"/>
      <c r="DD17" s="420"/>
      <c r="DE17" s="420"/>
      <c r="DF17" s="420"/>
      <c r="DG17" s="419"/>
      <c r="DH17" s="419"/>
      <c r="DI17" s="419"/>
      <c r="DJ17" s="419"/>
      <c r="DK17" s="419"/>
      <c r="DL17" s="419"/>
      <c r="DM17" s="419"/>
      <c r="DN17" s="420"/>
      <c r="DO17" s="844"/>
      <c r="DP17" s="420"/>
      <c r="DQ17" s="420"/>
    </row>
    <row r="18" spans="1:122" ht="13.9" thickBot="1">
      <c r="A18" s="96" t="s">
        <v>137</v>
      </c>
      <c r="B18" s="231">
        <v>38</v>
      </c>
      <c r="C18" s="231">
        <v>33</v>
      </c>
      <c r="D18" s="213">
        <v>41</v>
      </c>
      <c r="E18" s="213">
        <v>79</v>
      </c>
      <c r="F18" s="242">
        <v>66</v>
      </c>
      <c r="G18" s="211"/>
      <c r="H18" s="211"/>
      <c r="J18" s="424"/>
      <c r="K18" s="419"/>
      <c r="L18" s="419"/>
      <c r="M18" s="419"/>
      <c r="N18" s="420"/>
      <c r="O18" s="420"/>
      <c r="P18" s="420"/>
      <c r="Q18" s="420"/>
      <c r="R18" s="420"/>
      <c r="S18" s="420"/>
      <c r="T18" s="420"/>
      <c r="U18" s="420"/>
      <c r="V18" s="420"/>
      <c r="W18" s="420"/>
      <c r="X18" s="420"/>
      <c r="Y18" s="423"/>
      <c r="AC18" s="741"/>
      <c r="AD18" s="29"/>
      <c r="AE18" s="29"/>
      <c r="AF18" s="29"/>
      <c r="AG18" s="29"/>
      <c r="AH18" s="29"/>
      <c r="AI18" s="29"/>
      <c r="AJ18" s="29"/>
      <c r="AK18" s="29"/>
      <c r="AL18" s="29"/>
      <c r="AM18" s="29"/>
      <c r="AN18" s="29"/>
      <c r="AO18" s="29"/>
      <c r="AP18" s="29"/>
      <c r="AQ18" s="29"/>
      <c r="AR18" s="29"/>
      <c r="AS18" s="29"/>
      <c r="AT18" s="652"/>
      <c r="AU18" s="771">
        <v>3.8129012416516103E-2</v>
      </c>
      <c r="AV18" s="770"/>
      <c r="AW18" s="743" t="s">
        <v>446</v>
      </c>
      <c r="AZ18" s="741"/>
      <c r="BA18" s="29"/>
      <c r="BB18" s="29"/>
      <c r="BC18" s="29"/>
      <c r="BD18" s="29"/>
      <c r="BE18" s="29"/>
      <c r="BF18" s="29"/>
      <c r="BG18" s="29"/>
      <c r="BH18" s="29"/>
      <c r="BI18" s="29"/>
      <c r="BJ18" s="29"/>
      <c r="BK18" s="29"/>
      <c r="BL18" s="29"/>
      <c r="BM18" s="29"/>
      <c r="BN18" s="29"/>
      <c r="BO18" s="29"/>
      <c r="BP18" s="29"/>
      <c r="BQ18" s="652"/>
      <c r="BR18" s="29"/>
      <c r="BS18" s="29"/>
      <c r="BT18" s="29"/>
      <c r="BV18" s="420"/>
      <c r="BW18" s="420"/>
      <c r="BX18" s="420"/>
      <c r="BY18" s="886"/>
      <c r="BZ18" s="420"/>
      <c r="CA18" s="420"/>
      <c r="CB18" s="420"/>
      <c r="CC18" s="420"/>
      <c r="CD18" s="420"/>
      <c r="CE18" s="420"/>
      <c r="CF18" s="420"/>
      <c r="CG18" s="420"/>
      <c r="CH18" s="419"/>
      <c r="CI18" s="419"/>
      <c r="CJ18" s="419"/>
      <c r="CK18" s="419"/>
      <c r="CL18" s="419"/>
      <c r="CM18" s="419"/>
      <c r="CN18" s="419"/>
      <c r="CO18" s="419"/>
      <c r="CP18" s="884"/>
      <c r="CQ18" s="419"/>
      <c r="CR18" s="419"/>
      <c r="CS18" s="420"/>
      <c r="CT18" s="420"/>
      <c r="CU18" s="420"/>
      <c r="CV18" s="420"/>
      <c r="CW18" s="420"/>
      <c r="CX18" s="886"/>
      <c r="CY18" s="420"/>
      <c r="CZ18" s="420"/>
      <c r="DA18" s="420"/>
      <c r="DB18" s="420"/>
      <c r="DC18" s="420"/>
      <c r="DD18" s="420"/>
      <c r="DE18" s="420"/>
      <c r="DF18" s="420"/>
      <c r="DG18" s="419"/>
      <c r="DH18" s="419"/>
      <c r="DI18" s="419"/>
      <c r="DJ18" s="419"/>
      <c r="DK18" s="419"/>
      <c r="DL18" s="419"/>
      <c r="DM18" s="419"/>
      <c r="DN18" s="420"/>
      <c r="DO18" s="844"/>
      <c r="DP18" s="420"/>
      <c r="DQ18" s="420"/>
    </row>
    <row r="19" spans="1:122" ht="15" customHeight="1" thickBot="1">
      <c r="A19" s="230" t="s">
        <v>140</v>
      </c>
      <c r="B19" s="1303">
        <f>7000*0.00007</f>
        <v>0.48999999999999994</v>
      </c>
      <c r="C19" s="1303"/>
      <c r="D19" s="1303"/>
      <c r="E19" s="1303"/>
      <c r="F19" s="1304"/>
      <c r="G19" s="216"/>
      <c r="H19" s="216"/>
      <c r="J19" s="1423" t="s">
        <v>447</v>
      </c>
      <c r="K19" s="1424"/>
      <c r="L19" s="1424"/>
      <c r="M19" s="1424"/>
      <c r="N19" s="1424"/>
      <c r="O19" s="1424"/>
      <c r="P19" s="1424"/>
      <c r="Q19" s="1424"/>
      <c r="R19" s="1424"/>
      <c r="S19" s="1424"/>
      <c r="T19" s="1424"/>
      <c r="U19" s="1424"/>
      <c r="V19" s="1424"/>
      <c r="W19" s="1424"/>
      <c r="X19" s="1424"/>
      <c r="Y19" s="1425"/>
      <c r="Z19" s="21"/>
      <c r="AC19" s="1204" t="s">
        <v>447</v>
      </c>
      <c r="AD19" s="1205"/>
      <c r="AE19" s="1205"/>
      <c r="AF19" s="1205"/>
      <c r="AG19" s="1205"/>
      <c r="AH19" s="1205"/>
      <c r="AI19" s="1205"/>
      <c r="AJ19" s="1205"/>
      <c r="AK19" s="1205"/>
      <c r="AL19" s="1205"/>
      <c r="AM19" s="1205"/>
      <c r="AN19" s="1205"/>
      <c r="AO19" s="1205"/>
      <c r="AP19" s="1205"/>
      <c r="AQ19" s="1205"/>
      <c r="AR19" s="1205"/>
      <c r="AS19" s="1205"/>
      <c r="AT19" s="1206"/>
      <c r="AU19" s="771">
        <v>5.1630000531225038E-3</v>
      </c>
      <c r="AV19" s="770"/>
      <c r="AW19" s="743" t="s">
        <v>448</v>
      </c>
      <c r="AZ19" s="1204" t="s">
        <v>447</v>
      </c>
      <c r="BA19" s="1205"/>
      <c r="BB19" s="1205"/>
      <c r="BC19" s="1205"/>
      <c r="BD19" s="1205"/>
      <c r="BE19" s="1205"/>
      <c r="BF19" s="1205"/>
      <c r="BG19" s="1205"/>
      <c r="BH19" s="1205"/>
      <c r="BI19" s="1205"/>
      <c r="BJ19" s="1205"/>
      <c r="BK19" s="1205"/>
      <c r="BL19" s="1205"/>
      <c r="BM19" s="1205"/>
      <c r="BN19" s="1205"/>
      <c r="BO19" s="1205"/>
      <c r="BP19" s="1205"/>
      <c r="BQ19" s="1206"/>
      <c r="BV19" s="420"/>
      <c r="BW19" s="420"/>
      <c r="BX19" s="420"/>
      <c r="BY19" s="1452" t="s">
        <v>447</v>
      </c>
      <c r="BZ19" s="1453"/>
      <c r="CA19" s="1453"/>
      <c r="CB19" s="1453"/>
      <c r="CC19" s="1453"/>
      <c r="CD19" s="1453"/>
      <c r="CE19" s="1453"/>
      <c r="CF19" s="1453"/>
      <c r="CG19" s="1453"/>
      <c r="CH19" s="1453"/>
      <c r="CI19" s="1453"/>
      <c r="CJ19" s="1453"/>
      <c r="CK19" s="1453"/>
      <c r="CL19" s="1453"/>
      <c r="CM19" s="1453"/>
      <c r="CN19" s="1453"/>
      <c r="CO19" s="1453"/>
      <c r="CP19" s="1454"/>
      <c r="CQ19" s="420"/>
      <c r="CR19" s="420"/>
      <c r="CS19" s="420"/>
      <c r="CT19" s="420"/>
      <c r="CU19" s="420"/>
      <c r="CV19" s="420"/>
      <c r="CW19" s="420"/>
      <c r="CX19" s="1452" t="s">
        <v>447</v>
      </c>
      <c r="CY19" s="1453"/>
      <c r="CZ19" s="1453"/>
      <c r="DA19" s="1453"/>
      <c r="DB19" s="1453"/>
      <c r="DC19" s="1453"/>
      <c r="DD19" s="1453"/>
      <c r="DE19" s="1453"/>
      <c r="DF19" s="1453"/>
      <c r="DG19" s="1453"/>
      <c r="DH19" s="1453"/>
      <c r="DI19" s="1453"/>
      <c r="DJ19" s="1453"/>
      <c r="DK19" s="1453"/>
      <c r="DL19" s="1453"/>
      <c r="DM19" s="1453"/>
      <c r="DN19" s="1453"/>
      <c r="DO19" s="1454"/>
      <c r="DP19" s="420"/>
      <c r="DQ19" s="420"/>
    </row>
    <row r="20" spans="1:122">
      <c r="A20" s="230" t="s">
        <v>449</v>
      </c>
      <c r="B20" s="1305">
        <f>50000*0.00007</f>
        <v>3.4999999999999996</v>
      </c>
      <c r="C20" s="1305"/>
      <c r="D20" s="1305"/>
      <c r="E20" s="1305"/>
      <c r="F20" s="1306"/>
      <c r="G20" s="217"/>
      <c r="H20" s="217"/>
      <c r="I20" s="27"/>
      <c r="J20" s="427" t="s">
        <v>443</v>
      </c>
      <c r="K20" s="428" t="e">
        <f>$B58*$K14*K10/$B77</f>
        <v>#VALUE!</v>
      </c>
      <c r="L20" s="428" t="e">
        <f t="shared" ref="L20:Y20" si="2">$B58*$K14*L10/$B77</f>
        <v>#VALUE!</v>
      </c>
      <c r="M20" s="428" t="e">
        <f t="shared" si="2"/>
        <v>#VALUE!</v>
      </c>
      <c r="N20" s="428" t="e">
        <f t="shared" si="2"/>
        <v>#VALUE!</v>
      </c>
      <c r="O20" s="428" t="e">
        <f t="shared" si="2"/>
        <v>#VALUE!</v>
      </c>
      <c r="P20" s="428" t="e">
        <f t="shared" si="2"/>
        <v>#VALUE!</v>
      </c>
      <c r="Q20" s="428" t="e">
        <f>$B58*$K14*Q10/$B77</f>
        <v>#VALUE!</v>
      </c>
      <c r="R20" s="429" t="e">
        <f t="shared" si="2"/>
        <v>#VALUE!</v>
      </c>
      <c r="S20" s="430" t="e">
        <f t="shared" si="2"/>
        <v>#VALUE!</v>
      </c>
      <c r="T20" s="430" t="e">
        <f t="shared" si="2"/>
        <v>#VALUE!</v>
      </c>
      <c r="U20" s="430" t="e">
        <f t="shared" si="2"/>
        <v>#VALUE!</v>
      </c>
      <c r="V20" s="430" t="e">
        <f t="shared" si="2"/>
        <v>#VALUE!</v>
      </c>
      <c r="W20" s="430" t="e">
        <f t="shared" si="2"/>
        <v>#VALUE!</v>
      </c>
      <c r="X20" s="430" t="e">
        <f t="shared" si="2"/>
        <v>#VALUE!</v>
      </c>
      <c r="Y20" s="431" t="e">
        <f t="shared" si="2"/>
        <v>#VALUE!</v>
      </c>
      <c r="Z20" s="29"/>
      <c r="AC20" s="742" t="s">
        <v>443</v>
      </c>
      <c r="AD20" s="816">
        <f>($AD14*AD10*($B59+$C29))</f>
        <v>633.5556666540806</v>
      </c>
      <c r="AE20" s="816">
        <f t="shared" ref="AE20:AT20" si="3">($AD14*AE10*($B59+$C29))</f>
        <v>482.71773328167308</v>
      </c>
      <c r="AF20" s="816">
        <f t="shared" si="3"/>
        <v>584.94223632020226</v>
      </c>
      <c r="AG20" s="816">
        <f t="shared" si="3"/>
        <v>584.94223632020226</v>
      </c>
      <c r="AH20" s="816">
        <f t="shared" si="3"/>
        <v>358.23100513697545</v>
      </c>
      <c r="AI20" s="816">
        <f t="shared" si="3"/>
        <v>1018.374129203566</v>
      </c>
      <c r="AJ20" s="816">
        <f t="shared" si="3"/>
        <v>791.66289802033907</v>
      </c>
      <c r="AK20" s="816">
        <f t="shared" si="3"/>
        <v>854.81492434191932</v>
      </c>
      <c r="AL20" s="816">
        <f t="shared" si="3"/>
        <v>957.98770730374622</v>
      </c>
      <c r="AM20" s="816">
        <f t="shared" si="3"/>
        <v>1615.3652269485763</v>
      </c>
      <c r="AN20" s="816">
        <f t="shared" si="3"/>
        <v>374.13259449852438</v>
      </c>
      <c r="AO20" s="816">
        <f t="shared" si="3"/>
        <v>590.84854094020614</v>
      </c>
      <c r="AP20" s="816">
        <f t="shared" si="3"/>
        <v>1271.4365656145026</v>
      </c>
      <c r="AQ20" s="816">
        <f t="shared" si="3"/>
        <v>1225.0947909037027</v>
      </c>
      <c r="AR20" s="816">
        <f t="shared" si="3"/>
        <v>614.01942829560608</v>
      </c>
      <c r="AS20" s="816">
        <f t="shared" si="3"/>
        <v>1255.0806451283379</v>
      </c>
      <c r="AT20" s="816">
        <f t="shared" si="3"/>
        <v>668.53916324948841</v>
      </c>
      <c r="AU20" s="771">
        <v>2.1530105243823161E-3</v>
      </c>
      <c r="AV20" s="770"/>
      <c r="AW20" s="744" t="s">
        <v>450</v>
      </c>
      <c r="AX20" s="459">
        <f>AY20/SUM($AY$20:$AY$28)</f>
        <v>0.14032373261008069</v>
      </c>
      <c r="AY20" s="585">
        <f>AVERAGE(BA20:BQ20)</f>
        <v>820.635907004655</v>
      </c>
      <c r="AZ20" s="742" t="s">
        <v>443</v>
      </c>
      <c r="BA20" s="816">
        <f>($BA14*BA10*($B59+$B29))</f>
        <v>636.50490671318721</v>
      </c>
      <c r="BB20" s="816">
        <f>($BA14*BB10*($B59+$B29))</f>
        <v>484.74933829036632</v>
      </c>
      <c r="BC20" s="816">
        <f t="shared" ref="BC20:BE20" si="4">($BA14*BC10*($B59+$B29))</f>
        <v>587.59573255282032</v>
      </c>
      <c r="BD20" s="816">
        <f t="shared" si="4"/>
        <v>587.59573255282032</v>
      </c>
      <c r="BE20" s="816">
        <f t="shared" si="4"/>
        <v>359.50528483297791</v>
      </c>
      <c r="BF20" s="822">
        <f>$BA14*BF10*($B59+$B29)</f>
        <v>1023.6644442256251</v>
      </c>
      <c r="BG20" s="822">
        <f t="shared" ref="BG20:BI20" si="5">$BA14*BG10*($B59+$B29)</f>
        <v>795.5739965057827</v>
      </c>
      <c r="BH20" s="822">
        <f t="shared" si="5"/>
        <v>859.11021340569869</v>
      </c>
      <c r="BI20" s="822">
        <f t="shared" si="5"/>
        <v>962.91065653083979</v>
      </c>
      <c r="BJ20" s="816">
        <f>$BA14*BJ10*($B59+$B29)</f>
        <v>1624.2873867183562</v>
      </c>
      <c r="BK20" s="816">
        <f t="shared" ref="BK20:BM20" si="6">$BA14*BK10*($B59+$B29)</f>
        <v>375.50361282935967</v>
      </c>
      <c r="BL20" s="816">
        <f t="shared" si="6"/>
        <v>593.53796866576204</v>
      </c>
      <c r="BM20" s="816">
        <f t="shared" si="6"/>
        <v>1278.2664069109001</v>
      </c>
      <c r="BN20" s="827">
        <f>$BA14*BN10*($B59+$B29)</f>
        <v>1231.6427081785876</v>
      </c>
      <c r="BO20" s="827">
        <f t="shared" ref="BO20:BQ20" si="7">$BA14*BO10*($B59+$B29)</f>
        <v>616.84981803191829</v>
      </c>
      <c r="BP20" s="827">
        <f t="shared" si="7"/>
        <v>1261.8109838289072</v>
      </c>
      <c r="BQ20" s="827">
        <f t="shared" si="7"/>
        <v>671.701228305227</v>
      </c>
      <c r="BR20" s="585"/>
      <c r="BS20" s="585"/>
      <c r="BT20" s="585"/>
      <c r="BV20" s="420"/>
      <c r="BW20" s="420"/>
      <c r="BX20" s="420"/>
      <c r="BY20" s="847" t="s">
        <v>443</v>
      </c>
      <c r="BZ20" s="430">
        <f>$BZ14*BZ10*($B59+$E29)</f>
        <v>897.54204693771055</v>
      </c>
      <c r="CA20" s="430">
        <f t="shared" ref="CA20:CP20" si="8">$BZ14*CA10*($B59+$E29)</f>
        <v>688.53609935801751</v>
      </c>
      <c r="CB20" s="430">
        <f t="shared" si="8"/>
        <v>830.18169636232756</v>
      </c>
      <c r="CC20" s="430">
        <f t="shared" si="8"/>
        <v>830.18169636232756</v>
      </c>
      <c r="CD20" s="430">
        <f t="shared" si="8"/>
        <v>516.04323900610223</v>
      </c>
      <c r="CE20" s="430">
        <f t="shared" si="8"/>
        <v>1430.7590276606022</v>
      </c>
      <c r="CF20" s="430">
        <f t="shared" si="8"/>
        <v>1116.620570304377</v>
      </c>
      <c r="CG20" s="430">
        <f t="shared" si="8"/>
        <v>1204.126072453706</v>
      </c>
      <c r="CH20" s="430">
        <f t="shared" si="8"/>
        <v>1347.0856369694266</v>
      </c>
      <c r="CI20" s="430">
        <f t="shared" si="8"/>
        <v>2257.9693141657726</v>
      </c>
      <c r="CJ20" s="430">
        <f t="shared" si="8"/>
        <v>538.07699854010605</v>
      </c>
      <c r="CK20" s="430">
        <f t="shared" si="8"/>
        <v>838.36566418924326</v>
      </c>
      <c r="CL20" s="430">
        <f t="shared" si="8"/>
        <v>1781.4105722446052</v>
      </c>
      <c r="CM20" s="430">
        <f t="shared" si="8"/>
        <v>1717.197901602651</v>
      </c>
      <c r="CN20" s="430">
        <f t="shared" si="8"/>
        <v>870.47199951022026</v>
      </c>
      <c r="CO20" s="430">
        <f t="shared" si="8"/>
        <v>1758.7472767239155</v>
      </c>
      <c r="CP20" s="887">
        <f t="shared" si="8"/>
        <v>946.01631791251884</v>
      </c>
      <c r="CQ20" s="888"/>
      <c r="CR20" s="888"/>
      <c r="CS20" s="888"/>
      <c r="CT20" s="420"/>
      <c r="CU20" s="420"/>
      <c r="CV20" s="420"/>
      <c r="CW20" s="420"/>
      <c r="CX20" s="847" t="s">
        <v>443</v>
      </c>
      <c r="CY20" s="430">
        <f>$CY14*CY10*($B59+$F29)</f>
        <v>942.88635059770706</v>
      </c>
      <c r="CZ20" s="430">
        <f t="shared" ref="CZ20:DO20" si="9">$CY14*CZ10*($B59+$F29)</f>
        <v>719.17892956574963</v>
      </c>
      <c r="DA20" s="430">
        <f t="shared" si="9"/>
        <v>870.78787454222663</v>
      </c>
      <c r="DB20" s="430">
        <f t="shared" si="9"/>
        <v>870.78787454222663</v>
      </c>
      <c r="DC20" s="430">
        <f t="shared" si="9"/>
        <v>534.55292546106182</v>
      </c>
      <c r="DD20" s="430">
        <f t="shared" si="9"/>
        <v>1513.6098012424902</v>
      </c>
      <c r="DE20" s="430">
        <f t="shared" si="9"/>
        <v>1177.3748521613252</v>
      </c>
      <c r="DF20" s="430">
        <f t="shared" si="9"/>
        <v>1271.0354892801265</v>
      </c>
      <c r="DG20" s="430">
        <f t="shared" si="9"/>
        <v>1424.0508262119588</v>
      </c>
      <c r="DH20" s="430">
        <f t="shared" si="9"/>
        <v>2399.0060399051167</v>
      </c>
      <c r="DI20" s="430">
        <f t="shared" si="9"/>
        <v>558.13653912406937</v>
      </c>
      <c r="DJ20" s="430">
        <f t="shared" si="9"/>
        <v>879.54750247420111</v>
      </c>
      <c r="DK20" s="430">
        <f t="shared" si="9"/>
        <v>1888.9261672509247</v>
      </c>
      <c r="DL20" s="430">
        <f t="shared" si="9"/>
        <v>1820.1967788615884</v>
      </c>
      <c r="DM20" s="430">
        <f t="shared" si="9"/>
        <v>913.91219666886911</v>
      </c>
      <c r="DN20" s="430">
        <f t="shared" si="9"/>
        <v>1864.6687360546885</v>
      </c>
      <c r="DO20" s="887">
        <f t="shared" si="9"/>
        <v>994.77030065632368</v>
      </c>
      <c r="DP20" s="888"/>
      <c r="DQ20" s="888"/>
      <c r="DR20" s="587"/>
    </row>
    <row r="21" spans="1:122">
      <c r="A21" s="96"/>
      <c r="B21" s="15"/>
      <c r="C21" s="15"/>
      <c r="D21" s="218"/>
      <c r="E21" s="232"/>
      <c r="F21" s="243"/>
      <c r="G21" s="211"/>
      <c r="H21" s="211"/>
      <c r="I21" s="22" t="s">
        <v>451</v>
      </c>
      <c r="J21" s="432" t="s">
        <v>444</v>
      </c>
      <c r="K21" s="433">
        <f>K10*$D30*$D32</f>
        <v>1042.2218223432144</v>
      </c>
      <c r="L21" s="433">
        <f t="shared" ref="L21:Y21" si="10">L10*$D30*$D32</f>
        <v>803.42427574697751</v>
      </c>
      <c r="M21" s="433">
        <f t="shared" si="10"/>
        <v>965.25996244623445</v>
      </c>
      <c r="N21" s="433">
        <f t="shared" si="10"/>
        <v>965.25996244623445</v>
      </c>
      <c r="O21" s="433">
        <f t="shared" si="10"/>
        <v>606.34437283321574</v>
      </c>
      <c r="P21" s="433">
        <f t="shared" si="10"/>
        <v>1651.4432740510838</v>
      </c>
      <c r="Q21" s="433">
        <f t="shared" si="10"/>
        <v>1292.5276844380653</v>
      </c>
      <c r="R21" s="433">
        <f t="shared" si="10"/>
        <v>1392.5061753322725</v>
      </c>
      <c r="S21" s="433">
        <f t="shared" si="10"/>
        <v>1555.8431217883237</v>
      </c>
      <c r="T21" s="433">
        <f t="shared" si="10"/>
        <v>2596.5636843747443</v>
      </c>
      <c r="U21" s="433">
        <f t="shared" si="10"/>
        <v>631.51881298643355</v>
      </c>
      <c r="V21" s="433">
        <f t="shared" si="10"/>
        <v>974.61046878885816</v>
      </c>
      <c r="W21" s="433">
        <f t="shared" si="10"/>
        <v>2052.0765073465777</v>
      </c>
      <c r="X21" s="433">
        <f t="shared" si="10"/>
        <v>1978.7109960429141</v>
      </c>
      <c r="Y21" s="433">
        <f t="shared" si="10"/>
        <v>1011.2932244406898</v>
      </c>
      <c r="Z21" s="29"/>
      <c r="AC21" s="743" t="s">
        <v>444</v>
      </c>
      <c r="AD21" s="817">
        <f>AD10*$C30</f>
        <v>697.16018218399108</v>
      </c>
      <c r="AE21" s="817">
        <f t="shared" ref="AE21:AT21" si="11">AE10*$C30</f>
        <v>531.1791853356425</v>
      </c>
      <c r="AF21" s="817">
        <f t="shared" si="11"/>
        <v>643.66630669371011</v>
      </c>
      <c r="AG21" s="817">
        <f t="shared" si="11"/>
        <v>643.66630669371011</v>
      </c>
      <c r="AH21" s="817">
        <f t="shared" si="11"/>
        <v>394.1948686595959</v>
      </c>
      <c r="AI21" s="817">
        <f t="shared" si="11"/>
        <v>1120.6117012519164</v>
      </c>
      <c r="AJ21" s="817">
        <f t="shared" si="11"/>
        <v>871.14026321780216</v>
      </c>
      <c r="AK21" s="817">
        <f t="shared" si="11"/>
        <v>940.63230707900846</v>
      </c>
      <c r="AL21" s="817">
        <f t="shared" si="11"/>
        <v>1054.1629089690693</v>
      </c>
      <c r="AM21" s="817">
        <f t="shared" si="11"/>
        <v>1777.5364899830306</v>
      </c>
      <c r="AN21" s="817">
        <f t="shared" si="11"/>
        <v>411.69286531529531</v>
      </c>
      <c r="AO21" s="817">
        <f t="shared" si="11"/>
        <v>650.16556259439835</v>
      </c>
      <c r="AP21" s="817">
        <f t="shared" si="11"/>
        <v>1399.0798194583324</v>
      </c>
      <c r="AQ21" s="817">
        <f t="shared" si="11"/>
        <v>1348.0856577760085</v>
      </c>
      <c r="AR21" s="817">
        <f t="shared" si="11"/>
        <v>675.66264343556043</v>
      </c>
      <c r="AS21" s="817">
        <f t="shared" si="11"/>
        <v>1381.0818800410416</v>
      </c>
      <c r="AT21" s="817">
        <f t="shared" si="11"/>
        <v>735.65577482652975</v>
      </c>
      <c r="AU21" s="587"/>
      <c r="AV21" s="587"/>
      <c r="AW21" s="587"/>
      <c r="AX21" s="459">
        <f t="shared" ref="AX21:AX28" si="12">AY21/SUM($AY$20:$AY$28)</f>
        <v>0.19004209706195535</v>
      </c>
      <c r="AY21" s="585">
        <f t="shared" ref="AY21:AY28" si="13">AVERAGE(BA21:BQ21)</f>
        <v>1111.3969518246749</v>
      </c>
      <c r="AZ21" s="743" t="s">
        <v>444</v>
      </c>
      <c r="BA21" s="817">
        <f>BA10*$B30</f>
        <v>862.02615204171479</v>
      </c>
      <c r="BB21" s="817">
        <f t="shared" ref="BB21:BQ21" si="14">BB10*$B30</f>
        <v>656.501784014534</v>
      </c>
      <c r="BC21" s="817">
        <f t="shared" si="14"/>
        <v>795.78787680403912</v>
      </c>
      <c r="BD21" s="817">
        <f t="shared" si="14"/>
        <v>795.78787680403912</v>
      </c>
      <c r="BE21" s="817">
        <f t="shared" si="14"/>
        <v>486.88227546198107</v>
      </c>
      <c r="BF21" s="823">
        <f t="shared" si="14"/>
        <v>1386.3609102315406</v>
      </c>
      <c r="BG21" s="823">
        <f t="shared" si="14"/>
        <v>1077.4553088894827</v>
      </c>
      <c r="BH21" s="823">
        <f t="shared" si="14"/>
        <v>1163.5031617683323</v>
      </c>
      <c r="BI21" s="823">
        <f t="shared" si="14"/>
        <v>1304.0813342594831</v>
      </c>
      <c r="BJ21" s="817">
        <f t="shared" si="14"/>
        <v>2199.7916921222504</v>
      </c>
      <c r="BK21" s="817">
        <f t="shared" si="14"/>
        <v>508.54900100701525</v>
      </c>
      <c r="BL21" s="817">
        <f t="shared" si="14"/>
        <v>803.83551772076601</v>
      </c>
      <c r="BM21" s="817">
        <f t="shared" si="14"/>
        <v>1731.1713710482265</v>
      </c>
      <c r="BN21" s="829">
        <f t="shared" si="14"/>
        <v>1668.0283423169842</v>
      </c>
      <c r="BO21" s="829">
        <f t="shared" si="14"/>
        <v>835.40703208638718</v>
      </c>
      <c r="BP21" s="829">
        <f t="shared" si="14"/>
        <v>1708.8855962019056</v>
      </c>
      <c r="BQ21" s="830">
        <f t="shared" si="14"/>
        <v>909.69294824078986</v>
      </c>
      <c r="BR21" s="585"/>
      <c r="BS21" s="585"/>
      <c r="BT21" s="585"/>
      <c r="BV21" s="420"/>
      <c r="BW21" s="420"/>
      <c r="BX21" s="420"/>
      <c r="BY21" s="848" t="s">
        <v>444</v>
      </c>
      <c r="BZ21" s="435">
        <f>BZ10*$E30</f>
        <v>1346.8848809859344</v>
      </c>
      <c r="CA21" s="435">
        <f t="shared" ref="CA21:CP21" si="15">CA10*$E30</f>
        <v>1033.2428050612577</v>
      </c>
      <c r="CB21" s="435">
        <f t="shared" si="15"/>
        <v>1245.8014408535839</v>
      </c>
      <c r="CC21" s="435">
        <f t="shared" si="15"/>
        <v>1245.8014408535839</v>
      </c>
      <c r="CD21" s="435">
        <f t="shared" si="15"/>
        <v>774.39362191860266</v>
      </c>
      <c r="CE21" s="435">
        <f t="shared" si="15"/>
        <v>2147.0500566130468</v>
      </c>
      <c r="CF21" s="435">
        <f t="shared" si="15"/>
        <v>1675.6422376780658</v>
      </c>
      <c r="CG21" s="435">
        <f t="shared" si="15"/>
        <v>1806.9562393453248</v>
      </c>
      <c r="CH21" s="435">
        <f t="shared" si="15"/>
        <v>2021.4866635137653</v>
      </c>
      <c r="CI21" s="435">
        <f t="shared" si="15"/>
        <v>3388.3924896402318</v>
      </c>
      <c r="CJ21" s="435">
        <f t="shared" si="15"/>
        <v>807.45829859740911</v>
      </c>
      <c r="CK21" s="435">
        <f t="shared" si="15"/>
        <v>1258.0826064771406</v>
      </c>
      <c r="CL21" s="435">
        <f t="shared" si="15"/>
        <v>2673.2507683300501</v>
      </c>
      <c r="CM21" s="435">
        <f t="shared" si="15"/>
        <v>2576.8908534375287</v>
      </c>
      <c r="CN21" s="435">
        <f t="shared" si="15"/>
        <v>1306.2625639234011</v>
      </c>
      <c r="CO21" s="435">
        <f t="shared" si="15"/>
        <v>2639.2413866032775</v>
      </c>
      <c r="CP21" s="889">
        <f t="shared" si="15"/>
        <v>1419.6271696793083</v>
      </c>
      <c r="CQ21" s="888"/>
      <c r="CR21" s="888"/>
      <c r="CS21" s="888"/>
      <c r="CT21" s="420"/>
      <c r="CU21" s="420"/>
      <c r="CV21" s="420"/>
      <c r="CW21" s="420"/>
      <c r="CX21" s="848" t="s">
        <v>444</v>
      </c>
      <c r="CY21" s="435">
        <f>CY10*$F30</f>
        <v>1298.466309131124</v>
      </c>
      <c r="CZ21" s="435">
        <f t="shared" ref="CZ21:DO21" si="16">CZ10*$F30</f>
        <v>990.39466388090739</v>
      </c>
      <c r="DA21" s="435">
        <f t="shared" si="16"/>
        <v>1199.1781584028915</v>
      </c>
      <c r="DB21" s="435">
        <f t="shared" si="16"/>
        <v>1199.1781584028915</v>
      </c>
      <c r="DC21" s="435">
        <f t="shared" si="16"/>
        <v>736.14276388524672</v>
      </c>
      <c r="DD21" s="435">
        <f t="shared" si="16"/>
        <v>2084.4201751761043</v>
      </c>
      <c r="DE21" s="435">
        <f t="shared" si="16"/>
        <v>1621.3847806584595</v>
      </c>
      <c r="DF21" s="435">
        <f t="shared" si="16"/>
        <v>1750.3665839409298</v>
      </c>
      <c r="DG21" s="435">
        <f t="shared" si="16"/>
        <v>1961.0868469507641</v>
      </c>
      <c r="DH21" s="435">
        <f t="shared" si="16"/>
        <v>3303.715783184492</v>
      </c>
      <c r="DI21" s="435">
        <f t="shared" si="16"/>
        <v>768.62019636644425</v>
      </c>
      <c r="DJ21" s="435">
        <f t="shared" si="16"/>
        <v>1211.2412047530506</v>
      </c>
      <c r="DK21" s="435">
        <f t="shared" si="16"/>
        <v>2601.2753149483051</v>
      </c>
      <c r="DL21" s="435">
        <f t="shared" si="16"/>
        <v>2506.6267974316725</v>
      </c>
      <c r="DM21" s="435">
        <f t="shared" si="16"/>
        <v>1258.5654635113672</v>
      </c>
      <c r="DN21" s="435">
        <f t="shared" si="16"/>
        <v>2567.8699558247877</v>
      </c>
      <c r="DO21" s="889">
        <f t="shared" si="16"/>
        <v>1369.9166605897585</v>
      </c>
      <c r="DP21" s="888"/>
      <c r="DQ21" s="888"/>
      <c r="DR21" s="587"/>
    </row>
    <row r="22" spans="1:122">
      <c r="A22" s="96" t="s">
        <v>199</v>
      </c>
      <c r="B22" s="1428">
        <v>2.1</v>
      </c>
      <c r="C22" s="1429"/>
      <c r="D22" s="1429"/>
      <c r="E22" s="1429"/>
      <c r="F22" s="1430"/>
      <c r="G22" s="211"/>
      <c r="H22" s="211"/>
      <c r="I22" s="27" t="s">
        <v>452</v>
      </c>
      <c r="J22" s="432" t="s">
        <v>6</v>
      </c>
      <c r="K22" s="433">
        <f>K11*$B57/2.903</f>
        <v>3310.6651187599023</v>
      </c>
      <c r="L22" s="433">
        <f t="shared" ref="L22:Y22" si="17">L11*$B57/2.903</f>
        <v>2290.6324450292796</v>
      </c>
      <c r="M22" s="433">
        <f t="shared" si="17"/>
        <v>2981.9196486117808</v>
      </c>
      <c r="N22" s="433">
        <f t="shared" si="17"/>
        <v>2981.9196486117808</v>
      </c>
      <c r="O22" s="433">
        <f t="shared" si="17"/>
        <v>1448.7982504443671</v>
      </c>
      <c r="P22" s="433">
        <f t="shared" si="17"/>
        <v>5912.9773918015835</v>
      </c>
      <c r="Q22" s="433">
        <f t="shared" si="17"/>
        <v>4379.8559936341708</v>
      </c>
      <c r="R22" s="433">
        <f t="shared" si="17"/>
        <v>4806.9178660695816</v>
      </c>
      <c r="S22" s="433">
        <f t="shared" si="17"/>
        <v>5504.6177569912716</v>
      </c>
      <c r="T22" s="433">
        <f t="shared" si="17"/>
        <v>9950.0946607233873</v>
      </c>
      <c r="U22" s="433">
        <f t="shared" si="17"/>
        <v>1556.3318154460901</v>
      </c>
      <c r="V22" s="433">
        <f t="shared" si="17"/>
        <v>3021.8606870409913</v>
      </c>
      <c r="W22" s="433">
        <f t="shared" si="17"/>
        <v>7624.297269114707</v>
      </c>
      <c r="X22" s="433">
        <f t="shared" si="17"/>
        <v>7310.9137368239735</v>
      </c>
      <c r="Y22" s="433">
        <f t="shared" si="17"/>
        <v>3178.5524531863575</v>
      </c>
      <c r="Z22" s="29"/>
      <c r="AC22" s="743" t="s">
        <v>6</v>
      </c>
      <c r="AD22" s="817">
        <f>AD11*$B57/2.903</f>
        <v>2676.77621637835</v>
      </c>
      <c r="AE22" s="817">
        <f t="shared" ref="AE22:AT22" si="18">AE11*$B57/2.903</f>
        <v>1850.6501667790496</v>
      </c>
      <c r="AF22" s="817">
        <f t="shared" si="18"/>
        <v>2410.5247485858044</v>
      </c>
      <c r="AG22" s="817">
        <f t="shared" si="18"/>
        <v>2410.5247485858044</v>
      </c>
      <c r="AH22" s="817">
        <f t="shared" si="18"/>
        <v>1168.8473427121576</v>
      </c>
      <c r="AI22" s="817">
        <f t="shared" si="18"/>
        <v>4784.3929754464434</v>
      </c>
      <c r="AJ22" s="817">
        <f t="shared" si="18"/>
        <v>3542.715569572797</v>
      </c>
      <c r="AK22" s="817">
        <f t="shared" si="18"/>
        <v>3888.5936445556372</v>
      </c>
      <c r="AL22" s="817">
        <f t="shared" si="18"/>
        <v>4453.6618718163772</v>
      </c>
      <c r="AM22" s="817">
        <f t="shared" si="18"/>
        <v>8054.0605331978904</v>
      </c>
      <c r="AN22" s="817">
        <f t="shared" si="18"/>
        <v>1255.9389443265416</v>
      </c>
      <c r="AO22" s="817">
        <f t="shared" si="18"/>
        <v>2442.8730577568608</v>
      </c>
      <c r="AP22" s="817">
        <f t="shared" si="18"/>
        <v>6170.393606852499</v>
      </c>
      <c r="AQ22" s="817">
        <f t="shared" si="18"/>
        <v>5916.5837964334369</v>
      </c>
      <c r="AR22" s="817">
        <f t="shared" si="18"/>
        <v>2569.7779629663924</v>
      </c>
      <c r="AS22" s="817">
        <f t="shared" si="18"/>
        <v>6080.8136737634177</v>
      </c>
      <c r="AT22" s="817">
        <f t="shared" si="18"/>
        <v>2868.3777399299943</v>
      </c>
      <c r="AU22" s="587"/>
      <c r="AV22" s="587"/>
      <c r="AW22" s="587"/>
      <c r="AX22" s="459">
        <f t="shared" si="12"/>
        <v>0.49194259741034579</v>
      </c>
      <c r="AY22" s="585">
        <f t="shared" si="13"/>
        <v>2876.9599561739651</v>
      </c>
      <c r="AZ22" s="743" t="s">
        <v>6</v>
      </c>
      <c r="BA22" s="817">
        <f>BA11*$B57/2.903</f>
        <v>2106.8929042769005</v>
      </c>
      <c r="BB22" s="817">
        <f t="shared" ref="BB22:BQ22" si="19">BB11*$B57/2.903</f>
        <v>1472.2253958218339</v>
      </c>
      <c r="BC22" s="817">
        <f t="shared" si="19"/>
        <v>1902.346448238671</v>
      </c>
      <c r="BD22" s="817">
        <f t="shared" si="19"/>
        <v>1902.346448238671</v>
      </c>
      <c r="BE22" s="817">
        <f t="shared" si="19"/>
        <v>948.43353643421858</v>
      </c>
      <c r="BF22" s="823">
        <f t="shared" si="19"/>
        <v>3726.0597104860608</v>
      </c>
      <c r="BG22" s="823">
        <f t="shared" si="19"/>
        <v>2772.1467986816087</v>
      </c>
      <c r="BH22" s="823">
        <f t="shared" si="19"/>
        <v>3037.8660266191209</v>
      </c>
      <c r="BI22" s="823">
        <f t="shared" si="19"/>
        <v>3471.9770730830905</v>
      </c>
      <c r="BJ22" s="817">
        <f t="shared" si="19"/>
        <v>6237.9666566003898</v>
      </c>
      <c r="BK22" s="817">
        <f t="shared" si="19"/>
        <v>1015.3412556990601</v>
      </c>
      <c r="BL22" s="817">
        <f t="shared" si="19"/>
        <v>1927.1978868227554</v>
      </c>
      <c r="BM22" s="817">
        <f t="shared" si="19"/>
        <v>4790.8482713579651</v>
      </c>
      <c r="BN22" s="829">
        <f t="shared" si="19"/>
        <v>4595.8600609289988</v>
      </c>
      <c r="BO22" s="829">
        <f t="shared" si="19"/>
        <v>2024.6919920372384</v>
      </c>
      <c r="BP22" s="829">
        <f t="shared" si="19"/>
        <v>4722.0289029712712</v>
      </c>
      <c r="BQ22" s="830">
        <f t="shared" si="19"/>
        <v>2254.0898866595512</v>
      </c>
      <c r="BR22" s="585"/>
      <c r="BS22" s="585"/>
      <c r="BT22" s="585"/>
      <c r="BV22" s="420"/>
      <c r="BW22" s="420"/>
      <c r="BX22" s="420"/>
      <c r="BY22" s="850" t="s">
        <v>6</v>
      </c>
      <c r="BZ22" s="435">
        <f>BZ11*$B57/2.903</f>
        <v>5498.6338288682773</v>
      </c>
      <c r="CA22" s="435">
        <f t="shared" ref="CA22:CP22" si="20">CA11*$B57/2.903</f>
        <v>3894.2675608582681</v>
      </c>
      <c r="CB22" s="435">
        <f t="shared" si="20"/>
        <v>4981.5639774313167</v>
      </c>
      <c r="CC22" s="435">
        <f t="shared" si="20"/>
        <v>4981.5639774313167</v>
      </c>
      <c r="CD22" s="435">
        <f t="shared" si="20"/>
        <v>2570.1821468981993</v>
      </c>
      <c r="CE22" s="435">
        <f t="shared" si="20"/>
        <v>9591.7007837010406</v>
      </c>
      <c r="CF22" s="435">
        <f t="shared" si="20"/>
        <v>7180.3189531679272</v>
      </c>
      <c r="CG22" s="435">
        <f t="shared" si="20"/>
        <v>7852.0265171841647</v>
      </c>
      <c r="CH22" s="435">
        <f t="shared" si="20"/>
        <v>8949.4091785601959</v>
      </c>
      <c r="CI22" s="435">
        <f t="shared" si="20"/>
        <v>15941.511856487647</v>
      </c>
      <c r="CJ22" s="435">
        <f t="shared" si="20"/>
        <v>2739.3171450317859</v>
      </c>
      <c r="CK22" s="435">
        <f t="shared" si="20"/>
        <v>5044.3855481666487</v>
      </c>
      <c r="CL22" s="435">
        <f t="shared" si="20"/>
        <v>12283.3634682841</v>
      </c>
      <c r="CM22" s="435">
        <f t="shared" si="20"/>
        <v>11790.455759437651</v>
      </c>
      <c r="CN22" s="435">
        <f t="shared" si="20"/>
        <v>5290.8394025898715</v>
      </c>
      <c r="CO22" s="435">
        <f t="shared" si="20"/>
        <v>12109.396041632412</v>
      </c>
      <c r="CP22" s="889">
        <f t="shared" si="20"/>
        <v>5870.730824762165</v>
      </c>
      <c r="CQ22" s="888"/>
      <c r="CR22" s="888"/>
      <c r="CS22" s="888"/>
      <c r="CT22" s="420"/>
      <c r="CU22" s="420"/>
      <c r="CV22" s="420"/>
      <c r="CW22" s="420"/>
      <c r="CX22" s="850" t="s">
        <v>6</v>
      </c>
      <c r="CY22" s="435">
        <f>CY11*$B57/2.903</f>
        <v>5368.0821433335668</v>
      </c>
      <c r="CZ22" s="435">
        <f>CZ11*$B57/2.903</f>
        <v>3770.6706515337487</v>
      </c>
      <c r="DA22" s="435">
        <f t="shared" ref="DA22:DO22" si="21">DA11*$B57/2.903</f>
        <v>4853.2537408559137</v>
      </c>
      <c r="DB22" s="435">
        <f t="shared" si="21"/>
        <v>4853.2537408559137</v>
      </c>
      <c r="DC22" s="435">
        <f t="shared" si="21"/>
        <v>2452.3250227591993</v>
      </c>
      <c r="DD22" s="435">
        <f t="shared" si="21"/>
        <v>9443.4060395818979</v>
      </c>
      <c r="DE22" s="435">
        <f t="shared" si="21"/>
        <v>7042.4773214851839</v>
      </c>
      <c r="DF22" s="435">
        <f t="shared" si="21"/>
        <v>7711.273096666433</v>
      </c>
      <c r="DG22" s="435">
        <f t="shared" si="21"/>
        <v>8803.8987078731916</v>
      </c>
      <c r="DH22" s="435">
        <f t="shared" si="21"/>
        <v>15765.691281223346</v>
      </c>
      <c r="DI22" s="435">
        <f t="shared" si="21"/>
        <v>2620.7268366537587</v>
      </c>
      <c r="DJ22" s="435">
        <f t="shared" si="21"/>
        <v>4915.8029860167508</v>
      </c>
      <c r="DK22" s="435">
        <f t="shared" si="21"/>
        <v>12123.400620703884</v>
      </c>
      <c r="DL22" s="435">
        <f t="shared" si="21"/>
        <v>11632.629620211166</v>
      </c>
      <c r="DM22" s="435">
        <f t="shared" si="21"/>
        <v>5161.1884862631077</v>
      </c>
      <c r="DN22" s="435">
        <f t="shared" si="21"/>
        <v>11950.187326412337</v>
      </c>
      <c r="DO22" s="889">
        <f t="shared" si="21"/>
        <v>5738.566133901596</v>
      </c>
      <c r="DP22" s="888"/>
      <c r="DQ22" s="888"/>
      <c r="DR22" s="587"/>
    </row>
    <row r="23" spans="1:122">
      <c r="A23" s="230" t="s">
        <v>200</v>
      </c>
      <c r="B23" s="192">
        <f>0.03*540</f>
        <v>16.2</v>
      </c>
      <c r="C23" s="192">
        <f t="shared" ref="C23:D23" si="22">0.03*540</f>
        <v>16.2</v>
      </c>
      <c r="D23" s="192">
        <f t="shared" si="22"/>
        <v>16.2</v>
      </c>
      <c r="E23" s="192">
        <f>0.03*565</f>
        <v>16.95</v>
      </c>
      <c r="F23" s="192">
        <f>0.03*565</f>
        <v>16.95</v>
      </c>
      <c r="G23" s="211"/>
      <c r="H23" s="211"/>
      <c r="J23" s="432" t="s">
        <v>453</v>
      </c>
      <c r="K23" s="409">
        <f>$B20*$D9/1000</f>
        <v>360.49999999999994</v>
      </c>
      <c r="L23" s="409">
        <f t="shared" ref="L23:Y23" si="23">$B20*$D9/1000</f>
        <v>360.49999999999994</v>
      </c>
      <c r="M23" s="409">
        <f t="shared" si="23"/>
        <v>360.49999999999994</v>
      </c>
      <c r="N23" s="409">
        <f t="shared" si="23"/>
        <v>360.49999999999994</v>
      </c>
      <c r="O23" s="409">
        <f t="shared" si="23"/>
        <v>360.49999999999994</v>
      </c>
      <c r="P23" s="409">
        <f t="shared" si="23"/>
        <v>360.49999999999994</v>
      </c>
      <c r="Q23" s="409">
        <f t="shared" si="23"/>
        <v>360.49999999999994</v>
      </c>
      <c r="R23" s="409">
        <f t="shared" si="23"/>
        <v>360.49999999999994</v>
      </c>
      <c r="S23" s="409">
        <f t="shared" si="23"/>
        <v>360.49999999999994</v>
      </c>
      <c r="T23" s="409">
        <f t="shared" si="23"/>
        <v>360.49999999999994</v>
      </c>
      <c r="U23" s="409">
        <f t="shared" si="23"/>
        <v>360.49999999999994</v>
      </c>
      <c r="V23" s="409">
        <f t="shared" si="23"/>
        <v>360.49999999999994</v>
      </c>
      <c r="W23" s="409">
        <f t="shared" si="23"/>
        <v>360.49999999999994</v>
      </c>
      <c r="X23" s="409">
        <f t="shared" si="23"/>
        <v>360.49999999999994</v>
      </c>
      <c r="Y23" s="409">
        <f t="shared" si="23"/>
        <v>360.49999999999994</v>
      </c>
      <c r="Z23" s="29"/>
      <c r="AC23" s="743" t="s">
        <v>22</v>
      </c>
      <c r="AD23" s="817">
        <f>$B20*$C9/1000</f>
        <v>276.49999999999994</v>
      </c>
      <c r="AE23" s="817">
        <f t="shared" ref="AE23:AT23" si="24">$B20*$C9/1000</f>
        <v>276.49999999999994</v>
      </c>
      <c r="AF23" s="817">
        <f t="shared" si="24"/>
        <v>276.49999999999994</v>
      </c>
      <c r="AG23" s="817">
        <f t="shared" si="24"/>
        <v>276.49999999999994</v>
      </c>
      <c r="AH23" s="817">
        <f t="shared" si="24"/>
        <v>276.49999999999994</v>
      </c>
      <c r="AI23" s="817">
        <f t="shared" si="24"/>
        <v>276.49999999999994</v>
      </c>
      <c r="AJ23" s="817">
        <f t="shared" si="24"/>
        <v>276.49999999999994</v>
      </c>
      <c r="AK23" s="817">
        <f t="shared" si="24"/>
        <v>276.49999999999994</v>
      </c>
      <c r="AL23" s="817">
        <f t="shared" si="24"/>
        <v>276.49999999999994</v>
      </c>
      <c r="AM23" s="817">
        <f t="shared" si="24"/>
        <v>276.49999999999994</v>
      </c>
      <c r="AN23" s="817">
        <f t="shared" si="24"/>
        <v>276.49999999999994</v>
      </c>
      <c r="AO23" s="817">
        <f t="shared" si="24"/>
        <v>276.49999999999994</v>
      </c>
      <c r="AP23" s="817">
        <f t="shared" si="24"/>
        <v>276.49999999999994</v>
      </c>
      <c r="AQ23" s="817">
        <f t="shared" si="24"/>
        <v>276.49999999999994</v>
      </c>
      <c r="AR23" s="817">
        <f t="shared" si="24"/>
        <v>276.49999999999994</v>
      </c>
      <c r="AS23" s="817">
        <f t="shared" si="24"/>
        <v>276.49999999999994</v>
      </c>
      <c r="AT23" s="817">
        <f t="shared" si="24"/>
        <v>276.49999999999994</v>
      </c>
      <c r="AU23" s="618"/>
      <c r="AV23" s="618"/>
      <c r="AW23" s="618"/>
      <c r="AX23" s="459">
        <f t="shared" si="12"/>
        <v>5.5957753133495797E-2</v>
      </c>
      <c r="AY23" s="585">
        <f t="shared" si="13"/>
        <v>327.24999999999994</v>
      </c>
      <c r="AZ23" s="743" t="s">
        <v>22</v>
      </c>
      <c r="BA23" s="817">
        <f>$B20*$B9/1000</f>
        <v>327.24999999999994</v>
      </c>
      <c r="BB23" s="817">
        <f t="shared" ref="BB23:BO23" si="25">$B20*$B9/1000</f>
        <v>327.24999999999994</v>
      </c>
      <c r="BC23" s="817">
        <f t="shared" si="25"/>
        <v>327.24999999999994</v>
      </c>
      <c r="BD23" s="817">
        <f t="shared" si="25"/>
        <v>327.24999999999994</v>
      </c>
      <c r="BE23" s="817">
        <f t="shared" si="25"/>
        <v>327.24999999999994</v>
      </c>
      <c r="BF23" s="823">
        <f t="shared" si="25"/>
        <v>327.24999999999994</v>
      </c>
      <c r="BG23" s="823">
        <f t="shared" si="25"/>
        <v>327.24999999999994</v>
      </c>
      <c r="BH23" s="823">
        <f t="shared" si="25"/>
        <v>327.24999999999994</v>
      </c>
      <c r="BI23" s="823">
        <f t="shared" si="25"/>
        <v>327.24999999999994</v>
      </c>
      <c r="BJ23" s="817">
        <f t="shared" si="25"/>
        <v>327.24999999999994</v>
      </c>
      <c r="BK23" s="817">
        <f t="shared" si="25"/>
        <v>327.24999999999994</v>
      </c>
      <c r="BL23" s="817">
        <f t="shared" si="25"/>
        <v>327.24999999999994</v>
      </c>
      <c r="BM23" s="817">
        <f t="shared" si="25"/>
        <v>327.24999999999994</v>
      </c>
      <c r="BN23" s="829">
        <f t="shared" si="25"/>
        <v>327.24999999999994</v>
      </c>
      <c r="BO23" s="829">
        <f t="shared" si="25"/>
        <v>327.24999999999994</v>
      </c>
      <c r="BP23" s="829">
        <f t="shared" ref="BP23:BQ23" si="26">$B20*$B9/1000</f>
        <v>327.24999999999994</v>
      </c>
      <c r="BQ23" s="830">
        <f t="shared" si="26"/>
        <v>327.24999999999994</v>
      </c>
      <c r="BR23" s="585"/>
      <c r="BS23" s="585"/>
      <c r="BT23" s="585"/>
      <c r="BV23" s="420"/>
      <c r="BW23" s="420"/>
      <c r="BX23" s="420"/>
      <c r="BY23" s="850" t="s">
        <v>22</v>
      </c>
      <c r="BZ23" s="412">
        <f>$B20*$E9/1000</f>
        <v>815.49999999999989</v>
      </c>
      <c r="CA23" s="412">
        <f t="shared" ref="CA23:CN23" si="27">$B20*$E9/1000</f>
        <v>815.49999999999989</v>
      </c>
      <c r="CB23" s="412">
        <f t="shared" si="27"/>
        <v>815.49999999999989</v>
      </c>
      <c r="CC23" s="412">
        <f t="shared" si="27"/>
        <v>815.49999999999989</v>
      </c>
      <c r="CD23" s="412">
        <f t="shared" si="27"/>
        <v>815.49999999999989</v>
      </c>
      <c r="CE23" s="412">
        <f t="shared" si="27"/>
        <v>815.49999999999989</v>
      </c>
      <c r="CF23" s="412">
        <f t="shared" si="27"/>
        <v>815.49999999999989</v>
      </c>
      <c r="CG23" s="412">
        <f t="shared" si="27"/>
        <v>815.49999999999989</v>
      </c>
      <c r="CH23" s="412">
        <f t="shared" si="27"/>
        <v>815.49999999999989</v>
      </c>
      <c r="CI23" s="412">
        <f t="shared" si="27"/>
        <v>815.49999999999989</v>
      </c>
      <c r="CJ23" s="412">
        <f t="shared" si="27"/>
        <v>815.49999999999989</v>
      </c>
      <c r="CK23" s="412">
        <f t="shared" si="27"/>
        <v>815.49999999999989</v>
      </c>
      <c r="CL23" s="412">
        <f t="shared" si="27"/>
        <v>815.49999999999989</v>
      </c>
      <c r="CM23" s="412">
        <f t="shared" si="27"/>
        <v>815.49999999999989</v>
      </c>
      <c r="CN23" s="877">
        <f t="shared" si="27"/>
        <v>815.49999999999989</v>
      </c>
      <c r="CO23" s="877">
        <f t="shared" ref="CO23:CP23" si="28">$B20*$E9/1000</f>
        <v>815.49999999999989</v>
      </c>
      <c r="CP23" s="842">
        <f t="shared" si="28"/>
        <v>815.49999999999989</v>
      </c>
      <c r="CQ23" s="878"/>
      <c r="CR23" s="878"/>
      <c r="CS23" s="878"/>
      <c r="CT23" s="420"/>
      <c r="CU23" s="420"/>
      <c r="CV23" s="420"/>
      <c r="CW23" s="420"/>
      <c r="CX23" s="850" t="s">
        <v>22</v>
      </c>
      <c r="CY23" s="412">
        <f>$B20*$F9/1000</f>
        <v>653.79999999999984</v>
      </c>
      <c r="CZ23" s="412">
        <f t="shared" ref="CZ23:DM23" si="29">$B20*$F9/1000</f>
        <v>653.79999999999984</v>
      </c>
      <c r="DA23" s="412">
        <f t="shared" si="29"/>
        <v>653.79999999999984</v>
      </c>
      <c r="DB23" s="412">
        <f t="shared" si="29"/>
        <v>653.79999999999984</v>
      </c>
      <c r="DC23" s="412">
        <f t="shared" si="29"/>
        <v>653.79999999999984</v>
      </c>
      <c r="DD23" s="412">
        <f t="shared" si="29"/>
        <v>653.79999999999984</v>
      </c>
      <c r="DE23" s="412">
        <f t="shared" si="29"/>
        <v>653.79999999999984</v>
      </c>
      <c r="DF23" s="412">
        <f t="shared" si="29"/>
        <v>653.79999999999984</v>
      </c>
      <c r="DG23" s="412">
        <f t="shared" si="29"/>
        <v>653.79999999999984</v>
      </c>
      <c r="DH23" s="412">
        <f t="shared" si="29"/>
        <v>653.79999999999984</v>
      </c>
      <c r="DI23" s="412">
        <f t="shared" si="29"/>
        <v>653.79999999999984</v>
      </c>
      <c r="DJ23" s="412">
        <f t="shared" si="29"/>
        <v>653.79999999999984</v>
      </c>
      <c r="DK23" s="412">
        <f t="shared" si="29"/>
        <v>653.79999999999984</v>
      </c>
      <c r="DL23" s="412">
        <f t="shared" si="29"/>
        <v>653.79999999999984</v>
      </c>
      <c r="DM23" s="877">
        <f t="shared" si="29"/>
        <v>653.79999999999984</v>
      </c>
      <c r="DN23" s="877">
        <f t="shared" ref="DN23:DO23" si="30">$B20*$F9/1000</f>
        <v>653.79999999999984</v>
      </c>
      <c r="DO23" s="842">
        <f t="shared" si="30"/>
        <v>653.79999999999984</v>
      </c>
      <c r="DP23" s="878"/>
      <c r="DQ23" s="878"/>
      <c r="DR23" s="618"/>
    </row>
    <row r="24" spans="1:122">
      <c r="A24" s="230" t="s">
        <v>201</v>
      </c>
      <c r="B24" s="397">
        <v>105</v>
      </c>
      <c r="C24" s="34">
        <v>100</v>
      </c>
      <c r="D24" s="34"/>
      <c r="E24" s="34">
        <v>130</v>
      </c>
      <c r="F24" s="34">
        <v>127</v>
      </c>
      <c r="G24" s="214"/>
      <c r="H24" s="214"/>
      <c r="J24" s="432"/>
      <c r="K24" s="433"/>
      <c r="L24" s="433"/>
      <c r="M24" s="433"/>
      <c r="N24" s="433"/>
      <c r="O24" s="433"/>
      <c r="P24" s="433"/>
      <c r="Q24" s="433"/>
      <c r="R24" s="433"/>
      <c r="S24" s="433"/>
      <c r="T24" s="433"/>
      <c r="U24" s="433"/>
      <c r="V24" s="433"/>
      <c r="W24" s="433"/>
      <c r="X24" s="433"/>
      <c r="Y24" s="433"/>
      <c r="Z24" s="29"/>
      <c r="AC24" s="743"/>
      <c r="AD24" s="817"/>
      <c r="AE24" s="817"/>
      <c r="AF24" s="817"/>
      <c r="AG24" s="817"/>
      <c r="AH24" s="817"/>
      <c r="AI24" s="823"/>
      <c r="AJ24" s="823"/>
      <c r="AK24" s="823"/>
      <c r="AL24" s="823"/>
      <c r="AM24" s="817"/>
      <c r="AN24" s="817"/>
      <c r="AO24" s="817"/>
      <c r="AP24" s="817"/>
      <c r="AQ24" s="829"/>
      <c r="AR24" s="829"/>
      <c r="AS24" s="829"/>
      <c r="AT24" s="830"/>
      <c r="AU24" s="587"/>
      <c r="AV24" s="587"/>
      <c r="AW24" s="587"/>
      <c r="AX24" s="459"/>
      <c r="AY24" s="585"/>
      <c r="AZ24" s="743"/>
      <c r="BA24" s="817"/>
      <c r="BB24" s="817"/>
      <c r="BC24" s="817"/>
      <c r="BD24" s="817"/>
      <c r="BE24" s="817"/>
      <c r="BF24" s="823"/>
      <c r="BG24" s="823"/>
      <c r="BH24" s="823"/>
      <c r="BI24" s="823"/>
      <c r="BJ24" s="817"/>
      <c r="BK24" s="817"/>
      <c r="BL24" s="817"/>
      <c r="BM24" s="817"/>
      <c r="BN24" s="829"/>
      <c r="BO24" s="829"/>
      <c r="BP24" s="829"/>
      <c r="BQ24" s="830"/>
      <c r="BR24" s="585"/>
      <c r="BS24" s="585"/>
      <c r="BT24" s="585"/>
      <c r="BV24" s="420"/>
      <c r="BW24" s="420"/>
      <c r="BX24" s="420"/>
      <c r="BY24" s="850"/>
      <c r="BZ24" s="435"/>
      <c r="CA24" s="435"/>
      <c r="CB24" s="435"/>
      <c r="CC24" s="435"/>
      <c r="CD24" s="435"/>
      <c r="CE24" s="435"/>
      <c r="CF24" s="435"/>
      <c r="CG24" s="435"/>
      <c r="CH24" s="435"/>
      <c r="CI24" s="435"/>
      <c r="CJ24" s="435"/>
      <c r="CK24" s="435"/>
      <c r="CL24" s="435"/>
      <c r="CM24" s="435"/>
      <c r="CN24" s="890"/>
      <c r="CO24" s="890"/>
      <c r="CP24" s="889"/>
      <c r="CQ24" s="888"/>
      <c r="CR24" s="888"/>
      <c r="CS24" s="888"/>
      <c r="CT24" s="420"/>
      <c r="CU24" s="420"/>
      <c r="CV24" s="420"/>
      <c r="CW24" s="420"/>
      <c r="CX24" s="850"/>
      <c r="CY24" s="435"/>
      <c r="CZ24" s="435"/>
      <c r="DA24" s="435"/>
      <c r="DB24" s="435"/>
      <c r="DC24" s="435"/>
      <c r="DD24" s="435"/>
      <c r="DE24" s="435"/>
      <c r="DF24" s="435"/>
      <c r="DG24" s="435"/>
      <c r="DH24" s="435"/>
      <c r="DI24" s="435"/>
      <c r="DJ24" s="435"/>
      <c r="DK24" s="435"/>
      <c r="DL24" s="435"/>
      <c r="DM24" s="890"/>
      <c r="DN24" s="890"/>
      <c r="DO24" s="889"/>
      <c r="DP24" s="888"/>
      <c r="DQ24" s="888"/>
      <c r="DR24" s="587"/>
    </row>
    <row r="25" spans="1:122">
      <c r="A25" s="230" t="s">
        <v>28</v>
      </c>
      <c r="B25" s="398">
        <v>0.65</v>
      </c>
      <c r="C25" s="394">
        <v>0.62</v>
      </c>
      <c r="D25" s="393"/>
      <c r="E25" s="394">
        <v>0.69</v>
      </c>
      <c r="F25" s="394">
        <v>0.69</v>
      </c>
      <c r="G25" s="214"/>
      <c r="H25" s="214"/>
      <c r="J25" s="432" t="s">
        <v>448</v>
      </c>
      <c r="K25" s="433">
        <f>'Parking &amp; Landing Fee'!AB28</f>
        <v>40.344919999999995</v>
      </c>
      <c r="L25" s="433">
        <f>'Parking &amp; Landing Fee'!AC28</f>
        <v>52.048849999999995</v>
      </c>
      <c r="M25" s="433">
        <f>'Parking &amp; Landing Fee'!AD28</f>
        <v>21.84</v>
      </c>
      <c r="N25" s="433">
        <f>'Parking &amp; Landing Fee'!AE28</f>
        <v>52.048849999999995</v>
      </c>
      <c r="O25" s="433">
        <f>'Parking &amp; Landing Fee'!AF28</f>
        <v>40.418489999999998</v>
      </c>
      <c r="P25" s="433">
        <f>'Parking &amp; Landing Fee'!AG28</f>
        <v>28.099679999999996</v>
      </c>
      <c r="Q25" s="433">
        <f>'Parking &amp; Landing Fee'!AH28</f>
        <v>27.884079999999997</v>
      </c>
      <c r="R25" s="433">
        <f>'Parking &amp; Landing Fee'!AI28</f>
        <v>52.048849999999995</v>
      </c>
      <c r="S25" s="433">
        <f>'Parking &amp; Landing Fee'!AJ28</f>
        <v>37.370199999999997</v>
      </c>
      <c r="T25" s="433">
        <f>'Parking &amp; Landing Fee'!AK28</f>
        <v>56.915039999999998</v>
      </c>
      <c r="U25" s="433">
        <f>'Parking &amp; Landing Fee'!AL28</f>
        <v>31.620959999999997</v>
      </c>
      <c r="V25" s="433">
        <f>'Parking &amp; Landing Fee'!AM28</f>
        <v>33.330569999999994</v>
      </c>
      <c r="W25" s="433">
        <f>'Parking &amp; Landing Fee'!AN28</f>
        <v>40.344919999999995</v>
      </c>
      <c r="X25" s="433">
        <f>'Parking &amp; Landing Fee'!AO28</f>
        <v>27.884079999999997</v>
      </c>
      <c r="Y25" s="433">
        <f>'Parking &amp; Landing Fee'!AP28</f>
        <v>27.884079999999997</v>
      </c>
      <c r="Z25" s="29"/>
      <c r="AC25" s="743" t="s">
        <v>448</v>
      </c>
      <c r="AD25" s="817">
        <f>'Parking &amp; Landing Fee'!AE48</f>
        <v>29.642458999999995</v>
      </c>
      <c r="AE25" s="817">
        <f>'Parking &amp; Landing Fee'!AF48</f>
        <v>15.777999999999997</v>
      </c>
      <c r="AF25" s="817">
        <f>'Parking &amp; Landing Fee'!AG48</f>
        <v>38.424504999999996</v>
      </c>
      <c r="AG25" s="817">
        <f>'Parking &amp; Landing Fee'!AH48</f>
        <v>27.383054999999999</v>
      </c>
      <c r="AH25" s="817">
        <f>'Parking &amp; Landing Fee'!AI48</f>
        <v>20.600985999999999</v>
      </c>
      <c r="AI25" s="817">
        <f>'Parking &amp; Landing Fee'!AJ48</f>
        <v>20.385385999999997</v>
      </c>
      <c r="AJ25" s="817">
        <f>'Parking &amp; Landing Fee'!AK48</f>
        <v>20.385385999999997</v>
      </c>
      <c r="AK25" s="817">
        <f>'Parking &amp; Landing Fee'!AL48</f>
        <v>41.132622999999988</v>
      </c>
      <c r="AL25" s="817">
        <f>'Parking &amp; Landing Fee'!AM48</f>
        <v>24.605836499999995</v>
      </c>
      <c r="AM25" s="817">
        <f>'Parking &amp; Landing Fee'!AN48</f>
        <v>18.673070499999994</v>
      </c>
      <c r="AN25" s="817">
        <f>'Parking &amp; Landing Fee'!AO48</f>
        <v>20.385385999999997</v>
      </c>
      <c r="AO25" s="817">
        <f>'Parking &amp; Landing Fee'!AP48</f>
        <v>28.253658999999995</v>
      </c>
      <c r="AP25" s="817">
        <f>'Parking &amp; Landing Fee'!AQ48</f>
        <v>29.838784499999996</v>
      </c>
      <c r="AQ25" s="817">
        <f>'Parking &amp; Landing Fee'!AR48</f>
        <v>22.852276999999997</v>
      </c>
      <c r="AR25" s="817">
        <f>'Parking &amp; Landing Fee'!AS48</f>
        <v>29.642458999999995</v>
      </c>
      <c r="AS25" s="817">
        <f>'Parking &amp; Landing Fee'!AT48</f>
        <v>0</v>
      </c>
      <c r="AT25" s="817">
        <f>'Parking &amp; Landing Fee'!AU48</f>
        <v>0</v>
      </c>
      <c r="AU25" s="587"/>
      <c r="AV25" s="587"/>
      <c r="AW25" s="587"/>
      <c r="AX25" s="459">
        <f t="shared" si="12"/>
        <v>5.74437023787877E-3</v>
      </c>
      <c r="AY25" s="585">
        <f t="shared" si="13"/>
        <v>33.594007176470583</v>
      </c>
      <c r="AZ25" s="743" t="s">
        <v>448</v>
      </c>
      <c r="BA25" s="817">
        <f>'Parking &amp; Landing Fee'!AB26</f>
        <v>35.302651999999995</v>
      </c>
      <c r="BB25" s="817">
        <f>'Parking &amp; Landing Fee'!AC26</f>
        <v>45.629989999999999</v>
      </c>
      <c r="BC25" s="817">
        <f>'Parking &amp; Landing Fee'!AD26</f>
        <v>18.983999999999998</v>
      </c>
      <c r="BD25" s="817">
        <f>'Parking &amp; Landing Fee'!AE26</f>
        <v>45.629989999999999</v>
      </c>
      <c r="BE25" s="817">
        <f>'Parking &amp; Landing Fee'!AF26</f>
        <v>35.434055999999998</v>
      </c>
      <c r="BF25" s="823">
        <f>'Parking &amp; Landing Fee'!AG26</f>
        <v>24.566807999999998</v>
      </c>
      <c r="BG25" s="823">
        <f>'Parking &amp; Landing Fee'!AH26</f>
        <v>33.913851999999999</v>
      </c>
      <c r="BH25" s="823">
        <f>'Parking &amp; Landing Fee'!AI26</f>
        <v>35.434055999999998</v>
      </c>
      <c r="BI25" s="823">
        <f>'Parking &amp; Landing Fee'!AJ26</f>
        <v>32.664939999999994</v>
      </c>
      <c r="BJ25" s="817">
        <f>'Parking &amp; Landing Fee'!AK26</f>
        <v>49.479443999999994</v>
      </c>
      <c r="BK25" s="817">
        <f>'Parking &amp; Landing Fee'!AL26</f>
        <v>27.489755999999996</v>
      </c>
      <c r="BL25" s="817">
        <f>'Parking &amp; Landing Fee'!AM26</f>
        <v>45.629989999999999</v>
      </c>
      <c r="BM25" s="817">
        <f>'Parking &amp; Landing Fee'!AN26</f>
        <v>24.351208</v>
      </c>
      <c r="BN25" s="829">
        <f>'Parking &amp; Landing Fee'!AO26</f>
        <v>24.351208</v>
      </c>
      <c r="BO25" s="829">
        <f>'Parking &amp; Landing Fee'!AP26</f>
        <v>24.351208</v>
      </c>
      <c r="BP25" s="829">
        <f>'Parking &amp; Landing Fee'!AQ26</f>
        <v>45.629989999999999</v>
      </c>
      <c r="BQ25" s="830">
        <f>'Parking &amp; Landing Fee'!AR26</f>
        <v>22.254973999999994</v>
      </c>
      <c r="BR25" s="585"/>
      <c r="BS25" s="585"/>
      <c r="BT25" s="585"/>
      <c r="BV25" s="420"/>
      <c r="BW25" s="420"/>
      <c r="BX25" s="420"/>
      <c r="BY25" s="850" t="s">
        <v>448</v>
      </c>
      <c r="BZ25" s="435">
        <f>'Parking &amp; Landing Fee'!AB29</f>
        <v>93.584119999999999</v>
      </c>
      <c r="CA25" s="435">
        <f>'Parking &amp; Landing Fee'!AC29</f>
        <v>119.82263999999999</v>
      </c>
      <c r="CB25" s="435">
        <f>'Parking &amp; Landing Fee'!AD29</f>
        <v>55.65</v>
      </c>
      <c r="CC25" s="435">
        <f>'Parking &amp; Landing Fee'!AE29</f>
        <v>119.82263999999999</v>
      </c>
      <c r="CD25" s="435">
        <f>'Parking &amp; Landing Fee'!AF29</f>
        <v>93.048059999999992</v>
      </c>
      <c r="CE25" s="435">
        <f>'Parking &amp; Landing Fee'!AG29</f>
        <v>50.491597800000001</v>
      </c>
      <c r="CF25" s="435">
        <f>'Parking &amp; Landing Fee'!AH29</f>
        <v>90.42340999999999</v>
      </c>
      <c r="CG25" s="435">
        <f>'Parking &amp; Landing Fee'!AI29</f>
        <v>93.048059999999992</v>
      </c>
      <c r="CH25" s="435">
        <f>'Parking &amp; Landing Fee'!AJ29</f>
        <v>87.052209999999988</v>
      </c>
      <c r="CI25" s="435">
        <f>'Parking &amp; Landing Fee'!AK29</f>
        <v>139.68633</v>
      </c>
      <c r="CJ25" s="435">
        <f>'Parking &amp; Landing Fee'!AL29</f>
        <v>79.70487</v>
      </c>
      <c r="CK25" s="435">
        <f>'Parking &amp; Landing Fee'!AM29</f>
        <v>76.726579999999998</v>
      </c>
      <c r="CL25" s="435">
        <f>'Parking &amp; Landing Fee'!AN29</f>
        <v>65.182179999999988</v>
      </c>
      <c r="CM25" s="435">
        <f>'Parking &amp; Landing Fee'!AO29</f>
        <v>65.182179999999988</v>
      </c>
      <c r="CN25" s="890">
        <f>'Parking &amp; Landing Fee'!AP29</f>
        <v>65.182179999999988</v>
      </c>
      <c r="CO25" s="890">
        <f>'Parking &amp; Landing Fee'!AQ29</f>
        <v>119.82263999999999</v>
      </c>
      <c r="CP25" s="889">
        <f>'Parking &amp; Landing Fee'!AR29</f>
        <v>59.132149999999996</v>
      </c>
      <c r="CQ25" s="888"/>
      <c r="CR25" s="888"/>
      <c r="CS25" s="888"/>
      <c r="CT25" s="420"/>
      <c r="CU25" s="420"/>
      <c r="CV25" s="420"/>
      <c r="CW25" s="420"/>
      <c r="CX25" s="850" t="s">
        <v>448</v>
      </c>
      <c r="CY25" s="435">
        <f>'Parking &amp; Landing Fee'!AB30</f>
        <v>72.306791199999992</v>
      </c>
      <c r="CZ25" s="435">
        <f>'Parking &amp; Landing Fee'!AC30</f>
        <v>92.73568010000001</v>
      </c>
      <c r="DA25" s="435">
        <f>'Parking &amp; Landing Fee'!AD30</f>
        <v>41.954499999999996</v>
      </c>
      <c r="DB25" s="435">
        <f>'Parking &amp; Landing Fee'!AE30</f>
        <v>92.73568010000001</v>
      </c>
      <c r="DC25" s="435">
        <f>'Parking &amp; Landing Fee'!AF30</f>
        <v>72.014511099999993</v>
      </c>
      <c r="DD25" s="435">
        <f>'Parking &amp; Landing Fee'!AG30</f>
        <v>65.397779999999997</v>
      </c>
      <c r="DE25" s="435">
        <f>'Parking &amp; Landing Fee'!AH30</f>
        <v>70.567674099999991</v>
      </c>
      <c r="DF25" s="435">
        <f>'Parking &amp; Landing Fee'!AI30</f>
        <v>72.014511099999993</v>
      </c>
      <c r="DG25" s="435">
        <f>'Parking &amp; Landing Fee'!AJ30</f>
        <v>67.196474099999989</v>
      </c>
      <c r="DH25" s="435">
        <f>'Parking &amp; Landing Fee'!AK30</f>
        <v>106.44187329999998</v>
      </c>
      <c r="DI25" s="435">
        <f>'Parking &amp; Landing Fee'!AL30</f>
        <v>61.235118699999994</v>
      </c>
      <c r="DJ25" s="435">
        <f>'Parking &amp; Landing Fee'!AM30</f>
        <v>59.382598800000004</v>
      </c>
      <c r="DK25" s="435">
        <f>'Parking &amp; Landing Fee'!AN30</f>
        <v>50.275997799999999</v>
      </c>
      <c r="DL25" s="435">
        <f>'Parking &amp; Landing Fee'!AO30</f>
        <v>50.275997799999999</v>
      </c>
      <c r="DM25" s="890">
        <f>'Parking &amp; Landing Fee'!AP30</f>
        <v>50.275997799999999</v>
      </c>
      <c r="DN25" s="890">
        <f>'Parking &amp; Landing Fee'!AQ30</f>
        <v>92.73568010000001</v>
      </c>
      <c r="DO25" s="889">
        <f>'Parking &amp; Landing Fee'!AR30</f>
        <v>45.669473500000002</v>
      </c>
      <c r="DP25" s="888"/>
      <c r="DQ25" s="888"/>
      <c r="DR25" s="587"/>
    </row>
    <row r="26" spans="1:122">
      <c r="A26" s="230" t="s">
        <v>30</v>
      </c>
      <c r="B26" s="395">
        <v>0</v>
      </c>
      <c r="C26" s="395">
        <v>0</v>
      </c>
      <c r="D26" s="192"/>
      <c r="E26" s="395">
        <v>0</v>
      </c>
      <c r="F26" s="395">
        <v>0</v>
      </c>
      <c r="G26" s="211"/>
      <c r="H26" s="211"/>
      <c r="J26" s="432" t="s">
        <v>446</v>
      </c>
      <c r="K26" s="433">
        <f>$D18*ROUNDDOWN(((K9-20)/100),0)*$B19</f>
        <v>200.89999999999998</v>
      </c>
      <c r="L26" s="433">
        <f t="shared" ref="L26:X26" si="31">$D18*ROUNDDOWN(((L9-20)/100),0)*$B19</f>
        <v>120.53999999999998</v>
      </c>
      <c r="M26" s="433">
        <f t="shared" si="31"/>
        <v>160.71999999999997</v>
      </c>
      <c r="N26" s="433">
        <f t="shared" si="31"/>
        <v>160.71999999999997</v>
      </c>
      <c r="O26" s="433">
        <f t="shared" si="31"/>
        <v>60.269999999999989</v>
      </c>
      <c r="P26" s="433">
        <f t="shared" si="31"/>
        <v>361.61999999999995</v>
      </c>
      <c r="Q26" s="433">
        <f t="shared" si="31"/>
        <v>261.16999999999996</v>
      </c>
      <c r="R26" s="433">
        <f t="shared" si="31"/>
        <v>281.26</v>
      </c>
      <c r="S26" s="433">
        <f t="shared" si="31"/>
        <v>341.53</v>
      </c>
      <c r="T26" s="433">
        <f t="shared" si="31"/>
        <v>622.79</v>
      </c>
      <c r="U26" s="433">
        <f t="shared" si="31"/>
        <v>80.359999999999985</v>
      </c>
      <c r="V26" s="433">
        <f t="shared" si="31"/>
        <v>180.80999999999997</v>
      </c>
      <c r="W26" s="433">
        <f t="shared" si="31"/>
        <v>482.15999999999991</v>
      </c>
      <c r="X26" s="433">
        <f t="shared" si="31"/>
        <v>462.06999999999994</v>
      </c>
      <c r="Y26" s="433">
        <f>$D18*ROUNDDOWN(((Y9-20)/100),0)*$B19</f>
        <v>180.80999999999997</v>
      </c>
      <c r="Z26" s="29"/>
      <c r="AC26" s="743" t="s">
        <v>446</v>
      </c>
      <c r="AD26" s="817">
        <f>$C18*ROUNDDOWN(((AD9-20)/100),0)*$B19</f>
        <v>161.69999999999999</v>
      </c>
      <c r="AE26" s="817">
        <f t="shared" ref="AE26:AT26" si="32">$C18*ROUNDDOWN(((AE9-20)/100),0)*$B19</f>
        <v>97.019999999999982</v>
      </c>
      <c r="AF26" s="817">
        <f t="shared" si="32"/>
        <v>129.35999999999999</v>
      </c>
      <c r="AG26" s="817">
        <f t="shared" si="32"/>
        <v>129.35999999999999</v>
      </c>
      <c r="AH26" s="817">
        <f t="shared" si="32"/>
        <v>48.509999999999991</v>
      </c>
      <c r="AI26" s="817">
        <f t="shared" si="32"/>
        <v>291.05999999999995</v>
      </c>
      <c r="AJ26" s="817">
        <f t="shared" si="32"/>
        <v>210.20999999999998</v>
      </c>
      <c r="AK26" s="817">
        <f t="shared" si="32"/>
        <v>226.37999999999997</v>
      </c>
      <c r="AL26" s="817">
        <f t="shared" si="32"/>
        <v>274.89</v>
      </c>
      <c r="AM26" s="817">
        <f t="shared" si="32"/>
        <v>501.26999999999992</v>
      </c>
      <c r="AN26" s="817">
        <f t="shared" si="32"/>
        <v>64.679999999999993</v>
      </c>
      <c r="AO26" s="817">
        <f t="shared" si="32"/>
        <v>145.52999999999997</v>
      </c>
      <c r="AP26" s="817">
        <f t="shared" si="32"/>
        <v>388.07999999999993</v>
      </c>
      <c r="AQ26" s="817">
        <f t="shared" si="32"/>
        <v>371.90999999999997</v>
      </c>
      <c r="AR26" s="817">
        <f t="shared" si="32"/>
        <v>145.52999999999997</v>
      </c>
      <c r="AS26" s="817">
        <f t="shared" si="32"/>
        <v>371.90999999999997</v>
      </c>
      <c r="AT26" s="817">
        <f t="shared" si="32"/>
        <v>161.69999999999999</v>
      </c>
      <c r="AU26" s="587"/>
      <c r="AV26" s="587"/>
      <c r="AW26" s="587"/>
      <c r="AX26" s="459">
        <f t="shared" si="12"/>
        <v>4.3076380455580661E-2</v>
      </c>
      <c r="AY26" s="585">
        <f t="shared" si="13"/>
        <v>251.91764705882349</v>
      </c>
      <c r="AZ26" s="743" t="s">
        <v>446</v>
      </c>
      <c r="BA26" s="817">
        <f>$B18*ROUNDDOWN(((BA9-20)/100),0)*$B19</f>
        <v>186.2</v>
      </c>
      <c r="BB26" s="817">
        <f t="shared" ref="BB26:BQ26" si="33">$B18*ROUNDDOWN(((BB9-20)/100),0)*$B19</f>
        <v>111.71999999999998</v>
      </c>
      <c r="BC26" s="817">
        <f t="shared" si="33"/>
        <v>148.95999999999998</v>
      </c>
      <c r="BD26" s="817">
        <f t="shared" si="33"/>
        <v>148.95999999999998</v>
      </c>
      <c r="BE26" s="817">
        <f t="shared" si="33"/>
        <v>55.859999999999992</v>
      </c>
      <c r="BF26" s="823">
        <f t="shared" si="33"/>
        <v>335.15999999999997</v>
      </c>
      <c r="BG26" s="823">
        <f t="shared" si="33"/>
        <v>242.05999999999997</v>
      </c>
      <c r="BH26" s="823">
        <f t="shared" si="33"/>
        <v>260.67999999999995</v>
      </c>
      <c r="BI26" s="823">
        <f t="shared" si="33"/>
        <v>316.53999999999996</v>
      </c>
      <c r="BJ26" s="817">
        <f t="shared" si="33"/>
        <v>577.21999999999991</v>
      </c>
      <c r="BK26" s="817">
        <f t="shared" si="33"/>
        <v>74.47999999999999</v>
      </c>
      <c r="BL26" s="817">
        <f t="shared" si="33"/>
        <v>167.57999999999998</v>
      </c>
      <c r="BM26" s="817">
        <f t="shared" si="33"/>
        <v>446.87999999999994</v>
      </c>
      <c r="BN26" s="829">
        <f t="shared" si="33"/>
        <v>428.25999999999993</v>
      </c>
      <c r="BO26" s="829">
        <f t="shared" si="33"/>
        <v>167.57999999999998</v>
      </c>
      <c r="BP26" s="829">
        <f t="shared" si="33"/>
        <v>428.25999999999993</v>
      </c>
      <c r="BQ26" s="830">
        <f t="shared" si="33"/>
        <v>186.2</v>
      </c>
      <c r="BR26" s="585"/>
      <c r="BS26" s="585"/>
      <c r="BT26" s="585"/>
      <c r="BV26" s="420"/>
      <c r="BW26" s="420"/>
      <c r="BX26" s="420"/>
      <c r="BY26" s="848" t="s">
        <v>446</v>
      </c>
      <c r="BZ26" s="435">
        <f>$E18*ROUNDDOWN(((BZ9-20)/100),0)*$B19</f>
        <v>387.09999999999997</v>
      </c>
      <c r="CA26" s="435">
        <f t="shared" ref="CA26:CP26" si="34">$E18*ROUNDDOWN(((CA9-20)/100),0)*$B19</f>
        <v>232.25999999999996</v>
      </c>
      <c r="CB26" s="435">
        <f t="shared" si="34"/>
        <v>309.67999999999995</v>
      </c>
      <c r="CC26" s="435">
        <f t="shared" si="34"/>
        <v>309.67999999999995</v>
      </c>
      <c r="CD26" s="435">
        <f t="shared" si="34"/>
        <v>116.12999999999998</v>
      </c>
      <c r="CE26" s="435">
        <f t="shared" si="34"/>
        <v>696.77999999999986</v>
      </c>
      <c r="CF26" s="435">
        <f t="shared" si="34"/>
        <v>503.22999999999996</v>
      </c>
      <c r="CG26" s="435">
        <f t="shared" si="34"/>
        <v>541.93999999999994</v>
      </c>
      <c r="CH26" s="435">
        <f t="shared" si="34"/>
        <v>658.06999999999994</v>
      </c>
      <c r="CI26" s="435">
        <f t="shared" si="34"/>
        <v>1200.0099999999998</v>
      </c>
      <c r="CJ26" s="435">
        <f t="shared" si="34"/>
        <v>154.83999999999997</v>
      </c>
      <c r="CK26" s="435">
        <f t="shared" si="34"/>
        <v>348.38999999999993</v>
      </c>
      <c r="CL26" s="435">
        <f t="shared" si="34"/>
        <v>929.03999999999985</v>
      </c>
      <c r="CM26" s="435">
        <f t="shared" si="34"/>
        <v>890.32999999999993</v>
      </c>
      <c r="CN26" s="435">
        <f t="shared" si="34"/>
        <v>348.38999999999993</v>
      </c>
      <c r="CO26" s="435">
        <f t="shared" si="34"/>
        <v>890.32999999999993</v>
      </c>
      <c r="CP26" s="889">
        <f t="shared" si="34"/>
        <v>387.09999999999997</v>
      </c>
      <c r="CQ26" s="888"/>
      <c r="CR26" s="888"/>
      <c r="CS26" s="888"/>
      <c r="CT26" s="420"/>
      <c r="CU26" s="420"/>
      <c r="CV26" s="420"/>
      <c r="CW26" s="420"/>
      <c r="CX26" s="848" t="s">
        <v>446</v>
      </c>
      <c r="CY26" s="435">
        <f>$F18*ROUNDDOWN(((CY9-20)/100),0)*$B19</f>
        <v>323.39999999999998</v>
      </c>
      <c r="CZ26" s="435">
        <f t="shared" ref="CZ26:DO26" si="35">$F18*ROUNDDOWN(((CZ9-20)/100),0)*$B19</f>
        <v>194.03999999999996</v>
      </c>
      <c r="DA26" s="435">
        <f t="shared" si="35"/>
        <v>258.71999999999997</v>
      </c>
      <c r="DB26" s="435">
        <f t="shared" si="35"/>
        <v>258.71999999999997</v>
      </c>
      <c r="DC26" s="435">
        <f t="shared" si="35"/>
        <v>97.019999999999982</v>
      </c>
      <c r="DD26" s="435">
        <f t="shared" si="35"/>
        <v>582.11999999999989</v>
      </c>
      <c r="DE26" s="435">
        <f t="shared" si="35"/>
        <v>420.41999999999996</v>
      </c>
      <c r="DF26" s="435">
        <f t="shared" si="35"/>
        <v>452.75999999999993</v>
      </c>
      <c r="DG26" s="435">
        <f t="shared" si="35"/>
        <v>549.78</v>
      </c>
      <c r="DH26" s="435">
        <f t="shared" si="35"/>
        <v>1002.5399999999998</v>
      </c>
      <c r="DI26" s="435">
        <f t="shared" si="35"/>
        <v>129.35999999999999</v>
      </c>
      <c r="DJ26" s="435">
        <f t="shared" si="35"/>
        <v>291.05999999999995</v>
      </c>
      <c r="DK26" s="435">
        <f t="shared" si="35"/>
        <v>776.15999999999985</v>
      </c>
      <c r="DL26" s="435">
        <f t="shared" si="35"/>
        <v>743.81999999999994</v>
      </c>
      <c r="DM26" s="435">
        <f t="shared" si="35"/>
        <v>291.05999999999995</v>
      </c>
      <c r="DN26" s="435">
        <f t="shared" si="35"/>
        <v>743.81999999999994</v>
      </c>
      <c r="DO26" s="889">
        <f t="shared" si="35"/>
        <v>323.39999999999998</v>
      </c>
      <c r="DP26" s="888"/>
      <c r="DQ26" s="888"/>
      <c r="DR26" s="587"/>
    </row>
    <row r="27" spans="1:122">
      <c r="A27" s="396" t="s">
        <v>47</v>
      </c>
      <c r="B27" s="227">
        <v>1</v>
      </c>
      <c r="C27" s="227">
        <v>1</v>
      </c>
      <c r="D27" s="227">
        <v>1</v>
      </c>
      <c r="E27" s="227">
        <v>1</v>
      </c>
      <c r="F27" s="227">
        <v>1</v>
      </c>
      <c r="G27" s="211"/>
      <c r="H27" s="211"/>
      <c r="I27" s="22" t="s">
        <v>454</v>
      </c>
      <c r="J27" s="432" t="s">
        <v>445</v>
      </c>
      <c r="K27" s="433" t="s">
        <v>116</v>
      </c>
      <c r="L27" s="433" t="s">
        <v>116</v>
      </c>
      <c r="M27" s="433" t="s">
        <v>116</v>
      </c>
      <c r="N27" s="433" t="s">
        <v>116</v>
      </c>
      <c r="O27" s="433" t="s">
        <v>116</v>
      </c>
      <c r="P27" s="433" t="s">
        <v>116</v>
      </c>
      <c r="Q27" s="433" t="s">
        <v>116</v>
      </c>
      <c r="R27" s="434" t="s">
        <v>116</v>
      </c>
      <c r="S27" s="435" t="s">
        <v>116</v>
      </c>
      <c r="T27" s="435" t="s">
        <v>116</v>
      </c>
      <c r="U27" s="435" t="s">
        <v>116</v>
      </c>
      <c r="V27" s="435" t="s">
        <v>116</v>
      </c>
      <c r="W27" s="435" t="s">
        <v>116</v>
      </c>
      <c r="X27" s="435" t="s">
        <v>116</v>
      </c>
      <c r="Y27" s="436" t="s">
        <v>116</v>
      </c>
      <c r="Z27" s="29"/>
      <c r="AC27" s="1122" t="s">
        <v>445</v>
      </c>
      <c r="AD27" s="817">
        <f>IF(Profitability!AQ151&gt;=($C12/1000),($B63)*$C12,($B63)*BB126*1000)</f>
        <v>460.3671871184705</v>
      </c>
      <c r="AE27" s="817">
        <f>IF(Profitability!AR151&gt;=($C12/1000),($B63)*$C12,($B63)*BC126*1000)</f>
        <v>691.2</v>
      </c>
      <c r="AF27" s="817">
        <f>IF(Profitability!AS151&gt;=($C12/1000),($B63)*$C12,($B63)*BD126*1000)</f>
        <v>337.5961226114631</v>
      </c>
      <c r="AG27" s="817">
        <f>IF(Profitability!AT151&gt;=($C12/1000),($B63)*$C12,($B63)*BE126*1000)</f>
        <v>525.79031957262487</v>
      </c>
      <c r="AH27" s="817">
        <f>IF(Profitability!AU151&gt;=($C12/1000),($B63)*$C12,($B63)*BF126*1000)</f>
        <v>691.2</v>
      </c>
      <c r="AI27" s="817">
        <f>IF(Profitability!AV151&gt;=($C12/1000),($B63)*$C12,($B63)*BG126*1000)</f>
        <v>188.72375982856215</v>
      </c>
      <c r="AJ27" s="817">
        <f>IF(Profitability!AW151&gt;=($C12/1000),($B63)*$C12,($B63)*BH126*1000)</f>
        <v>308.54858836287201</v>
      </c>
      <c r="AK27" s="817">
        <f>IF(Profitability!AX151&gt;=($C12/1000),($B63)*$C12,($B63)*BI126*1000)</f>
        <v>520.49162948503272</v>
      </c>
      <c r="AL27" s="817">
        <f>IF(Profitability!AY151&gt;=($C12/1000),($B63)*$C12,($B63)*BJ126*1000)</f>
        <v>400.28160794862418</v>
      </c>
      <c r="AM27" s="817">
        <f>IF(Profitability!AZ151&gt;=($C12/1000),($B63)*$C12,($B63)*BK126*1000)</f>
        <v>634.7631548416</v>
      </c>
      <c r="AN27" s="817">
        <f>IF(Profitability!BA151&gt;=($C12/1000),($B63)*$C12,($B63)*BL126*1000)</f>
        <v>691.2</v>
      </c>
      <c r="AO27" s="817">
        <f>IF(Profitability!BB151&gt;=($C12/1000),($B63)*$C12,($B63)*BM126*1000)</f>
        <v>120.70585479280928</v>
      </c>
      <c r="AP27" s="817">
        <f>IF(Profitability!BC151&gt;=($C12/1000),($B63)*$C12,($B63)*BN126*1000)</f>
        <v>209.46505751862523</v>
      </c>
      <c r="AQ27" s="817">
        <f>IF(Profitability!BD151&gt;=($C12/1000),($B63)*$C12,($B63)*BO126*1000)</f>
        <v>259.92068135227237</v>
      </c>
      <c r="AR27" s="817">
        <f>IF(Profitability!BE151&gt;=($C12/1000),($B63)*$C12,($B63)*BP126*1000)</f>
        <v>147.45876660550644</v>
      </c>
      <c r="AS27" s="817">
        <f>IF(Profitability!BF151&gt;=($C12/1000),($B63)*$C12,($B63)*BQ126*1000)</f>
        <v>223.12202541587402</v>
      </c>
      <c r="AT27" s="817">
        <f>IF(Profitability!BG151&gt;=($C12/1000),($B63)*$C12,($B63)*BR126*1000)</f>
        <v>607.66682745228286</v>
      </c>
      <c r="AU27" s="587"/>
      <c r="AV27" s="587"/>
      <c r="AW27" s="587"/>
      <c r="AX27" s="459">
        <f t="shared" si="12"/>
        <v>7.0595349650534878E-2</v>
      </c>
      <c r="AY27" s="585">
        <f t="shared" si="13"/>
        <v>412.85303428862471</v>
      </c>
      <c r="AZ27" s="1122" t="s">
        <v>445</v>
      </c>
      <c r="BA27" s="817">
        <f>IF(Profitability!AQ151&gt;=($B12/1000),($B63)*$B12,($B63)*BB126*1000)</f>
        <v>460.3671871184705</v>
      </c>
      <c r="BB27" s="817">
        <f>IF(Profitability!AR151&gt;=($B12/1000),($B63)*$B12,($B63)*BC126*1000)</f>
        <v>691.2</v>
      </c>
      <c r="BC27" s="817">
        <f>IF(Profitability!AS151&gt;=($B12/1000),($B63)*$B12,($B63)*BD126*1000)</f>
        <v>337.5961226114631</v>
      </c>
      <c r="BD27" s="817">
        <f>IF(Profitability!AT151&gt;=($B12/1000),($B63)*$B12,($B63)*BE126*1000)</f>
        <v>525.79031957262487</v>
      </c>
      <c r="BE27" s="817">
        <f>IF(Profitability!AU151&gt;=($B12/1000),($B63)*$B12,($B63)*BF126*1000)</f>
        <v>691.2</v>
      </c>
      <c r="BF27" s="817">
        <f>IF(Profitability!AV151&gt;=($B12/1000),($B63)*$B12,($B63)*BG126*1000)</f>
        <v>188.72375982856215</v>
      </c>
      <c r="BG27" s="817">
        <f>IF(Profitability!AW151&gt;=($B12/1000),($B63)*$B12,($B63)*BH126*1000)</f>
        <v>308.54858836287201</v>
      </c>
      <c r="BH27" s="817">
        <f>IF(Profitability!AX151&gt;=($B12/1000),($B63)*$B12,($B63)*BI126*1000)</f>
        <v>520.49162948503272</v>
      </c>
      <c r="BI27" s="817">
        <f>IF(Profitability!AY151&gt;=($B12/1000),($B63)*$B12,($B63)*BJ126*1000)</f>
        <v>400.28160794862418</v>
      </c>
      <c r="BJ27" s="817">
        <f>IF(Profitability!AZ151&gt;=($B12/1000),($B63)*$B12,($B63)*BK126*1000)</f>
        <v>634.7631548416</v>
      </c>
      <c r="BK27" s="817">
        <f>IF(Profitability!BA151&gt;=($B12/1000),($B63)*$B12,($B63)*BL126*1000)</f>
        <v>691.2</v>
      </c>
      <c r="BL27" s="817">
        <f>IF(Profitability!BB151&gt;=($B12/1000),($B63)*$B12,($B63)*BM126*1000)</f>
        <v>120.70585479280928</v>
      </c>
      <c r="BM27" s="817">
        <f>IF(Profitability!BC151&gt;=($B12/1000),($B63)*$B12,($B63)*BN126*1000)</f>
        <v>209.46505751862523</v>
      </c>
      <c r="BN27" s="817">
        <f>IF(Profitability!BD151&gt;=($B12/1000),($B63)*$B12,($B63)*BO126*1000)</f>
        <v>259.92068135227237</v>
      </c>
      <c r="BO27" s="817">
        <f>IF(Profitability!BE151&gt;=($B12/1000),($B63)*$B12,($B63)*BP126*1000)</f>
        <v>147.45876660550644</v>
      </c>
      <c r="BP27" s="817">
        <f>IF(Profitability!BF151&gt;=($B12/1000),($B63)*$B12,($B63)*BQ126*1000)</f>
        <v>223.12202541587402</v>
      </c>
      <c r="BQ27" s="817">
        <f>IF(Profitability!BG151&gt;=($B12/1000),($B63)*$B12,($B63)*BR126*1000)</f>
        <v>607.66682745228286</v>
      </c>
      <c r="BR27" s="585"/>
      <c r="BS27" s="585"/>
      <c r="BT27" s="585"/>
      <c r="BV27" s="420"/>
      <c r="BW27" s="420"/>
      <c r="BX27" s="420"/>
      <c r="BY27" s="848" t="s">
        <v>445</v>
      </c>
      <c r="BZ27" s="435">
        <f>IF(Profitability!AQ151&gt;=('Cost Structure'!$E12/1000),($B63)*'Cost Structure'!$E12,($B63)*Profitability!AQ151*1000)</f>
        <v>0</v>
      </c>
      <c r="CA27" s="435">
        <f>IF(Profitability!AR151&gt;=('Cost Structure'!$E12/1000),($B63)*'Cost Structure'!$E12,($B63)*Profitability!AR151*1000)</f>
        <v>0</v>
      </c>
      <c r="CB27" s="435">
        <f>IF(Profitability!AS151&gt;=('Cost Structure'!$E12/1000),($B63)*'Cost Structure'!$E12,($B63)*Profitability!AS151*1000)</f>
        <v>0</v>
      </c>
      <c r="CC27" s="435">
        <f>IF(Profitability!AT151&gt;=('Cost Structure'!$E12/1000),($B63)*'Cost Structure'!$E12,($B63)*Profitability!AT151*1000)</f>
        <v>0</v>
      </c>
      <c r="CD27" s="435">
        <f>IF(Profitability!AU151&gt;=('Cost Structure'!$E12/1000),($B63)*'Cost Structure'!$E12,($B63)*Profitability!AU151*1000)</f>
        <v>0</v>
      </c>
      <c r="CE27" s="435">
        <f>IF(Profitability!BG151&gt;=('Cost Structure'!$E12/1000),($B63)*'Cost Structure'!$E12,($B63)*Profitability!BG151*1000)</f>
        <v>0</v>
      </c>
      <c r="CF27" s="435">
        <f>IF(Profitability!BH151&gt;=('Cost Structure'!$E12/1000),($B63)*'Cost Structure'!$E12,($B63)*Profitability!BH151*1000)</f>
        <v>0</v>
      </c>
      <c r="CG27" s="435">
        <f>IF(Profitability!BI151&gt;=('Cost Structure'!$E12/1000),($B63)*'Cost Structure'!$E12,($B63)*Profitability!BI151*1000)</f>
        <v>0</v>
      </c>
      <c r="CH27" s="435">
        <f>IF(Profitability!BJ151&gt;=('Cost Structure'!$E12/1000),($B63)*'Cost Structure'!$E12,($B63)*Profitability!BJ151*1000)</f>
        <v>0</v>
      </c>
      <c r="CI27" s="435">
        <f>IF(Profitability!BK151&gt;=('Cost Structure'!$E12/1000),($B63)*'Cost Structure'!$E12,($B63)*Profitability!BK151*1000)</f>
        <v>0</v>
      </c>
      <c r="CJ27" s="435">
        <f>IF(Profitability!BL151&gt;=('Cost Structure'!$E12/1000),($B63)*'Cost Structure'!$E12,($B63)*Profitability!BL151*1000)</f>
        <v>0</v>
      </c>
      <c r="CK27" s="435">
        <f>IF(Profitability!BM151&gt;=('Cost Structure'!$E12/1000),($B63)*'Cost Structure'!$E12,($B63)*Profitability!BM151*1000)</f>
        <v>0</v>
      </c>
      <c r="CL27" s="435">
        <f>IF(Profitability!BN151&gt;=('Cost Structure'!$E12/1000),($B63)*'Cost Structure'!$E12,($B63)*Profitability!BN151*1000)</f>
        <v>0</v>
      </c>
      <c r="CM27" s="435">
        <f>IF(Profitability!BO151&gt;=('Cost Structure'!$E12/1000),($B63)*'Cost Structure'!$E12,($B63)*Profitability!BO151*1000)</f>
        <v>0</v>
      </c>
      <c r="CN27" s="435">
        <f>IF(Profitability!BP151&gt;=('Cost Structure'!$E12/1000),($B63)*'Cost Structure'!$E12,($B63)*Profitability!BP151*1000)</f>
        <v>0</v>
      </c>
      <c r="CO27" s="435">
        <f>IF(Profitability!BQ151&gt;=('Cost Structure'!$E12/1000),($B63)*'Cost Structure'!$E12,($B63)*Profitability!BQ151*1000)</f>
        <v>0</v>
      </c>
      <c r="CP27" s="435">
        <f>IF(Profitability!BR151&gt;=('Cost Structure'!$E12/1000),($B63)*'Cost Structure'!$E12,($B63)*Profitability!BR151*1000)</f>
        <v>0</v>
      </c>
      <c r="CQ27" s="888"/>
      <c r="CR27" s="888"/>
      <c r="CS27" s="888"/>
      <c r="CT27" s="420"/>
      <c r="CU27" s="420"/>
      <c r="CV27" s="420"/>
      <c r="CW27" s="420"/>
      <c r="CX27" s="848" t="s">
        <v>445</v>
      </c>
      <c r="CY27" s="435">
        <f>IF(Profitability!AQ151&gt;=('Cost Structure'!$F12/1000),($B63)*'Cost Structure'!$F12,($B63)*Profitability!AQ151*1000)</f>
        <v>0</v>
      </c>
      <c r="CZ27" s="435">
        <f>IF(Profitability!AR151&gt;=('Cost Structure'!$F12/1000),($B63)*'Cost Structure'!$F12,($B63)*Profitability!AR151*1000)</f>
        <v>0</v>
      </c>
      <c r="DA27" s="435">
        <f>IF(Profitability!AS151&gt;=('Cost Structure'!$F12/1000),($B63)*'Cost Structure'!$F12,($B63)*Profitability!AS151*1000)</f>
        <v>0</v>
      </c>
      <c r="DB27" s="435">
        <f>IF(Profitability!AT151&gt;=('Cost Structure'!$F12/1000),($B63)*'Cost Structure'!$F12,($B63)*Profitability!AT151*1000)</f>
        <v>0</v>
      </c>
      <c r="DC27" s="435">
        <f>IF(Profitability!AU151&gt;=('Cost Structure'!$F12/1000),($B63)*'Cost Structure'!$F12,($B63)*Profitability!AU151*1000)</f>
        <v>0</v>
      </c>
      <c r="DD27" s="435">
        <f>IF(Profitability!BG151&gt;=('Cost Structure'!$F12/1000),($B63)*'Cost Structure'!$F12,($B63)*Profitability!BG151*1000)</f>
        <v>0</v>
      </c>
      <c r="DE27" s="435">
        <f>IF(Profitability!BH151&gt;=('Cost Structure'!$F12/1000),($B63)*'Cost Structure'!$F12,($B63)*Profitability!BH151*1000)</f>
        <v>0</v>
      </c>
      <c r="DF27" s="435">
        <f>IF(Profitability!BI151&gt;=('Cost Structure'!$F12/1000),($B63)*'Cost Structure'!$F12,($B63)*Profitability!BI151*1000)</f>
        <v>0</v>
      </c>
      <c r="DG27" s="435">
        <f>IF(Profitability!BJ151&gt;=('Cost Structure'!$F12/1000),($B63)*'Cost Structure'!$F12,($B63)*Profitability!BJ151*1000)</f>
        <v>0</v>
      </c>
      <c r="DH27" s="435">
        <f>IF(Profitability!BK151&gt;=('Cost Structure'!$F12/1000),($B63)*'Cost Structure'!$F12,($B63)*Profitability!BK151*1000)</f>
        <v>0</v>
      </c>
      <c r="DI27" s="435">
        <f>IF(Profitability!BL151&gt;=('Cost Structure'!$F12/1000),($B63)*'Cost Structure'!$F12,($B63)*Profitability!BL151*1000)</f>
        <v>0</v>
      </c>
      <c r="DJ27" s="435">
        <f>IF(Profitability!BM151&gt;=('Cost Structure'!$F12/1000),($B63)*'Cost Structure'!$F12,($B63)*Profitability!BM151*1000)</f>
        <v>0</v>
      </c>
      <c r="DK27" s="435">
        <f>IF(Profitability!BN151&gt;=('Cost Structure'!$F12/1000),($B63)*'Cost Structure'!$F12,($B63)*Profitability!BN151*1000)</f>
        <v>0</v>
      </c>
      <c r="DL27" s="435">
        <f>IF(Profitability!BO151&gt;=('Cost Structure'!$F12/1000),($B63)*'Cost Structure'!$F12,($B63)*Profitability!BO151*1000)</f>
        <v>0</v>
      </c>
      <c r="DM27" s="435">
        <f>IF(Profitability!BP151&gt;=('Cost Structure'!$F12/1000),($B63)*'Cost Structure'!$F12,($B63)*Profitability!BP151*1000)</f>
        <v>0</v>
      </c>
      <c r="DN27" s="435">
        <f>IF(Profitability!BQ151&gt;=('Cost Structure'!$F12/1000),($B63)*'Cost Structure'!$F12,($B63)*Profitability!BQ151*1000)</f>
        <v>0</v>
      </c>
      <c r="DO27" s="435">
        <f>IF(Profitability!BR151&gt;=('Cost Structure'!$F12/1000),($B63)*'Cost Structure'!$F12,($B63)*Profitability!BR151*1000)</f>
        <v>0</v>
      </c>
      <c r="DP27" s="888"/>
      <c r="DQ27" s="888"/>
      <c r="DR27" s="587"/>
    </row>
    <row r="28" spans="1:122" ht="13.9" thickBot="1">
      <c r="A28" s="96"/>
      <c r="B28" s="15"/>
      <c r="C28" s="15"/>
      <c r="D28" s="218"/>
      <c r="E28" s="232"/>
      <c r="F28" s="243"/>
      <c r="G28" s="211"/>
      <c r="H28" s="211"/>
      <c r="J28" s="437" t="s">
        <v>450</v>
      </c>
      <c r="K28" s="438" t="e">
        <f>IF(Profitability!AQ151&gt;=(#REF!/1000),'Parking &amp; Landing Fee'!AB25*(#REF!/1000+#REF!/1000),'Parking &amp; Landing Fee'!AB25*(#REF!/1000+Profitability!AQ151))</f>
        <v>#REF!</v>
      </c>
      <c r="L28" s="438" t="e">
        <f>IF(Profitability!AR151&gt;=(#REF!/1000),'Parking &amp; Landing Fee'!AC25*(#REF!/1000+#REF!/1000),'Parking &amp; Landing Fee'!AC25*(#REF!/1000+Profitability!AR151))</f>
        <v>#REF!</v>
      </c>
      <c r="M28" s="438" t="e">
        <f>IF(Profitability!AS151&gt;=(#REF!/1000),'Parking &amp; Landing Fee'!AD25*(#REF!/1000+#REF!/1000),'Parking &amp; Landing Fee'!AD25*(#REF!/1000+Profitability!AS151))</f>
        <v>#REF!</v>
      </c>
      <c r="N28" s="438" t="e">
        <f>IF(Profitability!AT151&gt;=(#REF!/1000),'Parking &amp; Landing Fee'!AE25*(#REF!/1000+#REF!/1000),'Parking &amp; Landing Fee'!AE25*(#REF!/1000+Profitability!AT151))</f>
        <v>#REF!</v>
      </c>
      <c r="O28" s="438" t="e">
        <f>IF(Profitability!AU151&gt;=(#REF!/1000),'Parking &amp; Landing Fee'!AF25*(#REF!/1000+#REF!/1000),'Parking &amp; Landing Fee'!AF25*(#REF!/1000+Profitability!AU151))</f>
        <v>#REF!</v>
      </c>
      <c r="P28" s="438" t="e">
        <f>IF(Profitability!BG151&gt;=(#REF!/1000),'Parking &amp; Landing Fee'!AG25*(#REF!/1000+#REF!/1000),'Parking &amp; Landing Fee'!AG25*(#REF!/1000+Profitability!BG151))</f>
        <v>#REF!</v>
      </c>
      <c r="Q28" s="438" t="e">
        <f>IF(Profitability!BH151&gt;=(#REF!/1000),'Parking &amp; Landing Fee'!AH25*(#REF!/1000+#REF!/1000),'Parking &amp; Landing Fee'!AH25*(#REF!/1000+Profitability!BH151))</f>
        <v>#REF!</v>
      </c>
      <c r="R28" s="438" t="e">
        <f>IF(Profitability!BI151&gt;=(#REF!/1000),'Parking &amp; Landing Fee'!AI25*(#REF!/1000+#REF!/1000),'Parking &amp; Landing Fee'!AI25*(#REF!/1000+Profitability!BI151))</f>
        <v>#REF!</v>
      </c>
      <c r="S28" s="438" t="e">
        <f>IF(Profitability!BJ151&gt;=(#REF!/1000),'Parking &amp; Landing Fee'!AJ25*(#REF!/1000+#REF!/1000),'Parking &amp; Landing Fee'!AJ25*(#REF!/1000+Profitability!BJ151))</f>
        <v>#REF!</v>
      </c>
      <c r="T28" s="438" t="e">
        <f>IF(Profitability!BK151&gt;=(#REF!/1000),'Parking &amp; Landing Fee'!AK25*(#REF!/1000+#REF!/1000),'Parking &amp; Landing Fee'!AK25*(#REF!/1000+Profitability!BK151))</f>
        <v>#REF!</v>
      </c>
      <c r="U28" s="438" t="e">
        <f>IF(Profitability!BL151&gt;=(#REF!/1000),'Parking &amp; Landing Fee'!AL25*(#REF!/1000+#REF!/1000),'Parking &amp; Landing Fee'!AL25*(#REF!/1000+Profitability!BL151))</f>
        <v>#REF!</v>
      </c>
      <c r="V28" s="438" t="e">
        <f>IF(Profitability!BM151&gt;=(#REF!/1000),'Parking &amp; Landing Fee'!AM25*(#REF!/1000+#REF!/1000),'Parking &amp; Landing Fee'!AM25*(#REF!/1000+Profitability!BM151))</f>
        <v>#REF!</v>
      </c>
      <c r="W28" s="438" t="e">
        <f>IF(Profitability!BN151&gt;=(#REF!/1000),'Parking &amp; Landing Fee'!AN25*(#REF!/1000+#REF!/1000),'Parking &amp; Landing Fee'!AN25*(#REF!/1000+Profitability!BN151))</f>
        <v>#REF!</v>
      </c>
      <c r="X28" s="438" t="e">
        <f>IF(Profitability!BO151&gt;=(#REF!/1000),'Parking &amp; Landing Fee'!AO25*(#REF!/1000+#REF!/1000),'Parking &amp; Landing Fee'!AO25*(#REF!/1000+Profitability!BO151))</f>
        <v>#REF!</v>
      </c>
      <c r="Y28" s="438" t="e">
        <f>IF(Profitability!BP151&gt;=(#REF!/1000),'Parking &amp; Landing Fee'!AP25*(#REF!/1000+#REF!/1000),'Parking &amp; Landing Fee'!AP25*(#REF!/1000+Profitability!BP151))</f>
        <v>#REF!</v>
      </c>
      <c r="AC28" s="744" t="s">
        <v>450</v>
      </c>
      <c r="AD28" s="818">
        <f>IF(Profitability!AQ151&lt;=$C12,'Parking &amp; Landing Fee'!AB25*($C10/1000+$C$12/1000),'Parking &amp; Landing Fee'!AB25*($C10/1000+Profitability!AQ151))</f>
        <v>12.100755799999998</v>
      </c>
      <c r="AE28" s="818">
        <f>IF(Profitability!AR151&lt;=$C12,'Parking &amp; Landing Fee'!AC25*($C10/1000+$C$12/1000),'Parking &amp; Landing Fee'!AC25*($C10/1000+Profitability!AR151))</f>
        <v>13.157405799999999</v>
      </c>
      <c r="AF28" s="818">
        <f>IF(Profitability!AS151&lt;=$C12,'Parking &amp; Landing Fee'!AD25*($C10/1000+$C$12/1000),'Parking &amp; Landing Fee'!AD25*($C10/1000+Profitability!AS151))</f>
        <v>8.3475349999999988</v>
      </c>
      <c r="AG28" s="818">
        <f>IF(Profitability!AT151&lt;=$C12,'Parking &amp; Landing Fee'!AE25*($C10/1000+$C$12/1000),'Parking &amp; Landing Fee'!AE25*($C10/1000+Profitability!AT151))</f>
        <v>8.3475349999999988</v>
      </c>
      <c r="AH28" s="818">
        <f>IF(Profitability!AU151&lt;=$C12,'Parking &amp; Landing Fee'!AF25*($C10/1000+$C$12/1000),'Parking &amp; Landing Fee'!AF25*($C10/1000+Profitability!AU151))</f>
        <v>12.891129999999997</v>
      </c>
      <c r="AI28" s="818">
        <f>IF(Profitability!AV151&lt;=$C12,'Parking &amp; Landing Fee'!AG25*($C10/1000+$C$12/1000),'Parking &amp; Landing Fee'!AG25*($C10/1000+Profitability!AV151))</f>
        <v>9.4506775999999988</v>
      </c>
      <c r="AJ28" s="818">
        <f>IF(Profitability!AW151&lt;=$C12,'Parking &amp; Landing Fee'!AH25*($C10/1000+$C$12/1000),'Parking &amp; Landing Fee'!AH25*($C10/1000+Profitability!AW151))</f>
        <v>10.224145399999998</v>
      </c>
      <c r="AK28" s="818">
        <f>IF(Profitability!AX151&lt;=$C12,'Parking &amp; Landing Fee'!AI25*($C10/1000+$C$12/1000),'Parking &amp; Landing Fee'!AI25*($C10/1000+Profitability!AX151))</f>
        <v>12.286726199999997</v>
      </c>
      <c r="AL28" s="818">
        <f>IF(Profitability!AY151&lt;=$C12,'Parking &amp; Landing Fee'!AJ25*($C10/1000+$C$12/1000),'Parking &amp; Landing Fee'!AJ25*($C10/1000+Profitability!AY151))</f>
        <v>11.593563799999997</v>
      </c>
      <c r="AM28" s="818">
        <f>IF(Profitability!AZ151&lt;=$C12,'Parking &amp; Landing Fee'!AK25*($C10/1000+$C$12/1000),'Parking &amp; Landing Fee'!AK25*($C10/1000+Profitability!AZ151))</f>
        <v>13.208124999999999</v>
      </c>
      <c r="AN28" s="818">
        <f>IF(Profitability!BA151&lt;=$C12,'Parking &amp; Landing Fee'!AL25*($C10/1000+$C$12/1000),'Parking &amp; Landing Fee'!AL25*($C10/1000+Profitability!BA151))</f>
        <v>13.842114999999998</v>
      </c>
      <c r="AO28" s="818">
        <f>IF(Profitability!BB151&lt;=$C12,'Parking &amp; Landing Fee'!AM25*($C10/1000+$C$12/1000),'Parking &amp; Landing Fee'!AM25*($C10/1000+Profitability!BB151))</f>
        <v>12.257139999999998</v>
      </c>
      <c r="AP28" s="818">
        <f>IF(Profitability!BC151&lt;=$C12,'Parking &amp; Landing Fee'!AN25*($C10/1000+$C$12/1000),'Parking &amp; Landing Fee'!AN25*($C10/1000+Profitability!BC151))</f>
        <v>11.623149999999999</v>
      </c>
      <c r="AQ28" s="818">
        <f>IF(Profitability!BD151&lt;=$C12,'Parking &amp; Landing Fee'!AO25*($C10/1000+$C$12/1000),'Parking &amp; Landing Fee'!AO25*($C10/1000+Profitability!BD151))</f>
        <v>7.7980769999999984</v>
      </c>
      <c r="AR28" s="818">
        <f>IF(Profitability!BE151&lt;=$C12,'Parking &amp; Landing Fee'!AP25*($C10/1000+$C$12/1000),'Parking &amp; Landing Fee'!AP25*($C10/1000+Profitability!BE151))</f>
        <v>7.8783823999999987</v>
      </c>
      <c r="AS28" s="818">
        <f>IF(Profitability!BF151&lt;=$C12,'Parking &amp; Landing Fee'!AQ25*($C10/1000+$C$12/1000),'Parking &amp; Landing Fee'!AQ25*($C10/1000+Profitability!BF151))</f>
        <v>10.913081199999999</v>
      </c>
      <c r="AT28" s="818">
        <f>IF(Profitability!BG151&lt;=$C12,'Parking &amp; Landing Fee'!AR25*($C10/1000+$C$12/1000),'Parking &amp; Landing Fee'!AR25*($C10/1000+Profitability!BG151))</f>
        <v>10.832775799999999</v>
      </c>
      <c r="AU28" s="587"/>
      <c r="AV28" s="587"/>
      <c r="AW28" s="587"/>
      <c r="AX28" s="459">
        <f t="shared" si="12"/>
        <v>2.3177194401278597E-3</v>
      </c>
      <c r="AY28" s="585">
        <f t="shared" si="13"/>
        <v>13.554398529411765</v>
      </c>
      <c r="AZ28" s="744" t="s">
        <v>450</v>
      </c>
      <c r="BA28" s="818">
        <f>IF(Profitability!AQ151&lt;=$B12,'Parking &amp; Landing Fee'!AB25*($B10/1000+$B$12/1000),'Parking &amp; Landing Fee'!AB25*($B10/1000+Profitability!AQ151))</f>
        <v>14.930544999999999</v>
      </c>
      <c r="BB28" s="818">
        <f>IF(Profitability!AR151&lt;=$B12,'Parking &amp; Landing Fee'!AC25*($B10/1000+$B$12/1000),'Parking &amp; Landing Fee'!AC25*($B10/1000+Profitability!AR151))</f>
        <v>16.234294999999999</v>
      </c>
      <c r="BC28" s="818">
        <f>IF(Profitability!AS151&lt;=$B12,'Parking &amp; Landing Fee'!AD25*($B10/1000+$B$12/1000),'Parking &amp; Landing Fee'!AD25*($B10/1000+Profitability!AS151))</f>
        <v>10.299624999999999</v>
      </c>
      <c r="BD28" s="818">
        <f>IF(Profitability!AT151&lt;=$B12,'Parking &amp; Landing Fee'!AE25*($B10/1000+$B$12/1000),'Parking &amp; Landing Fee'!AE25*($B10/1000+Profitability!AT151))</f>
        <v>10.299624999999999</v>
      </c>
      <c r="BE28" s="818">
        <f>IF(Profitability!AU151&lt;=$B12,'Parking &amp; Landing Fee'!AF25*($B10/1000+$B$12/1000),'Parking &amp; Landing Fee'!AF25*($B10/1000+Profitability!AU151))</f>
        <v>15.905749999999998</v>
      </c>
      <c r="BF28" s="818">
        <f>IF(Profitability!AV151&lt;=$B12,'Parking &amp; Landing Fee'!AG25*($B10/1000+$B$12/1000),'Parking &amp; Landing Fee'!AG25*($B10/1000+Profitability!AV151))</f>
        <v>11.660739999999999</v>
      </c>
      <c r="BG28" s="818">
        <f>IF(Profitability!AW151&lt;=$B12,'Parking &amp; Landing Fee'!AH25*($B10/1000+$B$12/1000),'Parking &amp; Landing Fee'!AH25*($B10/1000+Profitability!AW151))</f>
        <v>12.615084999999999</v>
      </c>
      <c r="BH28" s="818">
        <f>IF(Profitability!AX151&lt;=$B12,'Parking &amp; Landing Fee'!AI25*($B10/1000+$B$12/1000),'Parking &amp; Landing Fee'!AI25*($B10/1000+Profitability!AX151))</f>
        <v>15.160004999999998</v>
      </c>
      <c r="BI28" s="818">
        <f>IF(Profitability!AY151&lt;=$B12,'Parking &amp; Landing Fee'!AJ25*($B10/1000+$B$12/1000),'Parking &amp; Landing Fee'!AJ25*($B10/1000+Profitability!AY151))</f>
        <v>14.304744999999997</v>
      </c>
      <c r="BJ28" s="818">
        <f>IF(Profitability!AZ151&lt;=$B12,'Parking &amp; Landing Fee'!AK25*($B10/1000+$B$12/1000),'Parking &amp; Landing Fee'!AK25*($B10/1000+Profitability!AZ151))</f>
        <v>16.296875</v>
      </c>
      <c r="BK28" s="818">
        <f>IF(Profitability!BA151&lt;=$B12,'Parking &amp; Landing Fee'!AL25*($B10/1000+$B$12/1000),'Parking &amp; Landing Fee'!AL25*($B10/1000+Profitability!BA151))</f>
        <v>17.079124999999998</v>
      </c>
      <c r="BL28" s="818">
        <f>IF(Profitability!BB151&lt;=$B12,'Parking &amp; Landing Fee'!AM25*($B10/1000+$B$12/1000),'Parking &amp; Landing Fee'!AM25*($B10/1000+Profitability!BB151))</f>
        <v>15.123499999999998</v>
      </c>
      <c r="BM28" s="818">
        <f>IF(Profitability!BC151&lt;=$B12,'Parking &amp; Landing Fee'!AN25*($B10/1000+$B$12/1000),'Parking &amp; Landing Fee'!AN25*($B10/1000+Profitability!BC151))</f>
        <v>14.34125</v>
      </c>
      <c r="BN28" s="818">
        <f>IF(Profitability!BD151&lt;=$B12,'Parking &amp; Landing Fee'!AO25*($B10/1000+$B$12/1000),'Parking &amp; Landing Fee'!AO25*($B10/1000+Profitability!BD151))</f>
        <v>9.6216749999999998</v>
      </c>
      <c r="BO28" s="818">
        <f>IF(Profitability!BE151&lt;=$B12,'Parking &amp; Landing Fee'!AP25*($B10/1000+$B$12/1000),'Parking &amp; Landing Fee'!AP25*($B10/1000+Profitability!BE151))</f>
        <v>9.7207599999999985</v>
      </c>
      <c r="BP28" s="818">
        <f>IF(Profitability!BF151&lt;=$B12,'Parking &amp; Landing Fee'!AQ25*($B10/1000+$B$12/1000),'Parking &amp; Landing Fee'!AQ25*($B10/1000+Profitability!BF151))</f>
        <v>13.465129999999998</v>
      </c>
      <c r="BQ28" s="818">
        <f>IF(Profitability!BG151&lt;=$B12,'Parking &amp; Landing Fee'!AR25*($B10/1000+$B$12/1000),'Parking &amp; Landing Fee'!AR25*($B10/1000+Profitability!BG151))</f>
        <v>13.366045</v>
      </c>
      <c r="BR28" s="585"/>
      <c r="BS28" s="585"/>
      <c r="BT28" s="585"/>
      <c r="BV28" s="420"/>
      <c r="BW28" s="420"/>
      <c r="BX28" s="420"/>
      <c r="BY28" s="851" t="s">
        <v>450</v>
      </c>
      <c r="BZ28" s="446" t="e">
        <f>IF(Profitability!AQ151&lt;=#REF!,'Parking &amp; Landing Fee'!AB25*(#REF!/1000+#REF!/1000),'Parking &amp; Landing Fee'!AB25*(#REF!/1000+Profitability!AQ151))</f>
        <v>#REF!</v>
      </c>
      <c r="CA28" s="446" t="e">
        <f>IF(Profitability!AR151&lt;=#REF!,'Parking &amp; Landing Fee'!AC25*(#REF!/1000+#REF!/1000),'Parking &amp; Landing Fee'!AC25*(#REF!/1000+Profitability!AR151))</f>
        <v>#REF!</v>
      </c>
      <c r="CB28" s="446" t="e">
        <f>IF(Profitability!AS151&lt;=#REF!,'Parking &amp; Landing Fee'!AD25*(#REF!/1000+#REF!/1000),'Parking &amp; Landing Fee'!AD25*(#REF!/1000+Profitability!AS151))</f>
        <v>#REF!</v>
      </c>
      <c r="CC28" s="446" t="e">
        <f>IF(Profitability!AT151&lt;=#REF!,'Parking &amp; Landing Fee'!AE25*(#REF!/1000+#REF!/1000),'Parking &amp; Landing Fee'!AE25*(#REF!/1000+Profitability!AT151))</f>
        <v>#REF!</v>
      </c>
      <c r="CD28" s="446" t="e">
        <f>IF(Profitability!AU151&lt;=#REF!,'Parking &amp; Landing Fee'!AF25*(#REF!/1000+#REF!/1000),'Parking &amp; Landing Fee'!AF25*(#REF!/1000+Profitability!AU151))</f>
        <v>#REF!</v>
      </c>
      <c r="CE28" s="446" t="e">
        <f>IF(Profitability!BG151&lt;=#REF!,'Parking &amp; Landing Fee'!AG25*(#REF!/1000+#REF!/1000),'Parking &amp; Landing Fee'!AG25*(#REF!/1000+Profitability!BG151))</f>
        <v>#REF!</v>
      </c>
      <c r="CF28" s="446" t="e">
        <f>IF(Profitability!BH151&lt;=#REF!,'Parking &amp; Landing Fee'!AH25*(#REF!/1000+#REF!/1000),'Parking &amp; Landing Fee'!AH25*(#REF!/1000+Profitability!BH151))</f>
        <v>#REF!</v>
      </c>
      <c r="CG28" s="446" t="e">
        <f>IF(Profitability!BI151&lt;=#REF!,'Parking &amp; Landing Fee'!AI25*(#REF!/1000+#REF!/1000),'Parking &amp; Landing Fee'!AI25*(#REF!/1000+Profitability!BI151))</f>
        <v>#REF!</v>
      </c>
      <c r="CH28" s="446" t="e">
        <f>IF(Profitability!BJ151&lt;=#REF!,'Parking &amp; Landing Fee'!AJ25*(#REF!/1000+#REF!/1000),'Parking &amp; Landing Fee'!AJ25*(#REF!/1000+Profitability!BJ151))</f>
        <v>#REF!</v>
      </c>
      <c r="CI28" s="446" t="e">
        <f>IF(Profitability!BK151&lt;=#REF!,'Parking &amp; Landing Fee'!AK25*(#REF!/1000+#REF!/1000),'Parking &amp; Landing Fee'!AK25*(#REF!/1000+Profitability!BK151))</f>
        <v>#REF!</v>
      </c>
      <c r="CJ28" s="446" t="e">
        <f>IF(Profitability!BL151&lt;=#REF!,'Parking &amp; Landing Fee'!AL25*(#REF!/1000+#REF!/1000),'Parking &amp; Landing Fee'!AL25*(#REF!/1000+Profitability!BL151))</f>
        <v>#REF!</v>
      </c>
      <c r="CK28" s="446" t="e">
        <f>IF(Profitability!BM151&lt;=#REF!,'Parking &amp; Landing Fee'!AM25*(#REF!/1000+#REF!/1000),'Parking &amp; Landing Fee'!AM25*(#REF!/1000+Profitability!BM151))</f>
        <v>#REF!</v>
      </c>
      <c r="CL28" s="446" t="e">
        <f>IF(Profitability!BN151&lt;=#REF!,'Parking &amp; Landing Fee'!AN25*(#REF!/1000+#REF!/1000),'Parking &amp; Landing Fee'!AN25*(#REF!/1000+Profitability!BN151))</f>
        <v>#REF!</v>
      </c>
      <c r="CM28" s="446" t="e">
        <f>IF(Profitability!BO151&lt;=#REF!,'Parking &amp; Landing Fee'!AO25*(#REF!/1000+#REF!/1000),'Parking &amp; Landing Fee'!AO25*(#REF!/1000+Profitability!BO151))</f>
        <v>#REF!</v>
      </c>
      <c r="CN28" s="891" t="e">
        <f>IF(Profitability!BP151&lt;=#REF!,'Parking &amp; Landing Fee'!AP25*(#REF!/1000+#REF!/1000),'Parking &amp; Landing Fee'!AP25*(#REF!/1000+Profitability!BP151))</f>
        <v>#REF!</v>
      </c>
      <c r="CO28" s="891" t="e">
        <f>IF(Profitability!BQ151&lt;=#REF!,'Parking &amp; Landing Fee'!AQ25*(#REF!/1000+#REF!/1000),'Parking &amp; Landing Fee'!AQ25*(#REF!/1000+Profitability!BQ151))</f>
        <v>#REF!</v>
      </c>
      <c r="CP28" s="892" t="e">
        <f>IF(Profitability!BR151&lt;=#REF!,'Parking &amp; Landing Fee'!AR25*(#REF!/1000+#REF!/1000),'Parking &amp; Landing Fee'!AR25*(#REF!/1000+Profitability!BR151))</f>
        <v>#REF!</v>
      </c>
      <c r="CQ28" s="888"/>
      <c r="CR28" s="888"/>
      <c r="CS28" s="888"/>
      <c r="CT28" s="420"/>
      <c r="CU28" s="420"/>
      <c r="CV28" s="420"/>
      <c r="CW28" s="420"/>
      <c r="CX28" s="851" t="s">
        <v>450</v>
      </c>
      <c r="CY28" s="446" t="e">
        <f>IF(Profitability!AQ151&lt;=#REF!,'Parking &amp; Landing Fee'!AB25*(#REF!/1000+#REF!/1000),'Parking &amp; Landing Fee'!AB25*(#REF!/1000+Profitability!AQ151))</f>
        <v>#REF!</v>
      </c>
      <c r="CZ28" s="446" t="e">
        <f>IF(Profitability!AR151&lt;=#REF!,'Parking &amp; Landing Fee'!AC25*(#REF!/1000+#REF!/1000),'Parking &amp; Landing Fee'!AC25*(#REF!/1000+Profitability!AR151))</f>
        <v>#REF!</v>
      </c>
      <c r="DA28" s="446" t="e">
        <f>IF(Profitability!AS151&lt;=#REF!,'Parking &amp; Landing Fee'!AD25*(#REF!/1000+#REF!/1000),'Parking &amp; Landing Fee'!AD25*(#REF!/1000+Profitability!AS151))</f>
        <v>#REF!</v>
      </c>
      <c r="DB28" s="446" t="e">
        <f>IF(Profitability!AT151&lt;=#REF!,'Parking &amp; Landing Fee'!AE25*(#REF!/1000+#REF!/1000),'Parking &amp; Landing Fee'!AE25*(#REF!/1000+Profitability!AT151))</f>
        <v>#REF!</v>
      </c>
      <c r="DC28" s="446" t="e">
        <f>IF(Profitability!AU151&lt;=#REF!,'Parking &amp; Landing Fee'!AF25*(#REF!/1000+#REF!/1000),'Parking &amp; Landing Fee'!AF25*(#REF!/1000+Profitability!AU151))</f>
        <v>#REF!</v>
      </c>
      <c r="DD28" s="446" t="e">
        <f>IF(Profitability!BG151&lt;=#REF!,'Parking &amp; Landing Fee'!AG25*(#REF!/1000+#REF!/1000),'Parking &amp; Landing Fee'!AG25*(#REF!/1000+Profitability!BG151))</f>
        <v>#REF!</v>
      </c>
      <c r="DE28" s="446" t="e">
        <f>IF(Profitability!BH151&lt;=#REF!,'Parking &amp; Landing Fee'!AH25*(#REF!/1000+#REF!/1000),'Parking &amp; Landing Fee'!AH25*(#REF!/1000+Profitability!BH151))</f>
        <v>#REF!</v>
      </c>
      <c r="DF28" s="446" t="e">
        <f>IF(Profitability!BI151&lt;=#REF!,'Parking &amp; Landing Fee'!AI25*(#REF!/1000+#REF!/1000),'Parking &amp; Landing Fee'!AI25*(#REF!/1000+Profitability!BI151))</f>
        <v>#REF!</v>
      </c>
      <c r="DG28" s="446" t="e">
        <f>IF(Profitability!BJ151&lt;=#REF!,'Parking &amp; Landing Fee'!AJ25*(#REF!/1000+#REF!/1000),'Parking &amp; Landing Fee'!AJ25*(#REF!/1000+Profitability!BJ151))</f>
        <v>#REF!</v>
      </c>
      <c r="DH28" s="446" t="e">
        <f>IF(Profitability!BK151&lt;=#REF!,'Parking &amp; Landing Fee'!AK25*(#REF!/1000+#REF!/1000),'Parking &amp; Landing Fee'!AK25*(#REF!/1000+Profitability!BK151))</f>
        <v>#REF!</v>
      </c>
      <c r="DI28" s="446" t="e">
        <f>IF(Profitability!BL151&lt;=#REF!,'Parking &amp; Landing Fee'!AL25*(#REF!/1000+#REF!/1000),'Parking &amp; Landing Fee'!AL25*(#REF!/1000+Profitability!BL151))</f>
        <v>#REF!</v>
      </c>
      <c r="DJ28" s="446" t="e">
        <f>IF(Profitability!BM151&lt;=#REF!,'Parking &amp; Landing Fee'!AM25*(#REF!/1000+#REF!/1000),'Parking &amp; Landing Fee'!AM25*(#REF!/1000+Profitability!BM151))</f>
        <v>#REF!</v>
      </c>
      <c r="DK28" s="446" t="e">
        <f>IF(Profitability!BN151&lt;=#REF!,'Parking &amp; Landing Fee'!AN25*(#REF!/1000+#REF!/1000),'Parking &amp; Landing Fee'!AN25*(#REF!/1000+Profitability!BN151))</f>
        <v>#REF!</v>
      </c>
      <c r="DL28" s="446" t="e">
        <f>IF(Profitability!BO151&lt;=#REF!,'Parking &amp; Landing Fee'!AO25*(#REF!/1000+#REF!/1000),'Parking &amp; Landing Fee'!AO25*(#REF!/1000+Profitability!BO151))</f>
        <v>#REF!</v>
      </c>
      <c r="DM28" s="891" t="e">
        <f>IF(Profitability!BP151&lt;=#REF!,'Parking &amp; Landing Fee'!AP25*(#REF!/1000+#REF!/1000),'Parking &amp; Landing Fee'!AP25*(#REF!/1000+Profitability!BP151))</f>
        <v>#REF!</v>
      </c>
      <c r="DN28" s="891" t="e">
        <f>IF(Profitability!BQ151&lt;=#REF!,'Parking &amp; Landing Fee'!AQ25*(#REF!/1000+#REF!/1000),'Parking &amp; Landing Fee'!AQ25*(#REF!/1000+Profitability!BQ151))</f>
        <v>#REF!</v>
      </c>
      <c r="DO28" s="892" t="e">
        <f>IF(Profitability!BR151&lt;=#REF!,'Parking &amp; Landing Fee'!AR25*(#REF!/1000+#REF!/1000),'Parking &amp; Landing Fee'!AR25*(#REF!/1000+Profitability!BR151))</f>
        <v>#REF!</v>
      </c>
      <c r="DP28" s="888"/>
      <c r="DQ28" s="888"/>
      <c r="DR28" s="587"/>
    </row>
    <row r="29" spans="1:122" ht="15.6" customHeight="1" thickBot="1">
      <c r="A29" s="96" t="s">
        <v>455</v>
      </c>
      <c r="B29" s="23">
        <f>$B22*((1+B25+B26)*1.18*1.6 +24.9 + 29.6+14)*B27</f>
        <v>150.39192</v>
      </c>
      <c r="C29" s="23">
        <f t="shared" ref="C29:F29" si="36">$B22*((1+C25+C26)*1.18*1.6 +24.9 + 29.6+14)*C27</f>
        <v>150.272976</v>
      </c>
      <c r="D29" s="487">
        <f t="shared" si="36"/>
        <v>147.81480000000002</v>
      </c>
      <c r="E29" s="23">
        <f t="shared" si="36"/>
        <v>150.550512</v>
      </c>
      <c r="F29" s="23">
        <f t="shared" si="36"/>
        <v>150.550512</v>
      </c>
      <c r="G29" s="211"/>
      <c r="H29" s="211"/>
      <c r="J29" s="1414" t="s">
        <v>456</v>
      </c>
      <c r="K29" s="1415"/>
      <c r="L29" s="1415"/>
      <c r="M29" s="1415"/>
      <c r="N29" s="1415"/>
      <c r="O29" s="1415"/>
      <c r="P29" s="1415"/>
      <c r="Q29" s="1415"/>
      <c r="R29" s="1415"/>
      <c r="S29" s="1415"/>
      <c r="T29" s="1415"/>
      <c r="U29" s="1415"/>
      <c r="V29" s="1415"/>
      <c r="W29" s="1415"/>
      <c r="X29" s="1415"/>
      <c r="Y29" s="1416"/>
      <c r="Z29" s="21"/>
      <c r="AC29" s="1207" t="s">
        <v>456</v>
      </c>
      <c r="AD29" s="1208"/>
      <c r="AE29" s="1208"/>
      <c r="AF29" s="1208"/>
      <c r="AG29" s="1208"/>
      <c r="AH29" s="1208"/>
      <c r="AI29" s="1208"/>
      <c r="AJ29" s="1208"/>
      <c r="AK29" s="1208"/>
      <c r="AL29" s="1208"/>
      <c r="AM29" s="1208"/>
      <c r="AN29" s="1208"/>
      <c r="AO29" s="1208"/>
      <c r="AP29" s="1208"/>
      <c r="AQ29" s="1208"/>
      <c r="AR29" s="1208"/>
      <c r="AS29" s="1208"/>
      <c r="AT29" s="1209"/>
      <c r="AZ29" s="1207" t="s">
        <v>456</v>
      </c>
      <c r="BA29" s="1208"/>
      <c r="BB29" s="1208"/>
      <c r="BC29" s="1208"/>
      <c r="BD29" s="1208"/>
      <c r="BE29" s="1208"/>
      <c r="BF29" s="1208"/>
      <c r="BG29" s="1208"/>
      <c r="BH29" s="1208"/>
      <c r="BI29" s="1208"/>
      <c r="BJ29" s="1208"/>
      <c r="BK29" s="1208"/>
      <c r="BL29" s="1208"/>
      <c r="BM29" s="1208"/>
      <c r="BN29" s="1208"/>
      <c r="BO29" s="1208"/>
      <c r="BP29" s="1208"/>
      <c r="BQ29" s="1209"/>
      <c r="BR29" s="575"/>
      <c r="BS29" s="575"/>
      <c r="BT29" s="575"/>
      <c r="BV29" s="420"/>
      <c r="BW29" s="420"/>
      <c r="BX29" s="420"/>
      <c r="BY29" s="1434" t="s">
        <v>456</v>
      </c>
      <c r="BZ29" s="1435"/>
      <c r="CA29" s="1435"/>
      <c r="CB29" s="1435"/>
      <c r="CC29" s="1435"/>
      <c r="CD29" s="1435"/>
      <c r="CE29" s="1435"/>
      <c r="CF29" s="1435"/>
      <c r="CG29" s="1435"/>
      <c r="CH29" s="1435"/>
      <c r="CI29" s="1435"/>
      <c r="CJ29" s="1435"/>
      <c r="CK29" s="1435"/>
      <c r="CL29" s="1435"/>
      <c r="CM29" s="1435"/>
      <c r="CN29" s="1435"/>
      <c r="CO29" s="1435"/>
      <c r="CP29" s="1436"/>
      <c r="CQ29" s="893"/>
      <c r="CR29" s="893"/>
      <c r="CS29" s="893"/>
      <c r="CT29" s="420"/>
      <c r="CU29" s="420"/>
      <c r="CV29" s="420"/>
      <c r="CW29" s="420"/>
      <c r="CX29" s="1434" t="s">
        <v>456</v>
      </c>
      <c r="CY29" s="1435"/>
      <c r="CZ29" s="1435"/>
      <c r="DA29" s="1435"/>
      <c r="DB29" s="1435"/>
      <c r="DC29" s="1435"/>
      <c r="DD29" s="1435"/>
      <c r="DE29" s="1435"/>
      <c r="DF29" s="1435"/>
      <c r="DG29" s="1435"/>
      <c r="DH29" s="1435"/>
      <c r="DI29" s="1435"/>
      <c r="DJ29" s="1435"/>
      <c r="DK29" s="1435"/>
      <c r="DL29" s="1435"/>
      <c r="DM29" s="1435"/>
      <c r="DN29" s="1435"/>
      <c r="DO29" s="1436"/>
      <c r="DP29" s="894"/>
      <c r="DQ29" s="894"/>
      <c r="DR29" s="663"/>
    </row>
    <row r="30" spans="1:122">
      <c r="A30" s="96" t="s">
        <v>457</v>
      </c>
      <c r="B30" s="17">
        <f>'Maintenance Cost'!G47*B32</f>
        <v>456.23933504829</v>
      </c>
      <c r="C30" s="17">
        <f>429.741982167949*C32</f>
        <v>370.43758862877206</v>
      </c>
      <c r="D30" s="488">
        <v>638.84980236557931</v>
      </c>
      <c r="E30" s="229">
        <f>793.117893142861*E32</f>
        <v>759.01382373771798</v>
      </c>
      <c r="F30" s="245">
        <f>727.835793930023*F32</f>
        <v>696.53885479103201</v>
      </c>
      <c r="G30" s="215"/>
      <c r="H30" s="215"/>
      <c r="J30" s="427" t="s">
        <v>458</v>
      </c>
      <c r="K30" s="428" t="e">
        <f>(($B73*(K9/1.852))+(980*$D9/1000))*K10/$B77</f>
        <v>#VALUE!</v>
      </c>
      <c r="L30" s="428" t="e">
        <f t="shared" ref="L30:Y30" si="37">(($B73*(L9/1.852))+(980*$D9/1000))*L10/$B77</f>
        <v>#VALUE!</v>
      </c>
      <c r="M30" s="428" t="e">
        <f t="shared" si="37"/>
        <v>#VALUE!</v>
      </c>
      <c r="N30" s="428" t="e">
        <f t="shared" si="37"/>
        <v>#VALUE!</v>
      </c>
      <c r="O30" s="428" t="e">
        <f t="shared" si="37"/>
        <v>#VALUE!</v>
      </c>
      <c r="P30" s="428" t="e">
        <f t="shared" si="37"/>
        <v>#VALUE!</v>
      </c>
      <c r="Q30" s="428" t="e">
        <f t="shared" si="37"/>
        <v>#VALUE!</v>
      </c>
      <c r="R30" s="429" t="e">
        <f t="shared" si="37"/>
        <v>#VALUE!</v>
      </c>
      <c r="S30" s="430" t="e">
        <f t="shared" si="37"/>
        <v>#VALUE!</v>
      </c>
      <c r="T30" s="430" t="e">
        <f t="shared" si="37"/>
        <v>#VALUE!</v>
      </c>
      <c r="U30" s="430" t="e">
        <f t="shared" si="37"/>
        <v>#VALUE!</v>
      </c>
      <c r="V30" s="430" t="e">
        <f t="shared" si="37"/>
        <v>#VALUE!</v>
      </c>
      <c r="W30" s="430" t="e">
        <f t="shared" si="37"/>
        <v>#VALUE!</v>
      </c>
      <c r="X30" s="430" t="e">
        <f t="shared" si="37"/>
        <v>#VALUE!</v>
      </c>
      <c r="Y30" s="431" t="e">
        <f t="shared" si="37"/>
        <v>#VALUE!</v>
      </c>
      <c r="Z30" s="29"/>
      <c r="AC30" s="742" t="s">
        <v>459</v>
      </c>
      <c r="AD30" s="816">
        <f>(($B73*(AD9/1.852))+(980*$C9/1000))*AD10/$BA12</f>
        <v>51.833221201014176</v>
      </c>
      <c r="AE30" s="816">
        <f t="shared" ref="AE30:AT30" si="38">(($B73*(AE9/1.852))+(980*$C9/1000))*AE10/$BA12</f>
        <v>39.476429495189151</v>
      </c>
      <c r="AF30" s="816">
        <f t="shared" si="38"/>
        <v>47.849651700511657</v>
      </c>
      <c r="AG30" s="816">
        <f t="shared" si="38"/>
        <v>47.849651700511657</v>
      </c>
      <c r="AH30" s="816">
        <f t="shared" si="38"/>
        <v>29.286006734199113</v>
      </c>
      <c r="AI30" s="816">
        <f t="shared" si="38"/>
        <v>83.403949937152603</v>
      </c>
      <c r="AJ30" s="816">
        <f t="shared" si="38"/>
        <v>64.796426757183269</v>
      </c>
      <c r="AK30" s="816">
        <f t="shared" si="38"/>
        <v>69.977378568347149</v>
      </c>
      <c r="AL30" s="816">
        <f t="shared" si="38"/>
        <v>78.445438943421053</v>
      </c>
      <c r="AM30" s="816">
        <f t="shared" si="38"/>
        <v>132.51230809305139</v>
      </c>
      <c r="AN30" s="816">
        <f t="shared" si="38"/>
        <v>30.587317561997857</v>
      </c>
      <c r="AO30" s="816">
        <f t="shared" si="38"/>
        <v>48.333580462789371</v>
      </c>
      <c r="AP30" s="816">
        <f t="shared" si="38"/>
        <v>104.20137888193808</v>
      </c>
      <c r="AQ30" s="816">
        <f t="shared" si="38"/>
        <v>100.39073418663749</v>
      </c>
      <c r="AR30" s="816">
        <f t="shared" si="38"/>
        <v>50.232220647547074</v>
      </c>
      <c r="AS30" s="816">
        <f t="shared" si="38"/>
        <v>102.85633595947736</v>
      </c>
      <c r="AT30" s="816">
        <f t="shared" si="38"/>
        <v>54.700555004478041</v>
      </c>
      <c r="AZ30" s="742" t="s">
        <v>459</v>
      </c>
      <c r="BA30" s="816">
        <f>(($B73*(BA9/1.852))+(980*$B9/1000))*BA10/$BA12</f>
        <v>61.576838928715524</v>
      </c>
      <c r="BB30" s="816">
        <f t="shared" ref="BB30:BE30" si="39">(($B73*(BB9/1.852))+(980*$B9/1000))*BB10/$BA12</f>
        <v>46.879368899312439</v>
      </c>
      <c r="BC30" s="816">
        <f t="shared" si="39"/>
        <v>56.838888223756854</v>
      </c>
      <c r="BD30" s="816">
        <f t="shared" si="39"/>
        <v>56.838888223756854</v>
      </c>
      <c r="BE30" s="816">
        <f t="shared" si="39"/>
        <v>34.757222614730544</v>
      </c>
      <c r="BF30" s="822">
        <f>(($B73*(BF9/1.852))+(980*$B9/1000))*BF10/$BF12</f>
        <v>73.325074377798416</v>
      </c>
      <c r="BG30" s="822">
        <f t="shared" ref="BG30:BI30" si="40">(($B73*(BG9/1.852))+(980*$B9/1000))*BG10/$BF12</f>
        <v>56.957188671225438</v>
      </c>
      <c r="BH30" s="822">
        <f t="shared" si="40"/>
        <v>61.514864504023635</v>
      </c>
      <c r="BI30" s="822">
        <f t="shared" si="40"/>
        <v>68.9636840992099</v>
      </c>
      <c r="BJ30" s="816">
        <f>(($B73*(BJ9/1.852))+(980*$B9/1000))*BJ10/$BJ12</f>
        <v>108.04156184277257</v>
      </c>
      <c r="BK30" s="816">
        <f t="shared" ref="BK30:BM30" si="41">(($B73*(BK9/1.852))+(980*$B9/1000))*BK10/$BJ12</f>
        <v>24.905767988969146</v>
      </c>
      <c r="BL30" s="816">
        <f t="shared" si="41"/>
        <v>39.386869031031722</v>
      </c>
      <c r="BM30" s="816">
        <f t="shared" si="41"/>
        <v>84.958243850527381</v>
      </c>
      <c r="BN30" s="827">
        <f>(($B73*(BN9/1.852))+(980*$B9/1000))*BN10/$BN12</f>
        <v>84.025025588089107</v>
      </c>
      <c r="BO30" s="827">
        <f>(($B73*(BO9/1.852))+(980*$B9/1000))*BO10/$BN12</f>
        <v>42.023451082721678</v>
      </c>
      <c r="BP30" s="827">
        <f>(($B73*(BP9/1.852))+(980*$B9/1000))*BP10/$BN12</f>
        <v>86.089108069226228</v>
      </c>
      <c r="BQ30" s="828">
        <f>(($B73*(BQ9/1.852))+(980*$B9/1000))*BQ10/$BN12</f>
        <v>45.766006884358688</v>
      </c>
      <c r="BR30" s="585"/>
      <c r="BS30" s="585"/>
      <c r="BT30" s="585"/>
      <c r="BV30" s="420"/>
      <c r="BW30" s="420"/>
      <c r="BX30" s="420"/>
      <c r="BY30" s="847" t="s">
        <v>458</v>
      </c>
      <c r="BZ30" s="430">
        <f>(($B73*(BZ9/1.852))+(980*$E9/1000))*BZ10/$BZ$12</f>
        <v>149.29880540771927</v>
      </c>
      <c r="CA30" s="430">
        <f>(($B73*(CA9/1.852))+(980*$E9/1000))*CA10/$BZ$12</f>
        <v>114.51637083718188</v>
      </c>
      <c r="CB30" s="430">
        <f>(($B73*(CB9/1.852))+(980*$E9/1000))*CB10/$BZ$12</f>
        <v>138.08774319066228</v>
      </c>
      <c r="CC30" s="430">
        <f>(($B73*(CC9/1.852))+(980*$E9/1000))*CC10/$BZ$12</f>
        <v>138.08774319066228</v>
      </c>
      <c r="CD30" s="430">
        <f>(($B73*(CD9/1.852))+(980*$E9/1000))*CD10/$BZ$12</f>
        <v>85.817701367176099</v>
      </c>
      <c r="CE30" s="430">
        <f>(($B73*(CE9/1.852))+(980*$B9/1000))*CE10/$CE$12</f>
        <v>70.585028456081673</v>
      </c>
      <c r="CF30" s="430">
        <f>(($B73*(CF9/1.852))+(980*$B9/1000))*CF10/$CE$12</f>
        <v>55.058553240436737</v>
      </c>
      <c r="CG30" s="430">
        <f>(($B73*(CG9/1.852))+(980*$B9/1000))*CG10/$CE$12</f>
        <v>59.381936422106861</v>
      </c>
      <c r="CH30" s="430">
        <f>(($B73*(CH9/1.852))+(980*$B9/1000))*CH10/$CE$12</f>
        <v>66.447840649339426</v>
      </c>
      <c r="CI30" s="430">
        <f>(($B73*(CI9/1.852))+(980*$B9/1000))*CI10/$CI$12</f>
        <v>105.01392847189969</v>
      </c>
      <c r="CJ30" s="430">
        <f>(($B73*(CJ9/1.852))+(980*$B9/1000))*CJ10/$CI$12</f>
        <v>24.953480742242448</v>
      </c>
      <c r="CK30" s="430">
        <f>(($B73*(CK9/1.852))+(980*$B9/1000))*CK10/$CI$12</f>
        <v>38.898900329633889</v>
      </c>
      <c r="CL30" s="430">
        <f>(($B73*(CL9/1.852))+(980*$B9/1000))*CL10/$CI$12</f>
        <v>82.784506512169614</v>
      </c>
      <c r="CM30" s="430">
        <f>(($B73*(CM9/1.852))+(980*$B9/1000))*CM10/$CI$12</f>
        <v>79.791942609790226</v>
      </c>
      <c r="CN30" s="895">
        <f>(($B73*(CN9/1.852))+(980*$B9/1000))*CN10/$CM$12</f>
        <v>41.332423679212184</v>
      </c>
      <c r="CO30" s="895">
        <f>(($B73*(CO9/1.852))+(980*$B9/1000))*CO10/$CM$12</f>
        <v>83.633666267271806</v>
      </c>
      <c r="CP30" s="887">
        <f>(($B73*(CP9/1.852))+(980*$B9/1000))*CP10/$CM$12</f>
        <v>44.925125549843678</v>
      </c>
      <c r="CQ30" s="888"/>
      <c r="CR30" s="888"/>
      <c r="CS30" s="888"/>
      <c r="CT30" s="420"/>
      <c r="CU30" s="420"/>
      <c r="CV30" s="420"/>
      <c r="CW30" s="420"/>
      <c r="CX30" s="847" t="s">
        <v>458</v>
      </c>
      <c r="CY30" s="430">
        <f>(($B73*(CY9/1.852))+(980*$F9/1000))*CY10/$CY$12</f>
        <v>120.1450143952792</v>
      </c>
      <c r="CZ30" s="430">
        <f>(($B73*(CZ9/1.852))+(980*$F9/1000))*CZ10/$CY$12</f>
        <v>91.623672118612021</v>
      </c>
      <c r="DA30" s="430">
        <f>(($B73*(DA9/1.852))+(980*$F9/1000))*DA10/$CY$12</f>
        <v>110.9518103770037</v>
      </c>
      <c r="DB30" s="430">
        <f>(($B73*(DB9/1.852))+(980*$F9/1000))*DB10/$CY$12</f>
        <v>110.9518103770037</v>
      </c>
      <c r="DC30" s="430">
        <f>(($B73*(DC9/1.852))+(980*$F9/1000))*DC10/$CY$12</f>
        <v>68.092454886662352</v>
      </c>
      <c r="DD30" s="430">
        <f>(($B73*(DD9/1.852))+(980*$F9/1000))*DD10/$DD$12</f>
        <v>141.08418917560269</v>
      </c>
      <c r="DE30" s="430">
        <f>(($B73*(DE9/1.852))+(980*$F9/1000))*DE10/$DD$12</f>
        <v>109.71486896005484</v>
      </c>
      <c r="DF30" s="430">
        <f>(($B73*(DF9/1.852))+(980*$F9/1000))*DF10/$DD$12</f>
        <v>118.45136783252566</v>
      </c>
      <c r="DG30" s="430">
        <f>(($B73*(DG9/1.852))+(980*$F9/1000))*DG10/$DD$12</f>
        <v>132.72710694420979</v>
      </c>
      <c r="DH30" s="430">
        <f>(($B73*(DH9/1.852))+(980*$F9/1000))*DH10/$DH12</f>
        <v>159.72062493314192</v>
      </c>
      <c r="DI30" s="430">
        <f>(($B73*(DI9/1.852))+(980*$F9/1000))*DI10/$DH12</f>
        <v>37.106310647565152</v>
      </c>
      <c r="DJ30" s="430">
        <f>(($B73*(DJ9/1.852))+(980*$F9/1000))*DJ10/$DH12</f>
        <v>58.489154536999926</v>
      </c>
      <c r="DK30" s="430">
        <f>(($B73*(DK9/1.852))+(980*$F9/1000))*DK10/$DH12</f>
        <v>125.7107131475338</v>
      </c>
      <c r="DL30" s="430">
        <f>(($B73*(DL9/1.852))+(980*$F9/1000))*DL10/$DH12</f>
        <v>121.13019609623119</v>
      </c>
      <c r="DM30" s="895">
        <f>(($B73*(DM9/1.852))+(980*$F9/1000))*DM10/$DL$12</f>
        <v>121.53768158409164</v>
      </c>
      <c r="DN30" s="895">
        <f>(($B73*(DN9/1.852))+(980*$F9/1000))*DN10/$DL$12</f>
        <v>248.15875746523432</v>
      </c>
      <c r="DO30" s="887">
        <f>(($B73*(DO9/1.852))+(980*$F9/1000))*DO10/$DL$12</f>
        <v>132.29902138842314</v>
      </c>
      <c r="DP30" s="888"/>
      <c r="DQ30" s="888"/>
      <c r="DR30" s="587"/>
    </row>
    <row r="31" spans="1:122" ht="26.45">
      <c r="A31" s="97" t="s">
        <v>460</v>
      </c>
      <c r="B31" s="374">
        <f>'Maintenance Cost'!G48*B32</f>
        <v>545.58319662847089</v>
      </c>
      <c r="C31" s="17">
        <f>504.227078968055*C32</f>
        <v>434.64374207046342</v>
      </c>
      <c r="D31" s="488">
        <v>642.02331163279189</v>
      </c>
      <c r="E31" s="229">
        <f>788.041264576167*E32</f>
        <v>754.15549019939181</v>
      </c>
      <c r="F31" s="245">
        <f>719.253101619963*F32</f>
        <v>688.3252182503046</v>
      </c>
      <c r="G31" s="215"/>
      <c r="H31" s="215"/>
      <c r="J31" s="432" t="s">
        <v>461</v>
      </c>
      <c r="K31" s="433">
        <f>$B65*$D11/1000</f>
        <v>184.30456000000001</v>
      </c>
      <c r="L31" s="433">
        <f t="shared" ref="L31:Y31" si="42">$B65*$D11/1000</f>
        <v>184.30456000000001</v>
      </c>
      <c r="M31" s="433">
        <f t="shared" si="42"/>
        <v>184.30456000000001</v>
      </c>
      <c r="N31" s="433">
        <f t="shared" si="42"/>
        <v>184.30456000000001</v>
      </c>
      <c r="O31" s="433">
        <f t="shared" si="42"/>
        <v>184.30456000000001</v>
      </c>
      <c r="P31" s="433">
        <f t="shared" si="42"/>
        <v>184.30456000000001</v>
      </c>
      <c r="Q31" s="433">
        <f t="shared" si="42"/>
        <v>184.30456000000001</v>
      </c>
      <c r="R31" s="434">
        <f t="shared" si="42"/>
        <v>184.30456000000001</v>
      </c>
      <c r="S31" s="435">
        <f t="shared" si="42"/>
        <v>184.30456000000001</v>
      </c>
      <c r="T31" s="435">
        <f t="shared" si="42"/>
        <v>184.30456000000001</v>
      </c>
      <c r="U31" s="435">
        <f t="shared" si="42"/>
        <v>184.30456000000001</v>
      </c>
      <c r="V31" s="435">
        <f t="shared" si="42"/>
        <v>184.30456000000001</v>
      </c>
      <c r="W31" s="435">
        <f t="shared" si="42"/>
        <v>184.30456000000001</v>
      </c>
      <c r="X31" s="435">
        <f t="shared" si="42"/>
        <v>184.30456000000001</v>
      </c>
      <c r="Y31" s="436">
        <f t="shared" si="42"/>
        <v>184.30456000000001</v>
      </c>
      <c r="Z31" s="29"/>
      <c r="AC31" s="743" t="s">
        <v>462</v>
      </c>
      <c r="AD31" s="817">
        <f>$B65*$C11/1000</f>
        <v>138.96144950000001</v>
      </c>
      <c r="AE31" s="817">
        <f t="shared" ref="AE31:AT31" si="43">$B65*$C11/1000</f>
        <v>138.96144950000001</v>
      </c>
      <c r="AF31" s="817">
        <f t="shared" si="43"/>
        <v>138.96144950000001</v>
      </c>
      <c r="AG31" s="817">
        <f t="shared" si="43"/>
        <v>138.96144950000001</v>
      </c>
      <c r="AH31" s="817">
        <f t="shared" si="43"/>
        <v>138.96144950000001</v>
      </c>
      <c r="AI31" s="817">
        <f t="shared" si="43"/>
        <v>138.96144950000001</v>
      </c>
      <c r="AJ31" s="817">
        <f t="shared" si="43"/>
        <v>138.96144950000001</v>
      </c>
      <c r="AK31" s="817">
        <f t="shared" si="43"/>
        <v>138.96144950000001</v>
      </c>
      <c r="AL31" s="817">
        <f t="shared" si="43"/>
        <v>138.96144950000001</v>
      </c>
      <c r="AM31" s="817">
        <f t="shared" si="43"/>
        <v>138.96144950000001</v>
      </c>
      <c r="AN31" s="817">
        <f t="shared" si="43"/>
        <v>138.96144950000001</v>
      </c>
      <c r="AO31" s="817">
        <f t="shared" si="43"/>
        <v>138.96144950000001</v>
      </c>
      <c r="AP31" s="817">
        <f t="shared" si="43"/>
        <v>138.96144950000001</v>
      </c>
      <c r="AQ31" s="817">
        <f t="shared" si="43"/>
        <v>138.96144950000001</v>
      </c>
      <c r="AR31" s="817">
        <f t="shared" si="43"/>
        <v>138.96144950000001</v>
      </c>
      <c r="AS31" s="817">
        <f t="shared" si="43"/>
        <v>138.96144950000001</v>
      </c>
      <c r="AT31" s="817">
        <f t="shared" si="43"/>
        <v>138.96144950000001</v>
      </c>
      <c r="AZ31" s="743" t="s">
        <v>462</v>
      </c>
      <c r="BA31" s="817">
        <f>$B65*$B11/1000</f>
        <v>162.94198600000001</v>
      </c>
      <c r="BB31" s="817">
        <f t="shared" ref="BB31:BO31" si="44">$B65*$B11/1000</f>
        <v>162.94198600000001</v>
      </c>
      <c r="BC31" s="817">
        <f t="shared" si="44"/>
        <v>162.94198600000001</v>
      </c>
      <c r="BD31" s="817">
        <f t="shared" si="44"/>
        <v>162.94198600000001</v>
      </c>
      <c r="BE31" s="817">
        <f t="shared" si="44"/>
        <v>162.94198600000001</v>
      </c>
      <c r="BF31" s="823">
        <f t="shared" si="44"/>
        <v>162.94198600000001</v>
      </c>
      <c r="BG31" s="823">
        <f t="shared" si="44"/>
        <v>162.94198600000001</v>
      </c>
      <c r="BH31" s="823">
        <f t="shared" si="44"/>
        <v>162.94198600000001</v>
      </c>
      <c r="BI31" s="823">
        <f t="shared" si="44"/>
        <v>162.94198600000001</v>
      </c>
      <c r="BJ31" s="817">
        <f t="shared" si="44"/>
        <v>162.94198600000001</v>
      </c>
      <c r="BK31" s="817">
        <f t="shared" si="44"/>
        <v>162.94198600000001</v>
      </c>
      <c r="BL31" s="817">
        <f t="shared" si="44"/>
        <v>162.94198600000001</v>
      </c>
      <c r="BM31" s="817">
        <f t="shared" si="44"/>
        <v>162.94198600000001</v>
      </c>
      <c r="BN31" s="829">
        <f t="shared" si="44"/>
        <v>162.94198600000001</v>
      </c>
      <c r="BO31" s="829">
        <f t="shared" si="44"/>
        <v>162.94198600000001</v>
      </c>
      <c r="BP31" s="829">
        <f t="shared" ref="BP31:BQ31" si="45">$B65*$B11/1000</f>
        <v>162.94198600000001</v>
      </c>
      <c r="BQ31" s="830">
        <f t="shared" si="45"/>
        <v>162.94198600000001</v>
      </c>
      <c r="BR31" s="585"/>
      <c r="BS31" s="585"/>
      <c r="BT31" s="585"/>
      <c r="BV31" s="420"/>
      <c r="BW31" s="420"/>
      <c r="BX31" s="420"/>
      <c r="BY31" s="850" t="s">
        <v>461</v>
      </c>
      <c r="BZ31" s="435">
        <f>$B65*$E11/1000</f>
        <v>391.64719000000002</v>
      </c>
      <c r="CA31" s="435">
        <f t="shared" ref="CA31:CN31" si="46">$B65*$E11/1000</f>
        <v>391.64719000000002</v>
      </c>
      <c r="CB31" s="435">
        <f t="shared" si="46"/>
        <v>391.64719000000002</v>
      </c>
      <c r="CC31" s="435">
        <f t="shared" si="46"/>
        <v>391.64719000000002</v>
      </c>
      <c r="CD31" s="435">
        <f t="shared" si="46"/>
        <v>391.64719000000002</v>
      </c>
      <c r="CE31" s="435">
        <f t="shared" si="46"/>
        <v>391.64719000000002</v>
      </c>
      <c r="CF31" s="435">
        <f t="shared" si="46"/>
        <v>391.64719000000002</v>
      </c>
      <c r="CG31" s="435">
        <f t="shared" si="46"/>
        <v>391.64719000000002</v>
      </c>
      <c r="CH31" s="435">
        <f t="shared" si="46"/>
        <v>391.64719000000002</v>
      </c>
      <c r="CI31" s="435">
        <f t="shared" si="46"/>
        <v>391.64719000000002</v>
      </c>
      <c r="CJ31" s="435">
        <f t="shared" si="46"/>
        <v>391.64719000000002</v>
      </c>
      <c r="CK31" s="435">
        <f t="shared" si="46"/>
        <v>391.64719000000002</v>
      </c>
      <c r="CL31" s="435">
        <f t="shared" si="46"/>
        <v>391.64719000000002</v>
      </c>
      <c r="CM31" s="435">
        <f t="shared" si="46"/>
        <v>391.64719000000002</v>
      </c>
      <c r="CN31" s="890">
        <f t="shared" si="46"/>
        <v>391.64719000000002</v>
      </c>
      <c r="CO31" s="890">
        <f t="shared" ref="CO31:CP31" si="47">$B65*$E11/1000</f>
        <v>391.64719000000002</v>
      </c>
      <c r="CP31" s="889">
        <f t="shared" si="47"/>
        <v>391.64719000000002</v>
      </c>
      <c r="CQ31" s="888"/>
      <c r="CR31" s="888"/>
      <c r="CS31" s="888"/>
      <c r="CT31" s="420"/>
      <c r="CU31" s="420"/>
      <c r="CV31" s="420"/>
      <c r="CW31" s="420"/>
      <c r="CX31" s="850" t="s">
        <v>461</v>
      </c>
      <c r="CY31" s="435">
        <f>$B65*$F11/1000</f>
        <v>309.6944919</v>
      </c>
      <c r="CZ31" s="435">
        <f t="shared" ref="CZ31:DM31" si="48">$B65*$F11/1000</f>
        <v>309.6944919</v>
      </c>
      <c r="DA31" s="435">
        <f t="shared" si="48"/>
        <v>309.6944919</v>
      </c>
      <c r="DB31" s="435">
        <f t="shared" si="48"/>
        <v>309.6944919</v>
      </c>
      <c r="DC31" s="435">
        <f t="shared" si="48"/>
        <v>309.6944919</v>
      </c>
      <c r="DD31" s="435">
        <f t="shared" si="48"/>
        <v>309.6944919</v>
      </c>
      <c r="DE31" s="435">
        <f t="shared" si="48"/>
        <v>309.6944919</v>
      </c>
      <c r="DF31" s="435">
        <f t="shared" si="48"/>
        <v>309.6944919</v>
      </c>
      <c r="DG31" s="435">
        <f t="shared" si="48"/>
        <v>309.6944919</v>
      </c>
      <c r="DH31" s="435">
        <f t="shared" si="48"/>
        <v>309.6944919</v>
      </c>
      <c r="DI31" s="435">
        <f t="shared" si="48"/>
        <v>309.6944919</v>
      </c>
      <c r="DJ31" s="435">
        <f t="shared" si="48"/>
        <v>309.6944919</v>
      </c>
      <c r="DK31" s="435">
        <f t="shared" si="48"/>
        <v>309.6944919</v>
      </c>
      <c r="DL31" s="435">
        <f t="shared" si="48"/>
        <v>309.6944919</v>
      </c>
      <c r="DM31" s="890">
        <f t="shared" si="48"/>
        <v>309.6944919</v>
      </c>
      <c r="DN31" s="890">
        <f t="shared" ref="DN31:DO31" si="49">$B65*$F11/1000</f>
        <v>309.6944919</v>
      </c>
      <c r="DO31" s="889">
        <f t="shared" si="49"/>
        <v>309.6944919</v>
      </c>
      <c r="DP31" s="888"/>
      <c r="DQ31" s="888"/>
      <c r="DR31" s="587"/>
    </row>
    <row r="32" spans="1:122">
      <c r="A32" s="387" t="s">
        <v>203</v>
      </c>
      <c r="B32" s="388">
        <v>0.86199999999999999</v>
      </c>
      <c r="C32" s="388">
        <v>0.86199999999999999</v>
      </c>
      <c r="D32" s="483">
        <v>0.95699999999999996</v>
      </c>
      <c r="E32" s="388">
        <v>0.95699999999999996</v>
      </c>
      <c r="F32" s="388">
        <v>0.95699999999999996</v>
      </c>
      <c r="G32" s="214"/>
      <c r="H32" s="214"/>
      <c r="J32" s="432" t="s">
        <v>463</v>
      </c>
      <c r="K32" s="433">
        <f>$B66*$D11/1000</f>
        <v>246.38609600000001</v>
      </c>
      <c r="L32" s="433">
        <f t="shared" ref="L32:Y32" si="50">$B66*$D11/1000</f>
        <v>246.38609600000001</v>
      </c>
      <c r="M32" s="433">
        <f t="shared" si="50"/>
        <v>246.38609600000001</v>
      </c>
      <c r="N32" s="433">
        <f t="shared" si="50"/>
        <v>246.38609600000001</v>
      </c>
      <c r="O32" s="433">
        <f t="shared" si="50"/>
        <v>246.38609600000001</v>
      </c>
      <c r="P32" s="433">
        <f t="shared" si="50"/>
        <v>246.38609600000001</v>
      </c>
      <c r="Q32" s="433">
        <f t="shared" si="50"/>
        <v>246.38609600000001</v>
      </c>
      <c r="R32" s="434">
        <f t="shared" si="50"/>
        <v>246.38609600000001</v>
      </c>
      <c r="S32" s="435">
        <f t="shared" si="50"/>
        <v>246.38609600000001</v>
      </c>
      <c r="T32" s="435">
        <f t="shared" si="50"/>
        <v>246.38609600000001</v>
      </c>
      <c r="U32" s="435">
        <f t="shared" si="50"/>
        <v>246.38609600000001</v>
      </c>
      <c r="V32" s="435">
        <f t="shared" si="50"/>
        <v>246.38609600000001</v>
      </c>
      <c r="W32" s="435">
        <f t="shared" si="50"/>
        <v>246.38609600000001</v>
      </c>
      <c r="X32" s="435">
        <f t="shared" si="50"/>
        <v>246.38609600000001</v>
      </c>
      <c r="Y32" s="436">
        <f t="shared" si="50"/>
        <v>246.38609600000001</v>
      </c>
      <c r="Z32" s="29"/>
      <c r="AC32" s="743" t="s">
        <v>463</v>
      </c>
      <c r="AD32" s="817">
        <f>$B66*$C11/1000</f>
        <v>185.76951670000003</v>
      </c>
      <c r="AE32" s="817">
        <f t="shared" ref="AE32:AT32" si="51">$B66*$C11/1000</f>
        <v>185.76951670000003</v>
      </c>
      <c r="AF32" s="817">
        <f t="shared" si="51"/>
        <v>185.76951670000003</v>
      </c>
      <c r="AG32" s="817">
        <f t="shared" si="51"/>
        <v>185.76951670000003</v>
      </c>
      <c r="AH32" s="817">
        <f t="shared" si="51"/>
        <v>185.76951670000003</v>
      </c>
      <c r="AI32" s="817">
        <f t="shared" si="51"/>
        <v>185.76951670000003</v>
      </c>
      <c r="AJ32" s="817">
        <f t="shared" si="51"/>
        <v>185.76951670000003</v>
      </c>
      <c r="AK32" s="817">
        <f t="shared" si="51"/>
        <v>185.76951670000003</v>
      </c>
      <c r="AL32" s="817">
        <f t="shared" si="51"/>
        <v>185.76951670000003</v>
      </c>
      <c r="AM32" s="817">
        <f t="shared" si="51"/>
        <v>185.76951670000003</v>
      </c>
      <c r="AN32" s="817">
        <f t="shared" si="51"/>
        <v>185.76951670000003</v>
      </c>
      <c r="AO32" s="817">
        <f t="shared" si="51"/>
        <v>185.76951670000003</v>
      </c>
      <c r="AP32" s="817">
        <f t="shared" si="51"/>
        <v>185.76951670000003</v>
      </c>
      <c r="AQ32" s="817">
        <f t="shared" si="51"/>
        <v>185.76951670000003</v>
      </c>
      <c r="AR32" s="817">
        <f t="shared" si="51"/>
        <v>185.76951670000003</v>
      </c>
      <c r="AS32" s="817">
        <f t="shared" si="51"/>
        <v>185.76951670000003</v>
      </c>
      <c r="AT32" s="817">
        <f t="shared" si="51"/>
        <v>185.76951670000003</v>
      </c>
      <c r="AZ32" s="743" t="s">
        <v>463</v>
      </c>
      <c r="BA32" s="817">
        <f>$B66*$B11/1000</f>
        <v>217.82770760000002</v>
      </c>
      <c r="BB32" s="817">
        <f t="shared" ref="BB32:BO32" si="52">$B66*$B11/1000</f>
        <v>217.82770760000002</v>
      </c>
      <c r="BC32" s="817">
        <f t="shared" si="52"/>
        <v>217.82770760000002</v>
      </c>
      <c r="BD32" s="817">
        <f t="shared" si="52"/>
        <v>217.82770760000002</v>
      </c>
      <c r="BE32" s="817">
        <f t="shared" si="52"/>
        <v>217.82770760000002</v>
      </c>
      <c r="BF32" s="823">
        <f t="shared" si="52"/>
        <v>217.82770760000002</v>
      </c>
      <c r="BG32" s="823">
        <f t="shared" si="52"/>
        <v>217.82770760000002</v>
      </c>
      <c r="BH32" s="823">
        <f t="shared" si="52"/>
        <v>217.82770760000002</v>
      </c>
      <c r="BI32" s="823">
        <f t="shared" si="52"/>
        <v>217.82770760000002</v>
      </c>
      <c r="BJ32" s="817">
        <f t="shared" si="52"/>
        <v>217.82770760000002</v>
      </c>
      <c r="BK32" s="817">
        <f t="shared" si="52"/>
        <v>217.82770760000002</v>
      </c>
      <c r="BL32" s="817">
        <f t="shared" si="52"/>
        <v>217.82770760000002</v>
      </c>
      <c r="BM32" s="817">
        <f t="shared" si="52"/>
        <v>217.82770760000002</v>
      </c>
      <c r="BN32" s="829">
        <f t="shared" si="52"/>
        <v>217.82770760000002</v>
      </c>
      <c r="BO32" s="829">
        <f t="shared" si="52"/>
        <v>217.82770760000002</v>
      </c>
      <c r="BP32" s="829">
        <f t="shared" ref="BP32:BQ32" si="53">$B66*$B11/1000</f>
        <v>217.82770760000002</v>
      </c>
      <c r="BQ32" s="830">
        <f t="shared" si="53"/>
        <v>217.82770760000002</v>
      </c>
      <c r="BR32" s="585"/>
      <c r="BS32" s="585"/>
      <c r="BT32" s="585"/>
      <c r="BV32" s="420"/>
      <c r="BW32" s="420"/>
      <c r="BX32" s="420"/>
      <c r="BY32" s="850" t="s">
        <v>463</v>
      </c>
      <c r="BZ32" s="435">
        <f>$B66*$E11/1000</f>
        <v>523.57045400000004</v>
      </c>
      <c r="CA32" s="435">
        <f t="shared" ref="CA32:CN32" si="54">$B66*$E11/1000</f>
        <v>523.57045400000004</v>
      </c>
      <c r="CB32" s="435">
        <f t="shared" si="54"/>
        <v>523.57045400000004</v>
      </c>
      <c r="CC32" s="435">
        <f t="shared" si="54"/>
        <v>523.57045400000004</v>
      </c>
      <c r="CD32" s="435">
        <f t="shared" si="54"/>
        <v>523.57045400000004</v>
      </c>
      <c r="CE32" s="435">
        <f t="shared" si="54"/>
        <v>523.57045400000004</v>
      </c>
      <c r="CF32" s="435">
        <f t="shared" si="54"/>
        <v>523.57045400000004</v>
      </c>
      <c r="CG32" s="435">
        <f t="shared" si="54"/>
        <v>523.57045400000004</v>
      </c>
      <c r="CH32" s="435">
        <f t="shared" si="54"/>
        <v>523.57045400000004</v>
      </c>
      <c r="CI32" s="435">
        <f t="shared" si="54"/>
        <v>523.57045400000004</v>
      </c>
      <c r="CJ32" s="435">
        <f t="shared" si="54"/>
        <v>523.57045400000004</v>
      </c>
      <c r="CK32" s="435">
        <f t="shared" si="54"/>
        <v>523.57045400000004</v>
      </c>
      <c r="CL32" s="435">
        <f t="shared" si="54"/>
        <v>523.57045400000004</v>
      </c>
      <c r="CM32" s="435">
        <f t="shared" si="54"/>
        <v>523.57045400000004</v>
      </c>
      <c r="CN32" s="890">
        <f t="shared" si="54"/>
        <v>523.57045400000004</v>
      </c>
      <c r="CO32" s="890">
        <f t="shared" ref="CO32:CP32" si="55">$B66*$E11/1000</f>
        <v>523.57045400000004</v>
      </c>
      <c r="CP32" s="889">
        <f t="shared" si="55"/>
        <v>523.57045400000004</v>
      </c>
      <c r="CQ32" s="888"/>
      <c r="CR32" s="888"/>
      <c r="CS32" s="888"/>
      <c r="CT32" s="420"/>
      <c r="CU32" s="420"/>
      <c r="CV32" s="420"/>
      <c r="CW32" s="420"/>
      <c r="CX32" s="850" t="s">
        <v>463</v>
      </c>
      <c r="CY32" s="435">
        <f>$B66*$F11/1000</f>
        <v>414.01263654000002</v>
      </c>
      <c r="CZ32" s="435">
        <f t="shared" ref="CZ32:DM32" si="56">$B66*$F11/1000</f>
        <v>414.01263654000002</v>
      </c>
      <c r="DA32" s="435">
        <f t="shared" si="56"/>
        <v>414.01263654000002</v>
      </c>
      <c r="DB32" s="435">
        <f t="shared" si="56"/>
        <v>414.01263654000002</v>
      </c>
      <c r="DC32" s="435">
        <f t="shared" si="56"/>
        <v>414.01263654000002</v>
      </c>
      <c r="DD32" s="435">
        <f t="shared" si="56"/>
        <v>414.01263654000002</v>
      </c>
      <c r="DE32" s="435">
        <f t="shared" si="56"/>
        <v>414.01263654000002</v>
      </c>
      <c r="DF32" s="435">
        <f t="shared" si="56"/>
        <v>414.01263654000002</v>
      </c>
      <c r="DG32" s="435">
        <f t="shared" si="56"/>
        <v>414.01263654000002</v>
      </c>
      <c r="DH32" s="435">
        <f t="shared" si="56"/>
        <v>414.01263654000002</v>
      </c>
      <c r="DI32" s="435">
        <f t="shared" si="56"/>
        <v>414.01263654000002</v>
      </c>
      <c r="DJ32" s="435">
        <f t="shared" si="56"/>
        <v>414.01263654000002</v>
      </c>
      <c r="DK32" s="435">
        <f t="shared" si="56"/>
        <v>414.01263654000002</v>
      </c>
      <c r="DL32" s="435">
        <f t="shared" si="56"/>
        <v>414.01263654000002</v>
      </c>
      <c r="DM32" s="890">
        <f t="shared" si="56"/>
        <v>414.01263654000002</v>
      </c>
      <c r="DN32" s="890">
        <f t="shared" ref="DN32:DO32" si="57">$B66*$F11/1000</f>
        <v>414.01263654000002</v>
      </c>
      <c r="DO32" s="889">
        <f t="shared" si="57"/>
        <v>414.01263654000002</v>
      </c>
      <c r="DP32" s="888"/>
      <c r="DQ32" s="888"/>
      <c r="DR32" s="587"/>
    </row>
    <row r="33" spans="1:122">
      <c r="A33" s="98" t="s">
        <v>464</v>
      </c>
      <c r="B33" s="15">
        <f>B2*2 - B8*12</f>
        <v>0</v>
      </c>
      <c r="C33" s="15">
        <f>C2*2 - C8*12</f>
        <v>19958921.464356091</v>
      </c>
      <c r="D33" s="576"/>
      <c r="E33" s="15">
        <f t="shared" ref="E33:F33" si="58">E2*2 - E8*12</f>
        <v>5603245.9944420382</v>
      </c>
      <c r="F33" s="15">
        <f t="shared" si="58"/>
        <v>4610042.4774350971</v>
      </c>
      <c r="G33" s="211"/>
      <c r="H33" s="211"/>
      <c r="J33" s="432"/>
      <c r="K33" s="433"/>
      <c r="L33" s="433"/>
      <c r="M33" s="433"/>
      <c r="N33" s="433"/>
      <c r="O33" s="433"/>
      <c r="P33" s="433"/>
      <c r="Q33" s="433"/>
      <c r="R33" s="434"/>
      <c r="S33" s="435"/>
      <c r="T33" s="435"/>
      <c r="U33" s="435"/>
      <c r="V33" s="435"/>
      <c r="W33" s="435"/>
      <c r="X33" s="435"/>
      <c r="Y33" s="436"/>
      <c r="Z33" s="29"/>
      <c r="AC33" s="855" t="s">
        <v>83</v>
      </c>
      <c r="AD33" s="819">
        <f>Profitability!$AQ68/$BA$13</f>
        <v>28.497462292398481</v>
      </c>
      <c r="AE33" s="819">
        <f>Profitability!$AQ68/$BA$13</f>
        <v>28.497462292398481</v>
      </c>
      <c r="AF33" s="819">
        <f>Profitability!$AQ68/$BA$13</f>
        <v>28.497462292398481</v>
      </c>
      <c r="AG33" s="819">
        <f>Profitability!$AQ68/$BA$13</f>
        <v>28.497462292398481</v>
      </c>
      <c r="AH33" s="819">
        <f>Profitability!$AQ68/$BA$13</f>
        <v>28.497462292398481</v>
      </c>
      <c r="AI33" s="819">
        <f>Profitability!$AQ68/$BA$13</f>
        <v>28.497462292398481</v>
      </c>
      <c r="AJ33" s="819">
        <f>Profitability!$AQ68/$BA$13</f>
        <v>28.497462292398481</v>
      </c>
      <c r="AK33" s="819">
        <f>Profitability!$AQ68/$BA$13</f>
        <v>28.497462292398481</v>
      </c>
      <c r="AL33" s="819">
        <f>Profitability!$AQ68/$BA$13</f>
        <v>28.497462292398481</v>
      </c>
      <c r="AM33" s="819">
        <f>Profitability!$AQ68/$BA$13</f>
        <v>28.497462292398481</v>
      </c>
      <c r="AN33" s="819">
        <f>Profitability!$AQ68/$BA$13</f>
        <v>28.497462292398481</v>
      </c>
      <c r="AO33" s="819">
        <f>Profitability!$AQ68/$BA$13</f>
        <v>28.497462292398481</v>
      </c>
      <c r="AP33" s="819">
        <f>Profitability!$AQ68/$BA$13</f>
        <v>28.497462292398481</v>
      </c>
      <c r="AQ33" s="819">
        <f>Profitability!$AQ68/$BA$13</f>
        <v>28.497462292398481</v>
      </c>
      <c r="AR33" s="819">
        <f>Profitability!$AQ68/$BA$13</f>
        <v>28.497462292398481</v>
      </c>
      <c r="AS33" s="819">
        <f>Profitability!$AQ68/$BA$13</f>
        <v>28.497462292398481</v>
      </c>
      <c r="AT33" s="819">
        <f>Profitability!$AQ68/$BA$13</f>
        <v>28.497462292398481</v>
      </c>
      <c r="AZ33" s="855" t="s">
        <v>83</v>
      </c>
      <c r="BA33" s="819">
        <f>Profitability!$AQ68/$BA$13</f>
        <v>28.497462292398481</v>
      </c>
      <c r="BB33" s="819">
        <f>Profitability!$AQ68/$BA$13</f>
        <v>28.497462292398481</v>
      </c>
      <c r="BC33" s="819">
        <f>Profitability!$AQ68/$BA$13</f>
        <v>28.497462292398481</v>
      </c>
      <c r="BD33" s="819">
        <f>Profitability!$AQ68/$BA$13</f>
        <v>28.497462292398481</v>
      </c>
      <c r="BE33" s="819">
        <f>Profitability!$AQ68/$BA$13</f>
        <v>28.497462292398481</v>
      </c>
      <c r="BF33" s="824">
        <f>Profitability!$AQ68/$BF$13</f>
        <v>28.902255790870051</v>
      </c>
      <c r="BG33" s="824">
        <f>Profitability!$AQ68/$BF$13</f>
        <v>28.902255790870051</v>
      </c>
      <c r="BH33" s="824">
        <f>Profitability!$AQ68/$BF$13</f>
        <v>28.902255790870051</v>
      </c>
      <c r="BI33" s="824">
        <f>Profitability!$AQ68/$BF$13</f>
        <v>28.902255790870051</v>
      </c>
      <c r="BJ33" s="819">
        <f>Profitability!$AQ68/$BJ$13</f>
        <v>28.497462292398481</v>
      </c>
      <c r="BK33" s="819">
        <f>Profitability!$AQ68/$BJ$13</f>
        <v>28.497462292398481</v>
      </c>
      <c r="BL33" s="819">
        <f>Profitability!$AQ68/$BJ$13</f>
        <v>28.497462292398481</v>
      </c>
      <c r="BM33" s="819">
        <f>Profitability!$AQ68/$BJ$13</f>
        <v>28.497462292398481</v>
      </c>
      <c r="BN33" s="831">
        <f>Profitability!$AQ68/$BN$13</f>
        <v>28.577511343781623</v>
      </c>
      <c r="BO33" s="831">
        <f>Profitability!$AQ68/$BN$13</f>
        <v>28.577511343781623</v>
      </c>
      <c r="BP33" s="831">
        <f>Profitability!$AQ68/$BN$13</f>
        <v>28.577511343781623</v>
      </c>
      <c r="BQ33" s="831">
        <f>Profitability!$AQ68/$BN$13</f>
        <v>28.577511343781623</v>
      </c>
      <c r="BR33" s="585"/>
      <c r="BS33" s="585"/>
      <c r="BT33" s="585"/>
      <c r="BV33" s="420"/>
      <c r="BW33" s="420"/>
      <c r="BX33" s="420"/>
      <c r="BY33" s="852" t="s">
        <v>83</v>
      </c>
      <c r="BZ33" s="849">
        <f>Profitability!$AQ68/365</f>
        <v>27.872860379140434</v>
      </c>
      <c r="CA33" s="849">
        <f>Profitability!$AQ68/365</f>
        <v>27.872860379140434</v>
      </c>
      <c r="CB33" s="849">
        <f>Profitability!$AQ68/365</f>
        <v>27.872860379140434</v>
      </c>
      <c r="CC33" s="849">
        <f>Profitability!$AQ68/365</f>
        <v>27.872860379140434</v>
      </c>
      <c r="CD33" s="849">
        <f>Profitability!$AQ68/365</f>
        <v>27.872860379140434</v>
      </c>
      <c r="CE33" s="849">
        <f>Profitability!$AQ68/365</f>
        <v>27.872860379140434</v>
      </c>
      <c r="CF33" s="849">
        <f>Profitability!$AQ68/365</f>
        <v>27.872860379140434</v>
      </c>
      <c r="CG33" s="849">
        <f>Profitability!$AQ68/365</f>
        <v>27.872860379140434</v>
      </c>
      <c r="CH33" s="849">
        <f>Profitability!$AQ68/365</f>
        <v>27.872860379140434</v>
      </c>
      <c r="CI33" s="849">
        <f>Profitability!$AQ68/365</f>
        <v>27.872860379140434</v>
      </c>
      <c r="CJ33" s="849">
        <f>Profitability!$AQ68/365</f>
        <v>27.872860379140434</v>
      </c>
      <c r="CK33" s="849">
        <f>Profitability!$AQ68/365</f>
        <v>27.872860379140434</v>
      </c>
      <c r="CL33" s="849">
        <f>Profitability!$AQ68/365</f>
        <v>27.872860379140434</v>
      </c>
      <c r="CM33" s="849">
        <f>Profitability!$AQ68/365</f>
        <v>27.872860379140434</v>
      </c>
      <c r="CN33" s="849">
        <f>Profitability!$AQ68/365</f>
        <v>27.872860379140434</v>
      </c>
      <c r="CO33" s="849">
        <f>Profitability!$AQ68/365</f>
        <v>27.872860379140434</v>
      </c>
      <c r="CP33" s="849">
        <f>Profitability!$AQ68/365</f>
        <v>27.872860379140434</v>
      </c>
      <c r="CQ33" s="888"/>
      <c r="CR33" s="888"/>
      <c r="CS33" s="888"/>
      <c r="CT33" s="420"/>
      <c r="CU33" s="420"/>
      <c r="CV33" s="420"/>
      <c r="CW33" s="420"/>
      <c r="CX33" s="852" t="s">
        <v>83</v>
      </c>
      <c r="CY33" s="849">
        <f>Profitability!$AQ68/365</f>
        <v>27.872860379140434</v>
      </c>
      <c r="CZ33" s="849">
        <f>Profitability!$AQ68/365</f>
        <v>27.872860379140434</v>
      </c>
      <c r="DA33" s="849">
        <f>Profitability!$AQ68/365</f>
        <v>27.872860379140434</v>
      </c>
      <c r="DB33" s="849">
        <f>Profitability!$AQ68/365</f>
        <v>27.872860379140434</v>
      </c>
      <c r="DC33" s="849">
        <f>Profitability!$AQ68/365</f>
        <v>27.872860379140434</v>
      </c>
      <c r="DD33" s="849">
        <f>Profitability!$AQ68/365</f>
        <v>27.872860379140434</v>
      </c>
      <c r="DE33" s="849">
        <f>Profitability!$AQ68/365</f>
        <v>27.872860379140434</v>
      </c>
      <c r="DF33" s="849">
        <f>Profitability!$AQ68/365</f>
        <v>27.872860379140434</v>
      </c>
      <c r="DG33" s="849">
        <f>Profitability!$AQ68/365</f>
        <v>27.872860379140434</v>
      </c>
      <c r="DH33" s="849">
        <f>Profitability!$AQ68/365</f>
        <v>27.872860379140434</v>
      </c>
      <c r="DI33" s="849">
        <f>Profitability!$AQ68/365</f>
        <v>27.872860379140434</v>
      </c>
      <c r="DJ33" s="849">
        <f>Profitability!$AQ68/365</f>
        <v>27.872860379140434</v>
      </c>
      <c r="DK33" s="849">
        <f>Profitability!$AQ68/365</f>
        <v>27.872860379140434</v>
      </c>
      <c r="DL33" s="849">
        <f>Profitability!$AQ68/365</f>
        <v>27.872860379140434</v>
      </c>
      <c r="DM33" s="849">
        <f>Profitability!$AQ68/365</f>
        <v>27.872860379140434</v>
      </c>
      <c r="DN33" s="849">
        <f>Profitability!$AQ68/365</f>
        <v>27.872860379140434</v>
      </c>
      <c r="DO33" s="849">
        <f>Profitability!$AQ68/365</f>
        <v>27.872860379140434</v>
      </c>
      <c r="DP33" s="888"/>
      <c r="DQ33" s="888"/>
      <c r="DR33" s="587"/>
    </row>
    <row r="34" spans="1:122">
      <c r="A34" s="98" t="s">
        <v>465</v>
      </c>
      <c r="B34" s="15">
        <f>B8*12</f>
        <v>2940000</v>
      </c>
      <c r="C34" s="15">
        <f t="shared" ref="C34:F34" si="59">C8*12</f>
        <v>2400000</v>
      </c>
      <c r="D34" s="576">
        <f t="shared" si="59"/>
        <v>8022782.8593475893</v>
      </c>
      <c r="E34" s="15">
        <f t="shared" si="59"/>
        <v>47919060.249368042</v>
      </c>
      <c r="F34" s="15">
        <f t="shared" si="59"/>
        <v>39425165.956926025</v>
      </c>
      <c r="G34" s="211"/>
      <c r="H34" s="211"/>
      <c r="J34" s="432" t="s">
        <v>466</v>
      </c>
      <c r="K34" s="433">
        <f>$D31*K10*$D32</f>
        <v>1047.3990965623659</v>
      </c>
      <c r="L34" s="433">
        <f t="shared" ref="L34:Y34" si="60">$D31*L10*$D32</f>
        <v>807.41531460328679</v>
      </c>
      <c r="M34" s="433">
        <f t="shared" si="60"/>
        <v>970.05492587073502</v>
      </c>
      <c r="N34" s="433">
        <f t="shared" si="60"/>
        <v>970.05492587073502</v>
      </c>
      <c r="O34" s="433">
        <f t="shared" si="60"/>
        <v>609.35641021537231</v>
      </c>
      <c r="P34" s="433">
        <f t="shared" si="60"/>
        <v>1659.6468776447152</v>
      </c>
      <c r="Q34" s="433">
        <f t="shared" si="60"/>
        <v>1298.9483619893526</v>
      </c>
      <c r="R34" s="433">
        <f t="shared" si="60"/>
        <v>1399.4234996167979</v>
      </c>
      <c r="S34" s="433">
        <f t="shared" si="60"/>
        <v>1563.5718282026346</v>
      </c>
      <c r="T34" s="433">
        <f t="shared" si="60"/>
        <v>2609.462207446612</v>
      </c>
      <c r="U34" s="433">
        <f t="shared" si="60"/>
        <v>634.65590530141981</v>
      </c>
      <c r="V34" s="433">
        <f t="shared" si="60"/>
        <v>979.45188118840986</v>
      </c>
      <c r="W34" s="433">
        <f t="shared" si="60"/>
        <v>2062.2702708712422</v>
      </c>
      <c r="X34" s="433">
        <f t="shared" si="60"/>
        <v>1988.5403137633323</v>
      </c>
      <c r="Y34" s="433">
        <f t="shared" si="60"/>
        <v>1016.3168597423646</v>
      </c>
      <c r="Z34" s="29"/>
      <c r="AC34" s="743" t="s">
        <v>466</v>
      </c>
      <c r="AD34" s="817">
        <f>$C31*AD10</f>
        <v>817.9955806553927</v>
      </c>
      <c r="AE34" s="817">
        <f t="shared" ref="AE34:AT34" si="61">$C31*AE10</f>
        <v>623.24590136448114</v>
      </c>
      <c r="AF34" s="817">
        <f t="shared" si="61"/>
        <v>755.22987076344225</v>
      </c>
      <c r="AG34" s="817">
        <f t="shared" si="61"/>
        <v>755.22987076344225</v>
      </c>
      <c r="AH34" s="817">
        <f t="shared" si="61"/>
        <v>462.51875640752399</v>
      </c>
      <c r="AI34" s="817">
        <f t="shared" si="61"/>
        <v>1314.8419010150376</v>
      </c>
      <c r="AJ34" s="817">
        <f t="shared" si="61"/>
        <v>1022.1307866591193</v>
      </c>
      <c r="AK34" s="817">
        <f t="shared" si="61"/>
        <v>1103.6675499766998</v>
      </c>
      <c r="AL34" s="817">
        <f t="shared" si="61"/>
        <v>1236.8758613353477</v>
      </c>
      <c r="AM34" s="817">
        <f t="shared" si="61"/>
        <v>2085.628282304971</v>
      </c>
      <c r="AN34" s="817">
        <f t="shared" si="61"/>
        <v>483.04959609180685</v>
      </c>
      <c r="AO34" s="817">
        <f t="shared" si="61"/>
        <v>762.85561121760452</v>
      </c>
      <c r="AP34" s="817">
        <f t="shared" si="61"/>
        <v>1641.5755497049104</v>
      </c>
      <c r="AQ34" s="817">
        <f t="shared" si="61"/>
        <v>1581.7428169107145</v>
      </c>
      <c r="AR34" s="817">
        <f t="shared" si="61"/>
        <v>792.77197761470234</v>
      </c>
      <c r="AS34" s="817">
        <f t="shared" si="61"/>
        <v>1620.4581146010767</v>
      </c>
      <c r="AT34" s="817">
        <f t="shared" si="61"/>
        <v>863.16342796081506</v>
      </c>
      <c r="AZ34" s="743" t="s">
        <v>466</v>
      </c>
      <c r="BA34" s="817">
        <f>$B31*BA10</f>
        <v>1030.8339230734678</v>
      </c>
      <c r="BB34" s="817">
        <f t="shared" ref="BB34:BQ34" si="62">$B31*BB10</f>
        <v>785.06238809293541</v>
      </c>
      <c r="BC34" s="817">
        <f t="shared" si="62"/>
        <v>951.62442234179014</v>
      </c>
      <c r="BD34" s="817">
        <f t="shared" si="62"/>
        <v>951.62442234179014</v>
      </c>
      <c r="BE34" s="817">
        <f t="shared" si="62"/>
        <v>582.22684416321886</v>
      </c>
      <c r="BF34" s="823">
        <f t="shared" si="62"/>
        <v>1657.8474475569342</v>
      </c>
      <c r="BG34" s="823">
        <f t="shared" si="62"/>
        <v>1288.449869378363</v>
      </c>
      <c r="BH34" s="823">
        <f t="shared" si="62"/>
        <v>1391.3481927587666</v>
      </c>
      <c r="BI34" s="823">
        <f t="shared" si="62"/>
        <v>1559.4553304648846</v>
      </c>
      <c r="BJ34" s="817">
        <f t="shared" si="62"/>
        <v>2630.569727570246</v>
      </c>
      <c r="BK34" s="817">
        <f t="shared" si="62"/>
        <v>608.13649393526305</v>
      </c>
      <c r="BL34" s="817">
        <f t="shared" si="62"/>
        <v>961.24800654283513</v>
      </c>
      <c r="BM34" s="817">
        <f t="shared" si="62"/>
        <v>2070.1810167863214</v>
      </c>
      <c r="BN34" s="829">
        <f t="shared" si="62"/>
        <v>1994.6728945935072</v>
      </c>
      <c r="BO34" s="829">
        <f t="shared" si="62"/>
        <v>999.00206763924223</v>
      </c>
      <c r="BP34" s="829">
        <f t="shared" si="62"/>
        <v>2043.5310913065045</v>
      </c>
      <c r="BQ34" s="830">
        <f t="shared" si="62"/>
        <v>1087.8351525719647</v>
      </c>
      <c r="BR34" s="585"/>
      <c r="BS34" s="585"/>
      <c r="BT34" s="585"/>
      <c r="BV34" s="420"/>
      <c r="BW34" s="420"/>
      <c r="BX34" s="420"/>
      <c r="BY34" s="848" t="s">
        <v>466</v>
      </c>
      <c r="BZ34" s="435">
        <f>$E31*BZ10</f>
        <v>1338.263673064668</v>
      </c>
      <c r="CA34" s="435">
        <f t="shared" ref="CA34:CP34" si="63">$E31*CA10</f>
        <v>1026.6291729822747</v>
      </c>
      <c r="CB34" s="435">
        <f t="shared" si="63"/>
        <v>1237.8272528573907</v>
      </c>
      <c r="CC34" s="435">
        <f t="shared" si="63"/>
        <v>1237.8272528573907</v>
      </c>
      <c r="CD34" s="435">
        <f t="shared" si="63"/>
        <v>769.43684460102236</v>
      </c>
      <c r="CE34" s="435">
        <f t="shared" si="63"/>
        <v>2133.3071115278822</v>
      </c>
      <c r="CF34" s="435">
        <f t="shared" si="63"/>
        <v>1664.9167032715143</v>
      </c>
      <c r="CG34" s="435">
        <f t="shared" si="63"/>
        <v>1795.3901837276965</v>
      </c>
      <c r="CH34" s="435">
        <f t="shared" si="63"/>
        <v>2008.5474308575472</v>
      </c>
      <c r="CI34" s="435">
        <f t="shared" si="63"/>
        <v>3366.7038979985596</v>
      </c>
      <c r="CJ34" s="435">
        <f t="shared" si="63"/>
        <v>802.28987924826276</v>
      </c>
      <c r="CK34" s="435">
        <f t="shared" si="63"/>
        <v>1250.0298085835084</v>
      </c>
      <c r="CL34" s="435">
        <f t="shared" si="63"/>
        <v>2656.1396914853913</v>
      </c>
      <c r="CM34" s="435">
        <f t="shared" si="63"/>
        <v>2560.3965619420055</v>
      </c>
      <c r="CN34" s="435">
        <f t="shared" si="63"/>
        <v>1297.9013733552013</v>
      </c>
      <c r="CO34" s="435">
        <f t="shared" si="63"/>
        <v>2622.3479987053729</v>
      </c>
      <c r="CP34" s="889">
        <f t="shared" si="63"/>
        <v>1410.5403492885964</v>
      </c>
      <c r="CQ34" s="888"/>
      <c r="CR34" s="888"/>
      <c r="CS34" s="888"/>
      <c r="CT34" s="420"/>
      <c r="CU34" s="420"/>
      <c r="CV34" s="420"/>
      <c r="CW34" s="420"/>
      <c r="CX34" s="848" t="s">
        <v>466</v>
      </c>
      <c r="CY34" s="435">
        <f>$F31*CY10</f>
        <v>1283.1547005249072</v>
      </c>
      <c r="CZ34" s="435">
        <f t="shared" ref="CZ34:DO34" si="64">$F31*CZ10</f>
        <v>978.71585839139289</v>
      </c>
      <c r="DA34" s="435">
        <f t="shared" si="64"/>
        <v>1185.0373628493467</v>
      </c>
      <c r="DB34" s="435">
        <f t="shared" si="64"/>
        <v>1185.0373628493467</v>
      </c>
      <c r="DC34" s="435">
        <f t="shared" si="64"/>
        <v>727.46211518481789</v>
      </c>
      <c r="DD34" s="435">
        <f t="shared" si="64"/>
        <v>2059.8405417510712</v>
      </c>
      <c r="DE34" s="435">
        <f t="shared" si="64"/>
        <v>1602.2652940865426</v>
      </c>
      <c r="DF34" s="435">
        <f t="shared" si="64"/>
        <v>1729.726134618345</v>
      </c>
      <c r="DG34" s="435">
        <f t="shared" si="64"/>
        <v>1937.9615690500973</v>
      </c>
      <c r="DH34" s="435">
        <f t="shared" si="64"/>
        <v>3264.758127785522</v>
      </c>
      <c r="DI34" s="435">
        <f t="shared" si="64"/>
        <v>759.55657143383291</v>
      </c>
      <c r="DJ34" s="435">
        <f t="shared" si="64"/>
        <v>1196.9581608846952</v>
      </c>
      <c r="DK34" s="435">
        <f t="shared" si="64"/>
        <v>2570.6008883425397</v>
      </c>
      <c r="DL34" s="435">
        <f t="shared" si="64"/>
        <v>2477.0684729882669</v>
      </c>
      <c r="DM34" s="435">
        <f t="shared" si="64"/>
        <v>1243.7243685618314</v>
      </c>
      <c r="DN34" s="435">
        <f t="shared" si="64"/>
        <v>2537.5894476292669</v>
      </c>
      <c r="DO34" s="889">
        <f t="shared" si="64"/>
        <v>1353.7625042727402</v>
      </c>
      <c r="DP34" s="888"/>
      <c r="DQ34" s="888"/>
      <c r="DR34" s="587"/>
    </row>
    <row r="35" spans="1:122">
      <c r="A35" s="99" t="s">
        <v>467</v>
      </c>
      <c r="B35" s="373">
        <f>$B81*B6</f>
        <v>419999.99999999994</v>
      </c>
      <c r="C35" s="373">
        <f t="shared" ref="C35:F35" si="65">$B81*C6</f>
        <v>339499.99999999994</v>
      </c>
      <c r="D35" s="577">
        <f t="shared" si="65"/>
        <v>140000</v>
      </c>
      <c r="E35" s="373">
        <f t="shared" si="65"/>
        <v>829499.99999999988</v>
      </c>
      <c r="F35" s="373">
        <f t="shared" si="65"/>
        <v>678999.99999999988</v>
      </c>
      <c r="G35" s="214"/>
      <c r="H35" s="214"/>
      <c r="I35" s="22" t="s">
        <v>468</v>
      </c>
      <c r="J35" s="432" t="s">
        <v>59</v>
      </c>
      <c r="K35" s="433" t="e">
        <f>IF(Profitability!AQ151&gt;=(#REF!/1000),(750*0.00007)*#REF!,(750*0.00007)*Profitability!AQ151*1000)</f>
        <v>#REF!</v>
      </c>
      <c r="L35" s="433" t="e">
        <f>IF(Profitability!AR151&gt;=(#REF!/1000),(750*0.00007)*#REF!,(750*0.00007)*Profitability!AR151*1000)</f>
        <v>#REF!</v>
      </c>
      <c r="M35" s="433" t="e">
        <f>IF(Profitability!AS151&gt;=(#REF!/1000),(750*0.00007)*#REF!,(750*0.00007)*Profitability!AS151*1000)</f>
        <v>#REF!</v>
      </c>
      <c r="N35" s="433" t="e">
        <f>IF(Profitability!AT151&gt;=(#REF!/1000),(750*0.00007)*#REF!,(750*0.00007)*Profitability!AT151*1000)</f>
        <v>#REF!</v>
      </c>
      <c r="O35" s="433" t="e">
        <f>IF(Profitability!AU151&gt;=(#REF!/1000),(750*0.00007)*#REF!,(750*0.00007)*Profitability!AU151*1000)</f>
        <v>#REF!</v>
      </c>
      <c r="P35" s="433" t="e">
        <f>IF(Profitability!BG151&gt;=(#REF!/1000),(750*0.00007)*#REF!,(750*0.00007)*Profitability!BG151*1000)</f>
        <v>#REF!</v>
      </c>
      <c r="Q35" s="433" t="e">
        <f>IF(Profitability!BH151&gt;=(#REF!/1000),(750*0.00007)*#REF!,(750*0.00007)*Profitability!BH151*1000)</f>
        <v>#REF!</v>
      </c>
      <c r="R35" s="433" t="e">
        <f>IF(Profitability!BI151&gt;=(#REF!/1000),(750*0.00007)*#REF!,(750*0.00007)*Profitability!BI151*1000)</f>
        <v>#REF!</v>
      </c>
      <c r="S35" s="433" t="e">
        <f>IF(Profitability!BJ151&gt;=(#REF!/1000),(750*0.00007)*#REF!,(750*0.00007)*Profitability!BJ151*1000)</f>
        <v>#REF!</v>
      </c>
      <c r="T35" s="433" t="e">
        <f>IF(Profitability!BK151&gt;=(#REF!/1000),(750*0.00007)*#REF!,(750*0.00007)*Profitability!BK151*1000)</f>
        <v>#REF!</v>
      </c>
      <c r="U35" s="433" t="e">
        <f>IF(Profitability!BL151&gt;=(#REF!/1000),(750*0.00007)*#REF!,(750*0.00007)*Profitability!BL151*1000)</f>
        <v>#REF!</v>
      </c>
      <c r="V35" s="433" t="e">
        <f>IF(Profitability!BM151&gt;=(#REF!/1000),(750*0.00007)*#REF!,(750*0.00007)*Profitability!BM151*1000)</f>
        <v>#REF!</v>
      </c>
      <c r="W35" s="433" t="e">
        <f>IF(Profitability!BN151&gt;=(#REF!/1000),(750*0.00007)*#REF!,(750*0.00007)*Profitability!BN151*1000)</f>
        <v>#REF!</v>
      </c>
      <c r="X35" s="433" t="e">
        <f>IF(Profitability!BO151&gt;=(#REF!/1000),(750*0.00007)*#REF!,(750*0.00007)*Profitability!BO151*1000)</f>
        <v>#REF!</v>
      </c>
      <c r="Y35" s="439" t="e">
        <f>IF(Profitability!BP151&gt;=(#REF!/1000),(750*0.00007)*#REF!,(750*0.00007)*Profitability!BP151*1000)</f>
        <v>#REF!</v>
      </c>
      <c r="AC35" s="743" t="s">
        <v>469</v>
      </c>
      <c r="AD35" s="817" t="e">
        <f>'[3]Crew Accomodation'!$G$2/($BA13*5)</f>
        <v>#REF!</v>
      </c>
      <c r="AE35" s="817" t="e">
        <f>'[3]Crew Accomodation'!$G$2/($BA13*5)</f>
        <v>#REF!</v>
      </c>
      <c r="AF35" s="817" t="e">
        <f>'[3]Crew Accomodation'!$G$2/($BA13*5)</f>
        <v>#REF!</v>
      </c>
      <c r="AG35" s="817" t="e">
        <f>'[3]Crew Accomodation'!$G$2/($BA13*5)</f>
        <v>#REF!</v>
      </c>
      <c r="AH35" s="817" t="e">
        <f>'[3]Crew Accomodation'!$G$2/($BA13*5)</f>
        <v>#REF!</v>
      </c>
      <c r="AI35" s="817" t="e">
        <f>'[3]Crew Accomodation'!$K$13/($BF13*4)</f>
        <v>#REF!</v>
      </c>
      <c r="AJ35" s="817" t="e">
        <f>'[3]Crew Accomodation'!$K$13/($BF13*4)</f>
        <v>#REF!</v>
      </c>
      <c r="AK35" s="817" t="e">
        <f>'[3]Crew Accomodation'!$K$13/($BF13*4)</f>
        <v>#REF!</v>
      </c>
      <c r="AL35" s="817" t="e">
        <f>'[3]Crew Accomodation'!$K$13/($BF13*4)</f>
        <v>#REF!</v>
      </c>
      <c r="AM35" s="817" t="e">
        <f>'[3]Crew Accomodation'!$L$13/($BJ13*4)</f>
        <v>#REF!</v>
      </c>
      <c r="AN35" s="817" t="e">
        <f>'[3]Crew Accomodation'!$L$13/($BJ13*4)</f>
        <v>#REF!</v>
      </c>
      <c r="AO35" s="817" t="e">
        <f>'[3]Crew Accomodation'!$L$13/($BJ13*4)</f>
        <v>#REF!</v>
      </c>
      <c r="AP35" s="817" t="e">
        <f>'[3]Crew Accomodation'!$L$13/($BJ13*4)</f>
        <v>#REF!</v>
      </c>
      <c r="AQ35" s="817" t="e">
        <f>'[3]Crew Accomodation'!$F$15/($BN13*4)</f>
        <v>#REF!</v>
      </c>
      <c r="AR35" s="817" t="e">
        <f>'[3]Crew Accomodation'!$F$15/($BN13*4)</f>
        <v>#REF!</v>
      </c>
      <c r="AS35" s="817" t="e">
        <f>'[3]Crew Accomodation'!$F$15/($BN13*4)</f>
        <v>#REF!</v>
      </c>
      <c r="AT35" s="817" t="e">
        <f>'[3]Crew Accomodation'!$F$15/($BN13*4)</f>
        <v>#REF!</v>
      </c>
      <c r="AZ35" s="743" t="s">
        <v>469</v>
      </c>
      <c r="BA35" s="817" t="e">
        <f>'[3]Crew Accomodation'!$G$2/($BA13*5)</f>
        <v>#REF!</v>
      </c>
      <c r="BB35" s="817" t="e">
        <f>'[3]Crew Accomodation'!$G$2/($BA13*5)</f>
        <v>#REF!</v>
      </c>
      <c r="BC35" s="817" t="e">
        <f>'[3]Crew Accomodation'!$G$2/($BA13*5)</f>
        <v>#REF!</v>
      </c>
      <c r="BD35" s="817" t="e">
        <f>'[3]Crew Accomodation'!$G$2/($BA13*5)</f>
        <v>#REF!</v>
      </c>
      <c r="BE35" s="817" t="e">
        <f>'[3]Crew Accomodation'!$G$2/($BA13*5)</f>
        <v>#REF!</v>
      </c>
      <c r="BF35" s="817" t="e">
        <f>'[3]Crew Accomodation'!$K$13/($BF13*4)</f>
        <v>#REF!</v>
      </c>
      <c r="BG35" s="817" t="e">
        <f>'[3]Crew Accomodation'!$K$13/($BF13*4)</f>
        <v>#REF!</v>
      </c>
      <c r="BH35" s="817" t="e">
        <f>'[3]Crew Accomodation'!$K$13/($BF13*4)</f>
        <v>#REF!</v>
      </c>
      <c r="BI35" s="817" t="e">
        <f>'[3]Crew Accomodation'!$K$13/($BF13*4)</f>
        <v>#REF!</v>
      </c>
      <c r="BJ35" s="817" t="e">
        <f>'[3]Crew Accomodation'!$L$13/($BJ13*4)</f>
        <v>#REF!</v>
      </c>
      <c r="BK35" s="817" t="e">
        <f>'[3]Crew Accomodation'!$L$13/($BJ13*4)</f>
        <v>#REF!</v>
      </c>
      <c r="BL35" s="817" t="e">
        <f>'[3]Crew Accomodation'!$L$13/($BJ13*4)</f>
        <v>#REF!</v>
      </c>
      <c r="BM35" s="817" t="e">
        <f>'[3]Crew Accomodation'!$L$13/($BJ13*4)</f>
        <v>#REF!</v>
      </c>
      <c r="BN35" s="817" t="e">
        <f>'[3]Crew Accomodation'!$F$15/($BN13*4)</f>
        <v>#REF!</v>
      </c>
      <c r="BO35" s="817" t="e">
        <f>'[3]Crew Accomodation'!$F$15/($BN13*4)</f>
        <v>#REF!</v>
      </c>
      <c r="BP35" s="817" t="e">
        <f>'[3]Crew Accomodation'!$F$15/($BN13*4)</f>
        <v>#REF!</v>
      </c>
      <c r="BQ35" s="817" t="e">
        <f>'[3]Crew Accomodation'!$F$15/($BN13*4)</f>
        <v>#REF!</v>
      </c>
      <c r="BR35" s="585"/>
      <c r="BS35" s="585"/>
      <c r="BT35" s="585"/>
      <c r="BV35" s="420"/>
      <c r="BW35" s="420"/>
      <c r="BX35" s="420"/>
      <c r="BY35" s="848"/>
      <c r="BZ35" s="879"/>
      <c r="CA35" s="879"/>
      <c r="CB35" s="879"/>
      <c r="CC35" s="879"/>
      <c r="CD35" s="879"/>
      <c r="CE35" s="879"/>
      <c r="CF35" s="879"/>
      <c r="CG35" s="879"/>
      <c r="CH35" s="879"/>
      <c r="CI35" s="879"/>
      <c r="CJ35" s="879"/>
      <c r="CK35" s="879"/>
      <c r="CL35" s="879"/>
      <c r="CM35" s="879"/>
      <c r="CN35" s="896"/>
      <c r="CO35" s="896"/>
      <c r="CP35" s="880"/>
      <c r="CQ35" s="419"/>
      <c r="CR35" s="419"/>
      <c r="CS35" s="419"/>
      <c r="CT35" s="420"/>
      <c r="CU35" s="420"/>
      <c r="CV35" s="420"/>
      <c r="CW35" s="420"/>
      <c r="CX35" s="848"/>
      <c r="CY35" s="879"/>
      <c r="CZ35" s="879"/>
      <c r="DA35" s="879"/>
      <c r="DB35" s="879"/>
      <c r="DC35" s="879"/>
      <c r="DD35" s="879"/>
      <c r="DE35" s="879"/>
      <c r="DF35" s="879"/>
      <c r="DG35" s="879"/>
      <c r="DH35" s="879"/>
      <c r="DI35" s="879"/>
      <c r="DJ35" s="879"/>
      <c r="DK35" s="879"/>
      <c r="DL35" s="879"/>
      <c r="DM35" s="896"/>
      <c r="DN35" s="896"/>
      <c r="DO35" s="880"/>
      <c r="DP35" s="419"/>
      <c r="DQ35" s="419"/>
      <c r="DR35" s="29"/>
    </row>
    <row r="36" spans="1:122" ht="13.9" thickBot="1">
      <c r="A36" s="98"/>
      <c r="B36" s="15"/>
      <c r="C36" s="16"/>
      <c r="D36" s="490"/>
      <c r="E36" s="227"/>
      <c r="F36" s="240"/>
      <c r="G36" s="211"/>
      <c r="H36" s="211"/>
      <c r="J36" s="432"/>
      <c r="K36" s="433"/>
      <c r="L36" s="433"/>
      <c r="M36" s="433"/>
      <c r="N36" s="440"/>
      <c r="O36" s="440"/>
      <c r="P36" s="440"/>
      <c r="Q36" s="440"/>
      <c r="R36" s="441"/>
      <c r="S36" s="442"/>
      <c r="T36" s="442"/>
      <c r="U36" s="442"/>
      <c r="V36" s="442"/>
      <c r="W36" s="442"/>
      <c r="X36" s="442"/>
      <c r="Y36" s="443"/>
      <c r="AC36" s="1123" t="s">
        <v>470</v>
      </c>
      <c r="AD36" s="818">
        <f>$B75/($AD13*13)</f>
        <v>1.0773540185304891</v>
      </c>
      <c r="AE36" s="818">
        <f t="shared" ref="AE36:AH36" si="66">$B75/($AD13*13)</f>
        <v>1.0773540185304891</v>
      </c>
      <c r="AF36" s="818">
        <f t="shared" si="66"/>
        <v>1.0773540185304891</v>
      </c>
      <c r="AG36" s="818">
        <f>$B75/($AD13*13)</f>
        <v>1.0773540185304891</v>
      </c>
      <c r="AH36" s="818">
        <f t="shared" si="66"/>
        <v>1.0773540185304891</v>
      </c>
      <c r="AI36" s="818">
        <f>$B76/($AD13*13)</f>
        <v>0.64641241111829351</v>
      </c>
      <c r="AJ36" s="818">
        <f t="shared" ref="AJ36:AL36" si="67">$B76/($AD13*13)</f>
        <v>0.64641241111829351</v>
      </c>
      <c r="AK36" s="818">
        <f t="shared" si="67"/>
        <v>0.64641241111829351</v>
      </c>
      <c r="AL36" s="818">
        <f t="shared" si="67"/>
        <v>0.64641241111829351</v>
      </c>
      <c r="AM36" s="818">
        <f>$B75/($AD13*13)</f>
        <v>1.0773540185304891</v>
      </c>
      <c r="AN36" s="818">
        <f t="shared" ref="AN36:AP36" si="68">$B75/($AD13*13)</f>
        <v>1.0773540185304891</v>
      </c>
      <c r="AO36" s="818">
        <f t="shared" si="68"/>
        <v>1.0773540185304891</v>
      </c>
      <c r="AP36" s="818">
        <f t="shared" si="68"/>
        <v>1.0773540185304891</v>
      </c>
      <c r="AQ36" s="818">
        <f>$B75/($AD13*13)</f>
        <v>1.0773540185304891</v>
      </c>
      <c r="AR36" s="818">
        <f t="shared" ref="AR36:AT36" si="69">$B75/($AD13*13)</f>
        <v>1.0773540185304891</v>
      </c>
      <c r="AS36" s="818">
        <f t="shared" si="69"/>
        <v>1.0773540185304891</v>
      </c>
      <c r="AT36" s="818">
        <f t="shared" si="69"/>
        <v>1.0773540185304891</v>
      </c>
      <c r="AZ36" s="1123" t="s">
        <v>470</v>
      </c>
      <c r="BA36" s="818">
        <f>$B75/($BA13*13)</f>
        <v>1.0773540185304891</v>
      </c>
      <c r="BB36" s="818">
        <f t="shared" ref="BB36:BE36" si="70">$B75/($BA13*13)</f>
        <v>1.0773540185304891</v>
      </c>
      <c r="BC36" s="818">
        <f t="shared" si="70"/>
        <v>1.0773540185304891</v>
      </c>
      <c r="BD36" s="818">
        <f t="shared" si="70"/>
        <v>1.0773540185304891</v>
      </c>
      <c r="BE36" s="818">
        <f t="shared" si="70"/>
        <v>1.0773540185304891</v>
      </c>
      <c r="BF36" s="818">
        <f>$B76/($BF13*13)</f>
        <v>0.65559440559440563</v>
      </c>
      <c r="BG36" s="818">
        <f t="shared" ref="BG36:BI36" si="71">$B76/($BF13*13)</f>
        <v>0.65559440559440563</v>
      </c>
      <c r="BH36" s="818">
        <f t="shared" si="71"/>
        <v>0.65559440559440563</v>
      </c>
      <c r="BI36" s="818">
        <f t="shared" si="71"/>
        <v>0.65559440559440563</v>
      </c>
      <c r="BJ36" s="818">
        <f>$B75/($AD13*13)</f>
        <v>1.0773540185304891</v>
      </c>
      <c r="BK36" s="818">
        <f t="shared" ref="BK36:BM36" si="72">$B75/($AD13*13)</f>
        <v>1.0773540185304891</v>
      </c>
      <c r="BL36" s="818">
        <f t="shared" si="72"/>
        <v>1.0773540185304891</v>
      </c>
      <c r="BM36" s="818">
        <f t="shared" si="72"/>
        <v>1.0773540185304891</v>
      </c>
      <c r="BN36" s="818">
        <f>$B75/($AD13*13)</f>
        <v>1.0773540185304891</v>
      </c>
      <c r="BO36" s="818">
        <f t="shared" ref="BO36:BQ36" si="73">$B75/($AD13*13)</f>
        <v>1.0773540185304891</v>
      </c>
      <c r="BP36" s="818">
        <f t="shared" si="73"/>
        <v>1.0773540185304891</v>
      </c>
      <c r="BQ36" s="818">
        <f t="shared" si="73"/>
        <v>1.0773540185304891</v>
      </c>
      <c r="BR36" s="585"/>
      <c r="BS36" s="585"/>
      <c r="BT36" s="585"/>
      <c r="BV36" s="420"/>
      <c r="BW36" s="420"/>
      <c r="BX36" s="420"/>
      <c r="BY36" s="850"/>
      <c r="BZ36" s="879"/>
      <c r="CA36" s="879"/>
      <c r="CB36" s="879"/>
      <c r="CC36" s="879"/>
      <c r="CD36" s="879"/>
      <c r="CE36" s="879"/>
      <c r="CF36" s="879"/>
      <c r="CG36" s="879"/>
      <c r="CH36" s="879"/>
      <c r="CI36" s="879"/>
      <c r="CJ36" s="879"/>
      <c r="CK36" s="879"/>
      <c r="CL36" s="879"/>
      <c r="CM36" s="879"/>
      <c r="CN36" s="879"/>
      <c r="CO36" s="879"/>
      <c r="CP36" s="880"/>
      <c r="CQ36" s="419"/>
      <c r="CR36" s="419"/>
      <c r="CS36" s="419"/>
      <c r="CT36" s="420"/>
      <c r="CU36" s="420"/>
      <c r="CV36" s="420"/>
      <c r="CW36" s="420"/>
      <c r="CX36" s="850"/>
      <c r="CY36" s="879"/>
      <c r="CZ36" s="879"/>
      <c r="DA36" s="879"/>
      <c r="DB36" s="879"/>
      <c r="DC36" s="879"/>
      <c r="DD36" s="879"/>
      <c r="DE36" s="879"/>
      <c r="DF36" s="879"/>
      <c r="DG36" s="879"/>
      <c r="DH36" s="879"/>
      <c r="DI36" s="879"/>
      <c r="DJ36" s="879"/>
      <c r="DK36" s="879"/>
      <c r="DL36" s="879"/>
      <c r="DM36" s="879"/>
      <c r="DN36" s="879"/>
      <c r="DO36" s="880"/>
      <c r="DP36" s="419"/>
      <c r="DQ36" s="419"/>
      <c r="DR36" s="29"/>
    </row>
    <row r="37" spans="1:122" ht="13.9" thickBot="1">
      <c r="A37" s="98"/>
      <c r="B37" s="15"/>
      <c r="C37" s="15"/>
      <c r="D37" s="489"/>
      <c r="E37" s="227"/>
      <c r="F37" s="240"/>
      <c r="G37" s="211"/>
      <c r="H37" s="211"/>
      <c r="J37" s="432"/>
      <c r="K37" s="433"/>
      <c r="L37" s="433"/>
      <c r="M37" s="433"/>
      <c r="N37" s="440"/>
      <c r="O37" s="440"/>
      <c r="P37" s="440"/>
      <c r="Q37" s="440"/>
      <c r="R37" s="441"/>
      <c r="S37" s="442"/>
      <c r="T37" s="442"/>
      <c r="U37" s="442"/>
      <c r="V37" s="442"/>
      <c r="W37" s="442"/>
      <c r="X37" s="442"/>
      <c r="Y37" s="443"/>
      <c r="AC37" s="1210" t="s">
        <v>471</v>
      </c>
      <c r="AD37" s="1211"/>
      <c r="AE37" s="1211"/>
      <c r="AF37" s="1211"/>
      <c r="AG37" s="1211"/>
      <c r="AH37" s="1211"/>
      <c r="AI37" s="1211"/>
      <c r="AJ37" s="1211"/>
      <c r="AK37" s="1211"/>
      <c r="AL37" s="1211"/>
      <c r="AM37" s="1211"/>
      <c r="AN37" s="1211"/>
      <c r="AO37" s="1211"/>
      <c r="AP37" s="1211"/>
      <c r="AQ37" s="1211"/>
      <c r="AR37" s="1211"/>
      <c r="AS37" s="1211"/>
      <c r="AT37" s="1212"/>
      <c r="AY37" s="585"/>
      <c r="AZ37" s="1210" t="s">
        <v>471</v>
      </c>
      <c r="BA37" s="1211"/>
      <c r="BB37" s="1211"/>
      <c r="BC37" s="1211"/>
      <c r="BD37" s="1211"/>
      <c r="BE37" s="1211"/>
      <c r="BF37" s="1211"/>
      <c r="BG37" s="1211"/>
      <c r="BH37" s="1211"/>
      <c r="BI37" s="1211"/>
      <c r="BJ37" s="1211"/>
      <c r="BK37" s="1211"/>
      <c r="BL37" s="1211"/>
      <c r="BM37" s="1211"/>
      <c r="BN37" s="1211"/>
      <c r="BO37" s="1211"/>
      <c r="BP37" s="1211"/>
      <c r="BQ37" s="1212"/>
      <c r="BR37" s="575"/>
      <c r="BS37" s="575"/>
      <c r="BT37" s="575"/>
      <c r="BV37" s="420"/>
      <c r="BW37" s="420"/>
      <c r="BX37" s="420"/>
      <c r="BY37" s="1434" t="s">
        <v>471</v>
      </c>
      <c r="BZ37" s="1435"/>
      <c r="CA37" s="1435"/>
      <c r="CB37" s="1435"/>
      <c r="CC37" s="1435"/>
      <c r="CD37" s="1435"/>
      <c r="CE37" s="1435"/>
      <c r="CF37" s="1435"/>
      <c r="CG37" s="1435"/>
      <c r="CH37" s="1435"/>
      <c r="CI37" s="1435"/>
      <c r="CJ37" s="1435"/>
      <c r="CK37" s="1435"/>
      <c r="CL37" s="1435"/>
      <c r="CM37" s="1435"/>
      <c r="CN37" s="1435"/>
      <c r="CO37" s="1435"/>
      <c r="CP37" s="1436"/>
      <c r="CQ37" s="893"/>
      <c r="CR37" s="893"/>
      <c r="CS37" s="893"/>
      <c r="CT37" s="420"/>
      <c r="CU37" s="420"/>
      <c r="CV37" s="420"/>
      <c r="CW37" s="420"/>
      <c r="CX37" s="1437" t="s">
        <v>471</v>
      </c>
      <c r="CY37" s="1438"/>
      <c r="CZ37" s="1438"/>
      <c r="DA37" s="1438"/>
      <c r="DB37" s="1438"/>
      <c r="DC37" s="1438"/>
      <c r="DD37" s="1438"/>
      <c r="DE37" s="1438"/>
      <c r="DF37" s="1438"/>
      <c r="DG37" s="1438"/>
      <c r="DH37" s="1438"/>
      <c r="DI37" s="1438"/>
      <c r="DJ37" s="1438"/>
      <c r="DK37" s="1438"/>
      <c r="DL37" s="1438"/>
      <c r="DM37" s="1438"/>
      <c r="DN37" s="1438"/>
      <c r="DO37" s="1439"/>
      <c r="DP37" s="893"/>
      <c r="DQ37" s="893"/>
      <c r="DR37" s="575"/>
    </row>
    <row r="38" spans="1:122" ht="13.9" thickBot="1">
      <c r="A38" s="389" t="s">
        <v>204</v>
      </c>
      <c r="B38" s="390">
        <v>2</v>
      </c>
      <c r="C38" s="390">
        <v>3</v>
      </c>
      <c r="D38" s="489">
        <v>5</v>
      </c>
      <c r="E38" s="391">
        <v>5</v>
      </c>
      <c r="F38" s="392">
        <v>5</v>
      </c>
      <c r="G38" s="211"/>
      <c r="H38" s="211"/>
      <c r="J38" s="1414" t="s">
        <v>471</v>
      </c>
      <c r="K38" s="1415"/>
      <c r="L38" s="1415"/>
      <c r="M38" s="1415"/>
      <c r="N38" s="1415"/>
      <c r="O38" s="1415"/>
      <c r="P38" s="1415"/>
      <c r="Q38" s="1415"/>
      <c r="R38" s="1415"/>
      <c r="S38" s="1415"/>
      <c r="T38" s="1415"/>
      <c r="U38" s="1415"/>
      <c r="V38" s="1415"/>
      <c r="W38" s="1415"/>
      <c r="X38" s="1415"/>
      <c r="Y38" s="1416"/>
      <c r="AA38" s="564"/>
      <c r="AC38" s="745" t="s">
        <v>472</v>
      </c>
      <c r="AD38" s="820">
        <f>($B2*2-($B8*12))*AD10/$BA$12</f>
        <v>0</v>
      </c>
      <c r="AE38" s="820">
        <f>($B2*2-($B8*12))*AE10/$BA$12</f>
        <v>0</v>
      </c>
      <c r="AF38" s="820">
        <f>($B2*2-($B8*12))*AF10/$BA$12</f>
        <v>0</v>
      </c>
      <c r="AG38" s="820">
        <f>($B2*2-($B8*12))*AG10/$BA$12</f>
        <v>0</v>
      </c>
      <c r="AH38" s="820">
        <f>($B2*2-($B8*12))*AH10/$BA$12</f>
        <v>0</v>
      </c>
      <c r="AI38" s="825">
        <f>($B2*2-($B8*12))*AI10/$BF$12</f>
        <v>0</v>
      </c>
      <c r="AJ38" s="825">
        <f>($B2*2-($B8*12))*AJ10/$BF$12</f>
        <v>0</v>
      </c>
      <c r="AK38" s="825">
        <f>($B2*2-($B8*12))*AK10/$BF$12</f>
        <v>0</v>
      </c>
      <c r="AL38" s="825">
        <f>($B2*2-($B8*12))*AL10/$BF$12</f>
        <v>0</v>
      </c>
      <c r="AM38" s="820">
        <f>($B2*2-($B8*12))*AM10/$BJ$12</f>
        <v>0</v>
      </c>
      <c r="AN38" s="820">
        <f>($B2*2-($B8*12))*AN10/$BJ$12</f>
        <v>0</v>
      </c>
      <c r="AO38" s="820">
        <f>($B2*2-($B8*12))*AO10/$BJ$12</f>
        <v>0</v>
      </c>
      <c r="AP38" s="820">
        <f>($B2*2-($B8*12))*AP10/$BJ$12</f>
        <v>0</v>
      </c>
      <c r="AQ38" s="832">
        <f>($B2*2-($B8*12))*AQ10/$BN$12</f>
        <v>0</v>
      </c>
      <c r="AR38" s="832">
        <f>($B2*2-($B8*12))*AR10/$BN$12</f>
        <v>0</v>
      </c>
      <c r="AS38" s="832">
        <f>($B2*2-($B8*12))*AS10/$BN$12</f>
        <v>0</v>
      </c>
      <c r="AT38" s="833">
        <f>($B2*2-($B8*12))*AT10/$BN$12</f>
        <v>0</v>
      </c>
      <c r="AU38" s="22" t="s">
        <v>437</v>
      </c>
      <c r="AW38" s="22" t="s">
        <v>439</v>
      </c>
      <c r="AY38" s="585"/>
      <c r="AZ38" s="745" t="s">
        <v>472</v>
      </c>
      <c r="BA38" s="820">
        <f>($B2*2-($B8*12))*BA10/$BA$12</f>
        <v>0</v>
      </c>
      <c r="BB38" s="820">
        <f>($B2*2-($B8*12))*BB10/$BA$12</f>
        <v>0</v>
      </c>
      <c r="BC38" s="820">
        <f>($B2*2-($B8*12))*BC10/$BA$12</f>
        <v>0</v>
      </c>
      <c r="BD38" s="820">
        <f>($B2*2-($B8*12))*BD10/$BA$12</f>
        <v>0</v>
      </c>
      <c r="BE38" s="820">
        <f>($B2*2-($B8*12))*BE10/$BA$12</f>
        <v>0</v>
      </c>
      <c r="BF38" s="825">
        <f>($B2*2-($B8*12))*BF10/$BF$12</f>
        <v>0</v>
      </c>
      <c r="BG38" s="825">
        <f>($B2*2-($B8*12))*BG10/$BF$12</f>
        <v>0</v>
      </c>
      <c r="BH38" s="825">
        <f>($B2*2-($B8*12))*BH10/$BF$12</f>
        <v>0</v>
      </c>
      <c r="BI38" s="825">
        <f>($B2*2-($B8*12))*BI10/$BF$12</f>
        <v>0</v>
      </c>
      <c r="BJ38" s="820">
        <f>($B2*2-($B8*12))*BJ10/$BJ$12</f>
        <v>0</v>
      </c>
      <c r="BK38" s="820">
        <f>($B2*2-($B8*12))*BK10/$BJ$12</f>
        <v>0</v>
      </c>
      <c r="BL38" s="820">
        <f>($B2*2-($B8*12))*BL10/$BJ$12</f>
        <v>0</v>
      </c>
      <c r="BM38" s="820">
        <f>($B2*2-($B8*12))*BM10/$BJ$12</f>
        <v>0</v>
      </c>
      <c r="BN38" s="832">
        <f>($B2*2-($B8*12))*BN10/$BN$12</f>
        <v>0</v>
      </c>
      <c r="BO38" s="832">
        <f>($B2*2-($B8*12))*BO10/$BN$12</f>
        <v>0</v>
      </c>
      <c r="BP38" s="832">
        <f>($B2*2-($B8*12))*BP10/$BN$12</f>
        <v>0</v>
      </c>
      <c r="BQ38" s="833">
        <f>($B2*2-($B8*12))*BQ10/$BN$12</f>
        <v>0</v>
      </c>
      <c r="BR38" s="585"/>
      <c r="BS38" s="585"/>
      <c r="BT38" s="585"/>
      <c r="BV38" s="420"/>
      <c r="BW38" s="420"/>
      <c r="BX38" s="420"/>
      <c r="BY38" s="847" t="s">
        <v>472</v>
      </c>
      <c r="BZ38" s="897">
        <f>($E2*2-($E8*12))*BZ10/$BZ$12</f>
        <v>3662.0719798978121</v>
      </c>
      <c r="CA38" s="897">
        <f>($E2*2-($E8*12))*CA10/$BZ$12</f>
        <v>2809.3043275354457</v>
      </c>
      <c r="CB38" s="897">
        <f>($E2*2-($E8*12))*CB10/$BZ$12</f>
        <v>3387.2342124195798</v>
      </c>
      <c r="CC38" s="897">
        <f>($E2*2-($E8*12))*CC10/$BZ$12</f>
        <v>3387.2342124195798</v>
      </c>
      <c r="CD38" s="897">
        <f>($E2*2-($E8*12))*CD10/$BZ$12</f>
        <v>2105.5141566098773</v>
      </c>
      <c r="CE38" s="897">
        <f>($E2*2-($E8*12))*CE10/$CE$12</f>
        <v>4307.8752527779807</v>
      </c>
      <c r="CF38" s="897">
        <f>($E2*2-($E8*12))*CF10/$CE$12</f>
        <v>3362.0351355896723</v>
      </c>
      <c r="CG38" s="897">
        <f>($E2*2-($E8*12))*CG10/$CE$12</f>
        <v>3625.5056291551527</v>
      </c>
      <c r="CH38" s="897">
        <f>($E2*2-($E8*12))*CH10/$CE$12</f>
        <v>4055.9428713594912</v>
      </c>
      <c r="CI38" s="897">
        <f>($E2*2-($E8*12))*CI10/$CI$12</f>
        <v>6400.3015215755549</v>
      </c>
      <c r="CJ38" s="897">
        <f>($E2*2-($E8*12))*CJ10/$CI$12</f>
        <v>1525.2001038612041</v>
      </c>
      <c r="CK38" s="897">
        <f>($E2*2-($E8*12))*CK10/$CI$12</f>
        <v>2376.3799633962499</v>
      </c>
      <c r="CL38" s="897">
        <f>($E2*2-($E8*12))*CL10/$CI$12</f>
        <v>5049.4773000492869</v>
      </c>
      <c r="CM38" s="897">
        <f>($E2*2-($E8*12))*CM10/$CM$12</f>
        <v>4980.9452101590614</v>
      </c>
      <c r="CN38" s="897">
        <f>($E2*2-($E8*12))*CN10/$CM$12</f>
        <v>2524.9118534861122</v>
      </c>
      <c r="CO38" s="897">
        <f>($E2*2-($E8*12))*CO10/$CM$12</f>
        <v>5101.4643191110436</v>
      </c>
      <c r="CP38" s="897">
        <f>($E2*2-($E8*12))*CP10/$CM$12</f>
        <v>2744.0375061260779</v>
      </c>
      <c r="CQ38" s="898"/>
      <c r="CR38" s="898"/>
      <c r="CS38" s="898"/>
      <c r="CT38" s="420"/>
      <c r="CU38" s="420"/>
      <c r="CV38" s="420"/>
      <c r="CW38" s="420"/>
      <c r="CX38" s="850" t="s">
        <v>472</v>
      </c>
      <c r="CY38" s="899">
        <f>($F2*2-($F8*12))*CY10/$CY$12</f>
        <v>3023.947940951221</v>
      </c>
      <c r="CZ38" s="899">
        <f>($F2*2-($F8*12))*CZ10/$CY$12</f>
        <v>2306.4918076894901</v>
      </c>
      <c r="DA38" s="899">
        <f>($F2*2-($F8*12))*DA10/$CY$12</f>
        <v>2792.7196088457836</v>
      </c>
      <c r="DB38" s="899">
        <f>($F2*2-($F8*12))*DB10/$CY$12</f>
        <v>2792.7196088457836</v>
      </c>
      <c r="DC38" s="899">
        <f>($F2*2-($F8*12))*DC10/$CY$12</f>
        <v>1714.374396503604</v>
      </c>
      <c r="DD38" s="899">
        <f>($F2*2-($F8*12))*DD10/$DD$12</f>
        <v>3549.3916423613687</v>
      </c>
      <c r="DE38" s="899">
        <f>($F2*2-($F8*12))*DE10/$DD$12</f>
        <v>2760.9258718841784</v>
      </c>
      <c r="DF38" s="899">
        <f>($F2*2-($F8*12))*DF10/$DD$12</f>
        <v>2980.5586215762214</v>
      </c>
      <c r="DG38" s="899">
        <f>($F2*2-($F8*12))*DG10/$DD$12</f>
        <v>3339.377227014113</v>
      </c>
      <c r="DH38" s="899">
        <f>($F2*2-($F8*12))*DH10/$DH$12</f>
        <v>4015.4790467354715</v>
      </c>
      <c r="DI38" s="899">
        <f>($F2*2-($F8*12))*DI10/$DH$12</f>
        <v>934.21422905579459</v>
      </c>
      <c r="DJ38" s="899">
        <f>($F2*2-($F8*12))*DJ10/$DH$12</f>
        <v>1472.1949457590179</v>
      </c>
      <c r="DK38" s="899">
        <f>($F2*2-($F8*12))*DK10/$DH$12</f>
        <v>3161.7025214852824</v>
      </c>
      <c r="DL38" s="899">
        <f>($F2*2-($F8*12))*DL10/$DL$12</f>
        <v>6092.6070925677732</v>
      </c>
      <c r="DM38" s="899">
        <f>($F2*2-($F8*12))*DM10/$DL$12</f>
        <v>3059.0692149732436</v>
      </c>
      <c r="DN38" s="899">
        <f>($F2*2-($F8*12))*DN10/$DL$12</f>
        <v>6241.4647133270582</v>
      </c>
      <c r="DO38" s="899">
        <f>($F2*2-($F8*12))*DO10/$DL$12</f>
        <v>3329.7194345355811</v>
      </c>
      <c r="DP38" s="898"/>
      <c r="DQ38" s="898"/>
      <c r="DR38" s="585"/>
    </row>
    <row r="39" spans="1:122" ht="15.6" customHeight="1" thickBot="1">
      <c r="A39" s="96" t="s">
        <v>163</v>
      </c>
      <c r="B39" s="15">
        <v>2</v>
      </c>
      <c r="C39" s="15">
        <v>2</v>
      </c>
      <c r="D39" s="489">
        <v>2</v>
      </c>
      <c r="E39" s="192">
        <v>1.5</v>
      </c>
      <c r="F39" s="240">
        <v>2</v>
      </c>
      <c r="G39" s="211"/>
      <c r="H39" s="211"/>
      <c r="J39" s="432" t="s">
        <v>56</v>
      </c>
      <c r="K39" s="444">
        <f>($B81*$D6)/365</f>
        <v>383.56164383561645</v>
      </c>
      <c r="L39" s="444">
        <f t="shared" ref="L39:Y39" si="74">($B81*$D6)/365</f>
        <v>383.56164383561645</v>
      </c>
      <c r="M39" s="444">
        <f t="shared" si="74"/>
        <v>383.56164383561645</v>
      </c>
      <c r="N39" s="444">
        <f t="shared" si="74"/>
        <v>383.56164383561645</v>
      </c>
      <c r="O39" s="444">
        <f t="shared" si="74"/>
        <v>383.56164383561645</v>
      </c>
      <c r="P39" s="444">
        <f t="shared" si="74"/>
        <v>383.56164383561645</v>
      </c>
      <c r="Q39" s="444">
        <f t="shared" si="74"/>
        <v>383.56164383561645</v>
      </c>
      <c r="R39" s="444">
        <f t="shared" si="74"/>
        <v>383.56164383561645</v>
      </c>
      <c r="S39" s="444">
        <f t="shared" si="74"/>
        <v>383.56164383561645</v>
      </c>
      <c r="T39" s="444">
        <f t="shared" si="74"/>
        <v>383.56164383561645</v>
      </c>
      <c r="U39" s="444">
        <f t="shared" si="74"/>
        <v>383.56164383561645</v>
      </c>
      <c r="V39" s="444">
        <f t="shared" si="74"/>
        <v>383.56164383561645</v>
      </c>
      <c r="W39" s="444">
        <f t="shared" si="74"/>
        <v>383.56164383561645</v>
      </c>
      <c r="X39" s="444">
        <f t="shared" si="74"/>
        <v>383.56164383561645</v>
      </c>
      <c r="Y39" s="444">
        <f t="shared" si="74"/>
        <v>383.56164383561645</v>
      </c>
      <c r="Z39" s="21"/>
      <c r="AC39" s="743" t="s">
        <v>56</v>
      </c>
      <c r="AD39" s="817">
        <f>($B81*$C6)/($BA13*5)</f>
        <v>190.19607843137251</v>
      </c>
      <c r="AE39" s="817">
        <f t="shared" ref="AE39:AT39" si="75">($B81*$C6)/($BA13*5)</f>
        <v>190.19607843137251</v>
      </c>
      <c r="AF39" s="817">
        <f t="shared" si="75"/>
        <v>190.19607843137251</v>
      </c>
      <c r="AG39" s="817">
        <f t="shared" si="75"/>
        <v>190.19607843137251</v>
      </c>
      <c r="AH39" s="817">
        <f t="shared" si="75"/>
        <v>190.19607843137251</v>
      </c>
      <c r="AI39" s="817">
        <f t="shared" si="75"/>
        <v>190.19607843137251</v>
      </c>
      <c r="AJ39" s="817">
        <f t="shared" si="75"/>
        <v>190.19607843137251</v>
      </c>
      <c r="AK39" s="817">
        <f t="shared" si="75"/>
        <v>190.19607843137251</v>
      </c>
      <c r="AL39" s="817">
        <f t="shared" si="75"/>
        <v>190.19607843137251</v>
      </c>
      <c r="AM39" s="817">
        <f t="shared" si="75"/>
        <v>190.19607843137251</v>
      </c>
      <c r="AN39" s="817">
        <f t="shared" si="75"/>
        <v>190.19607843137251</v>
      </c>
      <c r="AO39" s="817">
        <f t="shared" si="75"/>
        <v>190.19607843137251</v>
      </c>
      <c r="AP39" s="817">
        <f t="shared" si="75"/>
        <v>190.19607843137251</v>
      </c>
      <c r="AQ39" s="817">
        <f t="shared" si="75"/>
        <v>190.19607843137251</v>
      </c>
      <c r="AR39" s="817">
        <f t="shared" si="75"/>
        <v>190.19607843137251</v>
      </c>
      <c r="AS39" s="817">
        <f t="shared" si="75"/>
        <v>190.19607843137251</v>
      </c>
      <c r="AT39" s="817">
        <f t="shared" si="75"/>
        <v>190.19607843137251</v>
      </c>
      <c r="AU39" s="459">
        <v>0.63362129160683844</v>
      </c>
      <c r="AV39" s="587"/>
      <c r="AW39" s="1039" t="s">
        <v>473</v>
      </c>
      <c r="AX39" s="458">
        <f>AY39/SUM($AY$39:$AY$41)</f>
        <v>9.1199688880040417E-2</v>
      </c>
      <c r="AY39" s="585">
        <f t="shared" ref="AY39:AY41" si="76">AVERAGE(BA39:BQ39)</f>
        <v>277.99401620889898</v>
      </c>
      <c r="AZ39" s="743" t="s">
        <v>56</v>
      </c>
      <c r="BA39" s="817">
        <f>($B81*$B6)/($BA13*5)</f>
        <v>235.29411764705878</v>
      </c>
      <c r="BB39" s="817">
        <f t="shared" ref="BB39:BE39" si="77">($B81*$B6)/($BA13*5)</f>
        <v>235.29411764705878</v>
      </c>
      <c r="BC39" s="817">
        <f t="shared" si="77"/>
        <v>235.29411764705878</v>
      </c>
      <c r="BD39" s="817">
        <f t="shared" si="77"/>
        <v>235.29411764705878</v>
      </c>
      <c r="BE39" s="817">
        <f t="shared" si="77"/>
        <v>235.29411764705878</v>
      </c>
      <c r="BF39" s="823">
        <f>($B81*$B6)/($BF$13*4)</f>
        <v>298.2954545454545</v>
      </c>
      <c r="BG39" s="823">
        <f t="shared" ref="BG39:BI39" si="78">($B81*$B6)/($BF$13*4)</f>
        <v>298.2954545454545</v>
      </c>
      <c r="BH39" s="823">
        <f t="shared" si="78"/>
        <v>298.2954545454545</v>
      </c>
      <c r="BI39" s="823">
        <f t="shared" si="78"/>
        <v>298.2954545454545</v>
      </c>
      <c r="BJ39" s="817">
        <f>($B81*$B6)/($BJ$13*4)</f>
        <v>294.11764705882348</v>
      </c>
      <c r="BK39" s="817">
        <f t="shared" ref="BK39:BM39" si="79">($B81*$B6)/($BJ$13*4)</f>
        <v>294.11764705882348</v>
      </c>
      <c r="BL39" s="817">
        <f t="shared" si="79"/>
        <v>294.11764705882348</v>
      </c>
      <c r="BM39" s="817">
        <f t="shared" si="79"/>
        <v>294.11764705882348</v>
      </c>
      <c r="BN39" s="829">
        <f>($B81*$B6)/($BN$13*4)</f>
        <v>294.94382022471905</v>
      </c>
      <c r="BO39" s="829">
        <f t="shared" ref="BO39:BQ39" si="80">($B81*$B6)/($BN$13*4)</f>
        <v>294.94382022471905</v>
      </c>
      <c r="BP39" s="829">
        <f t="shared" si="80"/>
        <v>294.94382022471905</v>
      </c>
      <c r="BQ39" s="829">
        <f t="shared" si="80"/>
        <v>294.94382022471905</v>
      </c>
      <c r="BR39" s="585"/>
      <c r="BS39" s="585"/>
      <c r="BT39" s="585"/>
      <c r="BV39" s="420"/>
      <c r="BW39" s="420"/>
      <c r="BX39" s="420"/>
      <c r="BY39" s="850" t="s">
        <v>56</v>
      </c>
      <c r="BZ39" s="900">
        <f>($B81*$E6)/365/5</f>
        <v>454.52054794520546</v>
      </c>
      <c r="CA39" s="900">
        <f t="shared" ref="CA39:CD39" si="81">($B81*$E6)/365/5</f>
        <v>454.52054794520546</v>
      </c>
      <c r="CB39" s="900">
        <f t="shared" si="81"/>
        <v>454.52054794520546</v>
      </c>
      <c r="CC39" s="900">
        <f t="shared" si="81"/>
        <v>454.52054794520546</v>
      </c>
      <c r="CD39" s="900">
        <f t="shared" si="81"/>
        <v>454.52054794520546</v>
      </c>
      <c r="CE39" s="900">
        <f>($B81*$E6)/365/4</f>
        <v>568.15068493150682</v>
      </c>
      <c r="CF39" s="900">
        <f t="shared" ref="CF39:CH39" si="82">($B81*$E6)/365/4</f>
        <v>568.15068493150682</v>
      </c>
      <c r="CG39" s="900">
        <f t="shared" si="82"/>
        <v>568.15068493150682</v>
      </c>
      <c r="CH39" s="900">
        <f t="shared" si="82"/>
        <v>568.15068493150682</v>
      </c>
      <c r="CI39" s="900">
        <f t="shared" ref="CI39:CP39" si="83">($B81*$E6)/365/4</f>
        <v>568.15068493150682</v>
      </c>
      <c r="CJ39" s="900">
        <f t="shared" si="83"/>
        <v>568.15068493150682</v>
      </c>
      <c r="CK39" s="900">
        <f t="shared" si="83"/>
        <v>568.15068493150682</v>
      </c>
      <c r="CL39" s="900">
        <f t="shared" si="83"/>
        <v>568.15068493150682</v>
      </c>
      <c r="CM39" s="900">
        <f t="shared" si="83"/>
        <v>568.15068493150682</v>
      </c>
      <c r="CN39" s="900">
        <f t="shared" si="83"/>
        <v>568.15068493150682</v>
      </c>
      <c r="CO39" s="900">
        <f t="shared" si="83"/>
        <v>568.15068493150682</v>
      </c>
      <c r="CP39" s="900">
        <f t="shared" si="83"/>
        <v>568.15068493150682</v>
      </c>
      <c r="CQ39" s="420"/>
      <c r="CR39" s="420"/>
      <c r="CS39" s="420"/>
      <c r="CT39" s="420"/>
      <c r="CU39" s="420"/>
      <c r="CV39" s="420"/>
      <c r="CW39" s="420"/>
      <c r="CX39" s="850" t="s">
        <v>56</v>
      </c>
      <c r="CY39" s="900">
        <f>($B81*$F6)/365/5</f>
        <v>372.05479452054789</v>
      </c>
      <c r="CZ39" s="900">
        <f t="shared" ref="CZ39:DC39" si="84">($B81*$F6)/365/5</f>
        <v>372.05479452054789</v>
      </c>
      <c r="DA39" s="900">
        <f t="shared" si="84"/>
        <v>372.05479452054789</v>
      </c>
      <c r="DB39" s="900">
        <f t="shared" si="84"/>
        <v>372.05479452054789</v>
      </c>
      <c r="DC39" s="879">
        <f t="shared" si="84"/>
        <v>372.05479452054789</v>
      </c>
      <c r="DD39" s="879">
        <f>($B81*$F6)/365/4</f>
        <v>465.06849315068484</v>
      </c>
      <c r="DE39" s="879">
        <f t="shared" ref="DE39:DG39" si="85">($B81*$F6)/365/4</f>
        <v>465.06849315068484</v>
      </c>
      <c r="DF39" s="879">
        <f>($B81*$F6)/365/4</f>
        <v>465.06849315068484</v>
      </c>
      <c r="DG39" s="879">
        <f t="shared" si="85"/>
        <v>465.06849315068484</v>
      </c>
      <c r="DH39" s="879">
        <f t="shared" ref="DH39:DO39" si="86">($B81*$F6)/365/4</f>
        <v>465.06849315068484</v>
      </c>
      <c r="DI39" s="879">
        <f t="shared" si="86"/>
        <v>465.06849315068484</v>
      </c>
      <c r="DJ39" s="879">
        <f t="shared" si="86"/>
        <v>465.06849315068484</v>
      </c>
      <c r="DK39" s="879">
        <f t="shared" si="86"/>
        <v>465.06849315068484</v>
      </c>
      <c r="DL39" s="879">
        <f t="shared" si="86"/>
        <v>465.06849315068484</v>
      </c>
      <c r="DM39" s="879">
        <f t="shared" si="86"/>
        <v>465.06849315068484</v>
      </c>
      <c r="DN39" s="879">
        <f t="shared" si="86"/>
        <v>465.06849315068484</v>
      </c>
      <c r="DO39" s="879">
        <f t="shared" si="86"/>
        <v>465.06849315068484</v>
      </c>
      <c r="DP39" s="420"/>
      <c r="DQ39" s="420"/>
    </row>
    <row r="40" spans="1:122" ht="13.9" thickBot="1">
      <c r="A40" s="100" t="s">
        <v>145</v>
      </c>
      <c r="B40" s="101">
        <v>14</v>
      </c>
      <c r="C40" s="101">
        <v>14</v>
      </c>
      <c r="D40" s="491">
        <v>11</v>
      </c>
      <c r="E40" s="219">
        <v>14</v>
      </c>
      <c r="F40" s="102">
        <v>14</v>
      </c>
      <c r="G40" s="211"/>
      <c r="H40" s="211"/>
      <c r="J40" s="427" t="s">
        <v>50</v>
      </c>
      <c r="K40" s="428" t="e">
        <f>(($D6*(1+$B78)-($B79*$D6/100))/10)*K10/$B77</f>
        <v>#VALUE!</v>
      </c>
      <c r="L40" s="428" t="e">
        <f t="shared" ref="L40:Y40" si="87">(($D6*(1+$B78)-($B79*$D6/100))/10)*L10/$B77</f>
        <v>#VALUE!</v>
      </c>
      <c r="M40" s="428" t="e">
        <f t="shared" si="87"/>
        <v>#VALUE!</v>
      </c>
      <c r="N40" s="428" t="e">
        <f t="shared" si="87"/>
        <v>#VALUE!</v>
      </c>
      <c r="O40" s="428" t="e">
        <f t="shared" si="87"/>
        <v>#VALUE!</v>
      </c>
      <c r="P40" s="428" t="e">
        <f t="shared" si="87"/>
        <v>#VALUE!</v>
      </c>
      <c r="Q40" s="428" t="e">
        <f t="shared" si="87"/>
        <v>#VALUE!</v>
      </c>
      <c r="R40" s="429" t="e">
        <f t="shared" si="87"/>
        <v>#VALUE!</v>
      </c>
      <c r="S40" s="430" t="e">
        <f t="shared" si="87"/>
        <v>#VALUE!</v>
      </c>
      <c r="T40" s="430" t="e">
        <f t="shared" si="87"/>
        <v>#VALUE!</v>
      </c>
      <c r="U40" s="430" t="e">
        <f t="shared" si="87"/>
        <v>#VALUE!</v>
      </c>
      <c r="V40" s="430" t="e">
        <f t="shared" si="87"/>
        <v>#VALUE!</v>
      </c>
      <c r="W40" s="430" t="e">
        <f t="shared" si="87"/>
        <v>#VALUE!</v>
      </c>
      <c r="X40" s="430" t="e">
        <f t="shared" si="87"/>
        <v>#VALUE!</v>
      </c>
      <c r="Y40" s="431" t="e">
        <f t="shared" si="87"/>
        <v>#VALUE!</v>
      </c>
      <c r="Z40" s="28"/>
      <c r="AA40" s="22" t="s">
        <v>474</v>
      </c>
      <c r="AC40" s="746" t="s">
        <v>50</v>
      </c>
      <c r="AD40" s="816">
        <f>(($C6*(1+$B78)-($B85*$C6))/($B79*$BA$12))/5</f>
        <v>723.73036642589216</v>
      </c>
      <c r="AE40" s="816">
        <f t="shared" ref="AE40:AT40" si="88">(($C6*(1+$B78)-($B85*$C6))/($B79*$BA$12))/5</f>
        <v>723.73036642589216</v>
      </c>
      <c r="AF40" s="816">
        <f t="shared" si="88"/>
        <v>723.73036642589216</v>
      </c>
      <c r="AG40" s="816">
        <f t="shared" si="88"/>
        <v>723.73036642589216</v>
      </c>
      <c r="AH40" s="816">
        <f t="shared" si="88"/>
        <v>723.73036642589216</v>
      </c>
      <c r="AI40" s="816">
        <f t="shared" si="88"/>
        <v>723.73036642589216</v>
      </c>
      <c r="AJ40" s="816">
        <f t="shared" si="88"/>
        <v>723.73036642589216</v>
      </c>
      <c r="AK40" s="816">
        <f t="shared" si="88"/>
        <v>723.73036642589216</v>
      </c>
      <c r="AL40" s="816">
        <f t="shared" si="88"/>
        <v>723.73036642589216</v>
      </c>
      <c r="AM40" s="816">
        <f t="shared" si="88"/>
        <v>723.73036642589216</v>
      </c>
      <c r="AN40" s="816">
        <f t="shared" si="88"/>
        <v>723.73036642589216</v>
      </c>
      <c r="AO40" s="816">
        <f t="shared" si="88"/>
        <v>723.73036642589216</v>
      </c>
      <c r="AP40" s="816">
        <f t="shared" si="88"/>
        <v>723.73036642589216</v>
      </c>
      <c r="AQ40" s="816">
        <f t="shared" si="88"/>
        <v>723.73036642589216</v>
      </c>
      <c r="AR40" s="816">
        <f t="shared" si="88"/>
        <v>723.73036642589216</v>
      </c>
      <c r="AS40" s="816">
        <f t="shared" si="88"/>
        <v>723.73036642589216</v>
      </c>
      <c r="AT40" s="816">
        <f t="shared" si="88"/>
        <v>723.73036642589216</v>
      </c>
      <c r="AU40" s="459">
        <v>0.27586138102075614</v>
      </c>
      <c r="AV40" s="618"/>
      <c r="AW40" s="746" t="s">
        <v>50</v>
      </c>
      <c r="AX40" s="458">
        <f t="shared" ref="AX40:AX41" si="89">AY40/SUM($AY$39:$AY$41)</f>
        <v>0.27040248895967656</v>
      </c>
      <c r="AY40" s="585">
        <f t="shared" si="76"/>
        <v>824.23827122544503</v>
      </c>
      <c r="AZ40" s="746" t="s">
        <v>50</v>
      </c>
      <c r="BA40" s="816">
        <f>(($B6*(1+$B78)-($B85*$B6))/($B79*$BA$12))/5</f>
        <v>895.33653578460894</v>
      </c>
      <c r="BB40" s="816">
        <f t="shared" ref="BB40:BE40" si="90">(($B6*(1+$B78)-($B85*$B6))/($B79*$BA$12))/5</f>
        <v>895.33653578460894</v>
      </c>
      <c r="BC40" s="816">
        <f t="shared" si="90"/>
        <v>895.33653578460894</v>
      </c>
      <c r="BD40" s="816">
        <f t="shared" si="90"/>
        <v>895.33653578460894</v>
      </c>
      <c r="BE40" s="816">
        <f t="shared" si="90"/>
        <v>895.33653578460894</v>
      </c>
      <c r="BF40" s="822">
        <f>(($B6*(1+$B78)-($B85*$B6))/($B79*$BF$12))/4</f>
        <v>827.92371391565996</v>
      </c>
      <c r="BG40" s="822">
        <f t="shared" ref="BG40:BI40" si="91">(($B6*(1+$B78)-($B85*$B6))/($B79*$BF$12))/4</f>
        <v>827.92371391565996</v>
      </c>
      <c r="BH40" s="822">
        <f t="shared" si="91"/>
        <v>827.92371391565996</v>
      </c>
      <c r="BI40" s="822">
        <f t="shared" si="91"/>
        <v>827.92371391565996</v>
      </c>
      <c r="BJ40" s="816">
        <f>(($B6*(1+$B78)-($B85*$B6))/($B79*$BJ$12))/4</f>
        <v>767.76165011459136</v>
      </c>
      <c r="BK40" s="816">
        <f>(($B6*(1+$B78)-($B85*$B6))/($B79*$BJ$12))/4</f>
        <v>767.76165011459136</v>
      </c>
      <c r="BL40" s="816">
        <f>(($B6*(1+$B78)-($B85*$B6))/($B79*$BJ$12))/4</f>
        <v>767.76165011459136</v>
      </c>
      <c r="BM40" s="816">
        <f>(($B6*(1+$B78)-($B85*$B6))/($B79*$BJ$12))/4</f>
        <v>767.76165011459136</v>
      </c>
      <c r="BN40" s="827">
        <f>(($B6*(1+$B78)-($B85*$B6))/($B79*$BN$12))/4</f>
        <v>788.15661894712832</v>
      </c>
      <c r="BO40" s="827">
        <f>(($B6*(1+$B78)-($B85*$B6))/($B79*$BN$12))/4</f>
        <v>788.15661894712832</v>
      </c>
      <c r="BP40" s="827">
        <f>(($B6*(1+$B78)-($B85*$B6))/($B79*$BN$12))/4</f>
        <v>788.15661894712832</v>
      </c>
      <c r="BQ40" s="828">
        <f>(($B6*(1+$B78)-($B85*$B6))/($B79*$BN$12))/4</f>
        <v>788.15661894712832</v>
      </c>
      <c r="BR40" s="585"/>
      <c r="BS40" s="585"/>
      <c r="BT40" s="585"/>
      <c r="BV40" s="420"/>
      <c r="BW40" s="420"/>
      <c r="BX40" s="420"/>
      <c r="BY40" s="853" t="s">
        <v>50</v>
      </c>
      <c r="BZ40" s="901">
        <f>(($E6*(1+$B78)-($B85*$E6))/($B86*$BZ$12))/5</f>
        <v>1222.0325571097142</v>
      </c>
      <c r="CA40" s="901">
        <f t="shared" ref="CA40:CD40" si="92">(($E6*(1+$B78)-($B85*$E6))/($B86*$BZ$12))/5</f>
        <v>1222.0325571097142</v>
      </c>
      <c r="CB40" s="901">
        <f t="shared" si="92"/>
        <v>1222.0325571097142</v>
      </c>
      <c r="CC40" s="901">
        <f t="shared" si="92"/>
        <v>1222.0325571097142</v>
      </c>
      <c r="CD40" s="901">
        <f t="shared" si="92"/>
        <v>1222.0325571097142</v>
      </c>
      <c r="CE40" s="901">
        <f>(($E6*(1+$B78)-($B85*$E6))/($B86*$CE$12))/4</f>
        <v>1127.2424619805101</v>
      </c>
      <c r="CF40" s="901">
        <f t="shared" ref="CF40:CH40" si="93">(($E6*(1+$B78)-($B85*$E6))/($B86*$CE$12))/4</f>
        <v>1127.2424619805101</v>
      </c>
      <c r="CG40" s="901">
        <f t="shared" si="93"/>
        <v>1127.2424619805101</v>
      </c>
      <c r="CH40" s="901">
        <f t="shared" si="93"/>
        <v>1127.2424619805101</v>
      </c>
      <c r="CI40" s="901">
        <f t="shared" ref="CI40:CP40" si="94">(($E6*(1+$B78)-($B85*$E6))/($B86*$CI$12))/4</f>
        <v>1061.2143521736205</v>
      </c>
      <c r="CJ40" s="901">
        <f t="shared" si="94"/>
        <v>1061.2143521736205</v>
      </c>
      <c r="CK40" s="901">
        <f t="shared" si="94"/>
        <v>1061.2143521736205</v>
      </c>
      <c r="CL40" s="901">
        <f t="shared" si="94"/>
        <v>1061.2143521736205</v>
      </c>
      <c r="CM40" s="901">
        <f t="shared" si="94"/>
        <v>1061.2143521736205</v>
      </c>
      <c r="CN40" s="901">
        <f t="shared" si="94"/>
        <v>1061.2143521736205</v>
      </c>
      <c r="CO40" s="901">
        <f t="shared" si="94"/>
        <v>1061.2143521736205</v>
      </c>
      <c r="CP40" s="901">
        <f t="shared" si="94"/>
        <v>1061.2143521736205</v>
      </c>
      <c r="CQ40" s="878"/>
      <c r="CR40" s="878"/>
      <c r="CS40" s="878"/>
      <c r="CT40" s="420"/>
      <c r="CU40" s="420"/>
      <c r="CV40" s="420"/>
      <c r="CW40" s="420"/>
      <c r="CX40" s="853" t="s">
        <v>50</v>
      </c>
      <c r="CY40" s="901">
        <f>(($F6*(1+$B78)-($B85*$F6))/($B86*$CY$12))/5</f>
        <v>955.68289004860583</v>
      </c>
      <c r="CZ40" s="901">
        <f t="shared" ref="CZ40:DC40" si="95">(($F6*(1+$B78)-($B85*$F6))/($B86*$CY$12))/5</f>
        <v>955.68289004860583</v>
      </c>
      <c r="DA40" s="901">
        <f t="shared" si="95"/>
        <v>955.68289004860583</v>
      </c>
      <c r="DB40" s="901">
        <f t="shared" si="95"/>
        <v>955.68289004860583</v>
      </c>
      <c r="DC40" s="901">
        <f t="shared" si="95"/>
        <v>955.68289004860583</v>
      </c>
      <c r="DD40" s="901">
        <f>(($F6*(1+$B78)-($B85*$F6))/($B86*$DD$12))/4</f>
        <v>873.47172965763423</v>
      </c>
      <c r="DE40" s="901">
        <f t="shared" ref="DE40:DG40" si="96">(($F6*(1+$B78)-($B85*$F6))/($B86*$DD$12))/4</f>
        <v>873.47172965763423</v>
      </c>
      <c r="DF40" s="901">
        <f t="shared" si="96"/>
        <v>873.47172965763423</v>
      </c>
      <c r="DG40" s="901">
        <f t="shared" si="96"/>
        <v>873.47172965763423</v>
      </c>
      <c r="DH40" s="901">
        <f>(($F6*(1+$B78)-($B85*$F6))/($B86*$DH$12))/4</f>
        <v>623.46902951910079</v>
      </c>
      <c r="DI40" s="901">
        <f>(($F6*(1+$B78)-($B85*$F6))/($B86*$DH$12))/4</f>
        <v>623.46902951910079</v>
      </c>
      <c r="DJ40" s="901">
        <f>(($F6*(1+$B78)-($B85*$F6))/($B86*$DH$12))/4</f>
        <v>623.46902951910079</v>
      </c>
      <c r="DK40" s="901">
        <f>(($F6*(1+$B78)-($B85*$F6))/($B86*$DH$12))/4</f>
        <v>623.46902951910079</v>
      </c>
      <c r="DL40" s="901">
        <f>(($F6*(1+$B78)-($B85*$F6))/($B86*$DL$12))/4</f>
        <v>1246.7910974315178</v>
      </c>
      <c r="DM40" s="901">
        <f>(($F6*(1+$B78)-($B85*$F6))/($B86*$DL$12))/4</f>
        <v>1246.7910974315178</v>
      </c>
      <c r="DN40" s="901">
        <f>(($F6*(1+$B78)-($B85*$F6))/($B86*$DL$12))/4</f>
        <v>1246.7910974315178</v>
      </c>
      <c r="DO40" s="901">
        <f>(($F6*(1+$B78)-($B85*$F6))/($B86*$DL$12))/4</f>
        <v>1246.7910974315178</v>
      </c>
      <c r="DP40" s="878"/>
      <c r="DQ40" s="878"/>
      <c r="DR40" s="618"/>
    </row>
    <row r="41" spans="1:122" ht="13.9" thickBot="1">
      <c r="J41" s="437" t="s">
        <v>473</v>
      </c>
      <c r="K41" s="438" t="e">
        <f>$D8*12*K10/$B77</f>
        <v>#VALUE!</v>
      </c>
      <c r="L41" s="438" t="e">
        <f t="shared" ref="L41:Y41" si="97">$D8*12*L10/$B77</f>
        <v>#VALUE!</v>
      </c>
      <c r="M41" s="438" t="e">
        <f t="shared" si="97"/>
        <v>#VALUE!</v>
      </c>
      <c r="N41" s="438" t="e">
        <f t="shared" si="97"/>
        <v>#VALUE!</v>
      </c>
      <c r="O41" s="438" t="e">
        <f t="shared" si="97"/>
        <v>#VALUE!</v>
      </c>
      <c r="P41" s="438" t="e">
        <f t="shared" si="97"/>
        <v>#VALUE!</v>
      </c>
      <c r="Q41" s="438" t="e">
        <f t="shared" si="97"/>
        <v>#VALUE!</v>
      </c>
      <c r="R41" s="445" t="e">
        <f t="shared" si="97"/>
        <v>#VALUE!</v>
      </c>
      <c r="S41" s="446" t="e">
        <f t="shared" si="97"/>
        <v>#VALUE!</v>
      </c>
      <c r="T41" s="446" t="e">
        <f t="shared" si="97"/>
        <v>#VALUE!</v>
      </c>
      <c r="U41" s="446" t="e">
        <f t="shared" si="97"/>
        <v>#VALUE!</v>
      </c>
      <c r="V41" s="446" t="e">
        <f t="shared" si="97"/>
        <v>#VALUE!</v>
      </c>
      <c r="W41" s="446" t="e">
        <f t="shared" si="97"/>
        <v>#VALUE!</v>
      </c>
      <c r="X41" s="446" t="e">
        <f t="shared" si="97"/>
        <v>#VALUE!</v>
      </c>
      <c r="Y41" s="447" t="e">
        <f t="shared" si="97"/>
        <v>#VALUE!</v>
      </c>
      <c r="Z41" s="29"/>
      <c r="AA41" s="692">
        <f>$C8*12</f>
        <v>2400000</v>
      </c>
      <c r="AB41" s="692">
        <f>SUM(AD41:AH41)*365</f>
        <v>2444825.917087574</v>
      </c>
      <c r="AC41" s="747" t="s">
        <v>473</v>
      </c>
      <c r="AD41" s="821">
        <f>$C8*12*AD10/$BA$12</f>
        <v>1604.7764192925029</v>
      </c>
      <c r="AE41" s="821">
        <f t="shared" ref="AE41:AT41" si="98">$C8*12*AE10/$BA$12</f>
        <v>1222.7087157721144</v>
      </c>
      <c r="AF41" s="821">
        <f t="shared" si="98"/>
        <v>1481.6401413506908</v>
      </c>
      <c r="AG41" s="821">
        <f t="shared" si="98"/>
        <v>1481.6401413506908</v>
      </c>
      <c r="AH41" s="821">
        <f t="shared" si="98"/>
        <v>907.38777973420383</v>
      </c>
      <c r="AI41" s="821">
        <f t="shared" si="98"/>
        <v>2579.5093858038545</v>
      </c>
      <c r="AJ41" s="821">
        <f t="shared" si="98"/>
        <v>2005.2570241873675</v>
      </c>
      <c r="AK41" s="821">
        <f t="shared" si="98"/>
        <v>2165.2191048781324</v>
      </c>
      <c r="AL41" s="821">
        <f t="shared" si="98"/>
        <v>2426.5524934410091</v>
      </c>
      <c r="AM41" s="821">
        <f t="shared" si="98"/>
        <v>4091.66891118274</v>
      </c>
      <c r="AN41" s="821">
        <f t="shared" si="98"/>
        <v>947.66600149087117</v>
      </c>
      <c r="AO41" s="821">
        <f t="shared" si="98"/>
        <v>1496.6006237174531</v>
      </c>
      <c r="AP41" s="821">
        <f t="shared" si="98"/>
        <v>3220.5085149028187</v>
      </c>
      <c r="AQ41" s="821">
        <f t="shared" si="98"/>
        <v>3103.1262686405307</v>
      </c>
      <c r="AR41" s="821">
        <f t="shared" si="98"/>
        <v>1555.2917468485971</v>
      </c>
      <c r="AS41" s="821">
        <f t="shared" si="98"/>
        <v>3179.0794868102466</v>
      </c>
      <c r="AT41" s="821">
        <f t="shared" si="98"/>
        <v>1693.388507157171</v>
      </c>
      <c r="AU41" s="459">
        <v>9.0517327372405462E-2</v>
      </c>
      <c r="AV41" s="618"/>
      <c r="AW41" s="1040" t="s">
        <v>56</v>
      </c>
      <c r="AX41" s="458">
        <f t="shared" si="89"/>
        <v>0.63839782216028296</v>
      </c>
      <c r="AY41" s="585">
        <f t="shared" si="76"/>
        <v>1945.9581134622931</v>
      </c>
      <c r="AZ41" s="747" t="s">
        <v>473</v>
      </c>
      <c r="BA41" s="821">
        <f>$B8*12*BA10/$BA$12</f>
        <v>1973.60761704217</v>
      </c>
      <c r="BB41" s="821">
        <f>$B8*12*BB10/$BA$12</f>
        <v>1503.059876390105</v>
      </c>
      <c r="BC41" s="821">
        <f>$B8*12*BC10/$BA$12</f>
        <v>1821.9551825549083</v>
      </c>
      <c r="BD41" s="821">
        <f>$B8*12*BD10/$BA$12</f>
        <v>1821.9551825549083</v>
      </c>
      <c r="BE41" s="821">
        <f>$B8*12*BE10/$BA$12</f>
        <v>1114.7162591049669</v>
      </c>
      <c r="BF41" s="826">
        <f>$B8*12*BF10/$BF$12</f>
        <v>2348.0680418270181</v>
      </c>
      <c r="BG41" s="826">
        <f>$B8*12*BG10/$BF$12</f>
        <v>1824.8771720472985</v>
      </c>
      <c r="BH41" s="826">
        <f>$B8*12*BH10/$BF$12</f>
        <v>1970.6157109238134</v>
      </c>
      <c r="BI41" s="826">
        <f>$B8*12*BI10/$BF$12</f>
        <v>2208.7118024745973</v>
      </c>
      <c r="BJ41" s="821">
        <f>$B8*12*BJ10/$BJ$12</f>
        <v>3455.0315994166262</v>
      </c>
      <c r="BK41" s="821">
        <f>$B8*12*BK10/$BJ$12</f>
        <v>798.73602333495376</v>
      </c>
      <c r="BL41" s="821">
        <f>$B8*12*BL10/$BJ$12</f>
        <v>1262.518230432669</v>
      </c>
      <c r="BM41" s="821">
        <f>$B8*12*BM10/$BJ$12</f>
        <v>2719.0082644628101</v>
      </c>
      <c r="BN41" s="834">
        <f>$B8*12*BN10/$BN$12</f>
        <v>2689.4285062453664</v>
      </c>
      <c r="BO41" s="834">
        <f>$B8*12*BO10/$BN$12</f>
        <v>1346.9600182512977</v>
      </c>
      <c r="BP41" s="834">
        <f>$B8*12*BP10/$BN$12</f>
        <v>2755.3042833513946</v>
      </c>
      <c r="BQ41" s="835">
        <f>$B8*12*BQ10/$BN$12</f>
        <v>1466.7341584440771</v>
      </c>
      <c r="BR41" s="585"/>
      <c r="BS41" s="585"/>
      <c r="BT41" s="585"/>
      <c r="BV41" s="420"/>
      <c r="BW41" s="420"/>
      <c r="BX41" s="420"/>
      <c r="BY41" s="902" t="s">
        <v>473</v>
      </c>
      <c r="BZ41" s="416">
        <f>$E8*12*BZ10/$BZ$12</f>
        <v>31318.105258328942</v>
      </c>
      <c r="CA41" s="416">
        <f>$E8*12*CA10/$BZ$12</f>
        <v>24025.220999312296</v>
      </c>
      <c r="CB41" s="416">
        <f>$E8*12*CB10/$BZ$12</f>
        <v>28967.687741115747</v>
      </c>
      <c r="CC41" s="416">
        <f>$E8*12*CC10/$BZ$12</f>
        <v>28967.687741115747</v>
      </c>
      <c r="CD41" s="416">
        <f>$E8*12*CD10/$BZ$12</f>
        <v>18006.394833738319</v>
      </c>
      <c r="CE41" s="416">
        <f>$E8*12*CE10/$CE$12</f>
        <v>36841.026431713093</v>
      </c>
      <c r="CF41" s="416">
        <f>$E8*12*CF10/$CE$12</f>
        <v>28752.184784072899</v>
      </c>
      <c r="CG41" s="416">
        <f>$E8*12*CG10/$CE$12</f>
        <v>31005.389170890503</v>
      </c>
      <c r="CH41" s="416">
        <f>$E8*12*CH10/$CE$12</f>
        <v>34686.496186934586</v>
      </c>
      <c r="CI41" s="416">
        <f>$E8*12*CI10/$CI$12</f>
        <v>54735.493414124372</v>
      </c>
      <c r="CJ41" s="416">
        <f>$E8*12*CJ10/$CI$12</f>
        <v>13043.538645592738</v>
      </c>
      <c r="CK41" s="416">
        <f>$E8*12*CK10/$CI$12</f>
        <v>20322.84407187004</v>
      </c>
      <c r="CL41" s="416">
        <f>$E8*12*CL10/$CI$12</f>
        <v>43183.220442023914</v>
      </c>
      <c r="CM41" s="416">
        <f>$E8*12*CM10/$CM$12</f>
        <v>42597.132780029016</v>
      </c>
      <c r="CN41" s="416">
        <f>$E8*12*CN10/$CM$12</f>
        <v>21593.091460121177</v>
      </c>
      <c r="CO41" s="416">
        <f>$E8*12*CO10/$CM$12</f>
        <v>43627.814361526362</v>
      </c>
      <c r="CP41" s="416">
        <f>$E8*12*CP10/$CM$12</f>
        <v>23467.057971934511</v>
      </c>
      <c r="CQ41" s="878"/>
      <c r="CR41" s="878"/>
      <c r="CS41" s="878"/>
      <c r="CT41" s="420"/>
      <c r="CU41" s="420"/>
      <c r="CV41" s="420"/>
      <c r="CW41" s="420"/>
      <c r="CX41" s="902" t="s">
        <v>473</v>
      </c>
      <c r="CY41" s="416">
        <f>$F8*12*CY10/$CY$12</f>
        <v>25860.85703128645</v>
      </c>
      <c r="CZ41" s="416">
        <f>$F8*12*CZ10/$CY$12</f>
        <v>19725.159310688516</v>
      </c>
      <c r="DA41" s="416">
        <f>$F8*12*DA10/$CY$12</f>
        <v>23883.388187599765</v>
      </c>
      <c r="DB41" s="416">
        <f>$F8*12*DB10/$CY$12</f>
        <v>23883.388187599765</v>
      </c>
      <c r="DC41" s="416">
        <f>$F8*12*DC10/$CY$12</f>
        <v>14661.360589472151</v>
      </c>
      <c r="DD41" s="416">
        <f>$F8*12*DD10/$DD$12</f>
        <v>30354.460990580596</v>
      </c>
      <c r="DE41" s="416">
        <f>$F8*12*DE10/$DD$12</f>
        <v>23611.487578822827</v>
      </c>
      <c r="DF41" s="416">
        <f>$F8*12*DF10/$DD$12</f>
        <v>25489.790793721284</v>
      </c>
      <c r="DG41" s="416">
        <f>$F8*12*DG10/$DD$12</f>
        <v>28558.413943521922</v>
      </c>
      <c r="DH41" s="416">
        <f>$F8*12*DH10/$DH$12</f>
        <v>34340.448832954135</v>
      </c>
      <c r="DI41" s="416">
        <f>$F8*12*DI10/$DH$12</f>
        <v>7989.4168437984717</v>
      </c>
      <c r="DJ41" s="416">
        <f>$F8*12*DJ10/$DH$12</f>
        <v>12590.237582754273</v>
      </c>
      <c r="DK41" s="416">
        <f>$F8*12*DK10/$DH$12</f>
        <v>27038.93667490478</v>
      </c>
      <c r="DL41" s="416">
        <f>$F8*12*DL10/$DL$12</f>
        <v>52104.085138163617</v>
      </c>
      <c r="DM41" s="416">
        <f>$F8*12*DM10/$DL$12</f>
        <v>26161.214796689794</v>
      </c>
      <c r="DN41" s="416">
        <f>$F8*12*DN10/$DL$12</f>
        <v>53377.118180942256</v>
      </c>
      <c r="DO41" s="416">
        <f>$F8*12*DO10/$DL$12</f>
        <v>28475.820329014598</v>
      </c>
      <c r="DP41" s="878"/>
      <c r="DQ41" s="878"/>
      <c r="DR41" s="618"/>
    </row>
    <row r="42" spans="1:122" ht="15" customHeight="1" thickBot="1">
      <c r="J42" s="1423" t="s">
        <v>475</v>
      </c>
      <c r="K42" s="1424"/>
      <c r="L42" s="1424"/>
      <c r="M42" s="1424"/>
      <c r="N42" s="1424"/>
      <c r="O42" s="1424"/>
      <c r="P42" s="1424"/>
      <c r="Q42" s="1424"/>
      <c r="R42" s="1424"/>
      <c r="S42" s="1424"/>
      <c r="T42" s="1424"/>
      <c r="U42" s="1424"/>
      <c r="V42" s="1424"/>
      <c r="W42" s="1424"/>
      <c r="X42" s="1424"/>
      <c r="Y42" s="1425"/>
      <c r="Z42" s="21"/>
      <c r="AC42" s="1213" t="s">
        <v>475</v>
      </c>
      <c r="AD42" s="1214"/>
      <c r="AE42" s="1214"/>
      <c r="AF42" s="1214"/>
      <c r="AG42" s="1214"/>
      <c r="AH42" s="1214"/>
      <c r="AI42" s="1214"/>
      <c r="AJ42" s="1214"/>
      <c r="AK42" s="1214"/>
      <c r="AL42" s="1214"/>
      <c r="AM42" s="1214"/>
      <c r="AN42" s="1214"/>
      <c r="AO42" s="1214"/>
      <c r="AP42" s="1214"/>
      <c r="AQ42" s="1214"/>
      <c r="AR42" s="1214"/>
      <c r="AS42" s="1214"/>
      <c r="AT42" s="1215"/>
      <c r="AX42" s="564"/>
      <c r="AZ42" s="1213" t="s">
        <v>475</v>
      </c>
      <c r="BA42" s="1214"/>
      <c r="BB42" s="1214"/>
      <c r="BC42" s="1214"/>
      <c r="BD42" s="1214"/>
      <c r="BE42" s="1214"/>
      <c r="BF42" s="1214"/>
      <c r="BG42" s="1214"/>
      <c r="BH42" s="1214"/>
      <c r="BI42" s="1214"/>
      <c r="BJ42" s="1214"/>
      <c r="BK42" s="1214"/>
      <c r="BL42" s="1214"/>
      <c r="BM42" s="1214"/>
      <c r="BN42" s="1214"/>
      <c r="BO42" s="1214"/>
      <c r="BP42" s="1214"/>
      <c r="BQ42" s="1215"/>
      <c r="BV42" s="420"/>
      <c r="BW42" s="420"/>
      <c r="BX42" s="420"/>
      <c r="BY42" s="1452" t="s">
        <v>475</v>
      </c>
      <c r="BZ42" s="1453"/>
      <c r="CA42" s="1453"/>
      <c r="CB42" s="1453"/>
      <c r="CC42" s="1453"/>
      <c r="CD42" s="1453"/>
      <c r="CE42" s="1453"/>
      <c r="CF42" s="1453"/>
      <c r="CG42" s="1453"/>
      <c r="CH42" s="1453"/>
      <c r="CI42" s="1453"/>
      <c r="CJ42" s="1453"/>
      <c r="CK42" s="1453"/>
      <c r="CL42" s="1453"/>
      <c r="CM42" s="1453"/>
      <c r="CN42" s="1453"/>
      <c r="CO42" s="1453"/>
      <c r="CP42" s="1454"/>
      <c r="CQ42" s="420"/>
      <c r="CR42" s="420"/>
      <c r="CS42" s="420"/>
      <c r="CT42" s="420"/>
      <c r="CU42" s="420"/>
      <c r="CV42" s="420"/>
      <c r="CW42" s="420"/>
      <c r="CX42" s="1440" t="s">
        <v>475</v>
      </c>
      <c r="CY42" s="1441"/>
      <c r="CZ42" s="1441"/>
      <c r="DA42" s="1441"/>
      <c r="DB42" s="1441"/>
      <c r="DC42" s="1441"/>
      <c r="DD42" s="1441"/>
      <c r="DE42" s="1441"/>
      <c r="DF42" s="1441"/>
      <c r="DG42" s="1441"/>
      <c r="DH42" s="1441"/>
      <c r="DI42" s="1441"/>
      <c r="DJ42" s="1441"/>
      <c r="DK42" s="1441"/>
      <c r="DL42" s="1441"/>
      <c r="DM42" s="1441"/>
      <c r="DN42" s="1441"/>
      <c r="DO42" s="1442"/>
      <c r="DP42" s="420"/>
      <c r="DQ42" s="420"/>
    </row>
    <row r="43" spans="1:122" ht="21">
      <c r="B43" s="22" t="s">
        <v>476</v>
      </c>
      <c r="C43" s="465">
        <v>6.4146999999999996E-2</v>
      </c>
      <c r="E43" s="22" t="s">
        <v>477</v>
      </c>
      <c r="J43" s="448" t="s">
        <v>478</v>
      </c>
      <c r="K43" s="449" t="e">
        <f>SUM(K20:K28)+SUM(K30:K38)+SUM(K40:K41)</f>
        <v>#VALUE!</v>
      </c>
      <c r="L43" s="449" t="e">
        <f t="shared" ref="L43:R43" si="99">SUM(L20:L28)+SUM(L30:L38)+SUM(L40:L41)</f>
        <v>#VALUE!</v>
      </c>
      <c r="M43" s="449" t="e">
        <f t="shared" si="99"/>
        <v>#VALUE!</v>
      </c>
      <c r="N43" s="449" t="e">
        <f t="shared" si="99"/>
        <v>#VALUE!</v>
      </c>
      <c r="O43" s="449" t="e">
        <f t="shared" si="99"/>
        <v>#VALUE!</v>
      </c>
      <c r="P43" s="449" t="e">
        <f t="shared" si="99"/>
        <v>#VALUE!</v>
      </c>
      <c r="Q43" s="449" t="e">
        <f t="shared" si="99"/>
        <v>#VALUE!</v>
      </c>
      <c r="R43" s="450" t="e">
        <f t="shared" si="99"/>
        <v>#VALUE!</v>
      </c>
      <c r="S43" s="451" t="e">
        <f t="shared" ref="S43:Y43" si="100">SUM(S20:S28)+SUM(S30:S38)+SUM(S40:S41)</f>
        <v>#VALUE!</v>
      </c>
      <c r="T43" s="451" t="e">
        <f t="shared" si="100"/>
        <v>#VALUE!</v>
      </c>
      <c r="U43" s="451" t="e">
        <f t="shared" si="100"/>
        <v>#VALUE!</v>
      </c>
      <c r="V43" s="451" t="e">
        <f t="shared" si="100"/>
        <v>#VALUE!</v>
      </c>
      <c r="W43" s="451" t="e">
        <f t="shared" si="100"/>
        <v>#VALUE!</v>
      </c>
      <c r="X43" s="451" t="e">
        <f t="shared" si="100"/>
        <v>#VALUE!</v>
      </c>
      <c r="Y43" s="452" t="e">
        <f t="shared" si="100"/>
        <v>#VALUE!</v>
      </c>
      <c r="Z43" s="247" t="e">
        <f>AVERAGE(K43:Y43)</f>
        <v>#VALUE!</v>
      </c>
      <c r="AC43" s="746" t="s">
        <v>479</v>
      </c>
      <c r="AD43" s="816" t="e">
        <f>SUM(AD20:AD28)+SUM(AD30:AD36)+SUM(AD38:AD41)</f>
        <v>#REF!</v>
      </c>
      <c r="AE43" s="816" t="e">
        <f t="shared" ref="AE43:AK43" si="101">SUM(AE20:AE28)+SUM(AE30:AE36)+SUM(AE38:AE41)</f>
        <v>#REF!</v>
      </c>
      <c r="AF43" s="816" t="e">
        <f t="shared" si="101"/>
        <v>#REF!</v>
      </c>
      <c r="AG43" s="816" t="e">
        <f t="shared" si="101"/>
        <v>#REF!</v>
      </c>
      <c r="AH43" s="816" t="e">
        <f t="shared" si="101"/>
        <v>#REF!</v>
      </c>
      <c r="AI43" s="822" t="e">
        <f t="shared" si="101"/>
        <v>#REF!</v>
      </c>
      <c r="AJ43" s="822" t="e">
        <f t="shared" si="101"/>
        <v>#REF!</v>
      </c>
      <c r="AK43" s="822" t="e">
        <f t="shared" si="101"/>
        <v>#REF!</v>
      </c>
      <c r="AL43" s="822" t="e">
        <f>SUM(AL20:AL28)+SUM(AL30:AL36)+SUM(AL38:AL41)</f>
        <v>#REF!</v>
      </c>
      <c r="AM43" s="816" t="e">
        <f t="shared" ref="AM43:AT43" si="102">SUM(AM20:AM28)+SUM(AM30:AM36)+SUM(AM38:AM41)</f>
        <v>#REF!</v>
      </c>
      <c r="AN43" s="816" t="e">
        <f t="shared" si="102"/>
        <v>#REF!</v>
      </c>
      <c r="AO43" s="816" t="e">
        <f t="shared" si="102"/>
        <v>#REF!</v>
      </c>
      <c r="AP43" s="816" t="e">
        <f t="shared" si="102"/>
        <v>#REF!</v>
      </c>
      <c r="AQ43" s="827" t="e">
        <f t="shared" si="102"/>
        <v>#REF!</v>
      </c>
      <c r="AR43" s="827" t="e">
        <f t="shared" si="102"/>
        <v>#REF!</v>
      </c>
      <c r="AS43" s="827" t="e">
        <f t="shared" si="102"/>
        <v>#REF!</v>
      </c>
      <c r="AT43" s="828" t="e">
        <f t="shared" si="102"/>
        <v>#REF!</v>
      </c>
      <c r="AU43" s="587"/>
      <c r="AV43" s="587"/>
      <c r="AX43" s="247"/>
      <c r="AY43" s="247"/>
      <c r="AZ43" s="746" t="s">
        <v>479</v>
      </c>
      <c r="BA43" s="816" t="e">
        <f>SUM(BA20:BA28)+SUM(BA30:BA36)+SUM(BA38:BA41)</f>
        <v>#REF!</v>
      </c>
      <c r="BB43" s="816" t="e">
        <f t="shared" ref="BB43:BQ43" si="103">SUM(BB20:BB28)+SUM(BB30:BB36)+SUM(BB38:BB41)</f>
        <v>#REF!</v>
      </c>
      <c r="BC43" s="816" t="e">
        <f t="shared" si="103"/>
        <v>#REF!</v>
      </c>
      <c r="BD43" s="816" t="e">
        <f t="shared" si="103"/>
        <v>#REF!</v>
      </c>
      <c r="BE43" s="816" t="e">
        <f t="shared" si="103"/>
        <v>#REF!</v>
      </c>
      <c r="BF43" s="822" t="e">
        <f t="shared" si="103"/>
        <v>#REF!</v>
      </c>
      <c r="BG43" s="822" t="e">
        <f t="shared" si="103"/>
        <v>#REF!</v>
      </c>
      <c r="BH43" s="822" t="e">
        <f t="shared" si="103"/>
        <v>#REF!</v>
      </c>
      <c r="BI43" s="822" t="e">
        <f>SUM(BI20:BI28)+SUM(BI30:BI36)+SUM(BI38:BI41)</f>
        <v>#REF!</v>
      </c>
      <c r="BJ43" s="816" t="e">
        <f t="shared" si="103"/>
        <v>#REF!</v>
      </c>
      <c r="BK43" s="816" t="e">
        <f t="shared" si="103"/>
        <v>#REF!</v>
      </c>
      <c r="BL43" s="816" t="e">
        <f t="shared" si="103"/>
        <v>#REF!</v>
      </c>
      <c r="BM43" s="816" t="e">
        <f t="shared" si="103"/>
        <v>#REF!</v>
      </c>
      <c r="BN43" s="827" t="e">
        <f t="shared" si="103"/>
        <v>#REF!</v>
      </c>
      <c r="BO43" s="827" t="e">
        <f t="shared" si="103"/>
        <v>#REF!</v>
      </c>
      <c r="BP43" s="827" t="e">
        <f t="shared" si="103"/>
        <v>#REF!</v>
      </c>
      <c r="BQ43" s="828" t="e">
        <f t="shared" si="103"/>
        <v>#REF!</v>
      </c>
      <c r="BR43" s="585"/>
      <c r="BS43" s="585"/>
      <c r="BT43" s="585"/>
      <c r="BU43" s="247"/>
      <c r="BV43" s="903"/>
      <c r="BW43" s="420"/>
      <c r="BX43" s="420"/>
      <c r="BY43" s="853" t="s">
        <v>478</v>
      </c>
      <c r="BZ43" s="430" t="e">
        <f>SUM(BZ20:BZ28)+SUM(BZ30:BZ36)+SUM(BZ38:BZ41)</f>
        <v>#REF!</v>
      </c>
      <c r="CA43" s="430" t="e">
        <f t="shared" ref="CA43:CP43" si="104">SUM(CA20:CA28)+SUM(CA30:CA36)+SUM(CA38:CA41)</f>
        <v>#REF!</v>
      </c>
      <c r="CB43" s="430" t="e">
        <f t="shared" si="104"/>
        <v>#REF!</v>
      </c>
      <c r="CC43" s="430" t="e">
        <f t="shared" si="104"/>
        <v>#REF!</v>
      </c>
      <c r="CD43" s="430" t="e">
        <f t="shared" si="104"/>
        <v>#REF!</v>
      </c>
      <c r="CE43" s="430" t="e">
        <f t="shared" si="104"/>
        <v>#REF!</v>
      </c>
      <c r="CF43" s="430" t="e">
        <f t="shared" si="104"/>
        <v>#REF!</v>
      </c>
      <c r="CG43" s="430" t="e">
        <f t="shared" si="104"/>
        <v>#REF!</v>
      </c>
      <c r="CH43" s="405" t="e">
        <f t="shared" si="104"/>
        <v>#REF!</v>
      </c>
      <c r="CI43" s="430" t="e">
        <f t="shared" si="104"/>
        <v>#REF!</v>
      </c>
      <c r="CJ43" s="430" t="e">
        <f t="shared" si="104"/>
        <v>#REF!</v>
      </c>
      <c r="CK43" s="430" t="e">
        <f t="shared" si="104"/>
        <v>#REF!</v>
      </c>
      <c r="CL43" s="430" t="e">
        <f t="shared" si="104"/>
        <v>#REF!</v>
      </c>
      <c r="CM43" s="430" t="e">
        <f t="shared" si="104"/>
        <v>#REF!</v>
      </c>
      <c r="CN43" s="430" t="e">
        <f t="shared" si="104"/>
        <v>#REF!</v>
      </c>
      <c r="CO43" s="430" t="e">
        <f t="shared" si="104"/>
        <v>#REF!</v>
      </c>
      <c r="CP43" s="887" t="e">
        <f t="shared" si="104"/>
        <v>#REF!</v>
      </c>
      <c r="CQ43" s="888"/>
      <c r="CR43" s="888"/>
      <c r="CS43" s="888"/>
      <c r="CT43" s="903"/>
      <c r="CU43" s="903"/>
      <c r="CV43" s="420"/>
      <c r="CW43" s="420"/>
      <c r="CX43" s="853" t="s">
        <v>478</v>
      </c>
      <c r="CY43" s="430" t="e">
        <f>SUM(CY20:CY28)+SUM(CY30:CY36)+SUM(CY38:CY41)</f>
        <v>#REF!</v>
      </c>
      <c r="CZ43" s="430" t="e">
        <f t="shared" ref="CZ43:DO43" si="105">SUM(CZ20:CZ28)+SUM(CZ30:CZ36)+SUM(CZ38:CZ41)</f>
        <v>#REF!</v>
      </c>
      <c r="DA43" s="430" t="e">
        <f t="shared" si="105"/>
        <v>#REF!</v>
      </c>
      <c r="DB43" s="430" t="e">
        <f t="shared" si="105"/>
        <v>#REF!</v>
      </c>
      <c r="DC43" s="430" t="e">
        <f t="shared" si="105"/>
        <v>#REF!</v>
      </c>
      <c r="DD43" s="430" t="e">
        <f t="shared" si="105"/>
        <v>#REF!</v>
      </c>
      <c r="DE43" s="430" t="e">
        <f t="shared" si="105"/>
        <v>#REF!</v>
      </c>
      <c r="DF43" s="430" t="e">
        <f t="shared" si="105"/>
        <v>#REF!</v>
      </c>
      <c r="DG43" s="405" t="e">
        <f t="shared" si="105"/>
        <v>#REF!</v>
      </c>
      <c r="DH43" s="430" t="e">
        <f t="shared" si="105"/>
        <v>#REF!</v>
      </c>
      <c r="DI43" s="430" t="e">
        <f t="shared" si="105"/>
        <v>#REF!</v>
      </c>
      <c r="DJ43" s="430" t="e">
        <f t="shared" si="105"/>
        <v>#REF!</v>
      </c>
      <c r="DK43" s="430" t="e">
        <f t="shared" si="105"/>
        <v>#REF!</v>
      </c>
      <c r="DL43" s="430" t="e">
        <f t="shared" si="105"/>
        <v>#REF!</v>
      </c>
      <c r="DM43" s="430" t="e">
        <f t="shared" si="105"/>
        <v>#REF!</v>
      </c>
      <c r="DN43" s="430" t="e">
        <f t="shared" si="105"/>
        <v>#REF!</v>
      </c>
      <c r="DO43" s="887" t="e">
        <f t="shared" si="105"/>
        <v>#REF!</v>
      </c>
      <c r="DP43" s="888"/>
      <c r="DQ43" s="888"/>
      <c r="DR43" s="587"/>
    </row>
    <row r="44" spans="1:122" ht="13.9" thickBot="1">
      <c r="A44" s="36"/>
      <c r="B44" s="36"/>
      <c r="C44" s="36"/>
      <c r="D44" s="36"/>
      <c r="E44" s="36"/>
      <c r="F44" s="36"/>
      <c r="G44" s="36"/>
      <c r="H44" s="36"/>
      <c r="I44" s="36"/>
      <c r="J44" s="453" t="s">
        <v>480</v>
      </c>
      <c r="K44" s="454" t="e">
        <f>K43/K10</f>
        <v>#VALUE!</v>
      </c>
      <c r="L44" s="454" t="e">
        <f t="shared" ref="L44:Y44" si="106">L43/L10</f>
        <v>#VALUE!</v>
      </c>
      <c r="M44" s="454" t="e">
        <f t="shared" si="106"/>
        <v>#VALUE!</v>
      </c>
      <c r="N44" s="454" t="e">
        <f t="shared" si="106"/>
        <v>#VALUE!</v>
      </c>
      <c r="O44" s="454" t="e">
        <f t="shared" si="106"/>
        <v>#VALUE!</v>
      </c>
      <c r="P44" s="454" t="e">
        <f t="shared" si="106"/>
        <v>#VALUE!</v>
      </c>
      <c r="Q44" s="454" t="e">
        <f t="shared" si="106"/>
        <v>#VALUE!</v>
      </c>
      <c r="R44" s="455" t="e">
        <f t="shared" si="106"/>
        <v>#VALUE!</v>
      </c>
      <c r="S44" s="456" t="e">
        <f t="shared" si="106"/>
        <v>#VALUE!</v>
      </c>
      <c r="T44" s="456" t="e">
        <f t="shared" si="106"/>
        <v>#VALUE!</v>
      </c>
      <c r="U44" s="456" t="e">
        <f t="shared" si="106"/>
        <v>#VALUE!</v>
      </c>
      <c r="V44" s="456" t="e">
        <f t="shared" si="106"/>
        <v>#VALUE!</v>
      </c>
      <c r="W44" s="456" t="e">
        <f t="shared" si="106"/>
        <v>#VALUE!</v>
      </c>
      <c r="X44" s="456" t="e">
        <f t="shared" si="106"/>
        <v>#VALUE!</v>
      </c>
      <c r="Y44" s="457" t="e">
        <f t="shared" si="106"/>
        <v>#VALUE!</v>
      </c>
      <c r="Z44" s="247" t="e">
        <f>AVERAGE(K44:Y44)</f>
        <v>#VALUE!</v>
      </c>
      <c r="AC44" s="747" t="s">
        <v>481</v>
      </c>
      <c r="AD44" s="821" t="e">
        <f>AD43/AD10</f>
        <v>#REF!</v>
      </c>
      <c r="AE44" s="821" t="e">
        <f t="shared" ref="AE44:AT44" si="107">AE43/AE10</f>
        <v>#REF!</v>
      </c>
      <c r="AF44" s="821" t="e">
        <f t="shared" si="107"/>
        <v>#REF!</v>
      </c>
      <c r="AG44" s="821" t="e">
        <f t="shared" si="107"/>
        <v>#REF!</v>
      </c>
      <c r="AH44" s="821" t="e">
        <f t="shared" si="107"/>
        <v>#REF!</v>
      </c>
      <c r="AI44" s="826" t="e">
        <f t="shared" si="107"/>
        <v>#REF!</v>
      </c>
      <c r="AJ44" s="826" t="e">
        <f t="shared" si="107"/>
        <v>#REF!</v>
      </c>
      <c r="AK44" s="826" t="e">
        <f t="shared" si="107"/>
        <v>#REF!</v>
      </c>
      <c r="AL44" s="826" t="e">
        <f t="shared" si="107"/>
        <v>#REF!</v>
      </c>
      <c r="AM44" s="821" t="e">
        <f t="shared" si="107"/>
        <v>#REF!</v>
      </c>
      <c r="AN44" s="821" t="e">
        <f t="shared" si="107"/>
        <v>#REF!</v>
      </c>
      <c r="AO44" s="821" t="e">
        <f t="shared" si="107"/>
        <v>#REF!</v>
      </c>
      <c r="AP44" s="821" t="e">
        <f t="shared" si="107"/>
        <v>#REF!</v>
      </c>
      <c r="AQ44" s="834" t="e">
        <f t="shared" si="107"/>
        <v>#REF!</v>
      </c>
      <c r="AR44" s="834" t="e">
        <f t="shared" si="107"/>
        <v>#REF!</v>
      </c>
      <c r="AS44" s="834" t="e">
        <f t="shared" si="107"/>
        <v>#REF!</v>
      </c>
      <c r="AT44" s="835" t="e">
        <f t="shared" si="107"/>
        <v>#REF!</v>
      </c>
      <c r="AU44" s="29"/>
      <c r="AV44" s="29"/>
      <c r="AW44" s="587" t="e">
        <f>BA64</f>
        <v>#REF!</v>
      </c>
      <c r="AX44" s="247"/>
      <c r="AY44" s="247"/>
      <c r="AZ44" s="747" t="s">
        <v>481</v>
      </c>
      <c r="BA44" s="821" t="e">
        <f>BA43/BA10</f>
        <v>#REF!</v>
      </c>
      <c r="BB44" s="821" t="e">
        <f t="shared" ref="BB44:BO44" si="108">BB43/BB10</f>
        <v>#REF!</v>
      </c>
      <c r="BC44" s="821" t="e">
        <f t="shared" si="108"/>
        <v>#REF!</v>
      </c>
      <c r="BD44" s="821" t="e">
        <f t="shared" si="108"/>
        <v>#REF!</v>
      </c>
      <c r="BE44" s="821" t="e">
        <f t="shared" si="108"/>
        <v>#REF!</v>
      </c>
      <c r="BF44" s="826" t="e">
        <f t="shared" si="108"/>
        <v>#REF!</v>
      </c>
      <c r="BG44" s="826" t="e">
        <f t="shared" si="108"/>
        <v>#REF!</v>
      </c>
      <c r="BH44" s="826" t="e">
        <f t="shared" si="108"/>
        <v>#REF!</v>
      </c>
      <c r="BI44" s="826" t="e">
        <f t="shared" si="108"/>
        <v>#REF!</v>
      </c>
      <c r="BJ44" s="821" t="e">
        <f t="shared" si="108"/>
        <v>#REF!</v>
      </c>
      <c r="BK44" s="821" t="e">
        <f t="shared" si="108"/>
        <v>#REF!</v>
      </c>
      <c r="BL44" s="821" t="e">
        <f t="shared" si="108"/>
        <v>#REF!</v>
      </c>
      <c r="BM44" s="821" t="e">
        <f t="shared" si="108"/>
        <v>#REF!</v>
      </c>
      <c r="BN44" s="834" t="e">
        <f t="shared" si="108"/>
        <v>#REF!</v>
      </c>
      <c r="BO44" s="834" t="e">
        <f t="shared" si="108"/>
        <v>#REF!</v>
      </c>
      <c r="BP44" s="834" t="e">
        <f t="shared" ref="BP44:BQ44" si="109">BP43/BP10</f>
        <v>#REF!</v>
      </c>
      <c r="BQ44" s="835" t="e">
        <f t="shared" si="109"/>
        <v>#REF!</v>
      </c>
      <c r="BR44" s="585"/>
      <c r="BS44" s="585"/>
      <c r="BT44" s="585"/>
      <c r="BU44" s="247"/>
      <c r="BV44" s="903"/>
      <c r="BW44" s="420"/>
      <c r="BX44" s="420"/>
      <c r="BY44" s="854" t="s">
        <v>480</v>
      </c>
      <c r="BZ44" s="904" t="e">
        <f>BZ43/BZ10</f>
        <v>#REF!</v>
      </c>
      <c r="CA44" s="904" t="e">
        <f t="shared" ref="CA44:CN44" si="110">CA43/CA10</f>
        <v>#REF!</v>
      </c>
      <c r="CB44" s="904" t="e">
        <f t="shared" si="110"/>
        <v>#REF!</v>
      </c>
      <c r="CC44" s="904" t="e">
        <f t="shared" si="110"/>
        <v>#REF!</v>
      </c>
      <c r="CD44" s="904" t="e">
        <f t="shared" si="110"/>
        <v>#REF!</v>
      </c>
      <c r="CE44" s="904" t="e">
        <f t="shared" si="110"/>
        <v>#REF!</v>
      </c>
      <c r="CF44" s="904" t="e">
        <f t="shared" si="110"/>
        <v>#REF!</v>
      </c>
      <c r="CG44" s="905" t="e">
        <f t="shared" si="110"/>
        <v>#REF!</v>
      </c>
      <c r="CH44" s="904" t="e">
        <f t="shared" si="110"/>
        <v>#REF!</v>
      </c>
      <c r="CI44" s="904" t="e">
        <f t="shared" si="110"/>
        <v>#REF!</v>
      </c>
      <c r="CJ44" s="904" t="e">
        <f t="shared" si="110"/>
        <v>#REF!</v>
      </c>
      <c r="CK44" s="904" t="e">
        <f t="shared" si="110"/>
        <v>#REF!</v>
      </c>
      <c r="CL44" s="904" t="e">
        <f t="shared" si="110"/>
        <v>#REF!</v>
      </c>
      <c r="CM44" s="904" t="e">
        <f t="shared" si="110"/>
        <v>#REF!</v>
      </c>
      <c r="CN44" s="905" t="e">
        <f t="shared" si="110"/>
        <v>#REF!</v>
      </c>
      <c r="CO44" s="905" t="e">
        <f t="shared" ref="CO44:CP44" si="111">CO43/CO10</f>
        <v>#REF!</v>
      </c>
      <c r="CP44" s="906" t="e">
        <f t="shared" si="111"/>
        <v>#REF!</v>
      </c>
      <c r="CQ44" s="903"/>
      <c r="CR44" s="903"/>
      <c r="CS44" s="903"/>
      <c r="CT44" s="903"/>
      <c r="CU44" s="903"/>
      <c r="CV44" s="420"/>
      <c r="CW44" s="420"/>
      <c r="CX44" s="854" t="s">
        <v>480</v>
      </c>
      <c r="CY44" s="904" t="e">
        <f>CY43/CY10</f>
        <v>#REF!</v>
      </c>
      <c r="CZ44" s="904" t="e">
        <f t="shared" ref="CZ44:DM44" si="112">CZ43/CZ10</f>
        <v>#REF!</v>
      </c>
      <c r="DA44" s="904" t="e">
        <f t="shared" si="112"/>
        <v>#REF!</v>
      </c>
      <c r="DB44" s="904" t="e">
        <f t="shared" si="112"/>
        <v>#REF!</v>
      </c>
      <c r="DC44" s="904" t="e">
        <f t="shared" si="112"/>
        <v>#REF!</v>
      </c>
      <c r="DD44" s="904" t="e">
        <f t="shared" si="112"/>
        <v>#REF!</v>
      </c>
      <c r="DE44" s="904" t="e">
        <f t="shared" si="112"/>
        <v>#REF!</v>
      </c>
      <c r="DF44" s="905" t="e">
        <f t="shared" si="112"/>
        <v>#REF!</v>
      </c>
      <c r="DG44" s="904" t="e">
        <f t="shared" si="112"/>
        <v>#REF!</v>
      </c>
      <c r="DH44" s="904" t="e">
        <f t="shared" si="112"/>
        <v>#REF!</v>
      </c>
      <c r="DI44" s="904" t="e">
        <f t="shared" si="112"/>
        <v>#REF!</v>
      </c>
      <c r="DJ44" s="904" t="e">
        <f t="shared" si="112"/>
        <v>#REF!</v>
      </c>
      <c r="DK44" s="904" t="e">
        <f t="shared" si="112"/>
        <v>#REF!</v>
      </c>
      <c r="DL44" s="904" t="e">
        <f t="shared" si="112"/>
        <v>#REF!</v>
      </c>
      <c r="DM44" s="905" t="e">
        <f t="shared" si="112"/>
        <v>#REF!</v>
      </c>
      <c r="DN44" s="905" t="e">
        <f t="shared" ref="DN44:DO44" si="113">DN43/DN10</f>
        <v>#REF!</v>
      </c>
      <c r="DO44" s="906" t="e">
        <f t="shared" si="113"/>
        <v>#REF!</v>
      </c>
      <c r="DP44" s="903"/>
      <c r="DQ44" s="903"/>
      <c r="DR44" s="247"/>
    </row>
    <row r="45" spans="1:122">
      <c r="A45" s="36"/>
      <c r="B45" s="399">
        <f>1+B25+B26</f>
        <v>1.65</v>
      </c>
      <c r="C45" s="36"/>
      <c r="D45" s="466">
        <f>(C43*2*10-1)*B1/10/4000</f>
        <v>920.79286249999984</v>
      </c>
      <c r="E45" s="36"/>
      <c r="F45" s="36"/>
      <c r="G45" s="36"/>
      <c r="H45" s="36"/>
      <c r="I45" s="36"/>
      <c r="J45" s="419"/>
      <c r="K45" s="419"/>
      <c r="L45" s="419"/>
      <c r="M45" s="419"/>
      <c r="N45" s="420"/>
      <c r="O45" s="420"/>
      <c r="P45" s="420"/>
      <c r="Q45" s="420"/>
      <c r="R45" s="420"/>
      <c r="S45" s="420"/>
      <c r="T45" s="420"/>
      <c r="U45" s="420"/>
      <c r="V45" s="420"/>
      <c r="W45" s="420"/>
      <c r="X45" s="420"/>
      <c r="Y45" s="420"/>
      <c r="BV45" s="420"/>
      <c r="BW45" s="420"/>
      <c r="BX45" s="420"/>
      <c r="BY45" s="420"/>
      <c r="BZ45" s="420"/>
      <c r="CA45" s="420"/>
      <c r="CB45" s="420"/>
      <c r="CC45" s="420"/>
      <c r="CD45" s="420"/>
      <c r="CE45" s="420"/>
      <c r="CF45" s="420"/>
      <c r="CG45" s="420"/>
      <c r="CH45" s="420"/>
      <c r="CI45" s="420"/>
      <c r="CJ45" s="420"/>
      <c r="CK45" s="420"/>
      <c r="CL45" s="420"/>
      <c r="CM45" s="420"/>
      <c r="CN45" s="420"/>
      <c r="CO45" s="420"/>
      <c r="CP45" s="420"/>
      <c r="CQ45" s="420"/>
      <c r="CR45" s="420"/>
      <c r="CS45" s="420"/>
      <c r="CT45" s="420"/>
      <c r="CU45" s="420"/>
      <c r="CV45" s="420"/>
      <c r="CW45" s="420"/>
      <c r="CX45" s="420"/>
      <c r="CY45" s="420"/>
      <c r="CZ45" s="420"/>
      <c r="DA45" s="420"/>
      <c r="DB45" s="420"/>
      <c r="DC45" s="420"/>
      <c r="DD45" s="420"/>
      <c r="DE45" s="420"/>
      <c r="DF45" s="420"/>
      <c r="DG45" s="420"/>
      <c r="DH45" s="420"/>
      <c r="DI45" s="420"/>
      <c r="DJ45" s="420"/>
      <c r="DK45" s="420"/>
      <c r="DL45" s="420"/>
      <c r="DM45" s="420"/>
      <c r="DN45" s="420"/>
      <c r="DO45" s="420"/>
      <c r="DP45" s="420"/>
      <c r="DQ45" s="420"/>
    </row>
    <row r="46" spans="1:122">
      <c r="A46" s="36"/>
      <c r="B46" s="36"/>
      <c r="C46" s="36"/>
      <c r="D46" s="36"/>
      <c r="E46" s="36"/>
      <c r="F46" s="36"/>
      <c r="G46" s="36"/>
      <c r="H46" s="36"/>
      <c r="I46" s="36"/>
      <c r="J46" s="907" t="s">
        <v>482</v>
      </c>
      <c r="K46" s="907" t="e">
        <f>K43/($D12/1000)</f>
        <v>#VALUE!</v>
      </c>
      <c r="L46" s="907" t="e">
        <f t="shared" ref="L46:Y46" si="114">L43/($D12/1000)</f>
        <v>#VALUE!</v>
      </c>
      <c r="M46" s="907" t="e">
        <f t="shared" si="114"/>
        <v>#VALUE!</v>
      </c>
      <c r="N46" s="907" t="e">
        <f t="shared" si="114"/>
        <v>#VALUE!</v>
      </c>
      <c r="O46" s="907" t="e">
        <f t="shared" si="114"/>
        <v>#VALUE!</v>
      </c>
      <c r="P46" s="907" t="e">
        <f t="shared" si="114"/>
        <v>#VALUE!</v>
      </c>
      <c r="Q46" s="907" t="e">
        <f>Q43/($D12/1000)</f>
        <v>#VALUE!</v>
      </c>
      <c r="R46" s="907" t="e">
        <f t="shared" si="114"/>
        <v>#VALUE!</v>
      </c>
      <c r="S46" s="907" t="e">
        <f t="shared" si="114"/>
        <v>#VALUE!</v>
      </c>
      <c r="T46" s="907" t="e">
        <f t="shared" si="114"/>
        <v>#VALUE!</v>
      </c>
      <c r="U46" s="907" t="e">
        <f t="shared" si="114"/>
        <v>#VALUE!</v>
      </c>
      <c r="V46" s="907" t="e">
        <f t="shared" si="114"/>
        <v>#VALUE!</v>
      </c>
      <c r="W46" s="907" t="e">
        <f t="shared" si="114"/>
        <v>#VALUE!</v>
      </c>
      <c r="X46" s="907" t="e">
        <f t="shared" si="114"/>
        <v>#VALUE!</v>
      </c>
      <c r="Y46" s="907" t="e">
        <f t="shared" si="114"/>
        <v>#VALUE!</v>
      </c>
      <c r="Z46" s="22" t="e">
        <f>AVERAGE(K46:Y46)</f>
        <v>#VALUE!</v>
      </c>
      <c r="AC46" s="36"/>
      <c r="AD46" s="36"/>
      <c r="AE46" s="36"/>
      <c r="AF46" s="36"/>
      <c r="AG46" s="36"/>
      <c r="AH46" s="36"/>
      <c r="AI46" s="36"/>
      <c r="AJ46" s="36"/>
      <c r="AK46" s="36"/>
      <c r="AL46" s="36"/>
      <c r="AM46" s="36"/>
      <c r="AN46" s="36"/>
      <c r="AO46" s="36"/>
      <c r="AP46" s="36"/>
      <c r="AQ46" s="36" t="e">
        <f t="shared" ref="AQ46:AR46" si="115">AQ43/($C12/1000)</f>
        <v>#REF!</v>
      </c>
      <c r="AR46" s="36" t="e">
        <f t="shared" si="115"/>
        <v>#REF!</v>
      </c>
      <c r="AS46" s="36"/>
      <c r="AT46" s="36"/>
      <c r="AU46" s="36"/>
      <c r="AV46" s="36"/>
      <c r="AZ46" s="36"/>
      <c r="BA46" s="36"/>
      <c r="BB46" s="36"/>
      <c r="BC46" s="36"/>
      <c r="BD46" s="36"/>
      <c r="BE46" s="36"/>
      <c r="BF46" s="36"/>
      <c r="BG46" s="36"/>
      <c r="BH46" s="36"/>
      <c r="BI46" s="36"/>
      <c r="BJ46" s="36"/>
      <c r="BK46" s="36"/>
      <c r="BL46" s="36"/>
      <c r="BM46" s="36"/>
      <c r="BN46" s="36"/>
      <c r="BO46" s="36"/>
      <c r="BV46" s="420"/>
      <c r="BW46" s="420"/>
      <c r="BX46" s="420"/>
      <c r="BY46" s="907" t="s">
        <v>482</v>
      </c>
      <c r="BZ46" s="907" t="e">
        <f>BZ43/($E12/1000)</f>
        <v>#REF!</v>
      </c>
      <c r="CA46" s="907" t="e">
        <f t="shared" ref="CA46:CN46" si="116">CA43/($E12/1000)</f>
        <v>#REF!</v>
      </c>
      <c r="CB46" s="907" t="e">
        <f t="shared" si="116"/>
        <v>#REF!</v>
      </c>
      <c r="CC46" s="907" t="e">
        <f t="shared" si="116"/>
        <v>#REF!</v>
      </c>
      <c r="CD46" s="907" t="e">
        <f t="shared" si="116"/>
        <v>#REF!</v>
      </c>
      <c r="CE46" s="907" t="e">
        <f t="shared" si="116"/>
        <v>#REF!</v>
      </c>
      <c r="CF46" s="907" t="e">
        <f t="shared" si="116"/>
        <v>#REF!</v>
      </c>
      <c r="CG46" s="907" t="e">
        <f t="shared" si="116"/>
        <v>#REF!</v>
      </c>
      <c r="CH46" s="907" t="e">
        <f t="shared" si="116"/>
        <v>#REF!</v>
      </c>
      <c r="CI46" s="907" t="e">
        <f t="shared" si="116"/>
        <v>#REF!</v>
      </c>
      <c r="CJ46" s="907" t="e">
        <f t="shared" si="116"/>
        <v>#REF!</v>
      </c>
      <c r="CK46" s="907" t="e">
        <f t="shared" si="116"/>
        <v>#REF!</v>
      </c>
      <c r="CL46" s="907" t="e">
        <f t="shared" si="116"/>
        <v>#REF!</v>
      </c>
      <c r="CM46" s="907" t="e">
        <f t="shared" si="116"/>
        <v>#REF!</v>
      </c>
      <c r="CN46" s="907" t="e">
        <f t="shared" si="116"/>
        <v>#REF!</v>
      </c>
      <c r="CO46" s="907"/>
      <c r="CP46" s="907"/>
      <c r="CQ46" s="907"/>
      <c r="CR46" s="907"/>
      <c r="CS46" s="420"/>
      <c r="CT46" s="420"/>
      <c r="CU46" s="420"/>
      <c r="CV46" s="420"/>
      <c r="CW46" s="420"/>
      <c r="CX46" s="907" t="s">
        <v>482</v>
      </c>
      <c r="CY46" s="907" t="e">
        <f>CY43/($F12/1000)</f>
        <v>#REF!</v>
      </c>
      <c r="CZ46" s="907" t="e">
        <f t="shared" ref="CZ46:DM46" si="117">CZ43/($F12/1000)</f>
        <v>#REF!</v>
      </c>
      <c r="DA46" s="907" t="e">
        <f t="shared" si="117"/>
        <v>#REF!</v>
      </c>
      <c r="DB46" s="907" t="e">
        <f t="shared" si="117"/>
        <v>#REF!</v>
      </c>
      <c r="DC46" s="907" t="e">
        <f t="shared" si="117"/>
        <v>#REF!</v>
      </c>
      <c r="DD46" s="907" t="e">
        <f t="shared" si="117"/>
        <v>#REF!</v>
      </c>
      <c r="DE46" s="907" t="e">
        <f t="shared" si="117"/>
        <v>#REF!</v>
      </c>
      <c r="DF46" s="907" t="e">
        <f t="shared" si="117"/>
        <v>#REF!</v>
      </c>
      <c r="DG46" s="907" t="e">
        <f t="shared" si="117"/>
        <v>#REF!</v>
      </c>
      <c r="DH46" s="907" t="e">
        <f t="shared" si="117"/>
        <v>#REF!</v>
      </c>
      <c r="DI46" s="907" t="e">
        <f t="shared" si="117"/>
        <v>#REF!</v>
      </c>
      <c r="DJ46" s="907" t="e">
        <f t="shared" si="117"/>
        <v>#REF!</v>
      </c>
      <c r="DK46" s="907" t="e">
        <f t="shared" si="117"/>
        <v>#REF!</v>
      </c>
      <c r="DL46" s="907" t="e">
        <f t="shared" si="117"/>
        <v>#REF!</v>
      </c>
      <c r="DM46" s="907" t="e">
        <f t="shared" si="117"/>
        <v>#REF!</v>
      </c>
      <c r="DN46" s="420" t="e">
        <f>AVERAGE(CY46:DM46)</f>
        <v>#REF!</v>
      </c>
      <c r="DO46" s="420"/>
      <c r="DP46" s="420"/>
      <c r="DQ46" s="420"/>
    </row>
    <row r="47" spans="1:122">
      <c r="A47" s="36"/>
      <c r="B47" s="36"/>
      <c r="C47" s="36"/>
      <c r="D47" s="36"/>
      <c r="E47" s="36"/>
      <c r="F47" s="36"/>
      <c r="G47" s="36"/>
      <c r="H47" s="36"/>
      <c r="I47" s="36"/>
      <c r="J47" s="907" t="s">
        <v>483</v>
      </c>
      <c r="K47" s="907" t="e">
        <f>K44/($D12/1000)</f>
        <v>#VALUE!</v>
      </c>
      <c r="L47" s="907" t="e">
        <f t="shared" ref="L47:Y47" si="118">L44/($D12/1000)</f>
        <v>#VALUE!</v>
      </c>
      <c r="M47" s="907" t="e">
        <f t="shared" si="118"/>
        <v>#VALUE!</v>
      </c>
      <c r="N47" s="907" t="e">
        <f t="shared" si="118"/>
        <v>#VALUE!</v>
      </c>
      <c r="O47" s="907" t="e">
        <f t="shared" si="118"/>
        <v>#VALUE!</v>
      </c>
      <c r="P47" s="907" t="e">
        <f t="shared" si="118"/>
        <v>#VALUE!</v>
      </c>
      <c r="Q47" s="907" t="e">
        <f t="shared" si="118"/>
        <v>#VALUE!</v>
      </c>
      <c r="R47" s="907" t="e">
        <f t="shared" si="118"/>
        <v>#VALUE!</v>
      </c>
      <c r="S47" s="907" t="e">
        <f t="shared" si="118"/>
        <v>#VALUE!</v>
      </c>
      <c r="T47" s="907" t="e">
        <f t="shared" si="118"/>
        <v>#VALUE!</v>
      </c>
      <c r="U47" s="907" t="e">
        <f t="shared" si="118"/>
        <v>#VALUE!</v>
      </c>
      <c r="V47" s="907" t="e">
        <f t="shared" si="118"/>
        <v>#VALUE!</v>
      </c>
      <c r="W47" s="907" t="e">
        <f t="shared" si="118"/>
        <v>#VALUE!</v>
      </c>
      <c r="X47" s="907" t="e">
        <f t="shared" si="118"/>
        <v>#VALUE!</v>
      </c>
      <c r="Y47" s="907" t="e">
        <f t="shared" si="118"/>
        <v>#VALUE!</v>
      </c>
      <c r="Z47" s="22" t="e">
        <f>AVERAGE(K47:Y47)</f>
        <v>#VALUE!</v>
      </c>
      <c r="AC47" s="36"/>
      <c r="AD47" s="36"/>
      <c r="AE47" s="36"/>
      <c r="AF47" s="36"/>
      <c r="AG47" s="36"/>
      <c r="AH47" s="36"/>
      <c r="AI47" s="36"/>
      <c r="AJ47" s="36"/>
      <c r="AK47" s="36"/>
      <c r="AL47" s="36"/>
      <c r="AM47" s="36"/>
      <c r="AN47" s="36"/>
      <c r="AO47" s="36"/>
      <c r="AP47" s="36"/>
      <c r="AQ47" s="36" t="e">
        <f t="shared" ref="AQ47:AR47" si="119">AQ44/($C12/1000)</f>
        <v>#REF!</v>
      </c>
      <c r="AR47" s="36" t="e">
        <f t="shared" si="119"/>
        <v>#REF!</v>
      </c>
      <c r="AS47" s="36"/>
      <c r="AT47" s="36"/>
      <c r="AU47" s="36"/>
      <c r="AV47" s="36"/>
      <c r="AZ47" s="36"/>
      <c r="BA47" s="466"/>
      <c r="BB47" s="36"/>
      <c r="BC47" s="36"/>
      <c r="BD47" s="36"/>
      <c r="BE47" s="36"/>
      <c r="BF47" s="36"/>
      <c r="BG47" s="36"/>
      <c r="BH47" s="36"/>
      <c r="BI47" s="36"/>
      <c r="BJ47" s="36"/>
      <c r="BK47" s="36"/>
      <c r="BL47" s="36"/>
      <c r="BM47" s="36"/>
      <c r="BN47" s="36"/>
      <c r="BO47" s="36"/>
      <c r="BV47" s="420"/>
      <c r="BW47" s="420"/>
      <c r="BX47" s="420"/>
      <c r="BY47" s="907" t="s">
        <v>483</v>
      </c>
      <c r="BZ47" s="907" t="e">
        <f>BZ44/($E12/1000)</f>
        <v>#REF!</v>
      </c>
      <c r="CA47" s="907" t="e">
        <f t="shared" ref="CA47:CN47" si="120">CA44/($E12/1000)</f>
        <v>#REF!</v>
      </c>
      <c r="CB47" s="907" t="e">
        <f t="shared" si="120"/>
        <v>#REF!</v>
      </c>
      <c r="CC47" s="907" t="e">
        <f t="shared" si="120"/>
        <v>#REF!</v>
      </c>
      <c r="CD47" s="907" t="e">
        <f t="shared" si="120"/>
        <v>#REF!</v>
      </c>
      <c r="CE47" s="907" t="e">
        <f t="shared" si="120"/>
        <v>#REF!</v>
      </c>
      <c r="CF47" s="907" t="e">
        <f t="shared" si="120"/>
        <v>#REF!</v>
      </c>
      <c r="CG47" s="907" t="e">
        <f t="shared" si="120"/>
        <v>#REF!</v>
      </c>
      <c r="CH47" s="907" t="e">
        <f t="shared" si="120"/>
        <v>#REF!</v>
      </c>
      <c r="CI47" s="907" t="e">
        <f t="shared" si="120"/>
        <v>#REF!</v>
      </c>
      <c r="CJ47" s="907" t="e">
        <f t="shared" si="120"/>
        <v>#REF!</v>
      </c>
      <c r="CK47" s="907" t="e">
        <f t="shared" si="120"/>
        <v>#REF!</v>
      </c>
      <c r="CL47" s="907" t="e">
        <f t="shared" si="120"/>
        <v>#REF!</v>
      </c>
      <c r="CM47" s="907" t="e">
        <f t="shared" si="120"/>
        <v>#REF!</v>
      </c>
      <c r="CN47" s="907" t="e">
        <f t="shared" si="120"/>
        <v>#REF!</v>
      </c>
      <c r="CO47" s="907"/>
      <c r="CP47" s="907"/>
      <c r="CQ47" s="907"/>
      <c r="CR47" s="907"/>
      <c r="CS47" s="420"/>
      <c r="CT47" s="420"/>
      <c r="CU47" s="420"/>
      <c r="CV47" s="420"/>
      <c r="CW47" s="420"/>
      <c r="CX47" s="907" t="s">
        <v>483</v>
      </c>
      <c r="CY47" s="907" t="e">
        <f>CY44/($F12/1000)</f>
        <v>#REF!</v>
      </c>
      <c r="CZ47" s="907" t="e">
        <f t="shared" ref="CZ47:DM47" si="121">CZ44/($F12/1000)</f>
        <v>#REF!</v>
      </c>
      <c r="DA47" s="907" t="e">
        <f t="shared" si="121"/>
        <v>#REF!</v>
      </c>
      <c r="DB47" s="907" t="e">
        <f t="shared" si="121"/>
        <v>#REF!</v>
      </c>
      <c r="DC47" s="907" t="e">
        <f t="shared" si="121"/>
        <v>#REF!</v>
      </c>
      <c r="DD47" s="907" t="e">
        <f t="shared" si="121"/>
        <v>#REF!</v>
      </c>
      <c r="DE47" s="907" t="e">
        <f t="shared" si="121"/>
        <v>#REF!</v>
      </c>
      <c r="DF47" s="907" t="e">
        <f t="shared" si="121"/>
        <v>#REF!</v>
      </c>
      <c r="DG47" s="907" t="e">
        <f t="shared" si="121"/>
        <v>#REF!</v>
      </c>
      <c r="DH47" s="907" t="e">
        <f t="shared" si="121"/>
        <v>#REF!</v>
      </c>
      <c r="DI47" s="907" t="e">
        <f t="shared" si="121"/>
        <v>#REF!</v>
      </c>
      <c r="DJ47" s="907" t="e">
        <f t="shared" si="121"/>
        <v>#REF!</v>
      </c>
      <c r="DK47" s="907" t="e">
        <f t="shared" si="121"/>
        <v>#REF!</v>
      </c>
      <c r="DL47" s="907" t="e">
        <f t="shared" si="121"/>
        <v>#REF!</v>
      </c>
      <c r="DM47" s="907" t="e">
        <f t="shared" si="121"/>
        <v>#REF!</v>
      </c>
      <c r="DN47" s="420" t="e">
        <f>AVERAGE(CY47:DM47)</f>
        <v>#REF!</v>
      </c>
      <c r="DO47" s="420"/>
      <c r="DP47" s="420"/>
      <c r="DQ47" s="420"/>
    </row>
    <row r="48" spans="1:122">
      <c r="A48" s="36"/>
      <c r="B48" s="36" t="s">
        <v>484</v>
      </c>
      <c r="C48" s="36">
        <f>1/((1+8.5%)^20)</f>
        <v>0.19561638835435877</v>
      </c>
      <c r="D48" s="36"/>
      <c r="E48" s="36"/>
      <c r="F48" s="36"/>
      <c r="G48" s="36"/>
      <c r="H48" s="36"/>
      <c r="I48" s="36"/>
      <c r="J48" s="420" t="s">
        <v>485</v>
      </c>
      <c r="K48" s="907" t="e">
        <f>K43/$D$13</f>
        <v>#VALUE!</v>
      </c>
      <c r="L48" s="907" t="e">
        <f t="shared" ref="L48:Y48" si="122">L43/$D$13</f>
        <v>#VALUE!</v>
      </c>
      <c r="M48" s="907" t="e">
        <f t="shared" si="122"/>
        <v>#VALUE!</v>
      </c>
      <c r="N48" s="907" t="e">
        <f t="shared" si="122"/>
        <v>#VALUE!</v>
      </c>
      <c r="O48" s="907" t="e">
        <f t="shared" si="122"/>
        <v>#VALUE!</v>
      </c>
      <c r="P48" s="907" t="e">
        <f t="shared" si="122"/>
        <v>#VALUE!</v>
      </c>
      <c r="Q48" s="907" t="e">
        <f t="shared" si="122"/>
        <v>#VALUE!</v>
      </c>
      <c r="R48" s="907" t="e">
        <f t="shared" si="122"/>
        <v>#VALUE!</v>
      </c>
      <c r="S48" s="907" t="e">
        <f t="shared" si="122"/>
        <v>#VALUE!</v>
      </c>
      <c r="T48" s="907" t="e">
        <f t="shared" si="122"/>
        <v>#VALUE!</v>
      </c>
      <c r="U48" s="907" t="e">
        <f t="shared" si="122"/>
        <v>#VALUE!</v>
      </c>
      <c r="V48" s="907" t="e">
        <f t="shared" si="122"/>
        <v>#VALUE!</v>
      </c>
      <c r="W48" s="907" t="e">
        <f t="shared" si="122"/>
        <v>#VALUE!</v>
      </c>
      <c r="X48" s="907" t="e">
        <f t="shared" si="122"/>
        <v>#VALUE!</v>
      </c>
      <c r="Y48" s="907" t="e">
        <f t="shared" si="122"/>
        <v>#VALUE!</v>
      </c>
      <c r="Z48" s="22" t="e">
        <f t="shared" ref="Z48:Z51" si="123">AVERAGE(K48:Y48)</f>
        <v>#VALUE!</v>
      </c>
      <c r="AD48" s="36"/>
      <c r="AE48" s="36"/>
      <c r="AF48" s="36"/>
      <c r="AG48" s="36"/>
      <c r="AH48" s="36"/>
      <c r="AI48" s="36"/>
      <c r="AJ48" s="36"/>
      <c r="AK48" s="36"/>
      <c r="AL48" s="36"/>
      <c r="AM48" s="36"/>
      <c r="AN48" s="36"/>
      <c r="AO48" s="36"/>
      <c r="AP48" s="36"/>
      <c r="AQ48" s="36" t="e">
        <f t="shared" ref="AQ48:AR48" si="124">AQ43/$C$13</f>
        <v>#REF!</v>
      </c>
      <c r="AR48" s="36" t="e">
        <f t="shared" si="124"/>
        <v>#REF!</v>
      </c>
      <c r="AS48" s="36"/>
      <c r="AT48" s="22" t="s">
        <v>437</v>
      </c>
      <c r="AV48" s="22" t="s">
        <v>439</v>
      </c>
      <c r="BA48" s="36"/>
      <c r="BB48" s="36"/>
      <c r="BC48" s="36"/>
      <c r="BD48" s="36"/>
      <c r="BE48" s="1413" t="s">
        <v>486</v>
      </c>
      <c r="BF48" s="1413"/>
      <c r="BG48" s="1413"/>
      <c r="BH48" s="1413"/>
      <c r="BI48" s="36"/>
      <c r="BJ48" s="36"/>
      <c r="BK48" s="36"/>
      <c r="BL48" s="36"/>
      <c r="BM48" s="36"/>
      <c r="BN48" s="36"/>
      <c r="BO48" s="36"/>
      <c r="BV48" s="420"/>
      <c r="BW48" s="420"/>
      <c r="BX48" s="420"/>
      <c r="BY48" s="420" t="s">
        <v>485</v>
      </c>
      <c r="BZ48" s="907" t="e">
        <f>BZ43/$E$13</f>
        <v>#REF!</v>
      </c>
      <c r="CA48" s="907" t="e">
        <f t="shared" ref="CA48:CN48" si="125">CA43/$E$13</f>
        <v>#REF!</v>
      </c>
      <c r="CB48" s="907" t="e">
        <f t="shared" si="125"/>
        <v>#REF!</v>
      </c>
      <c r="CC48" s="907" t="e">
        <f t="shared" si="125"/>
        <v>#REF!</v>
      </c>
      <c r="CD48" s="907" t="e">
        <f t="shared" si="125"/>
        <v>#REF!</v>
      </c>
      <c r="CE48" s="907" t="e">
        <f t="shared" si="125"/>
        <v>#REF!</v>
      </c>
      <c r="CF48" s="907" t="e">
        <f t="shared" si="125"/>
        <v>#REF!</v>
      </c>
      <c r="CG48" s="907" t="e">
        <f t="shared" si="125"/>
        <v>#REF!</v>
      </c>
      <c r="CH48" s="907" t="e">
        <f t="shared" si="125"/>
        <v>#REF!</v>
      </c>
      <c r="CI48" s="907" t="e">
        <f t="shared" si="125"/>
        <v>#REF!</v>
      </c>
      <c r="CJ48" s="907" t="e">
        <f t="shared" si="125"/>
        <v>#REF!</v>
      </c>
      <c r="CK48" s="907" t="e">
        <f t="shared" si="125"/>
        <v>#REF!</v>
      </c>
      <c r="CL48" s="907" t="e">
        <f t="shared" si="125"/>
        <v>#REF!</v>
      </c>
      <c r="CM48" s="907" t="e">
        <f t="shared" si="125"/>
        <v>#REF!</v>
      </c>
      <c r="CN48" s="907" t="e">
        <f t="shared" si="125"/>
        <v>#REF!</v>
      </c>
      <c r="CO48" s="907"/>
      <c r="CP48" s="907"/>
      <c r="CQ48" s="907"/>
      <c r="CR48" s="907"/>
      <c r="CS48" s="420"/>
      <c r="CT48" s="420"/>
      <c r="CU48" s="420"/>
      <c r="CV48" s="420"/>
      <c r="CW48" s="420"/>
      <c r="CX48" s="420" t="s">
        <v>485</v>
      </c>
      <c r="CY48" s="907" t="e">
        <f>CY43/$F$13</f>
        <v>#REF!</v>
      </c>
      <c r="CZ48" s="907" t="e">
        <f t="shared" ref="CZ48:DM48" si="126">CZ43/$B$13</f>
        <v>#REF!</v>
      </c>
      <c r="DA48" s="907" t="e">
        <f t="shared" si="126"/>
        <v>#REF!</v>
      </c>
      <c r="DB48" s="907" t="e">
        <f t="shared" si="126"/>
        <v>#REF!</v>
      </c>
      <c r="DC48" s="907" t="e">
        <f t="shared" si="126"/>
        <v>#REF!</v>
      </c>
      <c r="DD48" s="907" t="e">
        <f t="shared" si="126"/>
        <v>#REF!</v>
      </c>
      <c r="DE48" s="907" t="e">
        <f t="shared" si="126"/>
        <v>#REF!</v>
      </c>
      <c r="DF48" s="907" t="e">
        <f t="shared" si="126"/>
        <v>#REF!</v>
      </c>
      <c r="DG48" s="907" t="e">
        <f t="shared" si="126"/>
        <v>#REF!</v>
      </c>
      <c r="DH48" s="907" t="e">
        <f t="shared" si="126"/>
        <v>#REF!</v>
      </c>
      <c r="DI48" s="907" t="e">
        <f t="shared" si="126"/>
        <v>#REF!</v>
      </c>
      <c r="DJ48" s="907" t="e">
        <f t="shared" si="126"/>
        <v>#REF!</v>
      </c>
      <c r="DK48" s="907" t="e">
        <f t="shared" si="126"/>
        <v>#REF!</v>
      </c>
      <c r="DL48" s="907" t="e">
        <f t="shared" si="126"/>
        <v>#REF!</v>
      </c>
      <c r="DM48" s="907" t="e">
        <f t="shared" si="126"/>
        <v>#REF!</v>
      </c>
      <c r="DN48" s="420" t="e">
        <f t="shared" ref="DN48:DN51" si="127">AVERAGE(CY48:DM48)</f>
        <v>#REF!</v>
      </c>
      <c r="DO48" s="420"/>
      <c r="DP48" s="420"/>
      <c r="DQ48" s="420"/>
    </row>
    <row r="49" spans="1:121">
      <c r="A49" s="210"/>
      <c r="B49" s="56" t="s">
        <v>487</v>
      </c>
      <c r="C49" s="56">
        <f>(1-C48)*(1/8.5%)</f>
        <v>9.4633366075957781</v>
      </c>
      <c r="D49" s="56"/>
      <c r="E49" s="56"/>
      <c r="F49" s="56"/>
      <c r="G49" s="56"/>
      <c r="H49" s="56"/>
      <c r="I49" s="56"/>
      <c r="J49" s="420" t="s">
        <v>488</v>
      </c>
      <c r="K49" s="418" t="e">
        <f>K44/$D13</f>
        <v>#VALUE!</v>
      </c>
      <c r="L49" s="418" t="e">
        <f t="shared" ref="L49:Y49" si="128">L44/$D13</f>
        <v>#VALUE!</v>
      </c>
      <c r="M49" s="418" t="e">
        <f t="shared" si="128"/>
        <v>#VALUE!</v>
      </c>
      <c r="N49" s="418" t="e">
        <f t="shared" si="128"/>
        <v>#VALUE!</v>
      </c>
      <c r="O49" s="418" t="e">
        <f t="shared" si="128"/>
        <v>#VALUE!</v>
      </c>
      <c r="P49" s="418" t="e">
        <f t="shared" si="128"/>
        <v>#VALUE!</v>
      </c>
      <c r="Q49" s="418" t="e">
        <f t="shared" si="128"/>
        <v>#VALUE!</v>
      </c>
      <c r="R49" s="418" t="e">
        <f t="shared" si="128"/>
        <v>#VALUE!</v>
      </c>
      <c r="S49" s="418" t="e">
        <f t="shared" si="128"/>
        <v>#VALUE!</v>
      </c>
      <c r="T49" s="418" t="e">
        <f t="shared" si="128"/>
        <v>#VALUE!</v>
      </c>
      <c r="U49" s="418" t="e">
        <f t="shared" si="128"/>
        <v>#VALUE!</v>
      </c>
      <c r="V49" s="418" t="e">
        <f t="shared" si="128"/>
        <v>#VALUE!</v>
      </c>
      <c r="W49" s="418" t="e">
        <f t="shared" si="128"/>
        <v>#VALUE!</v>
      </c>
      <c r="X49" s="418" t="e">
        <f t="shared" si="128"/>
        <v>#VALUE!</v>
      </c>
      <c r="Y49" s="418" t="e">
        <f t="shared" si="128"/>
        <v>#VALUE!</v>
      </c>
      <c r="Z49" s="22" t="e">
        <f t="shared" si="123"/>
        <v>#VALUE!</v>
      </c>
      <c r="AD49" s="56"/>
      <c r="AE49" s="56"/>
      <c r="AF49" s="56"/>
      <c r="AG49" s="56"/>
      <c r="AH49" s="56"/>
      <c r="AI49" s="56"/>
      <c r="AJ49" s="56"/>
      <c r="AK49" s="56"/>
      <c r="AL49" s="56"/>
      <c r="AM49" s="56"/>
      <c r="AN49" s="56"/>
      <c r="AO49" s="56"/>
      <c r="AP49" s="56"/>
      <c r="AQ49" s="56" t="e">
        <f t="shared" ref="AQ49:AR49" si="129">AQ44/$C13</f>
        <v>#REF!</v>
      </c>
      <c r="AR49" s="56" t="e">
        <f t="shared" si="129"/>
        <v>#REF!</v>
      </c>
      <c r="AS49" s="56"/>
      <c r="AT49" s="772">
        <v>0.52483475051050144</v>
      </c>
      <c r="AU49" s="587"/>
      <c r="AV49" s="742" t="s">
        <v>466</v>
      </c>
      <c r="AW49" s="459" t="e">
        <f t="shared" ref="AW49:AW55" si="130">AX49/SUM($AX$49:$AX$55)</f>
        <v>#REF!</v>
      </c>
      <c r="AX49" s="585">
        <f t="shared" ref="AX49:AX55" si="131">AVERAGE(BA30:BQ30)</f>
        <v>60.755767816483889</v>
      </c>
      <c r="AZ49" s="29" t="str" cm="1">
        <f t="array" ref="AZ49:BC59">TRANSPOSE(AZ154:BJ157)</f>
        <v>rot1</v>
      </c>
      <c r="BA49" s="1121" t="str">
        <v>rot2</v>
      </c>
      <c r="BB49" s="1121" t="str">
        <v>rot3</v>
      </c>
      <c r="BC49" s="1121" t="str">
        <v>rot4</v>
      </c>
      <c r="BD49" s="56"/>
      <c r="BE49" s="56" t="s">
        <v>489</v>
      </c>
      <c r="BF49" s="56" t="s">
        <v>490</v>
      </c>
      <c r="BG49" s="56" t="s">
        <v>491</v>
      </c>
      <c r="BH49" s="56" t="s">
        <v>492</v>
      </c>
      <c r="BI49" s="56"/>
      <c r="BJ49" s="56"/>
      <c r="BK49" s="56"/>
      <c r="BL49" s="56"/>
      <c r="BM49" s="56"/>
      <c r="BN49" s="56"/>
      <c r="BO49" s="56"/>
      <c r="BV49" s="420"/>
      <c r="BW49" s="420"/>
      <c r="BX49" s="420"/>
      <c r="BY49" s="420" t="s">
        <v>488</v>
      </c>
      <c r="BZ49" s="418" t="e">
        <f>BZ44/$E13</f>
        <v>#REF!</v>
      </c>
      <c r="CA49" s="418" t="e">
        <f t="shared" ref="CA49:CN49" si="132">CA44/$E13</f>
        <v>#REF!</v>
      </c>
      <c r="CB49" s="418" t="e">
        <f t="shared" si="132"/>
        <v>#REF!</v>
      </c>
      <c r="CC49" s="418" t="e">
        <f t="shared" si="132"/>
        <v>#REF!</v>
      </c>
      <c r="CD49" s="418" t="e">
        <f t="shared" si="132"/>
        <v>#REF!</v>
      </c>
      <c r="CE49" s="418" t="e">
        <f t="shared" si="132"/>
        <v>#REF!</v>
      </c>
      <c r="CF49" s="418" t="e">
        <f t="shared" si="132"/>
        <v>#REF!</v>
      </c>
      <c r="CG49" s="418" t="e">
        <f t="shared" si="132"/>
        <v>#REF!</v>
      </c>
      <c r="CH49" s="418" t="e">
        <f t="shared" si="132"/>
        <v>#REF!</v>
      </c>
      <c r="CI49" s="418" t="e">
        <f t="shared" si="132"/>
        <v>#REF!</v>
      </c>
      <c r="CJ49" s="418" t="e">
        <f t="shared" si="132"/>
        <v>#REF!</v>
      </c>
      <c r="CK49" s="418" t="e">
        <f t="shared" si="132"/>
        <v>#REF!</v>
      </c>
      <c r="CL49" s="418" t="e">
        <f t="shared" si="132"/>
        <v>#REF!</v>
      </c>
      <c r="CM49" s="418" t="e">
        <f t="shared" si="132"/>
        <v>#REF!</v>
      </c>
      <c r="CN49" s="418" t="e">
        <f t="shared" si="132"/>
        <v>#REF!</v>
      </c>
      <c r="CO49" s="418"/>
      <c r="CP49" s="418"/>
      <c r="CQ49" s="418"/>
      <c r="CR49" s="418"/>
      <c r="CS49" s="420"/>
      <c r="CT49" s="420"/>
      <c r="CU49" s="420"/>
      <c r="CV49" s="420"/>
      <c r="CW49" s="420"/>
      <c r="CX49" s="420" t="s">
        <v>488</v>
      </c>
      <c r="CY49" s="418" t="e">
        <f>CY44/$F13</f>
        <v>#REF!</v>
      </c>
      <c r="CZ49" s="418" t="e">
        <f t="shared" ref="CZ49:DM49" si="133">CZ44/$F13</f>
        <v>#REF!</v>
      </c>
      <c r="DA49" s="418" t="e">
        <f t="shared" si="133"/>
        <v>#REF!</v>
      </c>
      <c r="DB49" s="418" t="e">
        <f t="shared" si="133"/>
        <v>#REF!</v>
      </c>
      <c r="DC49" s="418" t="e">
        <f t="shared" si="133"/>
        <v>#REF!</v>
      </c>
      <c r="DD49" s="418" t="e">
        <f t="shared" si="133"/>
        <v>#REF!</v>
      </c>
      <c r="DE49" s="418" t="e">
        <f t="shared" si="133"/>
        <v>#REF!</v>
      </c>
      <c r="DF49" s="418" t="e">
        <f t="shared" si="133"/>
        <v>#REF!</v>
      </c>
      <c r="DG49" s="418" t="e">
        <f t="shared" si="133"/>
        <v>#REF!</v>
      </c>
      <c r="DH49" s="418" t="e">
        <f t="shared" si="133"/>
        <v>#REF!</v>
      </c>
      <c r="DI49" s="418" t="e">
        <f t="shared" si="133"/>
        <v>#REF!</v>
      </c>
      <c r="DJ49" s="418" t="e">
        <f t="shared" si="133"/>
        <v>#REF!</v>
      </c>
      <c r="DK49" s="418" t="e">
        <f t="shared" si="133"/>
        <v>#REF!</v>
      </c>
      <c r="DL49" s="418" t="e">
        <f t="shared" si="133"/>
        <v>#REF!</v>
      </c>
      <c r="DM49" s="418" t="e">
        <f t="shared" si="133"/>
        <v>#REF!</v>
      </c>
      <c r="DN49" s="420" t="e">
        <f t="shared" si="127"/>
        <v>#REF!</v>
      </c>
      <c r="DO49" s="420"/>
      <c r="DP49" s="420"/>
      <c r="DQ49" s="420"/>
    </row>
    <row r="50" spans="1:121" ht="15.6" customHeight="1">
      <c r="A50" s="206"/>
      <c r="B50" s="207"/>
      <c r="C50" s="464">
        <f>B1/C49</f>
        <v>13755719.087019963</v>
      </c>
      <c r="D50" s="464">
        <f>20*C50-B1</f>
        <v>144939381.74039924</v>
      </c>
      <c r="E50" s="207">
        <f>6*B8</f>
        <v>1470000</v>
      </c>
      <c r="F50" s="464">
        <f>(D50-E50)/E50</f>
        <v>97.598218871019895</v>
      </c>
      <c r="G50" s="207"/>
      <c r="H50" s="207"/>
      <c r="I50" s="207" t="s">
        <v>493</v>
      </c>
      <c r="J50" s="907" t="s">
        <v>494</v>
      </c>
      <c r="K50" s="908" t="e">
        <f>K46/$D$13</f>
        <v>#VALUE!</v>
      </c>
      <c r="L50" s="908" t="e">
        <f t="shared" ref="L50:Y51" si="134">L46/$D$13</f>
        <v>#VALUE!</v>
      </c>
      <c r="M50" s="908" t="e">
        <f t="shared" si="134"/>
        <v>#VALUE!</v>
      </c>
      <c r="N50" s="908" t="e">
        <f t="shared" si="134"/>
        <v>#VALUE!</v>
      </c>
      <c r="O50" s="908" t="e">
        <f t="shared" si="134"/>
        <v>#VALUE!</v>
      </c>
      <c r="P50" s="908" t="e">
        <f t="shared" si="134"/>
        <v>#VALUE!</v>
      </c>
      <c r="Q50" s="908" t="e">
        <f t="shared" si="134"/>
        <v>#VALUE!</v>
      </c>
      <c r="R50" s="908" t="e">
        <f t="shared" si="134"/>
        <v>#VALUE!</v>
      </c>
      <c r="S50" s="908" t="e">
        <f t="shared" si="134"/>
        <v>#VALUE!</v>
      </c>
      <c r="T50" s="908" t="e">
        <f t="shared" si="134"/>
        <v>#VALUE!</v>
      </c>
      <c r="U50" s="908" t="e">
        <f t="shared" si="134"/>
        <v>#VALUE!</v>
      </c>
      <c r="V50" s="908" t="e">
        <f t="shared" si="134"/>
        <v>#VALUE!</v>
      </c>
      <c r="W50" s="908" t="e">
        <f t="shared" si="134"/>
        <v>#VALUE!</v>
      </c>
      <c r="X50" s="908" t="e">
        <f t="shared" si="134"/>
        <v>#VALUE!</v>
      </c>
      <c r="Y50" s="908" t="e">
        <f>Y46/$D$13</f>
        <v>#VALUE!</v>
      </c>
      <c r="Z50" s="22" t="e">
        <f t="shared" si="123"/>
        <v>#VALUE!</v>
      </c>
      <c r="AC50" s="36"/>
      <c r="AD50" s="207"/>
      <c r="AE50" s="207"/>
      <c r="AF50" s="207"/>
      <c r="AG50" s="207"/>
      <c r="AH50" s="207"/>
      <c r="AI50" s="207"/>
      <c r="AJ50" s="207"/>
      <c r="AK50" s="207"/>
      <c r="AL50" s="207"/>
      <c r="AM50" s="207"/>
      <c r="AN50" s="207"/>
      <c r="AO50" s="207"/>
      <c r="AP50" s="207"/>
      <c r="AQ50" s="207" t="e">
        <f t="shared" ref="AQ50:AR51" si="135">AQ46/$C$13</f>
        <v>#REF!</v>
      </c>
      <c r="AR50" s="207" t="e">
        <f t="shared" si="135"/>
        <v>#REF!</v>
      </c>
      <c r="AS50" s="207"/>
      <c r="AT50" s="459">
        <v>0.2759940216189416</v>
      </c>
      <c r="AU50" s="587"/>
      <c r="AV50" s="1231" t="s">
        <v>75</v>
      </c>
      <c r="AW50" s="459" t="e">
        <f t="shared" si="130"/>
        <v>#REF!</v>
      </c>
      <c r="AX50" s="585">
        <f t="shared" si="131"/>
        <v>162.94198599999999</v>
      </c>
      <c r="AY50" s="22">
        <v>2023</v>
      </c>
      <c r="AZ50" s="1119">
        <v>357</v>
      </c>
      <c r="BA50" s="1120">
        <v>355</v>
      </c>
      <c r="BB50" s="1120" t="str">
        <v>-</v>
      </c>
      <c r="BC50" s="1120" t="str">
        <v>-</v>
      </c>
      <c r="BD50" s="207"/>
      <c r="BE50" s="1136">
        <f>AVERAGE(AZ50:AZ59)</f>
        <v>355.2</v>
      </c>
      <c r="BF50" s="1136">
        <f>AVERAGE(BA50:BA59)</f>
        <v>352</v>
      </c>
      <c r="BG50" s="1136">
        <f>AVERAGE(BB52:BB59)</f>
        <v>354</v>
      </c>
      <c r="BH50" s="1136">
        <f>AVERAGE(BC53:BC59)</f>
        <v>352.14285714285717</v>
      </c>
      <c r="BI50" s="207"/>
      <c r="BJ50" s="207"/>
      <c r="BK50" s="207"/>
      <c r="BL50" s="207"/>
      <c r="BM50" s="207"/>
      <c r="BN50" s="207"/>
      <c r="BO50" s="207"/>
      <c r="BV50" s="420"/>
      <c r="BW50" s="420"/>
      <c r="BX50" s="420"/>
      <c r="BY50" s="907" t="s">
        <v>494</v>
      </c>
      <c r="BZ50" s="908" t="e">
        <f>BZ46/$E$13</f>
        <v>#REF!</v>
      </c>
      <c r="CA50" s="908" t="e">
        <f t="shared" ref="CA50:CN51" si="136">CA46/$E$13</f>
        <v>#REF!</v>
      </c>
      <c r="CB50" s="908" t="e">
        <f t="shared" si="136"/>
        <v>#REF!</v>
      </c>
      <c r="CC50" s="908" t="e">
        <f t="shared" si="136"/>
        <v>#REF!</v>
      </c>
      <c r="CD50" s="908" t="e">
        <f t="shared" si="136"/>
        <v>#REF!</v>
      </c>
      <c r="CE50" s="908" t="e">
        <f t="shared" si="136"/>
        <v>#REF!</v>
      </c>
      <c r="CF50" s="908" t="e">
        <f t="shared" si="136"/>
        <v>#REF!</v>
      </c>
      <c r="CG50" s="908" t="e">
        <f t="shared" si="136"/>
        <v>#REF!</v>
      </c>
      <c r="CH50" s="908" t="e">
        <f t="shared" si="136"/>
        <v>#REF!</v>
      </c>
      <c r="CI50" s="908" t="e">
        <f t="shared" si="136"/>
        <v>#REF!</v>
      </c>
      <c r="CJ50" s="908" t="e">
        <f t="shared" si="136"/>
        <v>#REF!</v>
      </c>
      <c r="CK50" s="908" t="e">
        <f t="shared" si="136"/>
        <v>#REF!</v>
      </c>
      <c r="CL50" s="908" t="e">
        <f t="shared" si="136"/>
        <v>#REF!</v>
      </c>
      <c r="CM50" s="908" t="e">
        <f t="shared" si="136"/>
        <v>#REF!</v>
      </c>
      <c r="CN50" s="908" t="e">
        <f t="shared" si="136"/>
        <v>#REF!</v>
      </c>
      <c r="CO50" s="908"/>
      <c r="CP50" s="908"/>
      <c r="CQ50" s="908"/>
      <c r="CR50" s="908"/>
      <c r="CS50" s="420"/>
      <c r="CT50" s="420"/>
      <c r="CU50" s="420"/>
      <c r="CV50" s="420"/>
      <c r="CW50" s="420"/>
      <c r="CX50" s="907" t="s">
        <v>494</v>
      </c>
      <c r="CY50" s="908" t="e">
        <f>CY46/$F$13</f>
        <v>#REF!</v>
      </c>
      <c r="CZ50" s="908" t="e">
        <f t="shared" ref="CZ50:DM51" si="137">CZ46/$F$13</f>
        <v>#REF!</v>
      </c>
      <c r="DA50" s="908" t="e">
        <f t="shared" si="137"/>
        <v>#REF!</v>
      </c>
      <c r="DB50" s="908" t="e">
        <f t="shared" si="137"/>
        <v>#REF!</v>
      </c>
      <c r="DC50" s="908" t="e">
        <f t="shared" si="137"/>
        <v>#REF!</v>
      </c>
      <c r="DD50" s="908" t="e">
        <f t="shared" si="137"/>
        <v>#REF!</v>
      </c>
      <c r="DE50" s="908" t="e">
        <f t="shared" si="137"/>
        <v>#REF!</v>
      </c>
      <c r="DF50" s="908" t="e">
        <f t="shared" si="137"/>
        <v>#REF!</v>
      </c>
      <c r="DG50" s="908" t="e">
        <f t="shared" si="137"/>
        <v>#REF!</v>
      </c>
      <c r="DH50" s="908" t="e">
        <f t="shared" si="137"/>
        <v>#REF!</v>
      </c>
      <c r="DI50" s="908" t="e">
        <f t="shared" si="137"/>
        <v>#REF!</v>
      </c>
      <c r="DJ50" s="908" t="e">
        <f t="shared" si="137"/>
        <v>#REF!</v>
      </c>
      <c r="DK50" s="908" t="e">
        <f t="shared" si="137"/>
        <v>#REF!</v>
      </c>
      <c r="DL50" s="908" t="e">
        <f t="shared" si="137"/>
        <v>#REF!</v>
      </c>
      <c r="DM50" s="908" t="e">
        <f t="shared" si="137"/>
        <v>#REF!</v>
      </c>
      <c r="DN50" s="420" t="e">
        <f t="shared" si="127"/>
        <v>#REF!</v>
      </c>
      <c r="DO50" s="420"/>
      <c r="DP50" s="420"/>
      <c r="DQ50" s="420"/>
    </row>
    <row r="51" spans="1:121">
      <c r="A51" s="208"/>
      <c r="B51" s="9" t="s">
        <v>495</v>
      </c>
      <c r="C51" s="460">
        <f>(C50-6*B8)</f>
        <v>12285719.087019963</v>
      </c>
      <c r="D51" s="217"/>
      <c r="E51" s="9"/>
      <c r="F51" s="9"/>
      <c r="G51" s="9"/>
      <c r="H51" s="9"/>
      <c r="I51" s="9" t="s">
        <v>496</v>
      </c>
      <c r="J51" s="907" t="s">
        <v>497</v>
      </c>
      <c r="K51" s="421" t="e">
        <f>K47/$D$13</f>
        <v>#VALUE!</v>
      </c>
      <c r="L51" s="421" t="e">
        <f t="shared" si="134"/>
        <v>#VALUE!</v>
      </c>
      <c r="M51" s="421" t="e">
        <f t="shared" si="134"/>
        <v>#VALUE!</v>
      </c>
      <c r="N51" s="421" t="e">
        <f t="shared" si="134"/>
        <v>#VALUE!</v>
      </c>
      <c r="O51" s="421" t="e">
        <f t="shared" si="134"/>
        <v>#VALUE!</v>
      </c>
      <c r="P51" s="421" t="e">
        <f t="shared" si="134"/>
        <v>#VALUE!</v>
      </c>
      <c r="Q51" s="421" t="e">
        <f t="shared" si="134"/>
        <v>#VALUE!</v>
      </c>
      <c r="R51" s="421" t="e">
        <f t="shared" si="134"/>
        <v>#VALUE!</v>
      </c>
      <c r="S51" s="421" t="e">
        <f t="shared" si="134"/>
        <v>#VALUE!</v>
      </c>
      <c r="T51" s="421" t="e">
        <f t="shared" si="134"/>
        <v>#VALUE!</v>
      </c>
      <c r="U51" s="421" t="e">
        <f t="shared" si="134"/>
        <v>#VALUE!</v>
      </c>
      <c r="V51" s="421" t="e">
        <f t="shared" si="134"/>
        <v>#VALUE!</v>
      </c>
      <c r="W51" s="421" t="e">
        <f t="shared" si="134"/>
        <v>#VALUE!</v>
      </c>
      <c r="X51" s="421" t="e">
        <f t="shared" si="134"/>
        <v>#VALUE!</v>
      </c>
      <c r="Y51" s="421" t="e">
        <f t="shared" si="134"/>
        <v>#VALUE!</v>
      </c>
      <c r="Z51" s="22" t="e">
        <f t="shared" si="123"/>
        <v>#VALUE!</v>
      </c>
      <c r="AC51" s="36"/>
      <c r="AD51" s="9"/>
      <c r="AE51" s="9"/>
      <c r="AF51" s="9"/>
      <c r="AG51" s="9"/>
      <c r="AH51" s="9"/>
      <c r="AI51" s="9"/>
      <c r="AJ51" s="9"/>
      <c r="AK51" s="9"/>
      <c r="AL51" s="9"/>
      <c r="AM51" s="9"/>
      <c r="AN51" s="9"/>
      <c r="AO51" s="9"/>
      <c r="AP51" s="9"/>
      <c r="AQ51" s="9" t="e">
        <f t="shared" si="135"/>
        <v>#REF!</v>
      </c>
      <c r="AR51" s="9" t="e">
        <f t="shared" si="135"/>
        <v>#REF!</v>
      </c>
      <c r="AS51" s="9"/>
      <c r="AT51" s="772">
        <v>8.8795106070076055E-2</v>
      </c>
      <c r="AU51" s="587"/>
      <c r="AV51" s="743" t="s">
        <v>463</v>
      </c>
      <c r="AW51" s="459" t="e">
        <f t="shared" si="130"/>
        <v>#REF!</v>
      </c>
      <c r="AX51" s="585">
        <f t="shared" si="131"/>
        <v>217.82770759999997</v>
      </c>
      <c r="AY51" s="22">
        <v>2024</v>
      </c>
      <c r="AZ51" s="1119">
        <v>360</v>
      </c>
      <c r="BA51" s="1120">
        <v>355</v>
      </c>
      <c r="BB51" s="1120" t="str">
        <v>-</v>
      </c>
      <c r="BC51" s="1120" t="str">
        <v>-</v>
      </c>
      <c r="BD51" s="9"/>
      <c r="BE51" s="9"/>
      <c r="BF51" s="9"/>
      <c r="BG51" s="9"/>
      <c r="BH51" s="9"/>
      <c r="BI51" s="9"/>
      <c r="BJ51" s="9"/>
      <c r="BK51" s="9"/>
      <c r="BL51" s="9"/>
      <c r="BM51" s="9"/>
      <c r="BN51" s="9"/>
      <c r="BO51" s="9"/>
      <c r="BV51" s="420"/>
      <c r="BW51" s="420"/>
      <c r="BX51" s="420"/>
      <c r="BY51" s="907" t="s">
        <v>497</v>
      </c>
      <c r="BZ51" s="421" t="e">
        <f>BZ47/$E$13</f>
        <v>#REF!</v>
      </c>
      <c r="CA51" s="421" t="e">
        <f t="shared" si="136"/>
        <v>#REF!</v>
      </c>
      <c r="CB51" s="421" t="e">
        <f t="shared" si="136"/>
        <v>#REF!</v>
      </c>
      <c r="CC51" s="421" t="e">
        <f t="shared" si="136"/>
        <v>#REF!</v>
      </c>
      <c r="CD51" s="421" t="e">
        <f t="shared" si="136"/>
        <v>#REF!</v>
      </c>
      <c r="CE51" s="421" t="e">
        <f t="shared" si="136"/>
        <v>#REF!</v>
      </c>
      <c r="CF51" s="421" t="e">
        <f t="shared" si="136"/>
        <v>#REF!</v>
      </c>
      <c r="CG51" s="421" t="e">
        <f t="shared" si="136"/>
        <v>#REF!</v>
      </c>
      <c r="CH51" s="421" t="e">
        <f t="shared" si="136"/>
        <v>#REF!</v>
      </c>
      <c r="CI51" s="421" t="e">
        <f t="shared" si="136"/>
        <v>#REF!</v>
      </c>
      <c r="CJ51" s="421" t="e">
        <f t="shared" si="136"/>
        <v>#REF!</v>
      </c>
      <c r="CK51" s="421" t="e">
        <f t="shared" si="136"/>
        <v>#REF!</v>
      </c>
      <c r="CL51" s="421" t="e">
        <f t="shared" si="136"/>
        <v>#REF!</v>
      </c>
      <c r="CM51" s="421" t="e">
        <f t="shared" si="136"/>
        <v>#REF!</v>
      </c>
      <c r="CN51" s="421" t="e">
        <f t="shared" si="136"/>
        <v>#REF!</v>
      </c>
      <c r="CO51" s="421"/>
      <c r="CP51" s="421"/>
      <c r="CQ51" s="421"/>
      <c r="CR51" s="421"/>
      <c r="CS51" s="420"/>
      <c r="CT51" s="420"/>
      <c r="CU51" s="420"/>
      <c r="CV51" s="420"/>
      <c r="CW51" s="420"/>
      <c r="CX51" s="907" t="s">
        <v>497</v>
      </c>
      <c r="CY51" s="421" t="e">
        <f>CY47/$F$13</f>
        <v>#REF!</v>
      </c>
      <c r="CZ51" s="421" t="e">
        <f t="shared" si="137"/>
        <v>#REF!</v>
      </c>
      <c r="DA51" s="421" t="e">
        <f t="shared" si="137"/>
        <v>#REF!</v>
      </c>
      <c r="DB51" s="421" t="e">
        <f t="shared" si="137"/>
        <v>#REF!</v>
      </c>
      <c r="DC51" s="421" t="e">
        <f t="shared" si="137"/>
        <v>#REF!</v>
      </c>
      <c r="DD51" s="421" t="e">
        <f t="shared" si="137"/>
        <v>#REF!</v>
      </c>
      <c r="DE51" s="421" t="e">
        <f t="shared" si="137"/>
        <v>#REF!</v>
      </c>
      <c r="DF51" s="421" t="e">
        <f t="shared" si="137"/>
        <v>#REF!</v>
      </c>
      <c r="DG51" s="421" t="e">
        <f t="shared" si="137"/>
        <v>#REF!</v>
      </c>
      <c r="DH51" s="421" t="e">
        <f t="shared" si="137"/>
        <v>#REF!</v>
      </c>
      <c r="DI51" s="421" t="e">
        <f t="shared" si="137"/>
        <v>#REF!</v>
      </c>
      <c r="DJ51" s="421" t="e">
        <f t="shared" si="137"/>
        <v>#REF!</v>
      </c>
      <c r="DK51" s="421" t="e">
        <f t="shared" si="137"/>
        <v>#REF!</v>
      </c>
      <c r="DL51" s="421" t="e">
        <f t="shared" si="137"/>
        <v>#REF!</v>
      </c>
      <c r="DM51" s="421" t="e">
        <f t="shared" si="137"/>
        <v>#REF!</v>
      </c>
      <c r="DN51" s="420" t="e">
        <f t="shared" si="127"/>
        <v>#REF!</v>
      </c>
      <c r="DO51" s="420"/>
      <c r="DP51" s="420"/>
      <c r="DQ51" s="420"/>
    </row>
    <row r="52" spans="1:121">
      <c r="A52" s="206"/>
      <c r="B52" s="209"/>
      <c r="C52" s="209">
        <f>C51/30</f>
        <v>409523.96956733213</v>
      </c>
      <c r="D52" s="209"/>
      <c r="E52" s="209"/>
      <c r="F52" s="209"/>
      <c r="G52" s="209"/>
      <c r="H52" s="209"/>
      <c r="I52" s="209"/>
      <c r="J52" s="209"/>
      <c r="K52" s="209"/>
      <c r="L52" s="209"/>
      <c r="M52" s="209"/>
      <c r="AT52" s="459">
        <v>6.6421536036671072E-2</v>
      </c>
      <c r="AU52" s="587"/>
      <c r="AV52" s="743" t="s">
        <v>462</v>
      </c>
      <c r="AW52" s="459" t="e">
        <f t="shared" si="130"/>
        <v>#REF!</v>
      </c>
      <c r="AX52" s="585">
        <f t="shared" si="131"/>
        <v>28.611542892364298</v>
      </c>
      <c r="AY52" s="22">
        <v>2025</v>
      </c>
      <c r="AZ52" s="1119">
        <v>357</v>
      </c>
      <c r="BA52" s="1119">
        <v>352</v>
      </c>
      <c r="BB52" s="1119">
        <v>357</v>
      </c>
      <c r="BC52" s="1119" t="str">
        <v>-</v>
      </c>
      <c r="BV52" s="420"/>
      <c r="BW52" s="420"/>
      <c r="BX52" s="420"/>
      <c r="BY52" s="420"/>
      <c r="BZ52" s="420"/>
      <c r="CA52" s="420"/>
      <c r="CB52" s="420"/>
      <c r="CC52" s="420"/>
      <c r="CD52" s="420"/>
      <c r="CE52" s="420"/>
      <c r="CF52" s="420"/>
      <c r="CG52" s="420"/>
      <c r="CH52" s="420"/>
      <c r="CI52" s="420"/>
      <c r="CJ52" s="420"/>
      <c r="CK52" s="420"/>
      <c r="CL52" s="420"/>
      <c r="CM52" s="420"/>
      <c r="CN52" s="420"/>
      <c r="CO52" s="420"/>
      <c r="CP52" s="420"/>
      <c r="CQ52" s="420"/>
      <c r="CR52" s="420"/>
      <c r="CS52" s="420"/>
      <c r="CT52" s="420"/>
      <c r="CU52" s="420"/>
      <c r="CV52" s="420"/>
      <c r="CW52" s="420"/>
      <c r="CX52" s="420"/>
      <c r="CY52" s="420"/>
      <c r="CZ52" s="420"/>
      <c r="DA52" s="420"/>
      <c r="DB52" s="420"/>
      <c r="DC52" s="420"/>
      <c r="DD52" s="420"/>
      <c r="DE52" s="420"/>
      <c r="DF52" s="420"/>
      <c r="DG52" s="420"/>
      <c r="DH52" s="420"/>
      <c r="DI52" s="420"/>
      <c r="DJ52" s="420"/>
      <c r="DK52" s="420"/>
      <c r="DL52" s="420"/>
      <c r="DM52" s="420"/>
      <c r="DN52" s="420"/>
      <c r="DO52" s="420"/>
      <c r="DP52" s="420"/>
      <c r="DQ52" s="420"/>
    </row>
    <row r="53" spans="1:121">
      <c r="A53" s="208"/>
      <c r="B53" s="9"/>
      <c r="C53" s="9">
        <f>C52/24</f>
        <v>17063.498731972173</v>
      </c>
      <c r="D53" s="9">
        <f>C53*AD10</f>
        <v>32113.34985931839</v>
      </c>
      <c r="E53" s="9"/>
      <c r="F53" s="9"/>
      <c r="G53" s="9"/>
      <c r="H53" s="9"/>
      <c r="I53" s="9"/>
      <c r="J53" s="9"/>
      <c r="K53" s="9"/>
      <c r="L53" s="9"/>
      <c r="M53" s="9"/>
      <c r="AD53" s="575"/>
      <c r="AT53" s="772">
        <v>2.4764742445410229E-2</v>
      </c>
      <c r="AU53" s="587"/>
      <c r="AV53" s="743" t="s">
        <v>459</v>
      </c>
      <c r="AW53" s="459" t="e">
        <f t="shared" si="130"/>
        <v>#REF!</v>
      </c>
      <c r="AX53" s="585">
        <f t="shared" si="131"/>
        <v>1329.0381935951787</v>
      </c>
      <c r="AY53" s="22">
        <v>2026</v>
      </c>
      <c r="AZ53" s="1119">
        <v>357</v>
      </c>
      <c r="BA53" s="1119">
        <v>355</v>
      </c>
      <c r="BB53" s="1119">
        <v>357</v>
      </c>
      <c r="BC53" s="1119">
        <v>356</v>
      </c>
    </row>
    <row r="54" spans="1:121">
      <c r="A54" s="2"/>
      <c r="B54" s="9"/>
      <c r="C54" s="467">
        <f>C51*2/4000</f>
        <v>6142.8595435099814</v>
      </c>
      <c r="J54" s="13"/>
      <c r="K54" s="13"/>
      <c r="L54" s="13"/>
      <c r="M54" s="13"/>
      <c r="N54" s="13"/>
      <c r="O54" s="13"/>
      <c r="P54" s="13"/>
      <c r="Q54" s="13"/>
      <c r="R54" s="13"/>
      <c r="S54" s="13"/>
      <c r="T54" s="13"/>
      <c r="U54" s="13"/>
      <c r="V54" s="13"/>
      <c r="W54" s="13"/>
      <c r="X54" s="13"/>
      <c r="Y54" s="13"/>
      <c r="Z54" s="13"/>
      <c r="AD54" s="564"/>
      <c r="AT54" s="772">
        <v>1.1953229726552373E-2</v>
      </c>
      <c r="AU54" s="587"/>
      <c r="AV54" s="855" t="s">
        <v>83</v>
      </c>
      <c r="AW54" s="459" t="e">
        <f t="shared" si="130"/>
        <v>#REF!</v>
      </c>
      <c r="AX54" s="585" t="e">
        <f t="shared" si="131"/>
        <v>#REF!</v>
      </c>
      <c r="AY54" s="22">
        <v>2027</v>
      </c>
      <c r="AZ54" s="1119">
        <v>357</v>
      </c>
      <c r="BA54" s="1119">
        <v>334</v>
      </c>
      <c r="BB54" s="1119">
        <v>357</v>
      </c>
      <c r="BC54" s="1119">
        <v>356</v>
      </c>
      <c r="BF54" s="564"/>
    </row>
    <row r="55" spans="1:121">
      <c r="A55" s="21" t="s">
        <v>498</v>
      </c>
      <c r="B55" s="21" t="s">
        <v>499</v>
      </c>
      <c r="J55" s="13"/>
      <c r="K55" s="13"/>
      <c r="L55" s="13"/>
      <c r="M55" s="13"/>
      <c r="N55" s="13"/>
      <c r="O55" s="13"/>
      <c r="P55" s="13"/>
      <c r="Q55" s="13"/>
      <c r="R55" s="13"/>
      <c r="S55" s="13"/>
      <c r="T55" s="13"/>
      <c r="U55" s="13"/>
      <c r="V55" s="13"/>
      <c r="W55" s="13"/>
      <c r="X55" s="13"/>
      <c r="Y55" s="13"/>
      <c r="Z55" s="13"/>
      <c r="AT55" s="772">
        <v>7.2366135918471731E-3</v>
      </c>
      <c r="AU55" s="587"/>
      <c r="AV55" s="744" t="s">
        <v>469</v>
      </c>
      <c r="AW55" s="459" t="e">
        <f t="shared" si="130"/>
        <v>#REF!</v>
      </c>
      <c r="AX55" s="585">
        <f t="shared" si="131"/>
        <v>0.97811646254552809</v>
      </c>
      <c r="AY55" s="22">
        <v>2028</v>
      </c>
      <c r="AZ55" s="1216">
        <v>357</v>
      </c>
      <c r="BA55" s="1216">
        <v>355</v>
      </c>
      <c r="BB55" s="1216">
        <v>357</v>
      </c>
      <c r="BC55" s="1216">
        <v>353</v>
      </c>
    </row>
    <row r="56" spans="1:121" ht="13.9" thickBot="1">
      <c r="A56" s="30" t="s">
        <v>500</v>
      </c>
      <c r="J56" s="13"/>
      <c r="K56" s="13"/>
      <c r="L56" s="13"/>
      <c r="M56" s="13"/>
      <c r="N56" s="13"/>
      <c r="O56" s="13"/>
      <c r="P56" s="13"/>
      <c r="Q56" s="13"/>
      <c r="R56" s="13"/>
      <c r="S56" s="13"/>
      <c r="T56" s="13"/>
      <c r="U56" s="13"/>
      <c r="V56" s="13"/>
      <c r="W56" s="13"/>
      <c r="X56" s="13"/>
      <c r="Y56" s="13"/>
      <c r="Z56" s="13"/>
      <c r="AY56" s="22">
        <v>2029</v>
      </c>
      <c r="AZ56" s="1119">
        <v>336</v>
      </c>
      <c r="BA56" s="1119">
        <v>352</v>
      </c>
      <c r="BB56" s="1119">
        <v>333</v>
      </c>
      <c r="BC56" s="1119">
        <v>356</v>
      </c>
    </row>
    <row r="57" spans="1:121" ht="13.9" thickTop="1">
      <c r="A57" s="3" t="s">
        <v>501</v>
      </c>
      <c r="B57" s="47">
        <v>1.9</v>
      </c>
      <c r="C57" s="30" t="s">
        <v>502</v>
      </c>
      <c r="D57" s="22" t="s">
        <v>503</v>
      </c>
      <c r="J57" s="12"/>
      <c r="K57" s="13"/>
      <c r="L57" s="13"/>
      <c r="M57" s="13"/>
      <c r="N57" s="13"/>
      <c r="O57" s="13"/>
      <c r="P57" s="13"/>
      <c r="Q57" s="13"/>
      <c r="R57" s="13"/>
      <c r="S57" s="13"/>
      <c r="T57" s="13"/>
      <c r="U57" s="13"/>
      <c r="V57" s="13"/>
      <c r="W57" s="13"/>
      <c r="X57" s="13"/>
      <c r="Y57" s="13"/>
      <c r="Z57" s="13"/>
      <c r="AY57" s="22">
        <v>2030</v>
      </c>
      <c r="AZ57" s="1119">
        <v>357</v>
      </c>
      <c r="BA57" s="1119">
        <v>355</v>
      </c>
      <c r="BB57" s="1119">
        <v>357</v>
      </c>
      <c r="BC57" s="1119">
        <v>335</v>
      </c>
      <c r="CE57" s="22" t="s">
        <v>504</v>
      </c>
    </row>
    <row r="58" spans="1:121" ht="14.65" customHeight="1" thickBot="1">
      <c r="A58" s="477" t="s">
        <v>505</v>
      </c>
      <c r="B58" s="48">
        <v>18950</v>
      </c>
      <c r="C58" s="30" t="s">
        <v>506</v>
      </c>
      <c r="D58" s="31" t="s">
        <v>507</v>
      </c>
      <c r="E58" s="31"/>
      <c r="F58" s="31"/>
      <c r="G58" s="31"/>
      <c r="H58" s="31"/>
      <c r="K58" s="13"/>
      <c r="L58" s="13"/>
      <c r="M58" s="13"/>
      <c r="N58" s="13"/>
      <c r="O58" s="13"/>
      <c r="P58" s="13"/>
      <c r="Q58" s="13"/>
      <c r="R58" s="13"/>
      <c r="S58" s="13"/>
      <c r="T58" s="13"/>
      <c r="U58" s="13"/>
      <c r="V58" s="13"/>
      <c r="W58" s="13"/>
      <c r="X58" s="13"/>
      <c r="Y58" s="13"/>
      <c r="Z58" s="13"/>
      <c r="AY58" s="22">
        <v>2031</v>
      </c>
      <c r="AZ58" s="1119">
        <v>357</v>
      </c>
      <c r="BA58" s="1119">
        <v>355</v>
      </c>
      <c r="BB58" s="1119">
        <v>357</v>
      </c>
      <c r="BC58" s="1119">
        <v>353</v>
      </c>
      <c r="BY58" s="22" t="s">
        <v>478</v>
      </c>
      <c r="BZ58" s="22">
        <v>32935.251630629573</v>
      </c>
      <c r="CA58" s="22">
        <v>22245.163930476498</v>
      </c>
      <c r="CB58" s="22">
        <v>30468.645266991371</v>
      </c>
      <c r="CC58" s="22">
        <v>18421.275146692857</v>
      </c>
      <c r="CD58" s="22">
        <v>51925.354603594664</v>
      </c>
      <c r="CE58" s="22">
        <v>54538.87444794063</v>
      </c>
      <c r="CF58" s="22">
        <v>63681.517920703278</v>
      </c>
      <c r="CG58" s="22">
        <v>58575.105160482781</v>
      </c>
      <c r="CH58" s="22">
        <v>81576.248432725726</v>
      </c>
      <c r="CI58" s="22">
        <v>43111.396275181745</v>
      </c>
      <c r="CJ58" s="22">
        <v>62469.203847104713</v>
      </c>
      <c r="CK58" s="22">
        <v>59267.690597316134</v>
      </c>
      <c r="CL58" s="22">
        <v>45162.803233532133</v>
      </c>
      <c r="CM58" s="22">
        <v>43580.061662370514</v>
      </c>
      <c r="CN58" s="22">
        <v>38009.209403709872</v>
      </c>
    </row>
    <row r="59" spans="1:121" ht="15" thickBot="1">
      <c r="A59" s="364" t="s">
        <v>508</v>
      </c>
      <c r="B59" s="49">
        <f>B58/1050</f>
        <v>18.047619047619047</v>
      </c>
      <c r="C59" s="30"/>
      <c r="K59" s="13"/>
      <c r="L59" s="13"/>
      <c r="M59" s="13"/>
      <c r="N59" s="13"/>
      <c r="O59" s="13"/>
      <c r="P59" s="13"/>
      <c r="Q59" s="13"/>
      <c r="R59" s="13"/>
      <c r="S59" s="13"/>
      <c r="T59" s="13"/>
      <c r="U59" s="13"/>
      <c r="V59" s="13"/>
      <c r="W59" s="13"/>
      <c r="X59" s="13"/>
      <c r="Y59" s="13"/>
      <c r="Z59" s="13"/>
      <c r="AB59" s="22" t="s">
        <v>282</v>
      </c>
      <c r="AC59" s="250" t="s">
        <v>509</v>
      </c>
      <c r="AD59" s="22" t="s">
        <v>313</v>
      </c>
      <c r="AE59" s="103" t="s">
        <v>99</v>
      </c>
      <c r="AF59" s="249" t="s">
        <v>100</v>
      </c>
      <c r="AY59" s="22">
        <v>2032</v>
      </c>
      <c r="AZ59" s="1119">
        <v>357</v>
      </c>
      <c r="BA59" s="1119">
        <v>352</v>
      </c>
      <c r="BB59" s="1119">
        <v>357</v>
      </c>
      <c r="BC59" s="1119">
        <v>356</v>
      </c>
      <c r="BY59" s="22" t="s">
        <v>480</v>
      </c>
      <c r="BZ59" s="22">
        <v>20316.940581852385</v>
      </c>
      <c r="CA59" s="22">
        <v>19515.739238894428</v>
      </c>
      <c r="CB59" s="22">
        <v>20248.557401088296</v>
      </c>
      <c r="CC59" s="22">
        <v>19222.822636017256</v>
      </c>
      <c r="CD59" s="22">
        <v>20362.796694849978</v>
      </c>
      <c r="CE59" s="22">
        <v>20306.838427363626</v>
      </c>
      <c r="CF59" s="22">
        <v>20414.89963468918</v>
      </c>
      <c r="CG59" s="22">
        <v>20119.436213929144</v>
      </c>
      <c r="CH59" s="22">
        <v>20453.519234052568</v>
      </c>
      <c r="CI59" s="22">
        <v>19971.041493206074</v>
      </c>
      <c r="CJ59" s="22">
        <v>20243.610093980489</v>
      </c>
      <c r="CK59" s="22">
        <v>20382.028924807619</v>
      </c>
      <c r="CL59" s="22">
        <v>19990.891664115465</v>
      </c>
      <c r="CM59" s="22">
        <v>20221.170745216361</v>
      </c>
      <c r="CN59" s="22">
        <v>19972.210847886814</v>
      </c>
    </row>
    <row r="60" spans="1:121" ht="14.65" customHeight="1">
      <c r="A60" s="1431" t="s">
        <v>510</v>
      </c>
      <c r="B60" s="1907"/>
      <c r="K60" s="13"/>
      <c r="L60" s="13"/>
      <c r="M60" s="13"/>
      <c r="N60" s="13"/>
      <c r="O60" s="13"/>
      <c r="P60" s="13"/>
      <c r="Q60" s="13"/>
      <c r="R60" s="13"/>
      <c r="S60" s="13"/>
      <c r="T60" s="13"/>
      <c r="U60" s="13"/>
      <c r="V60" s="13"/>
      <c r="W60" s="13"/>
      <c r="X60" s="13"/>
      <c r="Y60" s="13"/>
      <c r="Z60" s="13"/>
      <c r="AC60" s="250"/>
      <c r="AF60" s="248"/>
      <c r="CE60" s="22" t="s">
        <v>327</v>
      </c>
    </row>
    <row r="61" spans="1:121">
      <c r="A61" s="4" t="s">
        <v>511</v>
      </c>
      <c r="B61" s="49">
        <v>2000</v>
      </c>
      <c r="C61" s="22" t="s">
        <v>512</v>
      </c>
      <c r="D61" s="1432" t="s">
        <v>513</v>
      </c>
      <c r="E61" s="339"/>
      <c r="F61" s="339"/>
      <c r="G61" s="339"/>
      <c r="H61" s="339"/>
      <c r="K61" s="13"/>
      <c r="L61" s="13"/>
      <c r="M61" s="13"/>
      <c r="N61" s="13"/>
      <c r="O61" s="13"/>
      <c r="P61" s="13"/>
      <c r="Q61" s="13"/>
      <c r="R61" s="13"/>
      <c r="S61" s="13"/>
      <c r="T61" s="13"/>
      <c r="U61" s="13"/>
      <c r="V61" s="13"/>
      <c r="W61" s="13"/>
      <c r="X61" s="13"/>
      <c r="Y61" s="13"/>
      <c r="Z61" s="13" t="s">
        <v>514</v>
      </c>
      <c r="AA61" s="22" t="s">
        <v>483</v>
      </c>
      <c r="AB61" s="22">
        <v>295.85846100213314</v>
      </c>
      <c r="AC61" s="250">
        <v>338.98139581410015</v>
      </c>
      <c r="AD61" s="22">
        <v>276.86121771095168</v>
      </c>
      <c r="AE61" s="22">
        <v>291.82704114785287</v>
      </c>
      <c r="AF61" s="248">
        <v>333.84709072075964</v>
      </c>
      <c r="BY61" s="22" t="s">
        <v>478</v>
      </c>
      <c r="BZ61" s="22">
        <v>18801.238816558929</v>
      </c>
      <c r="CA61" s="22">
        <v>12290.991844186652</v>
      </c>
      <c r="CB61" s="22">
        <v>17386.066966211944</v>
      </c>
      <c r="CC61" s="22">
        <v>9981.8299155942223</v>
      </c>
      <c r="CD61" s="22">
        <v>30001.659334335294</v>
      </c>
      <c r="CE61" s="22">
        <v>31471.12722126285</v>
      </c>
      <c r="CF61" s="22">
        <v>36894.408719351231</v>
      </c>
      <c r="CG61" s="22">
        <v>33570.870534288202</v>
      </c>
      <c r="CH61" s="22">
        <v>47396.398983378254</v>
      </c>
      <c r="CI61" s="22">
        <v>24499.848079834224</v>
      </c>
      <c r="CJ61" s="22">
        <v>35996.488816324629</v>
      </c>
      <c r="CK61" s="22">
        <v>34317.446998831758</v>
      </c>
      <c r="CL61" s="22">
        <v>25692.809031755834</v>
      </c>
      <c r="CM61" s="22">
        <v>24990.634383098695</v>
      </c>
      <c r="CN61" s="22">
        <v>21576.18936192973</v>
      </c>
    </row>
    <row r="62" spans="1:121">
      <c r="A62" s="4" t="s">
        <v>515</v>
      </c>
      <c r="B62" s="49">
        <v>1.5</v>
      </c>
      <c r="C62" s="22" t="s">
        <v>516</v>
      </c>
      <c r="D62" s="1432"/>
      <c r="E62" s="339"/>
      <c r="F62" s="339"/>
      <c r="G62" s="339"/>
      <c r="H62" s="339"/>
      <c r="K62" s="13"/>
      <c r="L62" s="13"/>
      <c r="M62" s="13"/>
      <c r="N62" s="13"/>
      <c r="O62" s="13"/>
      <c r="P62" s="13"/>
      <c r="Q62" s="13"/>
      <c r="R62" s="13"/>
      <c r="S62" s="13"/>
      <c r="T62" s="13"/>
      <c r="U62" s="13"/>
      <c r="V62" s="13"/>
      <c r="W62" s="13"/>
      <c r="X62" s="13"/>
      <c r="Y62" s="13"/>
      <c r="Z62" s="13"/>
      <c r="AA62" s="22" t="s">
        <v>517</v>
      </c>
      <c r="AB62" s="22">
        <v>3</v>
      </c>
      <c r="AC62" s="250">
        <v>5</v>
      </c>
      <c r="AD62" s="22">
        <v>1</v>
      </c>
      <c r="AE62" s="22">
        <v>2</v>
      </c>
      <c r="AF62" s="248">
        <v>4</v>
      </c>
      <c r="AZ62" s="22" t="s">
        <v>518</v>
      </c>
      <c r="BY62" s="22" t="s">
        <v>480</v>
      </c>
      <c r="BZ62" s="22">
        <v>10958.951004155384</v>
      </c>
      <c r="CA62" s="22">
        <v>10295.581067067082</v>
      </c>
      <c r="CB62" s="22">
        <v>10938.391704189175</v>
      </c>
      <c r="CC62" s="22">
        <v>10012.390299286821</v>
      </c>
      <c r="CD62" s="22">
        <v>11018.379157620544</v>
      </c>
      <c r="CE62" s="22">
        <v>10965.368049186587</v>
      </c>
      <c r="CF62" s="22">
        <v>11045.444640208547</v>
      </c>
      <c r="CG62" s="22">
        <v>10778.192844401568</v>
      </c>
      <c r="CH62" s="22">
        <v>11067.40247147186</v>
      </c>
      <c r="CI62" s="22">
        <v>10658.773364293596</v>
      </c>
      <c r="CJ62" s="22">
        <v>10895.080409109676</v>
      </c>
      <c r="CK62" s="22">
        <v>11031.438054356677</v>
      </c>
      <c r="CL62" s="22">
        <v>10671.953864477344</v>
      </c>
      <c r="CM62" s="22">
        <v>10890.403701053292</v>
      </c>
      <c r="CN62" s="22">
        <v>10673.784784277264</v>
      </c>
    </row>
    <row r="63" spans="1:121">
      <c r="A63" s="4" t="s">
        <v>519</v>
      </c>
      <c r="B63" s="49">
        <f>0.96/30</f>
        <v>3.2000000000000001E-2</v>
      </c>
      <c r="C63" s="30" t="s">
        <v>520</v>
      </c>
      <c r="D63" s="1432"/>
      <c r="E63" s="339"/>
      <c r="F63" s="339"/>
      <c r="G63" s="339"/>
      <c r="H63" s="339"/>
      <c r="K63" s="13"/>
      <c r="L63" s="13"/>
      <c r="M63" s="13"/>
      <c r="N63" s="13"/>
      <c r="O63" s="13"/>
      <c r="P63" s="13"/>
      <c r="Q63" s="13"/>
      <c r="R63" s="13"/>
      <c r="S63" s="13"/>
      <c r="T63" s="13"/>
      <c r="U63" s="13"/>
      <c r="V63" s="13"/>
      <c r="W63" s="13"/>
      <c r="X63" s="13" t="s">
        <v>521</v>
      </c>
      <c r="Y63" s="13"/>
      <c r="Z63" s="13" t="s">
        <v>522</v>
      </c>
      <c r="AA63" s="22" t="s">
        <v>488</v>
      </c>
      <c r="AB63" s="22">
        <v>1.3506581915314768</v>
      </c>
      <c r="AC63" s="250">
        <v>1.902876646232124</v>
      </c>
      <c r="AD63" s="22">
        <v>2.040030025238591</v>
      </c>
      <c r="AE63" s="22">
        <v>2.7605260649121219</v>
      </c>
      <c r="AF63" s="248">
        <v>2.8366842432634738</v>
      </c>
      <c r="AZ63" s="22" t="s">
        <v>523</v>
      </c>
    </row>
    <row r="64" spans="1:121" ht="14.65" customHeight="1">
      <c r="A64" s="4" t="s">
        <v>524</v>
      </c>
      <c r="B64" s="49">
        <v>3.05</v>
      </c>
      <c r="C64" s="30" t="s">
        <v>525</v>
      </c>
      <c r="D64" s="1432"/>
      <c r="E64" s="339"/>
      <c r="F64" s="339"/>
      <c r="G64" s="339"/>
      <c r="H64" s="339"/>
      <c r="K64" s="13"/>
      <c r="L64" s="13"/>
      <c r="M64" s="13"/>
      <c r="N64" s="13"/>
      <c r="O64" s="13"/>
      <c r="P64" s="13"/>
      <c r="Q64" s="13"/>
      <c r="R64" s="13"/>
      <c r="S64" s="13"/>
      <c r="T64" s="13"/>
      <c r="U64" s="13"/>
      <c r="V64" s="13"/>
      <c r="W64" s="13"/>
      <c r="X64" s="13"/>
      <c r="Y64" s="13" t="s">
        <v>526</v>
      </c>
      <c r="Z64" s="9" t="s">
        <v>496</v>
      </c>
      <c r="AA64" s="22" t="s">
        <v>517</v>
      </c>
      <c r="AB64" s="22">
        <v>1</v>
      </c>
      <c r="AC64" s="250">
        <v>2</v>
      </c>
      <c r="AD64" s="22">
        <v>3</v>
      </c>
      <c r="AE64" s="22">
        <v>4</v>
      </c>
      <c r="AF64" s="248">
        <v>5</v>
      </c>
      <c r="BA64" s="587" t="e">
        <f t="shared" ref="BA64:BQ64" si="138">BA43/26000</f>
        <v>#REF!</v>
      </c>
      <c r="BB64" s="587" t="e">
        <f t="shared" si="138"/>
        <v>#REF!</v>
      </c>
      <c r="BC64" s="587" t="e">
        <f t="shared" si="138"/>
        <v>#REF!</v>
      </c>
      <c r="BD64" s="587" t="e">
        <f t="shared" si="138"/>
        <v>#REF!</v>
      </c>
      <c r="BE64" s="587" t="e">
        <f t="shared" si="138"/>
        <v>#REF!</v>
      </c>
      <c r="BF64" s="587" t="e">
        <f t="shared" si="138"/>
        <v>#REF!</v>
      </c>
      <c r="BG64" s="587" t="e">
        <f t="shared" si="138"/>
        <v>#REF!</v>
      </c>
      <c r="BH64" s="587" t="e">
        <f t="shared" si="138"/>
        <v>#REF!</v>
      </c>
      <c r="BI64" s="587" t="e">
        <f t="shared" si="138"/>
        <v>#REF!</v>
      </c>
      <c r="BJ64" s="587" t="e">
        <f t="shared" si="138"/>
        <v>#REF!</v>
      </c>
      <c r="BK64" s="587" t="e">
        <f t="shared" si="138"/>
        <v>#REF!</v>
      </c>
      <c r="BL64" s="587" t="e">
        <f t="shared" si="138"/>
        <v>#REF!</v>
      </c>
      <c r="BM64" s="587" t="e">
        <f t="shared" si="138"/>
        <v>#REF!</v>
      </c>
      <c r="BN64" s="587" t="e">
        <f t="shared" si="138"/>
        <v>#REF!</v>
      </c>
      <c r="BO64" s="587" t="e">
        <f t="shared" si="138"/>
        <v>#REF!</v>
      </c>
      <c r="BP64" s="587" t="e">
        <f t="shared" si="138"/>
        <v>#REF!</v>
      </c>
      <c r="BQ64" s="587" t="e">
        <f t="shared" si="138"/>
        <v>#REF!</v>
      </c>
      <c r="BY64" s="22" t="s">
        <v>527</v>
      </c>
      <c r="BZ64" s="22">
        <f>BZ58-BZ61</f>
        <v>14134.012814070644</v>
      </c>
      <c r="CA64" s="22">
        <f t="shared" ref="CA64:CN65" si="139">CA58-CA61</f>
        <v>9954.1720862898455</v>
      </c>
      <c r="CB64" s="22">
        <f t="shared" si="139"/>
        <v>13082.578300779427</v>
      </c>
      <c r="CC64" s="22">
        <f t="shared" si="139"/>
        <v>8439.4452310986344</v>
      </c>
      <c r="CD64" s="22">
        <f t="shared" si="139"/>
        <v>21923.69526925937</v>
      </c>
      <c r="CE64" s="22">
        <f t="shared" si="139"/>
        <v>23067.74722667778</v>
      </c>
      <c r="CF64" s="22">
        <f t="shared" si="139"/>
        <v>26787.109201352047</v>
      </c>
      <c r="CG64" s="22">
        <f t="shared" si="139"/>
        <v>25004.234626194579</v>
      </c>
      <c r="CH64" s="22">
        <f t="shared" si="139"/>
        <v>34179.849449347472</v>
      </c>
      <c r="CI64" s="22">
        <f t="shared" si="139"/>
        <v>18611.548195347521</v>
      </c>
      <c r="CJ64" s="22">
        <f t="shared" si="139"/>
        <v>26472.715030780084</v>
      </c>
      <c r="CK64" s="22">
        <f t="shared" si="139"/>
        <v>24950.243598484376</v>
      </c>
      <c r="CL64" s="22">
        <f t="shared" si="139"/>
        <v>19469.994201776299</v>
      </c>
      <c r="CM64" s="22">
        <f t="shared" si="139"/>
        <v>18589.427279271818</v>
      </c>
      <c r="CN64" s="22">
        <f t="shared" si="139"/>
        <v>16433.020041780142</v>
      </c>
    </row>
    <row r="65" spans="1:97" ht="14.65" customHeight="1">
      <c r="A65" s="4" t="s">
        <v>462</v>
      </c>
      <c r="B65" s="49">
        <f>0.00095*1000*2.2046</f>
        <v>2.0943700000000001</v>
      </c>
      <c r="C65" s="30" t="s">
        <v>528</v>
      </c>
      <c r="D65" s="1432"/>
      <c r="E65" s="339"/>
      <c r="F65" s="339"/>
      <c r="G65" s="339"/>
      <c r="H65" s="339"/>
      <c r="K65" s="13"/>
      <c r="L65" s="13"/>
      <c r="M65" s="13"/>
      <c r="N65" s="13"/>
      <c r="O65" s="13"/>
      <c r="P65" s="13"/>
      <c r="Q65" s="13"/>
      <c r="R65" s="13"/>
      <c r="S65" s="13"/>
      <c r="T65" s="13"/>
      <c r="U65" s="13"/>
      <c r="V65" s="13"/>
      <c r="W65" s="13"/>
      <c r="X65" s="13"/>
      <c r="Y65" s="13"/>
      <c r="Z65" s="13"/>
      <c r="AA65" s="36" t="s">
        <v>494</v>
      </c>
      <c r="AB65" s="22">
        <v>6.4317056739594147E-2</v>
      </c>
      <c r="AC65" s="250">
        <v>0.22871003170310958</v>
      </c>
      <c r="AD65" s="22">
        <v>0.18241864917137371</v>
      </c>
      <c r="AE65" s="22">
        <v>9.2215479823181359E-2</v>
      </c>
      <c r="AF65" s="248">
        <v>0.13495545408947648</v>
      </c>
      <c r="BY65" s="22" t="s">
        <v>529</v>
      </c>
      <c r="BZ65" s="22">
        <f>BZ59-BZ62</f>
        <v>9357.9895776970006</v>
      </c>
      <c r="CA65" s="22">
        <f t="shared" si="139"/>
        <v>9220.1581718273465</v>
      </c>
      <c r="CB65" s="22">
        <f t="shared" si="139"/>
        <v>9310.165696899121</v>
      </c>
      <c r="CC65" s="22">
        <f t="shared" si="139"/>
        <v>9210.4323367304351</v>
      </c>
      <c r="CD65" s="22">
        <f t="shared" si="139"/>
        <v>9344.4175372294339</v>
      </c>
      <c r="CE65" s="22">
        <f t="shared" si="139"/>
        <v>9341.4703781770386</v>
      </c>
      <c r="CF65" s="22">
        <f t="shared" si="139"/>
        <v>9369.4549944806331</v>
      </c>
      <c r="CG65" s="22">
        <f t="shared" si="139"/>
        <v>9341.2433695275759</v>
      </c>
      <c r="CH65" s="22">
        <f t="shared" si="139"/>
        <v>9386.1167625807084</v>
      </c>
      <c r="CI65" s="22">
        <f t="shared" si="139"/>
        <v>9312.2681289124776</v>
      </c>
      <c r="CJ65" s="22">
        <f t="shared" si="139"/>
        <v>9348.5296848708131</v>
      </c>
      <c r="CK65" s="22">
        <f t="shared" si="139"/>
        <v>9350.590870450942</v>
      </c>
      <c r="CL65" s="22">
        <f t="shared" si="139"/>
        <v>9318.9377996381209</v>
      </c>
      <c r="CM65" s="22">
        <f t="shared" si="139"/>
        <v>9330.7670441630689</v>
      </c>
      <c r="CN65" s="22">
        <f t="shared" si="139"/>
        <v>9298.4260636095496</v>
      </c>
    </row>
    <row r="66" spans="1:97">
      <c r="A66" s="4" t="s">
        <v>463</v>
      </c>
      <c r="B66" s="49">
        <f>0.00127*1000*2.2046</f>
        <v>2.7998420000000004</v>
      </c>
      <c r="C66" s="30" t="s">
        <v>530</v>
      </c>
      <c r="D66" s="1432"/>
      <c r="E66" s="339"/>
      <c r="F66" s="339"/>
      <c r="G66" s="339"/>
      <c r="H66" s="339"/>
      <c r="K66" s="13"/>
      <c r="L66" s="13"/>
      <c r="M66" s="13"/>
      <c r="N66" s="13"/>
      <c r="O66" s="13"/>
      <c r="P66" s="13"/>
      <c r="Q66" s="13"/>
      <c r="R66" s="13"/>
      <c r="S66" s="13"/>
      <c r="T66" s="13"/>
      <c r="U66" s="13"/>
      <c r="V66" s="13"/>
      <c r="W66" s="13"/>
      <c r="X66" s="13"/>
      <c r="Y66" s="13"/>
      <c r="Z66" s="13"/>
      <c r="AA66" s="22" t="s">
        <v>517</v>
      </c>
      <c r="AC66" s="250"/>
    </row>
    <row r="67" spans="1:97">
      <c r="A67" s="4" t="s">
        <v>531</v>
      </c>
      <c r="B67" s="49">
        <v>0.95699999999999996</v>
      </c>
      <c r="C67" s="30"/>
      <c r="D67" s="1432"/>
      <c r="E67" s="339"/>
      <c r="F67" s="339"/>
      <c r="G67" s="339"/>
      <c r="H67" s="339"/>
      <c r="K67" s="13"/>
      <c r="L67" s="13"/>
      <c r="M67" s="13"/>
      <c r="N67" s="13"/>
      <c r="O67" s="13"/>
      <c r="P67" s="13"/>
      <c r="Q67" s="13"/>
      <c r="R67" s="13"/>
      <c r="S67" s="13"/>
      <c r="T67" s="13"/>
      <c r="U67" s="13"/>
      <c r="V67" s="13"/>
      <c r="W67" s="13"/>
      <c r="X67" s="13"/>
      <c r="Y67" s="13"/>
      <c r="Z67" s="13"/>
      <c r="AB67" s="22">
        <v>1</v>
      </c>
      <c r="AC67" s="22">
        <v>5</v>
      </c>
      <c r="AD67" s="22">
        <v>4</v>
      </c>
      <c r="AE67" s="22">
        <v>2</v>
      </c>
      <c r="AF67" s="22">
        <v>3</v>
      </c>
      <c r="BY67" s="22" t="s">
        <v>532</v>
      </c>
      <c r="BZ67" s="251">
        <f>BZ64/BZ61</f>
        <v>0.75175965541282896</v>
      </c>
      <c r="CA67" s="251">
        <f t="shared" ref="CA67:CN68" si="140">CA64/CA61</f>
        <v>0.80987541221076742</v>
      </c>
      <c r="CB67" s="251">
        <f t="shared" si="140"/>
        <v>0.75247485967954053</v>
      </c>
      <c r="CC67" s="251">
        <f t="shared" si="140"/>
        <v>0.84548076880312495</v>
      </c>
      <c r="CD67" s="251">
        <f t="shared" si="140"/>
        <v>0.73074942372166973</v>
      </c>
      <c r="CE67" s="251">
        <f t="shared" si="140"/>
        <v>0.73298128359039227</v>
      </c>
      <c r="CF67" s="251">
        <f t="shared" si="140"/>
        <v>0.72604793330925843</v>
      </c>
      <c r="CG67" s="251">
        <f t="shared" si="140"/>
        <v>0.74481936953812566</v>
      </c>
      <c r="CH67" s="251">
        <f t="shared" si="140"/>
        <v>0.72114865649042703</v>
      </c>
      <c r="CI67" s="251">
        <f t="shared" si="140"/>
        <v>0.75965973889718319</v>
      </c>
      <c r="CJ67" s="251">
        <f t="shared" si="140"/>
        <v>0.73542492341015619</v>
      </c>
      <c r="CK67" s="251">
        <f t="shared" si="140"/>
        <v>0.72704253318534262</v>
      </c>
      <c r="CL67" s="251">
        <f t="shared" si="140"/>
        <v>0.75779935847854352</v>
      </c>
      <c r="CM67" s="251">
        <f t="shared" si="140"/>
        <v>0.74385575789320302</v>
      </c>
      <c r="CN67" s="251">
        <f t="shared" si="140"/>
        <v>0.76162754071743122</v>
      </c>
      <c r="CO67" s="251"/>
      <c r="CP67" s="251"/>
      <c r="CQ67" s="251"/>
      <c r="CR67" s="251"/>
    </row>
    <row r="68" spans="1:97" ht="13.9" thickBot="1">
      <c r="A68" s="4"/>
      <c r="B68" s="49"/>
      <c r="D68" s="1432"/>
      <c r="E68" s="339"/>
      <c r="F68" s="339"/>
      <c r="G68" s="339"/>
      <c r="H68" s="339"/>
      <c r="K68" s="13"/>
      <c r="L68" s="13"/>
      <c r="M68" s="13"/>
      <c r="N68" s="13"/>
      <c r="O68" s="13"/>
      <c r="P68" s="13"/>
      <c r="Q68" s="13"/>
      <c r="R68" s="13"/>
      <c r="S68" s="13"/>
      <c r="T68" s="13"/>
      <c r="U68" s="13"/>
      <c r="V68" s="13"/>
      <c r="W68" s="13"/>
      <c r="X68" s="13"/>
      <c r="Y68" s="13"/>
      <c r="Z68" s="13"/>
      <c r="BY68" s="22" t="s">
        <v>533</v>
      </c>
      <c r="BZ68" s="251">
        <f>BZ65/BZ62</f>
        <v>0.85391289496126632</v>
      </c>
      <c r="CA68" s="251">
        <f t="shared" si="140"/>
        <v>0.89554519669805366</v>
      </c>
      <c r="CB68" s="251">
        <f t="shared" si="140"/>
        <v>0.85114575786616997</v>
      </c>
      <c r="CC68" s="251">
        <f t="shared" si="140"/>
        <v>0.91990344577223393</v>
      </c>
      <c r="CD68" s="251">
        <f t="shared" si="140"/>
        <v>0.84807551124855207</v>
      </c>
      <c r="CE68" s="251">
        <f t="shared" si="140"/>
        <v>0.85190668806324199</v>
      </c>
      <c r="CF68" s="251">
        <f t="shared" si="140"/>
        <v>0.84826417583708336</v>
      </c>
      <c r="CG68" s="251">
        <f t="shared" si="140"/>
        <v>0.86667992532529459</v>
      </c>
      <c r="CH68" s="251">
        <f t="shared" si="140"/>
        <v>0.84808669304067008</v>
      </c>
      <c r="CI68" s="251">
        <f t="shared" si="140"/>
        <v>0.87367165157185445</v>
      </c>
      <c r="CJ68" s="251">
        <f t="shared" si="140"/>
        <v>0.85805054518498558</v>
      </c>
      <c r="CK68" s="251">
        <f t="shared" si="140"/>
        <v>0.84763118139054294</v>
      </c>
      <c r="CL68" s="251">
        <f t="shared" si="140"/>
        <v>0.87321758676797967</v>
      </c>
      <c r="CM68" s="251">
        <f t="shared" si="140"/>
        <v>0.85678798511946996</v>
      </c>
      <c r="CN68" s="251">
        <f t="shared" si="140"/>
        <v>0.87114610717150209</v>
      </c>
      <c r="CO68" s="251"/>
      <c r="CP68" s="251"/>
      <c r="CQ68" s="251"/>
      <c r="CR68" s="251"/>
    </row>
    <row r="69" spans="1:97" ht="15" thickBot="1">
      <c r="A69" s="4" t="s">
        <v>534</v>
      </c>
      <c r="B69" s="49">
        <v>17.149999999999999</v>
      </c>
      <c r="C69" s="22" t="s">
        <v>535</v>
      </c>
      <c r="D69" s="1432"/>
      <c r="E69" s="339"/>
      <c r="F69" s="339"/>
      <c r="G69" s="339"/>
      <c r="H69" s="339"/>
      <c r="K69" s="13"/>
      <c r="L69" s="13"/>
      <c r="M69" s="13"/>
      <c r="N69" s="13"/>
      <c r="O69" s="13"/>
      <c r="P69" s="13"/>
      <c r="Q69" s="13"/>
      <c r="R69" s="13"/>
      <c r="S69" s="13"/>
      <c r="T69" s="13"/>
      <c r="U69" s="13"/>
      <c r="V69" s="13"/>
      <c r="W69" s="13"/>
      <c r="X69" s="13"/>
      <c r="Y69" s="13"/>
      <c r="Z69" s="13" t="s">
        <v>521</v>
      </c>
      <c r="AB69" s="22" t="s">
        <v>282</v>
      </c>
      <c r="AC69" s="103" t="s">
        <v>99</v>
      </c>
      <c r="AD69" s="22" t="s">
        <v>313</v>
      </c>
      <c r="AE69" s="105" t="s">
        <v>100</v>
      </c>
      <c r="AF69" s="22" t="s">
        <v>509</v>
      </c>
    </row>
    <row r="70" spans="1:97">
      <c r="A70" s="4" t="s">
        <v>536</v>
      </c>
      <c r="B70" s="50">
        <v>0.191</v>
      </c>
      <c r="C70" s="22" t="s">
        <v>535</v>
      </c>
      <c r="D70" s="1432"/>
      <c r="E70" s="339"/>
      <c r="F70" s="339"/>
      <c r="G70" s="339"/>
      <c r="H70" s="339"/>
      <c r="Z70" s="13" t="s">
        <v>514</v>
      </c>
      <c r="AA70" s="22" t="s">
        <v>482</v>
      </c>
      <c r="AB70" s="22">
        <v>517.44002133864183</v>
      </c>
      <c r="AC70" s="22">
        <v>682.19181669154216</v>
      </c>
      <c r="AD70" s="22">
        <v>693.19086685121999</v>
      </c>
      <c r="AE70" s="22">
        <v>840.00945485818511</v>
      </c>
      <c r="AF70" s="22">
        <v>846.22711730150547</v>
      </c>
    </row>
    <row r="71" spans="1:97">
      <c r="A71" s="4" t="s">
        <v>537</v>
      </c>
      <c r="B71" s="50">
        <v>3.0000000000000001E-3</v>
      </c>
      <c r="C71" s="22" t="s">
        <v>538</v>
      </c>
      <c r="D71" s="1432"/>
      <c r="E71" s="339"/>
      <c r="F71" s="339"/>
      <c r="G71" s="339"/>
      <c r="H71" s="339"/>
      <c r="Z71" s="13" t="s">
        <v>539</v>
      </c>
      <c r="AA71" s="22" t="s">
        <v>483</v>
      </c>
      <c r="AB71" s="22">
        <v>209.45369010892671</v>
      </c>
      <c r="AC71" s="22">
        <v>291.73748462283248</v>
      </c>
      <c r="AD71" s="22">
        <v>276.86121771095168</v>
      </c>
      <c r="AE71" s="22">
        <v>340.50987045681211</v>
      </c>
      <c r="AF71" s="22">
        <v>338.98139581410015</v>
      </c>
      <c r="BY71" s="22" t="s">
        <v>540</v>
      </c>
      <c r="BZ71" s="22">
        <f>0.35%*80000000</f>
        <v>280000</v>
      </c>
    </row>
    <row r="72" spans="1:97">
      <c r="A72" s="4"/>
      <c r="B72" s="49"/>
      <c r="C72" s="22" t="s">
        <v>538</v>
      </c>
      <c r="D72" s="1432"/>
      <c r="E72" s="339"/>
      <c r="F72" s="339"/>
      <c r="G72" s="339"/>
      <c r="H72" s="339"/>
      <c r="Z72" s="13" t="s">
        <v>522</v>
      </c>
      <c r="AA72" s="22" t="s">
        <v>485</v>
      </c>
      <c r="AB72" s="22">
        <v>3.3746088348172294</v>
      </c>
      <c r="AC72" s="22">
        <v>6.4531658335686419</v>
      </c>
      <c r="AD72" s="22">
        <v>5.1077221767984637</v>
      </c>
      <c r="AE72" s="22">
        <v>11.269368458114933</v>
      </c>
      <c r="AF72" s="22">
        <v>4.7503073584735862</v>
      </c>
      <c r="BY72" s="22" t="s">
        <v>541</v>
      </c>
      <c r="BZ72" s="22">
        <v>2880000</v>
      </c>
    </row>
    <row r="73" spans="1:97">
      <c r="A73" s="4" t="s">
        <v>542</v>
      </c>
      <c r="B73" s="49">
        <v>0.17799999999999999</v>
      </c>
      <c r="C73" s="22" t="s">
        <v>543</v>
      </c>
      <c r="D73" s="1432"/>
      <c r="E73" s="339"/>
      <c r="F73" s="339"/>
      <c r="G73" s="339"/>
      <c r="H73" s="339"/>
      <c r="AA73" s="22" t="s">
        <v>488</v>
      </c>
      <c r="AB73" s="22">
        <v>1.3660023267973478</v>
      </c>
      <c r="AC73" s="22">
        <v>2.7596789085943612</v>
      </c>
      <c r="AD73" s="22">
        <v>2.040030025238591</v>
      </c>
      <c r="AE73" s="22">
        <v>2.89329759356343</v>
      </c>
      <c r="AF73" s="22">
        <v>1.902876646232124</v>
      </c>
      <c r="BY73" s="22" t="s">
        <v>50</v>
      </c>
      <c r="BZ73" s="22">
        <v>0</v>
      </c>
      <c r="CA73" s="22">
        <f>SUM(BZ64:CC64)</f>
        <v>45610.208432238549</v>
      </c>
    </row>
    <row r="74" spans="1:97" ht="13.9" thickBot="1">
      <c r="A74" s="5" t="s">
        <v>544</v>
      </c>
      <c r="B74" s="51">
        <v>3.2000000000000002E-3</v>
      </c>
      <c r="C74" s="22" t="s">
        <v>545</v>
      </c>
      <c r="D74" s="1432"/>
      <c r="E74" s="339"/>
      <c r="F74" s="339"/>
      <c r="G74" s="339"/>
      <c r="H74" s="339"/>
      <c r="BZ74" s="22">
        <f>SUM(BZ71:BZ73)</f>
        <v>3160000</v>
      </c>
      <c r="CA74" s="22">
        <f>BZ74/CA73</f>
        <v>69.282735348484508</v>
      </c>
    </row>
    <row r="75" spans="1:97" ht="13.9" thickTop="1">
      <c r="A75" s="27" t="s">
        <v>546</v>
      </c>
      <c r="B75" s="27">
        <v>5000</v>
      </c>
      <c r="D75" s="1432"/>
      <c r="E75" s="339"/>
      <c r="F75" s="339"/>
      <c r="G75" s="339"/>
      <c r="H75" s="339"/>
    </row>
    <row r="76" spans="1:97" ht="13.9" thickBot="1">
      <c r="A76" s="27"/>
      <c r="B76" s="27">
        <v>3000</v>
      </c>
      <c r="D76" s="1432"/>
      <c r="E76" s="339"/>
      <c r="F76" s="339"/>
      <c r="G76" s="339"/>
      <c r="H76" s="339"/>
    </row>
    <row r="77" spans="1:97" ht="13.9" thickTop="1">
      <c r="A77" s="6" t="s">
        <v>547</v>
      </c>
      <c r="B77" s="52" t="s">
        <v>116</v>
      </c>
      <c r="D77" s="1432"/>
      <c r="E77" s="339"/>
      <c r="F77" s="339"/>
      <c r="G77" s="339"/>
      <c r="H77" s="339"/>
    </row>
    <row r="78" spans="1:97" ht="13.9" thickBot="1">
      <c r="A78" s="7" t="s">
        <v>548</v>
      </c>
      <c r="B78" s="53">
        <v>0.15</v>
      </c>
      <c r="C78" s="22" t="s">
        <v>549</v>
      </c>
      <c r="D78" s="1432"/>
      <c r="E78" s="339"/>
      <c r="F78" s="339"/>
      <c r="G78" s="339"/>
      <c r="H78" s="339"/>
    </row>
    <row r="79" spans="1:97">
      <c r="A79" s="1" t="s">
        <v>550</v>
      </c>
      <c r="B79" s="24">
        <v>10</v>
      </c>
      <c r="D79" s="1432"/>
      <c r="E79" s="339"/>
      <c r="F79" s="339"/>
      <c r="G79" s="339"/>
      <c r="H79" s="339"/>
      <c r="AC79" s="1505" t="s">
        <v>428</v>
      </c>
      <c r="AD79" s="1506"/>
      <c r="AE79" s="1506"/>
      <c r="AF79" s="1506"/>
      <c r="AG79" s="1506"/>
      <c r="AH79" s="1506"/>
      <c r="AI79" s="1506"/>
      <c r="AJ79" s="1506"/>
      <c r="AK79" s="1506"/>
      <c r="AL79" s="1506"/>
      <c r="AM79" s="1506"/>
      <c r="AN79" s="1506"/>
      <c r="AO79" s="1506"/>
      <c r="AP79" s="1506"/>
      <c r="AQ79" s="1506"/>
      <c r="AR79" s="1506"/>
      <c r="AS79" s="1506"/>
      <c r="AT79" s="1506"/>
      <c r="AU79" s="1506"/>
      <c r="AV79" s="1506"/>
      <c r="AW79" s="1507"/>
      <c r="AZ79" s="1505" t="s">
        <v>96</v>
      </c>
      <c r="BA79" s="1506"/>
      <c r="BB79" s="1506"/>
      <c r="BC79" s="1506"/>
      <c r="BD79" s="1506"/>
      <c r="BE79" s="1506"/>
      <c r="BF79" s="1506"/>
      <c r="BG79" s="1506"/>
      <c r="BH79" s="1506"/>
      <c r="BI79" s="1506"/>
      <c r="BJ79" s="1506"/>
      <c r="BK79" s="1506"/>
      <c r="BL79" s="1506"/>
      <c r="BM79" s="1506"/>
      <c r="BN79" s="1506"/>
      <c r="BO79" s="1506"/>
      <c r="BP79" s="1506"/>
      <c r="BQ79" s="1506"/>
      <c r="BR79" s="1506"/>
      <c r="BS79" s="1506"/>
      <c r="BT79" s="1507"/>
      <c r="BY79" s="1505" t="s">
        <v>99</v>
      </c>
      <c r="BZ79" s="1506"/>
      <c r="CA79" s="1506"/>
      <c r="CB79" s="1506"/>
      <c r="CC79" s="1506"/>
      <c r="CD79" s="1506"/>
      <c r="CE79" s="1506"/>
      <c r="CF79" s="1506"/>
      <c r="CG79" s="1506"/>
      <c r="CH79" s="1506"/>
      <c r="CI79" s="1506"/>
      <c r="CJ79" s="1506"/>
      <c r="CK79" s="1506"/>
      <c r="CL79" s="1506"/>
      <c r="CM79" s="1506"/>
      <c r="CN79" s="1506"/>
      <c r="CO79" s="1506"/>
      <c r="CP79" s="1506"/>
      <c r="CQ79" s="1506"/>
      <c r="CR79" s="1506"/>
      <c r="CS79" s="1507"/>
    </row>
    <row r="80" spans="1:97">
      <c r="A80" s="1" t="s">
        <v>551</v>
      </c>
      <c r="B80" s="24">
        <v>10</v>
      </c>
      <c r="C80" s="22" t="s">
        <v>552</v>
      </c>
      <c r="D80" s="1432"/>
      <c r="E80" s="339"/>
      <c r="F80" s="339"/>
      <c r="G80" s="339"/>
      <c r="H80" s="339"/>
      <c r="AC80" s="1508"/>
      <c r="AD80" s="1509"/>
      <c r="AE80" s="1509"/>
      <c r="AF80" s="1509"/>
      <c r="AG80" s="1509"/>
      <c r="AH80" s="1509"/>
      <c r="AI80" s="1509"/>
      <c r="AJ80" s="1509"/>
      <c r="AK80" s="1509"/>
      <c r="AL80" s="1509"/>
      <c r="AM80" s="1509"/>
      <c r="AN80" s="1509"/>
      <c r="AO80" s="1509"/>
      <c r="AP80" s="1509"/>
      <c r="AQ80" s="1509"/>
      <c r="AR80" s="1509"/>
      <c r="AS80" s="1509"/>
      <c r="AT80" s="1509"/>
      <c r="AU80" s="1509"/>
      <c r="AV80" s="1509"/>
      <c r="AW80" s="1510"/>
      <c r="AZ80" s="1508"/>
      <c r="BA80" s="1509"/>
      <c r="BB80" s="1509"/>
      <c r="BC80" s="1509"/>
      <c r="BD80" s="1509"/>
      <c r="BE80" s="1509"/>
      <c r="BF80" s="1509"/>
      <c r="BG80" s="1509"/>
      <c r="BH80" s="1509"/>
      <c r="BI80" s="1509"/>
      <c r="BJ80" s="1509"/>
      <c r="BK80" s="1509"/>
      <c r="BL80" s="1509"/>
      <c r="BM80" s="1509"/>
      <c r="BN80" s="1509"/>
      <c r="BO80" s="1509"/>
      <c r="BP80" s="1509"/>
      <c r="BQ80" s="1509"/>
      <c r="BR80" s="1509"/>
      <c r="BS80" s="1509"/>
      <c r="BT80" s="1510"/>
      <c r="BY80" s="1508"/>
      <c r="BZ80" s="1509"/>
      <c r="CA80" s="1509"/>
      <c r="CB80" s="1509"/>
      <c r="CC80" s="1509"/>
      <c r="CD80" s="1509"/>
      <c r="CE80" s="1509"/>
      <c r="CF80" s="1509"/>
      <c r="CG80" s="1509"/>
      <c r="CH80" s="1509"/>
      <c r="CI80" s="1509"/>
      <c r="CJ80" s="1509"/>
      <c r="CK80" s="1509"/>
      <c r="CL80" s="1509"/>
      <c r="CM80" s="1509"/>
      <c r="CN80" s="1509"/>
      <c r="CO80" s="1509"/>
      <c r="CP80" s="1509"/>
      <c r="CQ80" s="1509"/>
      <c r="CR80" s="1509"/>
      <c r="CS80" s="1510"/>
    </row>
    <row r="81" spans="1:97" ht="13.9" thickBot="1">
      <c r="A81" s="1" t="s">
        <v>553</v>
      </c>
      <c r="B81" s="54">
        <f>0.35%</f>
        <v>3.4999999999999996E-3</v>
      </c>
      <c r="C81" s="22" t="s">
        <v>554</v>
      </c>
      <c r="D81" s="1432"/>
      <c r="E81" s="339"/>
      <c r="F81" s="339"/>
      <c r="G81" s="339"/>
      <c r="H81" s="339"/>
      <c r="AC81" s="1511"/>
      <c r="AD81" s="1512"/>
      <c r="AE81" s="1512"/>
      <c r="AF81" s="1512"/>
      <c r="AG81" s="1512"/>
      <c r="AH81" s="1512"/>
      <c r="AI81" s="1512"/>
      <c r="AJ81" s="1512"/>
      <c r="AK81" s="1512"/>
      <c r="AL81" s="1512"/>
      <c r="AM81" s="1512"/>
      <c r="AN81" s="1512"/>
      <c r="AO81" s="1512"/>
      <c r="AP81" s="1512"/>
      <c r="AQ81" s="1512"/>
      <c r="AR81" s="1512"/>
      <c r="AS81" s="1512"/>
      <c r="AT81" s="1512"/>
      <c r="AU81" s="1512"/>
      <c r="AV81" s="1512"/>
      <c r="AW81" s="1513"/>
      <c r="AZ81" s="1511"/>
      <c r="BA81" s="1512"/>
      <c r="BB81" s="1512"/>
      <c r="BC81" s="1512"/>
      <c r="BD81" s="1512"/>
      <c r="BE81" s="1512"/>
      <c r="BF81" s="1512"/>
      <c r="BG81" s="1512"/>
      <c r="BH81" s="1512"/>
      <c r="BI81" s="1512"/>
      <c r="BJ81" s="1512"/>
      <c r="BK81" s="1512"/>
      <c r="BL81" s="1512"/>
      <c r="BM81" s="1512"/>
      <c r="BN81" s="1512"/>
      <c r="BO81" s="1512"/>
      <c r="BP81" s="1512"/>
      <c r="BQ81" s="1512"/>
      <c r="BR81" s="1512"/>
      <c r="BS81" s="1512"/>
      <c r="BT81" s="1513"/>
      <c r="BY81" s="1511"/>
      <c r="BZ81" s="1512"/>
      <c r="CA81" s="1512"/>
      <c r="CB81" s="1512"/>
      <c r="CC81" s="1512"/>
      <c r="CD81" s="1512"/>
      <c r="CE81" s="1512"/>
      <c r="CF81" s="1512"/>
      <c r="CG81" s="1512"/>
      <c r="CH81" s="1512"/>
      <c r="CI81" s="1512"/>
      <c r="CJ81" s="1512"/>
      <c r="CK81" s="1512"/>
      <c r="CL81" s="1512"/>
      <c r="CM81" s="1512"/>
      <c r="CN81" s="1512"/>
      <c r="CO81" s="1512"/>
      <c r="CP81" s="1512"/>
      <c r="CQ81" s="1512"/>
      <c r="CR81" s="1512"/>
      <c r="CS81" s="1513"/>
    </row>
    <row r="82" spans="1:97" ht="13.9" thickBot="1">
      <c r="A82" s="7" t="s">
        <v>555</v>
      </c>
      <c r="B82" s="54">
        <v>3.5000000000000003E-2</v>
      </c>
      <c r="C82" s="22" t="s">
        <v>556</v>
      </c>
      <c r="D82" s="1432"/>
      <c r="E82" s="339"/>
      <c r="F82" s="339"/>
      <c r="G82" s="339"/>
      <c r="H82" s="339"/>
      <c r="AC82" s="565" t="s">
        <v>247</v>
      </c>
      <c r="AD82" s="566" t="s">
        <v>209</v>
      </c>
      <c r="AE82" s="566" t="s">
        <v>210</v>
      </c>
      <c r="AF82" s="566" t="s">
        <v>211</v>
      </c>
      <c r="AG82" s="566" t="s">
        <v>212</v>
      </c>
      <c r="AH82" s="566" t="s">
        <v>213</v>
      </c>
      <c r="AI82" s="566" t="s">
        <v>214</v>
      </c>
      <c r="AJ82" s="566" t="s">
        <v>234</v>
      </c>
      <c r="AK82" s="566" t="s">
        <v>224</v>
      </c>
      <c r="AL82" s="566" t="s">
        <v>235</v>
      </c>
      <c r="AM82" s="566" t="s">
        <v>218</v>
      </c>
      <c r="AN82" s="567" t="s">
        <v>219</v>
      </c>
      <c r="AO82" s="567" t="s">
        <v>220</v>
      </c>
      <c r="AP82" s="567" t="s">
        <v>236</v>
      </c>
      <c r="AQ82" s="567" t="s">
        <v>237</v>
      </c>
      <c r="AR82" s="567" t="s">
        <v>222</v>
      </c>
      <c r="AS82" s="567" t="s">
        <v>238</v>
      </c>
      <c r="AT82" s="567" t="s">
        <v>239</v>
      </c>
      <c r="AU82" s="567" t="s">
        <v>216</v>
      </c>
      <c r="AV82" s="567" t="s">
        <v>226</v>
      </c>
      <c r="AW82" s="568" t="s">
        <v>225</v>
      </c>
      <c r="AZ82" s="565" t="s">
        <v>247</v>
      </c>
      <c r="BA82" s="566" t="s">
        <v>209</v>
      </c>
      <c r="BB82" s="566" t="s">
        <v>210</v>
      </c>
      <c r="BC82" s="566" t="s">
        <v>211</v>
      </c>
      <c r="BD82" s="566" t="s">
        <v>212</v>
      </c>
      <c r="BE82" s="566" t="s">
        <v>213</v>
      </c>
      <c r="BF82" s="566" t="s">
        <v>214</v>
      </c>
      <c r="BG82" s="566" t="s">
        <v>234</v>
      </c>
      <c r="BH82" s="566" t="s">
        <v>224</v>
      </c>
      <c r="BI82" s="566" t="s">
        <v>235</v>
      </c>
      <c r="BJ82" s="566" t="s">
        <v>218</v>
      </c>
      <c r="BK82" s="567" t="s">
        <v>219</v>
      </c>
      <c r="BL82" s="567" t="s">
        <v>220</v>
      </c>
      <c r="BM82" s="567" t="s">
        <v>236</v>
      </c>
      <c r="BN82" s="567" t="s">
        <v>237</v>
      </c>
      <c r="BO82" s="567" t="s">
        <v>222</v>
      </c>
      <c r="BP82" s="567" t="s">
        <v>238</v>
      </c>
      <c r="BQ82" s="567" t="s">
        <v>239</v>
      </c>
      <c r="BR82" s="567" t="s">
        <v>216</v>
      </c>
      <c r="BS82" s="567" t="s">
        <v>226</v>
      </c>
      <c r="BT82" s="568" t="s">
        <v>225</v>
      </c>
      <c r="BY82" s="565" t="s">
        <v>247</v>
      </c>
      <c r="BZ82" s="566" t="s">
        <v>209</v>
      </c>
      <c r="CA82" s="566" t="s">
        <v>210</v>
      </c>
      <c r="CB82" s="566" t="s">
        <v>211</v>
      </c>
      <c r="CC82" s="566" t="s">
        <v>212</v>
      </c>
      <c r="CD82" s="566" t="s">
        <v>213</v>
      </c>
      <c r="CE82" s="566" t="s">
        <v>214</v>
      </c>
      <c r="CF82" s="566" t="s">
        <v>234</v>
      </c>
      <c r="CG82" s="566" t="s">
        <v>224</v>
      </c>
      <c r="CH82" s="566" t="s">
        <v>235</v>
      </c>
      <c r="CI82" s="566" t="s">
        <v>218</v>
      </c>
      <c r="CJ82" s="567" t="s">
        <v>219</v>
      </c>
      <c r="CK82" s="567" t="s">
        <v>220</v>
      </c>
      <c r="CL82" s="567" t="s">
        <v>236</v>
      </c>
      <c r="CM82" s="567" t="s">
        <v>237</v>
      </c>
      <c r="CN82" s="567" t="s">
        <v>222</v>
      </c>
      <c r="CO82" s="567" t="s">
        <v>238</v>
      </c>
      <c r="CP82" s="567" t="s">
        <v>239</v>
      </c>
      <c r="CQ82" s="567" t="s">
        <v>216</v>
      </c>
      <c r="CR82" s="567" t="s">
        <v>226</v>
      </c>
      <c r="CS82" s="568" t="s">
        <v>225</v>
      </c>
    </row>
    <row r="83" spans="1:97">
      <c r="A83" s="7" t="s">
        <v>557</v>
      </c>
      <c r="B83" s="53">
        <v>0.06</v>
      </c>
      <c r="D83" s="1432"/>
      <c r="E83" s="339"/>
      <c r="F83" s="339"/>
      <c r="G83" s="339"/>
      <c r="H83" s="339"/>
      <c r="AC83" s="1514">
        <v>2026</v>
      </c>
      <c r="AD83" s="1515"/>
      <c r="AE83" s="1515"/>
      <c r="AF83" s="1515"/>
      <c r="AG83" s="1515"/>
      <c r="AH83" s="1515"/>
      <c r="AI83" s="1515"/>
      <c r="AJ83" s="1515"/>
      <c r="AK83" s="1515"/>
      <c r="AL83" s="1515"/>
      <c r="AM83" s="1515"/>
      <c r="AN83" s="1515"/>
      <c r="AO83" s="1515"/>
      <c r="AP83" s="1515"/>
      <c r="AQ83" s="1515"/>
      <c r="AR83" s="1515"/>
      <c r="AS83" s="1515"/>
      <c r="AT83" s="1515"/>
      <c r="AU83" s="1515"/>
      <c r="AV83" s="1515"/>
      <c r="AW83" s="1516"/>
      <c r="AZ83" s="1514">
        <v>2026</v>
      </c>
      <c r="BA83" s="1515"/>
      <c r="BB83" s="1515"/>
      <c r="BC83" s="1515"/>
      <c r="BD83" s="1515"/>
      <c r="BE83" s="1515"/>
      <c r="BF83" s="1515"/>
      <c r="BG83" s="1515"/>
      <c r="BH83" s="1515"/>
      <c r="BI83" s="1515"/>
      <c r="BJ83" s="1515"/>
      <c r="BK83" s="1515"/>
      <c r="BL83" s="1515"/>
      <c r="BM83" s="1515"/>
      <c r="BN83" s="1515"/>
      <c r="BO83" s="1515"/>
      <c r="BP83" s="1515"/>
      <c r="BQ83" s="1515"/>
      <c r="BR83" s="1515"/>
      <c r="BS83" s="1515"/>
      <c r="BT83" s="1516"/>
      <c r="BY83" s="1514">
        <v>2026</v>
      </c>
      <c r="BZ83" s="1515"/>
      <c r="CA83" s="1515"/>
      <c r="CB83" s="1515"/>
      <c r="CC83" s="1515"/>
      <c r="CD83" s="1515"/>
      <c r="CE83" s="1515"/>
      <c r="CF83" s="1515"/>
      <c r="CG83" s="1515"/>
      <c r="CH83" s="1515"/>
      <c r="CI83" s="1515"/>
      <c r="CJ83" s="1515"/>
      <c r="CK83" s="1515"/>
      <c r="CL83" s="1515"/>
      <c r="CM83" s="1515"/>
      <c r="CN83" s="1515"/>
      <c r="CO83" s="1515"/>
      <c r="CP83" s="1515"/>
      <c r="CQ83" s="1515"/>
      <c r="CR83" s="1515"/>
      <c r="CS83" s="1516"/>
    </row>
    <row r="84" spans="1:97" ht="13.9" thickBot="1">
      <c r="A84" s="8" t="s">
        <v>558</v>
      </c>
      <c r="B84" s="55">
        <v>0.23</v>
      </c>
      <c r="D84" s="1432"/>
      <c r="E84" s="339"/>
      <c r="F84" s="339"/>
      <c r="G84" s="339"/>
      <c r="H84" s="339"/>
      <c r="AC84" s="569" t="s">
        <v>559</v>
      </c>
      <c r="AD84" s="469" cm="1">
        <f t="array" ref="AD84:AW84">TRANSPOSE(Profitability!V80:V99)/TRANSPOSE('No. of aircraft'!AY62:AY81)</f>
        <v>0</v>
      </c>
      <c r="AE84" s="469">
        <v>0</v>
      </c>
      <c r="AF84" s="469">
        <v>0</v>
      </c>
      <c r="AG84" s="469">
        <v>0</v>
      </c>
      <c r="AH84" s="469">
        <v>0</v>
      </c>
      <c r="AI84" s="469">
        <v>0</v>
      </c>
      <c r="AJ84" s="469" t="e">
        <v>#REF!</v>
      </c>
      <c r="AK84" s="469" t="e">
        <v>#REF!</v>
      </c>
      <c r="AL84" s="469" t="e">
        <v>#REF!</v>
      </c>
      <c r="AM84" s="469">
        <v>0</v>
      </c>
      <c r="AN84" s="469" t="e">
        <v>#REF!</v>
      </c>
      <c r="AO84" s="469" t="e">
        <v>#REF!</v>
      </c>
      <c r="AP84" s="469" t="e">
        <v>#REF!</v>
      </c>
      <c r="AQ84" s="469">
        <v>0</v>
      </c>
      <c r="AR84" s="469">
        <v>0</v>
      </c>
      <c r="AS84" s="469">
        <v>0</v>
      </c>
      <c r="AT84" s="469">
        <v>0</v>
      </c>
      <c r="AU84" s="469" t="e">
        <v>#DIV/0!</v>
      </c>
      <c r="AV84" s="469" t="e">
        <v>#DIV/0!</v>
      </c>
      <c r="AW84" s="570" t="e">
        <v>#DIV/0!</v>
      </c>
      <c r="AZ84" s="569" t="s">
        <v>559</v>
      </c>
      <c r="BA84" s="469" cm="1">
        <f t="array" ref="BA84:BT84">TRANSPOSE(Profitability!V46:V65)/TRANSPOSE('No. of aircraft'!AY34:AY53)</f>
        <v>859371.50229342224</v>
      </c>
      <c r="BB84" s="469">
        <v>632090.75026091794</v>
      </c>
      <c r="BC84" s="469">
        <v>1030613.2631539757</v>
      </c>
      <c r="BD84" s="469">
        <v>496857.10653958324</v>
      </c>
      <c r="BE84" s="469">
        <v>1285655.7800727976</v>
      </c>
      <c r="BF84" s="469">
        <v>459831.04062628624</v>
      </c>
      <c r="BG84" s="469">
        <v>837942.2967276799</v>
      </c>
      <c r="BH84" s="469">
        <v>1601452.2918447289</v>
      </c>
      <c r="BI84" s="469">
        <v>1754832.6332899956</v>
      </c>
      <c r="BJ84" s="469">
        <v>2704851.0641922648</v>
      </c>
      <c r="BK84" s="469">
        <v>828912.47992671654</v>
      </c>
      <c r="BL84" s="469">
        <v>150225.45405433804</v>
      </c>
      <c r="BM84" s="469">
        <v>953499.14922115067</v>
      </c>
      <c r="BN84" s="469">
        <v>1798882.4062824533</v>
      </c>
      <c r="BO84" s="469">
        <v>641486.02525103639</v>
      </c>
      <c r="BP84" s="469">
        <v>346462.91392003646</v>
      </c>
      <c r="BQ84" s="469">
        <v>1401377.6326072759</v>
      </c>
      <c r="BR84" s="469" t="e">
        <v>#DIV/0!</v>
      </c>
      <c r="BS84" s="469" t="e">
        <v>#DIV/0!</v>
      </c>
      <c r="BT84" s="570" t="e">
        <v>#DIV/0!</v>
      </c>
      <c r="BY84" s="569" t="s">
        <v>559</v>
      </c>
      <c r="BZ84" s="469" cm="1">
        <f t="array" ref="BZ84:CS84">TRANSPOSE(Profitability!V116:V135)</f>
        <v>0</v>
      </c>
      <c r="CA84" s="469">
        <v>0</v>
      </c>
      <c r="CB84" s="469">
        <v>0</v>
      </c>
      <c r="CC84" s="469">
        <v>0</v>
      </c>
      <c r="CD84" s="469">
        <v>0</v>
      </c>
      <c r="CE84" s="469">
        <v>0</v>
      </c>
      <c r="CF84" s="469">
        <v>0</v>
      </c>
      <c r="CG84" s="469">
        <v>0</v>
      </c>
      <c r="CH84" s="469">
        <v>0</v>
      </c>
      <c r="CI84" s="469">
        <v>0</v>
      </c>
      <c r="CJ84" s="469">
        <v>0</v>
      </c>
      <c r="CK84" s="469">
        <v>0</v>
      </c>
      <c r="CL84" s="469">
        <v>0</v>
      </c>
      <c r="CM84" s="469">
        <v>0</v>
      </c>
      <c r="CN84" s="469">
        <v>0</v>
      </c>
      <c r="CO84" s="469">
        <v>0</v>
      </c>
      <c r="CP84" s="469">
        <v>0</v>
      </c>
      <c r="CQ84" s="469">
        <v>0</v>
      </c>
      <c r="CR84" s="469">
        <v>0</v>
      </c>
      <c r="CS84" s="570">
        <v>0</v>
      </c>
    </row>
    <row r="85" spans="1:97" ht="13.9" thickTop="1">
      <c r="A85" s="22" t="s">
        <v>560</v>
      </c>
      <c r="B85" s="459">
        <f>10%</f>
        <v>0.1</v>
      </c>
      <c r="AC85" s="571"/>
      <c r="AD85" s="469"/>
      <c r="AE85" s="469"/>
      <c r="AF85" s="469"/>
      <c r="AG85" s="469"/>
      <c r="AH85" s="469"/>
      <c r="AI85" s="469"/>
      <c r="AJ85" s="469"/>
      <c r="AK85" s="469"/>
      <c r="AL85" s="469"/>
      <c r="AM85" s="469"/>
      <c r="AN85" s="469"/>
      <c r="AO85" s="469"/>
      <c r="AP85" s="469"/>
      <c r="AQ85" s="469"/>
      <c r="AR85" s="469"/>
      <c r="AS85" s="469"/>
      <c r="AT85" s="469"/>
      <c r="AU85" s="469"/>
      <c r="AV85" s="469"/>
      <c r="AW85" s="570"/>
      <c r="AZ85" s="571"/>
      <c r="BA85" s="469"/>
      <c r="BB85" s="469"/>
      <c r="BC85" s="469"/>
      <c r="BD85" s="469"/>
      <c r="BE85" s="469"/>
      <c r="BF85" s="469"/>
      <c r="BG85" s="469"/>
      <c r="BH85" s="469"/>
      <c r="BI85" s="469"/>
      <c r="BJ85" s="469"/>
      <c r="BK85" s="469"/>
      <c r="BL85" s="469"/>
      <c r="BM85" s="469"/>
      <c r="BN85" s="469"/>
      <c r="BO85" s="469"/>
      <c r="BP85" s="469"/>
      <c r="BQ85" s="469"/>
      <c r="BR85" s="469"/>
      <c r="BS85" s="469"/>
      <c r="BT85" s="570"/>
      <c r="BY85" s="571"/>
      <c r="BZ85" s="469"/>
      <c r="CA85" s="469"/>
      <c r="CB85" s="469"/>
      <c r="CC85" s="469"/>
      <c r="CD85" s="469"/>
      <c r="CE85" s="469"/>
      <c r="CF85" s="469"/>
      <c r="CG85" s="469"/>
      <c r="CH85" s="469"/>
      <c r="CI85" s="469"/>
      <c r="CJ85" s="469"/>
      <c r="CK85" s="469"/>
      <c r="CL85" s="469"/>
      <c r="CM85" s="469"/>
      <c r="CN85" s="469"/>
      <c r="CO85" s="469"/>
      <c r="CP85" s="469"/>
      <c r="CQ85" s="469"/>
      <c r="CR85" s="469"/>
      <c r="CS85" s="570"/>
    </row>
    <row r="86" spans="1:97">
      <c r="A86" s="22" t="s">
        <v>561</v>
      </c>
      <c r="B86" s="29">
        <v>15</v>
      </c>
      <c r="AC86" s="571" t="s">
        <v>562</v>
      </c>
      <c r="AD86" s="1502"/>
      <c r="AE86" s="1503"/>
      <c r="AF86" s="1503"/>
      <c r="AG86" s="1503"/>
      <c r="AH86" s="1503"/>
      <c r="AI86" s="1503"/>
      <c r="AJ86" s="1503"/>
      <c r="AK86" s="1503"/>
      <c r="AL86" s="1503"/>
      <c r="AM86" s="1503"/>
      <c r="AN86" s="1503"/>
      <c r="AO86" s="1503"/>
      <c r="AP86" s="1503"/>
      <c r="AQ86" s="1503"/>
      <c r="AR86" s="1503"/>
      <c r="AS86" s="1503"/>
      <c r="AT86" s="1503"/>
      <c r="AU86" s="1503"/>
      <c r="AV86" s="1503"/>
      <c r="AW86" s="1504"/>
      <c r="AZ86" s="571" t="s">
        <v>562</v>
      </c>
      <c r="BA86" s="1502"/>
      <c r="BB86" s="1503"/>
      <c r="BC86" s="1503"/>
      <c r="BD86" s="1503"/>
      <c r="BE86" s="1503"/>
      <c r="BF86" s="1503"/>
      <c r="BG86" s="1503"/>
      <c r="BH86" s="1503"/>
      <c r="BI86" s="1503"/>
      <c r="BJ86" s="1503"/>
      <c r="BK86" s="1503"/>
      <c r="BL86" s="1503"/>
      <c r="BM86" s="1503"/>
      <c r="BN86" s="1503"/>
      <c r="BO86" s="1503"/>
      <c r="BP86" s="1503"/>
      <c r="BQ86" s="1503"/>
      <c r="BR86" s="1503"/>
      <c r="BS86" s="1503"/>
      <c r="BT86" s="1504"/>
      <c r="BY86" s="571" t="s">
        <v>562</v>
      </c>
      <c r="BZ86" s="1502"/>
      <c r="CA86" s="1503"/>
      <c r="CB86" s="1503"/>
      <c r="CC86" s="1503"/>
      <c r="CD86" s="1503"/>
      <c r="CE86" s="1503"/>
      <c r="CF86" s="1503"/>
      <c r="CG86" s="1503"/>
      <c r="CH86" s="1503"/>
      <c r="CI86" s="1503"/>
      <c r="CJ86" s="1503"/>
      <c r="CK86" s="1503"/>
      <c r="CL86" s="1503"/>
      <c r="CM86" s="1503"/>
      <c r="CN86" s="1503"/>
      <c r="CO86" s="1503"/>
      <c r="CP86" s="1503"/>
      <c r="CQ86" s="1503"/>
      <c r="CR86" s="1503"/>
      <c r="CS86" s="1504"/>
    </row>
    <row r="87" spans="1:97">
      <c r="A87" s="22" t="s">
        <v>563</v>
      </c>
      <c r="B87" s="22">
        <f>1.2%</f>
        <v>1.2E-2</v>
      </c>
      <c r="C87" s="22" t="s">
        <v>564</v>
      </c>
      <c r="AC87" s="572" t="s">
        <v>565</v>
      </c>
      <c r="AD87" s="469" t="s">
        <v>116</v>
      </c>
      <c r="AE87" s="469" t="s">
        <v>116</v>
      </c>
      <c r="AF87" s="469" t="s">
        <v>116</v>
      </c>
      <c r="AG87" s="469" t="s">
        <v>116</v>
      </c>
      <c r="AH87" s="469" t="s">
        <v>116</v>
      </c>
      <c r="AI87" s="469" t="s">
        <v>116</v>
      </c>
      <c r="AJ87" s="469" t="s">
        <v>116</v>
      </c>
      <c r="AK87" s="469" t="s">
        <v>116</v>
      </c>
      <c r="AL87" s="469" t="s">
        <v>116</v>
      </c>
      <c r="AM87" s="469" t="s">
        <v>116</v>
      </c>
      <c r="AN87" s="469" t="s">
        <v>116</v>
      </c>
      <c r="AO87" s="469" t="s">
        <v>116</v>
      </c>
      <c r="AP87" s="469" t="s">
        <v>116</v>
      </c>
      <c r="AQ87" s="469" t="s">
        <v>116</v>
      </c>
      <c r="AR87" s="469" t="s">
        <v>116</v>
      </c>
      <c r="AS87" s="469" t="s">
        <v>116</v>
      </c>
      <c r="AT87" s="469" t="s">
        <v>116</v>
      </c>
      <c r="AU87" s="469" t="s">
        <v>116</v>
      </c>
      <c r="AV87" s="469" t="s">
        <v>116</v>
      </c>
      <c r="AW87" s="570" t="s">
        <v>116</v>
      </c>
      <c r="AZ87" s="572" t="s">
        <v>565</v>
      </c>
      <c r="BA87" s="469" t="s">
        <v>116</v>
      </c>
      <c r="BB87" s="469" t="s">
        <v>116</v>
      </c>
      <c r="BC87" s="469" t="s">
        <v>116</v>
      </c>
      <c r="BD87" s="469" t="s">
        <v>116</v>
      </c>
      <c r="BE87" s="469" t="s">
        <v>116</v>
      </c>
      <c r="BF87" s="469" t="s">
        <v>116</v>
      </c>
      <c r="BG87" s="469" t="s">
        <v>116</v>
      </c>
      <c r="BH87" s="469" t="s">
        <v>116</v>
      </c>
      <c r="BI87" s="469" t="s">
        <v>116</v>
      </c>
      <c r="BJ87" s="469" t="s">
        <v>116</v>
      </c>
      <c r="BK87" s="469" t="s">
        <v>116</v>
      </c>
      <c r="BL87" s="469" t="s">
        <v>116</v>
      </c>
      <c r="BM87" s="469" t="s">
        <v>116</v>
      </c>
      <c r="BN87" s="469" t="s">
        <v>116</v>
      </c>
      <c r="BO87" s="469" t="s">
        <v>116</v>
      </c>
      <c r="BP87" s="469" t="s">
        <v>116</v>
      </c>
      <c r="BQ87" s="469" t="s">
        <v>116</v>
      </c>
      <c r="BR87" s="469" t="s">
        <v>116</v>
      </c>
      <c r="BS87" s="469" t="s">
        <v>116</v>
      </c>
      <c r="BT87" s="570" t="s">
        <v>116</v>
      </c>
      <c r="BY87" s="572" t="s">
        <v>565</v>
      </c>
      <c r="BZ87" s="469" t="s">
        <v>116</v>
      </c>
      <c r="CA87" s="469" t="s">
        <v>116</v>
      </c>
      <c r="CB87" s="469" t="s">
        <v>116</v>
      </c>
      <c r="CC87" s="469" t="s">
        <v>116</v>
      </c>
      <c r="CD87" s="469" t="s">
        <v>116</v>
      </c>
      <c r="CE87" s="469" t="s">
        <v>116</v>
      </c>
      <c r="CF87" s="469" t="s">
        <v>116</v>
      </c>
      <c r="CG87" s="469" t="s">
        <v>116</v>
      </c>
      <c r="CH87" s="469" t="s">
        <v>116</v>
      </c>
      <c r="CI87" s="469" t="s">
        <v>116</v>
      </c>
      <c r="CJ87" s="469" t="s">
        <v>116</v>
      </c>
      <c r="CK87" s="469" t="s">
        <v>116</v>
      </c>
      <c r="CL87" s="469" t="s">
        <v>116</v>
      </c>
      <c r="CM87" s="469" t="s">
        <v>116</v>
      </c>
      <c r="CN87" s="469" t="s">
        <v>116</v>
      </c>
      <c r="CO87" s="469" t="s">
        <v>116</v>
      </c>
      <c r="CP87" s="469" t="s">
        <v>116</v>
      </c>
      <c r="CQ87" s="469" t="s">
        <v>116</v>
      </c>
      <c r="CR87" s="469" t="s">
        <v>116</v>
      </c>
      <c r="CS87" s="570" t="s">
        <v>116</v>
      </c>
    </row>
    <row r="88" spans="1:97">
      <c r="A88" s="22" t="s">
        <v>566</v>
      </c>
      <c r="B88" s="22">
        <v>10</v>
      </c>
      <c r="C88" s="22" t="s">
        <v>552</v>
      </c>
      <c r="AC88" s="572" t="s">
        <v>567</v>
      </c>
      <c r="AD88" s="469">
        <f>SUM('Cost Structure'!AD20:AD28)</f>
        <v>4947.8024671348921</v>
      </c>
      <c r="AE88" s="469">
        <f>SUM('Cost Structure'!AE20:AE28)</f>
        <v>3958.2024911963649</v>
      </c>
      <c r="AF88" s="469">
        <f>SUM('Cost Structure'!AF20:AF28)</f>
        <v>4429.36145421118</v>
      </c>
      <c r="AG88" s="469">
        <f>SUM('Cost Structure'!AG20:AG28)</f>
        <v>4606.514201172341</v>
      </c>
      <c r="AH88" s="469">
        <f>SUM('Cost Structure'!AH20:AH28)</f>
        <v>2970.9753325087286</v>
      </c>
      <c r="AI88" s="469">
        <f>SUM('Cost Structure'!AI20:AI28)</f>
        <v>7709.4986293304873</v>
      </c>
      <c r="AJ88" s="469">
        <f>SUM('Cost Structure'!AJ20:AJ28)</f>
        <v>6031.3868505738101</v>
      </c>
      <c r="AK88" s="469">
        <f>SUM('Cost Structure'!AK20:AK28)</f>
        <v>6760.8318546615983</v>
      </c>
      <c r="AL88" s="469">
        <f>SUM('Cost Structure'!AL20:AL28)</f>
        <v>7453.6834963378169</v>
      </c>
      <c r="AM88" s="469">
        <f>SUM('Cost Structure'!AM20:AM28)</f>
        <v>12891.376600471098</v>
      </c>
      <c r="AN88" s="469">
        <f>SUM('Cost Structure'!AN20:AN28)</f>
        <v>3108.3719051403609</v>
      </c>
      <c r="AO88" s="469">
        <f>SUM('Cost Structure'!AO20:AO28)</f>
        <v>4267.1338150842739</v>
      </c>
      <c r="AP88" s="469">
        <f>SUM('Cost Structure'!AP20:AP28)</f>
        <v>9756.4169839439601</v>
      </c>
      <c r="AQ88" s="469">
        <f>SUM('Cost Structure'!AQ20:AQ28)</f>
        <v>9428.7452804654185</v>
      </c>
      <c r="AR88" s="469">
        <f>SUM('Cost Structure'!AR20:AR28)</f>
        <v>4466.4696427030649</v>
      </c>
      <c r="AS88" s="469">
        <f>SUM('Cost Structure'!AS20:AS28)</f>
        <v>9599.4213055486707</v>
      </c>
      <c r="AT88" s="469">
        <f>SUM('Cost Structure'!AT20:AT28)</f>
        <v>5329.2722812582942</v>
      </c>
      <c r="AU88" s="469">
        <f>SUM('Cost Structure'!AU20:AU28)</f>
        <v>2.1530105243823161E-3</v>
      </c>
      <c r="AV88" s="469">
        <f>SUM('Cost Structure'!AV20:AV28)</f>
        <v>0</v>
      </c>
      <c r="AW88" s="570">
        <f>SUM('Cost Structure'!AW20:AW28)</f>
        <v>0</v>
      </c>
      <c r="AZ88" s="572" t="s">
        <v>567</v>
      </c>
      <c r="BA88" s="469">
        <f>SUM('Cost Structure'!BA20:BA28)</f>
        <v>4629.4743471502734</v>
      </c>
      <c r="BB88" s="469">
        <f>SUM('Cost Structure'!BB20:BB28)</f>
        <v>3805.5108031267337</v>
      </c>
      <c r="BC88" s="469">
        <f>SUM('Cost Structure'!BC20:BC28)</f>
        <v>4128.8198052069929</v>
      </c>
      <c r="BD88" s="469">
        <f>SUM('Cost Structure'!BD20:BD28)</f>
        <v>4343.6599921681554</v>
      </c>
      <c r="BE88" s="469">
        <f>SUM('Cost Structure'!BE20:BE28)</f>
        <v>2920.4709027291774</v>
      </c>
      <c r="BF88" s="469">
        <f>SUM('Cost Structure'!BF20:BF28)</f>
        <v>7023.4463727717884</v>
      </c>
      <c r="BG88" s="469">
        <f>SUM('Cost Structure'!BG20:BG28)</f>
        <v>5569.5636294397464</v>
      </c>
      <c r="BH88" s="469">
        <f>SUM('Cost Structure'!BH20:BH28)</f>
        <v>6219.4950922781845</v>
      </c>
      <c r="BI88" s="469">
        <f>SUM('Cost Structure'!BI20:BI28)</f>
        <v>6830.0103568220375</v>
      </c>
      <c r="BJ88" s="469">
        <f>SUM('Cost Structure'!BJ20:BJ28)</f>
        <v>11667.055209282595</v>
      </c>
      <c r="BK88" s="469">
        <f>SUM('Cost Structure'!BK20:BK28)</f>
        <v>3036.892750535435</v>
      </c>
      <c r="BL88" s="469">
        <f>SUM('Cost Structure'!BL20:BL28)</f>
        <v>4000.8607180020927</v>
      </c>
      <c r="BM88" s="469">
        <f>SUM('Cost Structure'!BM20:BM28)</f>
        <v>8822.5735648357168</v>
      </c>
      <c r="BN88" s="469">
        <f>SUM('Cost Structure'!BN20:BN28)</f>
        <v>8544.9346757768435</v>
      </c>
      <c r="BO88" s="469">
        <f>SUM('Cost Structure'!BO20:BO28)</f>
        <v>4153.3095767610503</v>
      </c>
      <c r="BP88" s="469">
        <f>SUM('Cost Structure'!BP20:BP28)</f>
        <v>8730.4526284179592</v>
      </c>
      <c r="BQ88" s="469">
        <f>SUM('Cost Structure'!BQ20:BQ28)</f>
        <v>4992.2219096578501</v>
      </c>
      <c r="BR88" s="469">
        <f>SUM('Cost Structure'!BR20:BR28)</f>
        <v>0</v>
      </c>
      <c r="BS88" s="469">
        <f>SUM('Cost Structure'!BS20:BS28)</f>
        <v>0</v>
      </c>
      <c r="BT88" s="570">
        <f>SUM('Cost Structure'!BT20:BT28)</f>
        <v>0</v>
      </c>
      <c r="BY88" s="572" t="s">
        <v>567</v>
      </c>
      <c r="BZ88" s="469" t="e">
        <f>SUM('Cost Structure'!BZ20:BZ28)</f>
        <v>#REF!</v>
      </c>
      <c r="CA88" s="469" t="e">
        <f>SUM('Cost Structure'!CA20:CA28)</f>
        <v>#REF!</v>
      </c>
      <c r="CB88" s="469" t="e">
        <f>SUM('Cost Structure'!CB20:CB28)</f>
        <v>#REF!</v>
      </c>
      <c r="CC88" s="469" t="e">
        <f>SUM('Cost Structure'!CC20:CC28)</f>
        <v>#REF!</v>
      </c>
      <c r="CD88" s="469" t="e">
        <f>SUM('Cost Structure'!CD20:CD28)</f>
        <v>#REF!</v>
      </c>
      <c r="CE88" s="469" t="e">
        <f>SUM('Cost Structure'!CE20:CE28)</f>
        <v>#REF!</v>
      </c>
      <c r="CF88" s="469" t="e">
        <f>SUM('Cost Structure'!CF20:CF28)</f>
        <v>#REF!</v>
      </c>
      <c r="CG88" s="469" t="e">
        <f>SUM('Cost Structure'!CG20:CG28)</f>
        <v>#REF!</v>
      </c>
      <c r="CH88" s="469" t="e">
        <f>SUM('Cost Structure'!CH20:CH28)</f>
        <v>#REF!</v>
      </c>
      <c r="CI88" s="469" t="e">
        <f>SUM('Cost Structure'!CI20:CI28)</f>
        <v>#REF!</v>
      </c>
      <c r="CJ88" s="469" t="e">
        <f>SUM('Cost Structure'!CJ20:CJ28)</f>
        <v>#REF!</v>
      </c>
      <c r="CK88" s="469" t="e">
        <f>SUM('Cost Structure'!CK20:CK28)</f>
        <v>#REF!</v>
      </c>
      <c r="CL88" s="469" t="e">
        <f>SUM('Cost Structure'!CL20:CL28)</f>
        <v>#REF!</v>
      </c>
      <c r="CM88" s="469" t="e">
        <f>SUM('Cost Structure'!CM20:CM28)</f>
        <v>#REF!</v>
      </c>
      <c r="CN88" s="469" t="e">
        <f>SUM('Cost Structure'!CN20:CN28)</f>
        <v>#REF!</v>
      </c>
      <c r="CO88" s="469" t="e">
        <f>SUM('Cost Structure'!CO20:CO28)</f>
        <v>#REF!</v>
      </c>
      <c r="CP88" s="469" t="e">
        <f>SUM('Cost Structure'!CP20:CP28)</f>
        <v>#REF!</v>
      </c>
      <c r="CQ88" s="469">
        <f>SUM('Cost Structure'!CQ20:CQ28)</f>
        <v>0</v>
      </c>
      <c r="CR88" s="469">
        <f>SUM('Cost Structure'!CR20:CR28)</f>
        <v>0</v>
      </c>
      <c r="CS88" s="570">
        <f>SUM('Cost Structure'!CS20:CS28)</f>
        <v>0</v>
      </c>
    </row>
    <row r="89" spans="1:97">
      <c r="A89" s="22" t="s">
        <v>568</v>
      </c>
      <c r="B89" s="458">
        <f>8.5%</f>
        <v>8.5000000000000006E-2</v>
      </c>
      <c r="AC89" s="569" t="s">
        <v>569</v>
      </c>
      <c r="AD89" s="469">
        <f>AD84-SUM(AD87:AD88)</f>
        <v>-4947.8024671348921</v>
      </c>
      <c r="AE89" s="469">
        <f t="shared" ref="AE89:AW89" si="141">AE84-SUM(AE87:AE88)</f>
        <v>-3958.2024911963649</v>
      </c>
      <c r="AF89" s="469">
        <f t="shared" si="141"/>
        <v>-4429.36145421118</v>
      </c>
      <c r="AG89" s="469">
        <f t="shared" si="141"/>
        <v>-4606.514201172341</v>
      </c>
      <c r="AH89" s="469">
        <f t="shared" si="141"/>
        <v>-2970.9753325087286</v>
      </c>
      <c r="AI89" s="469">
        <f t="shared" si="141"/>
        <v>-7709.4986293304873</v>
      </c>
      <c r="AJ89" s="469" t="e">
        <f t="shared" si="141"/>
        <v>#REF!</v>
      </c>
      <c r="AK89" s="469" t="e">
        <f t="shared" si="141"/>
        <v>#REF!</v>
      </c>
      <c r="AL89" s="469" t="e">
        <f t="shared" si="141"/>
        <v>#REF!</v>
      </c>
      <c r="AM89" s="469">
        <f t="shared" si="141"/>
        <v>-12891.376600471098</v>
      </c>
      <c r="AN89" s="469" t="e">
        <f t="shared" si="141"/>
        <v>#REF!</v>
      </c>
      <c r="AO89" s="469" t="e">
        <f t="shared" si="141"/>
        <v>#REF!</v>
      </c>
      <c r="AP89" s="469" t="e">
        <f t="shared" si="141"/>
        <v>#REF!</v>
      </c>
      <c r="AQ89" s="469">
        <f t="shared" si="141"/>
        <v>-9428.7452804654185</v>
      </c>
      <c r="AR89" s="469">
        <f t="shared" si="141"/>
        <v>-4466.4696427030649</v>
      </c>
      <c r="AS89" s="469">
        <f t="shared" si="141"/>
        <v>-9599.4213055486707</v>
      </c>
      <c r="AT89" s="469">
        <f t="shared" si="141"/>
        <v>-5329.2722812582942</v>
      </c>
      <c r="AU89" s="469" t="e">
        <f t="shared" si="141"/>
        <v>#DIV/0!</v>
      </c>
      <c r="AV89" s="469" t="e">
        <f t="shared" si="141"/>
        <v>#DIV/0!</v>
      </c>
      <c r="AW89" s="570" t="e">
        <f t="shared" si="141"/>
        <v>#DIV/0!</v>
      </c>
      <c r="AZ89" s="569" t="s">
        <v>569</v>
      </c>
      <c r="BA89" s="469">
        <f>BA84-SUM(BA87:BA88)</f>
        <v>854742.02794627193</v>
      </c>
      <c r="BB89" s="469">
        <f t="shared" ref="BB89" si="142">BB84-SUM(BB87:BB88)</f>
        <v>628285.23945779121</v>
      </c>
      <c r="BC89" s="469">
        <f t="shared" ref="BC89" si="143">BC84-SUM(BC87:BC88)</f>
        <v>1026484.4433487687</v>
      </c>
      <c r="BD89" s="469">
        <f t="shared" ref="BD89" si="144">BD84-SUM(BD87:BD88)</f>
        <v>492513.44654741511</v>
      </c>
      <c r="BE89" s="469">
        <f t="shared" ref="BE89" si="145">BE84-SUM(BE87:BE88)</f>
        <v>1282735.3091700685</v>
      </c>
      <c r="BF89" s="469">
        <f t="shared" ref="BF89" si="146">BF84-SUM(BF87:BF88)</f>
        <v>452807.59425351443</v>
      </c>
      <c r="BG89" s="469">
        <f t="shared" ref="BG89" si="147">BG84-SUM(BG87:BG88)</f>
        <v>832372.7330982401</v>
      </c>
      <c r="BH89" s="469">
        <f t="shared" ref="BH89" si="148">BH84-SUM(BH87:BH88)</f>
        <v>1595232.7967524508</v>
      </c>
      <c r="BI89" s="469">
        <f t="shared" ref="BI89" si="149">BI84-SUM(BI87:BI88)</f>
        <v>1748002.6229331736</v>
      </c>
      <c r="BJ89" s="469">
        <f t="shared" ref="BJ89" si="150">BJ84-SUM(BJ87:BJ88)</f>
        <v>2693184.008982982</v>
      </c>
      <c r="BK89" s="469">
        <f t="shared" ref="BK89" si="151">BK84-SUM(BK87:BK88)</f>
        <v>825875.58717618114</v>
      </c>
      <c r="BL89" s="469">
        <f t="shared" ref="BL89" si="152">BL84-SUM(BL87:BL88)</f>
        <v>146224.59333633594</v>
      </c>
      <c r="BM89" s="469">
        <f t="shared" ref="BM89" si="153">BM84-SUM(BM87:BM88)</f>
        <v>944676.57565631496</v>
      </c>
      <c r="BN89" s="469">
        <f t="shared" ref="BN89" si="154">BN84-SUM(BN87:BN88)</f>
        <v>1790337.4716066765</v>
      </c>
      <c r="BO89" s="469">
        <f t="shared" ref="BO89" si="155">BO84-SUM(BO87:BO88)</f>
        <v>637332.7156742753</v>
      </c>
      <c r="BP89" s="469">
        <f t="shared" ref="BP89" si="156">BP84-SUM(BP87:BP88)</f>
        <v>337732.46129161853</v>
      </c>
      <c r="BQ89" s="469">
        <f t="shared" ref="BQ89" si="157">BQ84-SUM(BQ87:BQ88)</f>
        <v>1396385.410697618</v>
      </c>
      <c r="BR89" s="469" t="e">
        <f t="shared" ref="BR89" si="158">BR84-SUM(BR87:BR88)</f>
        <v>#DIV/0!</v>
      </c>
      <c r="BS89" s="469" t="e">
        <f t="shared" ref="BS89" si="159">BS84-SUM(BS87:BS88)</f>
        <v>#DIV/0!</v>
      </c>
      <c r="BT89" s="570" t="e">
        <f t="shared" ref="BT89" si="160">BT84-SUM(BT87:BT88)</f>
        <v>#DIV/0!</v>
      </c>
      <c r="BY89" s="569" t="s">
        <v>569</v>
      </c>
      <c r="BZ89" s="469" t="e">
        <f>BZ84-SUM(BZ87:BZ88)</f>
        <v>#REF!</v>
      </c>
      <c r="CA89" s="469" t="e">
        <f t="shared" ref="CA89" si="161">CA84-SUM(CA87:CA88)</f>
        <v>#REF!</v>
      </c>
      <c r="CB89" s="469" t="e">
        <f t="shared" ref="CB89" si="162">CB84-SUM(CB87:CB88)</f>
        <v>#REF!</v>
      </c>
      <c r="CC89" s="469" t="e">
        <f t="shared" ref="CC89" si="163">CC84-SUM(CC87:CC88)</f>
        <v>#REF!</v>
      </c>
      <c r="CD89" s="469" t="e">
        <f t="shared" ref="CD89" si="164">CD84-SUM(CD87:CD88)</f>
        <v>#REF!</v>
      </c>
      <c r="CE89" s="469" t="e">
        <f t="shared" ref="CE89" si="165">CE84-SUM(CE87:CE88)</f>
        <v>#REF!</v>
      </c>
      <c r="CF89" s="469" t="e">
        <f t="shared" ref="CF89" si="166">CF84-SUM(CF87:CF88)</f>
        <v>#REF!</v>
      </c>
      <c r="CG89" s="469" t="e">
        <f t="shared" ref="CG89" si="167">CG84-SUM(CG87:CG88)</f>
        <v>#REF!</v>
      </c>
      <c r="CH89" s="469" t="e">
        <f t="shared" ref="CH89" si="168">CH84-SUM(CH87:CH88)</f>
        <v>#REF!</v>
      </c>
      <c r="CI89" s="469" t="e">
        <f t="shared" ref="CI89" si="169">CI84-SUM(CI87:CI88)</f>
        <v>#REF!</v>
      </c>
      <c r="CJ89" s="469" t="e">
        <f t="shared" ref="CJ89" si="170">CJ84-SUM(CJ87:CJ88)</f>
        <v>#REF!</v>
      </c>
      <c r="CK89" s="469" t="e">
        <f t="shared" ref="CK89" si="171">CK84-SUM(CK87:CK88)</f>
        <v>#REF!</v>
      </c>
      <c r="CL89" s="469" t="e">
        <f t="shared" ref="CL89" si="172">CL84-SUM(CL87:CL88)</f>
        <v>#REF!</v>
      </c>
      <c r="CM89" s="469" t="e">
        <f t="shared" ref="CM89" si="173">CM84-SUM(CM87:CM88)</f>
        <v>#REF!</v>
      </c>
      <c r="CN89" s="469" t="e">
        <f t="shared" ref="CN89" si="174">CN84-SUM(CN87:CN88)</f>
        <v>#REF!</v>
      </c>
      <c r="CO89" s="469" t="e">
        <f t="shared" ref="CO89" si="175">CO84-SUM(CO87:CO88)</f>
        <v>#REF!</v>
      </c>
      <c r="CP89" s="469" t="e">
        <f t="shared" ref="CP89" si="176">CP84-SUM(CP87:CP88)</f>
        <v>#REF!</v>
      </c>
      <c r="CQ89" s="469">
        <f t="shared" ref="CQ89" si="177">CQ84-SUM(CQ87:CQ88)</f>
        <v>0</v>
      </c>
      <c r="CR89" s="469">
        <f t="shared" ref="CR89" si="178">CR84-SUM(CR87:CR88)</f>
        <v>0</v>
      </c>
      <c r="CS89" s="570">
        <f t="shared" ref="CS89" si="179">CS84-SUM(CS87:CS88)</f>
        <v>0</v>
      </c>
    </row>
    <row r="90" spans="1:97">
      <c r="A90" s="22" t="s">
        <v>570</v>
      </c>
      <c r="B90" s="22">
        <f>30000000*0.00007</f>
        <v>2100</v>
      </c>
      <c r="AC90" s="569"/>
      <c r="AD90" s="469"/>
      <c r="AE90" s="469"/>
      <c r="AF90" s="469"/>
      <c r="AG90" s="469"/>
      <c r="AH90" s="469"/>
      <c r="AI90" s="469"/>
      <c r="AJ90" s="469"/>
      <c r="AK90" s="469"/>
      <c r="AL90" s="469"/>
      <c r="AM90" s="469"/>
      <c r="AN90" s="469"/>
      <c r="AO90" s="469"/>
      <c r="AP90" s="469"/>
      <c r="AQ90" s="469"/>
      <c r="AR90" s="469"/>
      <c r="AS90" s="469"/>
      <c r="AT90" s="469"/>
      <c r="AU90" s="469"/>
      <c r="AV90" s="469"/>
      <c r="AW90" s="570"/>
      <c r="AZ90" s="569"/>
      <c r="BA90" s="469"/>
      <c r="BB90" s="469"/>
      <c r="BC90" s="469"/>
      <c r="BD90" s="469"/>
      <c r="BE90" s="469"/>
      <c r="BF90" s="469"/>
      <c r="BG90" s="469"/>
      <c r="BH90" s="469"/>
      <c r="BI90" s="469"/>
      <c r="BJ90" s="469"/>
      <c r="BK90" s="469"/>
      <c r="BL90" s="469"/>
      <c r="BM90" s="469"/>
      <c r="BN90" s="469"/>
      <c r="BO90" s="469"/>
      <c r="BP90" s="469"/>
      <c r="BQ90" s="469"/>
      <c r="BR90" s="469"/>
      <c r="BS90" s="469"/>
      <c r="BT90" s="570"/>
      <c r="BY90" s="569"/>
      <c r="BZ90" s="469"/>
      <c r="CA90" s="469"/>
      <c r="CB90" s="469"/>
      <c r="CC90" s="469"/>
      <c r="CD90" s="469"/>
      <c r="CE90" s="469"/>
      <c r="CF90" s="469"/>
      <c r="CG90" s="469"/>
      <c r="CH90" s="469"/>
      <c r="CI90" s="469"/>
      <c r="CJ90" s="469"/>
      <c r="CK90" s="469"/>
      <c r="CL90" s="469"/>
      <c r="CM90" s="469"/>
      <c r="CN90" s="469"/>
      <c r="CO90" s="469"/>
      <c r="CP90" s="469"/>
      <c r="CQ90" s="469"/>
      <c r="CR90" s="469"/>
      <c r="CS90" s="570"/>
    </row>
    <row r="91" spans="1:97">
      <c r="A91" s="22" t="s">
        <v>571</v>
      </c>
      <c r="B91" s="22">
        <f>200*0.00007</f>
        <v>1.3999999999999999E-2</v>
      </c>
      <c r="AC91" s="571" t="s">
        <v>572</v>
      </c>
      <c r="AD91" s="1502"/>
      <c r="AE91" s="1503"/>
      <c r="AF91" s="1503"/>
      <c r="AG91" s="1503"/>
      <c r="AH91" s="1503"/>
      <c r="AI91" s="1503"/>
      <c r="AJ91" s="1503"/>
      <c r="AK91" s="1503"/>
      <c r="AL91" s="1503"/>
      <c r="AM91" s="1503"/>
      <c r="AN91" s="1503"/>
      <c r="AO91" s="1503"/>
      <c r="AP91" s="1503"/>
      <c r="AQ91" s="1503"/>
      <c r="AR91" s="1503"/>
      <c r="AS91" s="1503"/>
      <c r="AT91" s="1503"/>
      <c r="AU91" s="1503"/>
      <c r="AV91" s="1503"/>
      <c r="AW91" s="1504"/>
      <c r="AZ91" s="571" t="s">
        <v>572</v>
      </c>
      <c r="BA91" s="1502"/>
      <c r="BB91" s="1503"/>
      <c r="BC91" s="1503"/>
      <c r="BD91" s="1503"/>
      <c r="BE91" s="1503"/>
      <c r="BF91" s="1503"/>
      <c r="BG91" s="1503"/>
      <c r="BH91" s="1503"/>
      <c r="BI91" s="1503"/>
      <c r="BJ91" s="1503"/>
      <c r="BK91" s="1503"/>
      <c r="BL91" s="1503"/>
      <c r="BM91" s="1503"/>
      <c r="BN91" s="1503"/>
      <c r="BO91" s="1503"/>
      <c r="BP91" s="1503"/>
      <c r="BQ91" s="1503"/>
      <c r="BR91" s="1503"/>
      <c r="BS91" s="1503"/>
      <c r="BT91" s="1504"/>
      <c r="BY91" s="571" t="s">
        <v>572</v>
      </c>
      <c r="BZ91" s="1502"/>
      <c r="CA91" s="1503"/>
      <c r="CB91" s="1503"/>
      <c r="CC91" s="1503"/>
      <c r="CD91" s="1503"/>
      <c r="CE91" s="1503"/>
      <c r="CF91" s="1503"/>
      <c r="CG91" s="1503"/>
      <c r="CH91" s="1503"/>
      <c r="CI91" s="1503"/>
      <c r="CJ91" s="1503"/>
      <c r="CK91" s="1503"/>
      <c r="CL91" s="1503"/>
      <c r="CM91" s="1503"/>
      <c r="CN91" s="1503"/>
      <c r="CO91" s="1503"/>
      <c r="CP91" s="1503"/>
      <c r="CQ91" s="1503"/>
      <c r="CR91" s="1503"/>
      <c r="CS91" s="1504"/>
    </row>
    <row r="92" spans="1:97">
      <c r="AC92" s="572" t="s">
        <v>573</v>
      </c>
      <c r="AD92" s="469" t="e">
        <f>SUM(AD31:AD36)</f>
        <v>#REF!</v>
      </c>
      <c r="AE92" s="469" t="e">
        <f>SUM(AE31:AE36)</f>
        <v>#REF!</v>
      </c>
      <c r="AF92" s="469" t="e">
        <f t="shared" ref="AF92:AT92" si="180">SUM(AF31:AF36)</f>
        <v>#REF!</v>
      </c>
      <c r="AG92" s="469" t="e">
        <f t="shared" si="180"/>
        <v>#REF!</v>
      </c>
      <c r="AH92" s="469" t="e">
        <f t="shared" si="180"/>
        <v>#REF!</v>
      </c>
      <c r="AI92" s="469" t="e">
        <f t="shared" si="180"/>
        <v>#REF!</v>
      </c>
      <c r="AJ92" s="469" t="e">
        <f t="shared" si="180"/>
        <v>#REF!</v>
      </c>
      <c r="AK92" s="469" t="e">
        <f t="shared" si="180"/>
        <v>#REF!</v>
      </c>
      <c r="AL92" s="469" t="e">
        <f t="shared" si="180"/>
        <v>#REF!</v>
      </c>
      <c r="AM92" s="469" t="e">
        <f t="shared" si="180"/>
        <v>#REF!</v>
      </c>
      <c r="AN92" s="469" t="e">
        <f t="shared" si="180"/>
        <v>#REF!</v>
      </c>
      <c r="AO92" s="469" t="e">
        <f t="shared" si="180"/>
        <v>#REF!</v>
      </c>
      <c r="AP92" s="469" t="e">
        <f t="shared" si="180"/>
        <v>#REF!</v>
      </c>
      <c r="AQ92" s="469" t="e">
        <f t="shared" si="180"/>
        <v>#REF!</v>
      </c>
      <c r="AR92" s="469" t="e">
        <f t="shared" si="180"/>
        <v>#REF!</v>
      </c>
      <c r="AS92" s="469" t="e">
        <f t="shared" si="180"/>
        <v>#REF!</v>
      </c>
      <c r="AT92" s="469" t="e">
        <f t="shared" si="180"/>
        <v>#REF!</v>
      </c>
      <c r="AU92" s="469">
        <f>SUM(AT50:AT55)</f>
        <v>0.47516524948949851</v>
      </c>
      <c r="AV92" s="469">
        <f>SUM(AU50:AU55)</f>
        <v>0</v>
      </c>
      <c r="AW92" s="570">
        <f>SUM(AV50:AV55)</f>
        <v>0</v>
      </c>
      <c r="AZ92" s="572" t="s">
        <v>573</v>
      </c>
      <c r="BA92" s="469" t="e">
        <f>SUM(BA30:BA36)</f>
        <v>#REF!</v>
      </c>
      <c r="BB92" s="469" t="e">
        <f t="shared" ref="BB92:BQ92" si="181">SUM(BB30:BB36)</f>
        <v>#REF!</v>
      </c>
      <c r="BC92" s="469" t="e">
        <f t="shared" si="181"/>
        <v>#REF!</v>
      </c>
      <c r="BD92" s="469" t="e">
        <f t="shared" si="181"/>
        <v>#REF!</v>
      </c>
      <c r="BE92" s="469" t="e">
        <f t="shared" si="181"/>
        <v>#REF!</v>
      </c>
      <c r="BF92" s="469" t="e">
        <f t="shared" si="181"/>
        <v>#REF!</v>
      </c>
      <c r="BG92" s="469" t="e">
        <f t="shared" si="181"/>
        <v>#REF!</v>
      </c>
      <c r="BH92" s="469" t="e">
        <f t="shared" si="181"/>
        <v>#REF!</v>
      </c>
      <c r="BI92" s="469" t="e">
        <f t="shared" si="181"/>
        <v>#REF!</v>
      </c>
      <c r="BJ92" s="469" t="e">
        <f t="shared" si="181"/>
        <v>#REF!</v>
      </c>
      <c r="BK92" s="469" t="e">
        <f t="shared" si="181"/>
        <v>#REF!</v>
      </c>
      <c r="BL92" s="469" t="e">
        <f t="shared" si="181"/>
        <v>#REF!</v>
      </c>
      <c r="BM92" s="469" t="e">
        <f t="shared" si="181"/>
        <v>#REF!</v>
      </c>
      <c r="BN92" s="469" t="e">
        <f t="shared" si="181"/>
        <v>#REF!</v>
      </c>
      <c r="BO92" s="469" t="e">
        <f t="shared" si="181"/>
        <v>#REF!</v>
      </c>
      <c r="BP92" s="469" t="e">
        <f t="shared" si="181"/>
        <v>#REF!</v>
      </c>
      <c r="BQ92" s="469" t="e">
        <f t="shared" si="181"/>
        <v>#REF!</v>
      </c>
      <c r="BR92" s="469">
        <f t="shared" ref="BR92:BT92" si="182">SUM(BR31:BR36)</f>
        <v>0</v>
      </c>
      <c r="BS92" s="469">
        <f t="shared" si="182"/>
        <v>0</v>
      </c>
      <c r="BT92" s="570">
        <f t="shared" si="182"/>
        <v>0</v>
      </c>
      <c r="BY92" s="572" t="s">
        <v>573</v>
      </c>
      <c r="BZ92" s="469">
        <f>SUM(BZ31:BZ36)</f>
        <v>2281.3541774438086</v>
      </c>
      <c r="CA92" s="469">
        <f>SUM(CA31:CA36)</f>
        <v>1969.7196773614151</v>
      </c>
      <c r="CB92" s="469">
        <f t="shared" ref="CB92:CS92" si="183">SUM(CB31:CB36)</f>
        <v>2180.9177572365311</v>
      </c>
      <c r="CC92" s="469">
        <f t="shared" si="183"/>
        <v>2180.9177572365311</v>
      </c>
      <c r="CD92" s="469">
        <f t="shared" si="183"/>
        <v>1712.527348980163</v>
      </c>
      <c r="CE92" s="469">
        <f t="shared" si="183"/>
        <v>3076.3976159070226</v>
      </c>
      <c r="CF92" s="469">
        <f t="shared" si="183"/>
        <v>2608.0072076506549</v>
      </c>
      <c r="CG92" s="469">
        <f t="shared" si="183"/>
        <v>2738.4806881068371</v>
      </c>
      <c r="CH92" s="469">
        <f t="shared" si="183"/>
        <v>2951.6379352366876</v>
      </c>
      <c r="CI92" s="469">
        <f t="shared" si="183"/>
        <v>4309.7944023777</v>
      </c>
      <c r="CJ92" s="469">
        <f t="shared" si="183"/>
        <v>1745.3803836274033</v>
      </c>
      <c r="CK92" s="469">
        <f t="shared" si="183"/>
        <v>2193.1203129626488</v>
      </c>
      <c r="CL92" s="469">
        <f t="shared" si="183"/>
        <v>3599.2301958645317</v>
      </c>
      <c r="CM92" s="469">
        <f t="shared" si="183"/>
        <v>3503.4870663211459</v>
      </c>
      <c r="CN92" s="469">
        <f t="shared" si="183"/>
        <v>2240.9918777343419</v>
      </c>
      <c r="CO92" s="469">
        <f t="shared" si="183"/>
        <v>3565.4385030845133</v>
      </c>
      <c r="CP92" s="469">
        <f t="shared" si="183"/>
        <v>2353.630853667737</v>
      </c>
      <c r="CQ92" s="469">
        <f t="shared" si="183"/>
        <v>0</v>
      </c>
      <c r="CR92" s="469">
        <f t="shared" si="183"/>
        <v>0</v>
      </c>
      <c r="CS92" s="570">
        <f t="shared" si="183"/>
        <v>0</v>
      </c>
    </row>
    <row r="93" spans="1:97">
      <c r="R93" s="32"/>
      <c r="V93" s="1433"/>
      <c r="W93" s="1433"/>
      <c r="AC93" s="569" t="s">
        <v>574</v>
      </c>
      <c r="AD93" s="469" t="e">
        <f>AD89-AD92</f>
        <v>#REF!</v>
      </c>
      <c r="AE93" s="469" t="e">
        <f>AE89-AE92</f>
        <v>#REF!</v>
      </c>
      <c r="AF93" s="469" t="e">
        <f t="shared" ref="AF93:AW93" si="184">AF89-AF92</f>
        <v>#REF!</v>
      </c>
      <c r="AG93" s="469" t="e">
        <f t="shared" si="184"/>
        <v>#REF!</v>
      </c>
      <c r="AH93" s="469" t="e">
        <f t="shared" si="184"/>
        <v>#REF!</v>
      </c>
      <c r="AI93" s="469" t="e">
        <f t="shared" si="184"/>
        <v>#REF!</v>
      </c>
      <c r="AJ93" s="469" t="e">
        <f t="shared" si="184"/>
        <v>#REF!</v>
      </c>
      <c r="AK93" s="469" t="e">
        <f t="shared" si="184"/>
        <v>#REF!</v>
      </c>
      <c r="AL93" s="469" t="e">
        <f t="shared" si="184"/>
        <v>#REF!</v>
      </c>
      <c r="AM93" s="469" t="e">
        <f t="shared" si="184"/>
        <v>#REF!</v>
      </c>
      <c r="AN93" s="469" t="e">
        <f t="shared" si="184"/>
        <v>#REF!</v>
      </c>
      <c r="AO93" s="469" t="e">
        <f t="shared" si="184"/>
        <v>#REF!</v>
      </c>
      <c r="AP93" s="469" t="e">
        <f t="shared" si="184"/>
        <v>#REF!</v>
      </c>
      <c r="AQ93" s="469" t="e">
        <f t="shared" si="184"/>
        <v>#REF!</v>
      </c>
      <c r="AR93" s="469" t="e">
        <f t="shared" si="184"/>
        <v>#REF!</v>
      </c>
      <c r="AS93" s="469" t="e">
        <f t="shared" si="184"/>
        <v>#REF!</v>
      </c>
      <c r="AT93" s="469" t="e">
        <f t="shared" si="184"/>
        <v>#REF!</v>
      </c>
      <c r="AU93" s="469" t="e">
        <f t="shared" si="184"/>
        <v>#DIV/0!</v>
      </c>
      <c r="AV93" s="469" t="e">
        <f t="shared" si="184"/>
        <v>#DIV/0!</v>
      </c>
      <c r="AW93" s="570" t="e">
        <f t="shared" si="184"/>
        <v>#DIV/0!</v>
      </c>
      <c r="AZ93" s="569" t="s">
        <v>574</v>
      </c>
      <c r="BA93" s="469" t="e">
        <f>BA89-BA92</f>
        <v>#REF!</v>
      </c>
      <c r="BB93" s="469" t="e">
        <f>BB89-BB92</f>
        <v>#REF!</v>
      </c>
      <c r="BC93" s="469" t="e">
        <f t="shared" ref="BC93" si="185">BC89-BC92</f>
        <v>#REF!</v>
      </c>
      <c r="BD93" s="469" t="e">
        <f t="shared" ref="BD93" si="186">BD89-BD92</f>
        <v>#REF!</v>
      </c>
      <c r="BE93" s="469" t="e">
        <f t="shared" ref="BE93" si="187">BE89-BE92</f>
        <v>#REF!</v>
      </c>
      <c r="BF93" s="469" t="e">
        <f t="shared" ref="BF93" si="188">BF89-BF92</f>
        <v>#REF!</v>
      </c>
      <c r="BG93" s="469" t="e">
        <f t="shared" ref="BG93" si="189">BG89-BG92</f>
        <v>#REF!</v>
      </c>
      <c r="BH93" s="469" t="e">
        <f t="shared" ref="BH93" si="190">BH89-BH92</f>
        <v>#REF!</v>
      </c>
      <c r="BI93" s="469" t="e">
        <f t="shared" ref="BI93" si="191">BI89-BI92</f>
        <v>#REF!</v>
      </c>
      <c r="BJ93" s="469" t="e">
        <f t="shared" ref="BJ93" si="192">BJ89-BJ92</f>
        <v>#REF!</v>
      </c>
      <c r="BK93" s="469" t="e">
        <f t="shared" ref="BK93" si="193">BK89-BK92</f>
        <v>#REF!</v>
      </c>
      <c r="BL93" s="469" t="e">
        <f t="shared" ref="BL93" si="194">BL89-BL92</f>
        <v>#REF!</v>
      </c>
      <c r="BM93" s="469" t="e">
        <f t="shared" ref="BM93" si="195">BM89-BM92</f>
        <v>#REF!</v>
      </c>
      <c r="BN93" s="469" t="e">
        <f t="shared" ref="BN93" si="196">BN89-BN92</f>
        <v>#REF!</v>
      </c>
      <c r="BO93" s="469" t="e">
        <f t="shared" ref="BO93" si="197">BO89-BO92</f>
        <v>#REF!</v>
      </c>
      <c r="BP93" s="469" t="e">
        <f t="shared" ref="BP93" si="198">BP89-BP92</f>
        <v>#REF!</v>
      </c>
      <c r="BQ93" s="469" t="e">
        <f t="shared" ref="BQ93" si="199">BQ89-BQ92</f>
        <v>#REF!</v>
      </c>
      <c r="BR93" s="469" t="e">
        <f t="shared" ref="BR93" si="200">BR89-BR92</f>
        <v>#DIV/0!</v>
      </c>
      <c r="BS93" s="469" t="e">
        <f t="shared" ref="BS93" si="201">BS89-BS92</f>
        <v>#DIV/0!</v>
      </c>
      <c r="BT93" s="570" t="e">
        <f t="shared" ref="BT93" si="202">BT89-BT92</f>
        <v>#DIV/0!</v>
      </c>
      <c r="BY93" s="569" t="s">
        <v>574</v>
      </c>
      <c r="BZ93" s="469" t="e">
        <f>BZ89-BZ92</f>
        <v>#REF!</v>
      </c>
      <c r="CA93" s="469" t="e">
        <f>CA89-CA92</f>
        <v>#REF!</v>
      </c>
      <c r="CB93" s="469" t="e">
        <f t="shared" ref="CB93" si="203">CB89-CB92</f>
        <v>#REF!</v>
      </c>
      <c r="CC93" s="469" t="e">
        <f t="shared" ref="CC93" si="204">CC89-CC92</f>
        <v>#REF!</v>
      </c>
      <c r="CD93" s="469" t="e">
        <f t="shared" ref="CD93" si="205">CD89-CD92</f>
        <v>#REF!</v>
      </c>
      <c r="CE93" s="469" t="e">
        <f t="shared" ref="CE93" si="206">CE89-CE92</f>
        <v>#REF!</v>
      </c>
      <c r="CF93" s="469" t="e">
        <f t="shared" ref="CF93" si="207">CF89-CF92</f>
        <v>#REF!</v>
      </c>
      <c r="CG93" s="469" t="e">
        <f t="shared" ref="CG93" si="208">CG89-CG92</f>
        <v>#REF!</v>
      </c>
      <c r="CH93" s="469" t="e">
        <f t="shared" ref="CH93" si="209">CH89-CH92</f>
        <v>#REF!</v>
      </c>
      <c r="CI93" s="469" t="e">
        <f t="shared" ref="CI93" si="210">CI89-CI92</f>
        <v>#REF!</v>
      </c>
      <c r="CJ93" s="469" t="e">
        <f t="shared" ref="CJ93" si="211">CJ89-CJ92</f>
        <v>#REF!</v>
      </c>
      <c r="CK93" s="469" t="e">
        <f t="shared" ref="CK93" si="212">CK89-CK92</f>
        <v>#REF!</v>
      </c>
      <c r="CL93" s="469" t="e">
        <f t="shared" ref="CL93" si="213">CL89-CL92</f>
        <v>#REF!</v>
      </c>
      <c r="CM93" s="469" t="e">
        <f t="shared" ref="CM93" si="214">CM89-CM92</f>
        <v>#REF!</v>
      </c>
      <c r="CN93" s="469" t="e">
        <f t="shared" ref="CN93" si="215">CN89-CN92</f>
        <v>#REF!</v>
      </c>
      <c r="CO93" s="469" t="e">
        <f t="shared" ref="CO93" si="216">CO89-CO92</f>
        <v>#REF!</v>
      </c>
      <c r="CP93" s="469" t="e">
        <f t="shared" ref="CP93" si="217">CP89-CP92</f>
        <v>#REF!</v>
      </c>
      <c r="CQ93" s="469">
        <f t="shared" ref="CQ93" si="218">CQ89-CQ92</f>
        <v>0</v>
      </c>
      <c r="CR93" s="469">
        <f t="shared" ref="CR93" si="219">CR89-CR92</f>
        <v>0</v>
      </c>
      <c r="CS93" s="570">
        <f t="shared" ref="CS93" si="220">CS89-CS92</f>
        <v>0</v>
      </c>
    </row>
    <row r="94" spans="1:97">
      <c r="D94" s="9"/>
      <c r="E94" s="9"/>
      <c r="F94" s="9"/>
      <c r="G94" s="9"/>
      <c r="H94" s="9"/>
      <c r="J94" s="9"/>
      <c r="K94" s="9"/>
      <c r="L94" s="9"/>
      <c r="M94" s="9"/>
      <c r="N94" s="11"/>
      <c r="O94" s="9"/>
      <c r="P94" s="9"/>
      <c r="V94" s="9"/>
      <c r="W94" s="9"/>
      <c r="X94" s="13"/>
      <c r="AC94" s="569"/>
      <c r="AD94" s="469"/>
      <c r="AE94" s="469"/>
      <c r="AF94" s="469"/>
      <c r="AG94" s="469"/>
      <c r="AH94" s="469"/>
      <c r="AI94" s="469"/>
      <c r="AJ94" s="469"/>
      <c r="AK94" s="469"/>
      <c r="AL94" s="469"/>
      <c r="AM94" s="469"/>
      <c r="AN94" s="469"/>
      <c r="AO94" s="469"/>
      <c r="AP94" s="469"/>
      <c r="AQ94" s="469"/>
      <c r="AR94" s="469"/>
      <c r="AS94" s="469"/>
      <c r="AT94" s="469"/>
      <c r="AU94" s="469"/>
      <c r="AV94" s="469"/>
      <c r="AW94" s="570"/>
      <c r="AZ94" s="569"/>
      <c r="BA94" s="469"/>
      <c r="BB94" s="469"/>
      <c r="BC94" s="469"/>
      <c r="BD94" s="469"/>
      <c r="BE94" s="469"/>
      <c r="BF94" s="469"/>
      <c r="BG94" s="469"/>
      <c r="BH94" s="469"/>
      <c r="BI94" s="469"/>
      <c r="BJ94" s="469"/>
      <c r="BK94" s="469"/>
      <c r="BL94" s="469"/>
      <c r="BM94" s="469"/>
      <c r="BN94" s="469"/>
      <c r="BO94" s="469"/>
      <c r="BP94" s="469"/>
      <c r="BQ94" s="469"/>
      <c r="BR94" s="469"/>
      <c r="BS94" s="469"/>
      <c r="BT94" s="570"/>
      <c r="BY94" s="569"/>
      <c r="BZ94" s="469"/>
      <c r="CA94" s="469"/>
      <c r="CB94" s="469"/>
      <c r="CC94" s="469"/>
      <c r="CD94" s="469"/>
      <c r="CE94" s="469"/>
      <c r="CF94" s="469"/>
      <c r="CG94" s="469"/>
      <c r="CH94" s="469"/>
      <c r="CI94" s="469"/>
      <c r="CJ94" s="469"/>
      <c r="CK94" s="469"/>
      <c r="CL94" s="469"/>
      <c r="CM94" s="469"/>
      <c r="CN94" s="469"/>
      <c r="CO94" s="469"/>
      <c r="CP94" s="469"/>
      <c r="CQ94" s="469"/>
      <c r="CR94" s="469"/>
      <c r="CS94" s="570"/>
    </row>
    <row r="95" spans="1:97">
      <c r="D95" s="9"/>
      <c r="E95" s="9"/>
      <c r="F95" s="9"/>
      <c r="G95" s="9"/>
      <c r="H95" s="9"/>
      <c r="J95" s="9"/>
      <c r="K95" s="9"/>
      <c r="L95" s="9"/>
      <c r="M95" s="9"/>
      <c r="N95" s="9"/>
      <c r="O95" s="9"/>
      <c r="P95" s="9"/>
      <c r="V95" s="10"/>
      <c r="W95" s="10"/>
      <c r="AC95" s="571" t="s">
        <v>575</v>
      </c>
      <c r="AD95" s="1502"/>
      <c r="AE95" s="1503"/>
      <c r="AF95" s="1503"/>
      <c r="AG95" s="1503"/>
      <c r="AH95" s="1503"/>
      <c r="AI95" s="1503"/>
      <c r="AJ95" s="1503"/>
      <c r="AK95" s="1503"/>
      <c r="AL95" s="1503"/>
      <c r="AM95" s="1503"/>
      <c r="AN95" s="1503"/>
      <c r="AO95" s="1503"/>
      <c r="AP95" s="1503"/>
      <c r="AQ95" s="1503"/>
      <c r="AR95" s="1503"/>
      <c r="AS95" s="1503"/>
      <c r="AT95" s="1503"/>
      <c r="AU95" s="1503"/>
      <c r="AV95" s="1503"/>
      <c r="AW95" s="1504"/>
      <c r="AZ95" s="571" t="s">
        <v>575</v>
      </c>
      <c r="BA95" s="1502"/>
      <c r="BB95" s="1503"/>
      <c r="BC95" s="1503"/>
      <c r="BD95" s="1503"/>
      <c r="BE95" s="1503"/>
      <c r="BF95" s="1503"/>
      <c r="BG95" s="1503"/>
      <c r="BH95" s="1503"/>
      <c r="BI95" s="1503"/>
      <c r="BJ95" s="1503"/>
      <c r="BK95" s="1503"/>
      <c r="BL95" s="1503"/>
      <c r="BM95" s="1503"/>
      <c r="BN95" s="1503"/>
      <c r="BO95" s="1503"/>
      <c r="BP95" s="1503"/>
      <c r="BQ95" s="1503"/>
      <c r="BR95" s="1503"/>
      <c r="BS95" s="1503"/>
      <c r="BT95" s="1504"/>
      <c r="BY95" s="571" t="s">
        <v>575</v>
      </c>
      <c r="BZ95" s="1502"/>
      <c r="CA95" s="1503"/>
      <c r="CB95" s="1503"/>
      <c r="CC95" s="1503"/>
      <c r="CD95" s="1503"/>
      <c r="CE95" s="1503"/>
      <c r="CF95" s="1503"/>
      <c r="CG95" s="1503"/>
      <c r="CH95" s="1503"/>
      <c r="CI95" s="1503"/>
      <c r="CJ95" s="1503"/>
      <c r="CK95" s="1503"/>
      <c r="CL95" s="1503"/>
      <c r="CM95" s="1503"/>
      <c r="CN95" s="1503"/>
      <c r="CO95" s="1503"/>
      <c r="CP95" s="1503"/>
      <c r="CQ95" s="1503"/>
      <c r="CR95" s="1503"/>
      <c r="CS95" s="1504"/>
    </row>
    <row r="96" spans="1:97">
      <c r="D96" s="9"/>
      <c r="E96" s="9"/>
      <c r="F96" s="9"/>
      <c r="G96" s="9"/>
      <c r="H96" s="9"/>
      <c r="J96" s="9"/>
      <c r="K96" s="9"/>
      <c r="L96" s="9"/>
      <c r="M96" s="9"/>
      <c r="N96" s="9"/>
      <c r="O96" s="9"/>
      <c r="P96" s="9"/>
      <c r="V96" s="10"/>
      <c r="W96" s="10"/>
      <c r="AC96" s="572" t="s">
        <v>576</v>
      </c>
      <c r="AD96" s="469">
        <f>AD41+AD39</f>
        <v>1794.9724977238754</v>
      </c>
      <c r="AE96" s="469">
        <f t="shared" ref="AE96:AW96" si="221">AE41+AE39</f>
        <v>1412.904794203487</v>
      </c>
      <c r="AF96" s="469">
        <f t="shared" si="221"/>
        <v>1671.8362197820634</v>
      </c>
      <c r="AG96" s="469">
        <f t="shared" si="221"/>
        <v>1671.8362197820634</v>
      </c>
      <c r="AH96" s="469">
        <f t="shared" si="221"/>
        <v>1097.5838581655764</v>
      </c>
      <c r="AI96" s="469">
        <f t="shared" si="221"/>
        <v>2769.7054642352268</v>
      </c>
      <c r="AJ96" s="469">
        <f t="shared" si="221"/>
        <v>2195.4531026187401</v>
      </c>
      <c r="AK96" s="469">
        <f t="shared" si="221"/>
        <v>2355.4151833095048</v>
      </c>
      <c r="AL96" s="469">
        <f t="shared" si="221"/>
        <v>2616.7485718723815</v>
      </c>
      <c r="AM96" s="469">
        <f t="shared" si="221"/>
        <v>4281.8649896141123</v>
      </c>
      <c r="AN96" s="469">
        <f t="shared" si="221"/>
        <v>1137.8620799222438</v>
      </c>
      <c r="AO96" s="469">
        <f t="shared" si="221"/>
        <v>1686.7967021488257</v>
      </c>
      <c r="AP96" s="469">
        <f t="shared" si="221"/>
        <v>3410.704593334191</v>
      </c>
      <c r="AQ96" s="469">
        <f t="shared" si="221"/>
        <v>3293.3223470719031</v>
      </c>
      <c r="AR96" s="469">
        <f t="shared" si="221"/>
        <v>1745.4878252799697</v>
      </c>
      <c r="AS96" s="469">
        <f t="shared" si="221"/>
        <v>3369.275565241619</v>
      </c>
      <c r="AT96" s="469">
        <f t="shared" si="221"/>
        <v>1883.5845855885436</v>
      </c>
      <c r="AU96" s="469">
        <f t="shared" si="221"/>
        <v>0.72413861897924392</v>
      </c>
      <c r="AV96" s="469">
        <f t="shared" si="221"/>
        <v>0</v>
      </c>
      <c r="AW96" s="570" t="e">
        <f t="shared" si="221"/>
        <v>#VALUE!</v>
      </c>
      <c r="AZ96" s="572" t="s">
        <v>576</v>
      </c>
      <c r="BA96" s="469">
        <f>SUM(BA38:BA41)</f>
        <v>3104.2382704738375</v>
      </c>
      <c r="BB96" s="469">
        <f t="shared" ref="BB96:BQ96" si="222">SUM(BB38:BB41)</f>
        <v>2633.6905298217725</v>
      </c>
      <c r="BC96" s="469">
        <f t="shared" si="222"/>
        <v>2952.5858359865761</v>
      </c>
      <c r="BD96" s="469">
        <f t="shared" si="222"/>
        <v>2952.5858359865761</v>
      </c>
      <c r="BE96" s="469">
        <f t="shared" si="222"/>
        <v>2245.3469125366346</v>
      </c>
      <c r="BF96" s="469">
        <f t="shared" si="222"/>
        <v>3474.2872102881324</v>
      </c>
      <c r="BG96" s="469">
        <f t="shared" si="222"/>
        <v>2951.096340508413</v>
      </c>
      <c r="BH96" s="469">
        <f t="shared" si="222"/>
        <v>3096.8348793849277</v>
      </c>
      <c r="BI96" s="469">
        <f t="shared" si="222"/>
        <v>3334.9309709357117</v>
      </c>
      <c r="BJ96" s="469">
        <f t="shared" si="222"/>
        <v>4516.9108965900414</v>
      </c>
      <c r="BK96" s="469">
        <f t="shared" si="222"/>
        <v>1860.6153205083688</v>
      </c>
      <c r="BL96" s="469">
        <f t="shared" si="222"/>
        <v>2324.3975276060837</v>
      </c>
      <c r="BM96" s="469">
        <f t="shared" si="222"/>
        <v>3780.8875616362247</v>
      </c>
      <c r="BN96" s="469">
        <f t="shared" si="222"/>
        <v>3772.5289454172139</v>
      </c>
      <c r="BO96" s="469">
        <f t="shared" si="222"/>
        <v>2430.0604574231452</v>
      </c>
      <c r="BP96" s="469">
        <f t="shared" si="222"/>
        <v>3838.4047225232421</v>
      </c>
      <c r="BQ96" s="469">
        <f t="shared" si="222"/>
        <v>2549.8345976159244</v>
      </c>
      <c r="BR96" s="469">
        <f t="shared" ref="BR96:BT96" si="223">BR41+BR39</f>
        <v>0</v>
      </c>
      <c r="BS96" s="469">
        <f t="shared" si="223"/>
        <v>0</v>
      </c>
      <c r="BT96" s="570">
        <f t="shared" si="223"/>
        <v>0</v>
      </c>
      <c r="BY96" s="572" t="s">
        <v>576</v>
      </c>
      <c r="BZ96" s="469">
        <f>BZ41+BZ39</f>
        <v>31772.625806274147</v>
      </c>
      <c r="CA96" s="469">
        <f t="shared" ref="CA96:CS96" si="224">CA41+CA39</f>
        <v>24479.741547257501</v>
      </c>
      <c r="CB96" s="469">
        <f t="shared" si="224"/>
        <v>29422.208289060953</v>
      </c>
      <c r="CC96" s="469">
        <f t="shared" si="224"/>
        <v>29422.208289060953</v>
      </c>
      <c r="CD96" s="469">
        <f t="shared" si="224"/>
        <v>18460.915381683524</v>
      </c>
      <c r="CE96" s="469">
        <f t="shared" si="224"/>
        <v>37409.177116644598</v>
      </c>
      <c r="CF96" s="469">
        <f t="shared" si="224"/>
        <v>29320.335469004407</v>
      </c>
      <c r="CG96" s="469">
        <f t="shared" si="224"/>
        <v>31573.539855822011</v>
      </c>
      <c r="CH96" s="469">
        <f t="shared" si="224"/>
        <v>35254.646871866091</v>
      </c>
      <c r="CI96" s="469">
        <f t="shared" si="224"/>
        <v>55303.644099055877</v>
      </c>
      <c r="CJ96" s="469">
        <f t="shared" si="224"/>
        <v>13611.689330524245</v>
      </c>
      <c r="CK96" s="469">
        <f t="shared" si="224"/>
        <v>20890.994756801549</v>
      </c>
      <c r="CL96" s="469">
        <f t="shared" si="224"/>
        <v>43751.371126955419</v>
      </c>
      <c r="CM96" s="469">
        <f t="shared" si="224"/>
        <v>43165.283464960521</v>
      </c>
      <c r="CN96" s="469">
        <f t="shared" si="224"/>
        <v>22161.242145052685</v>
      </c>
      <c r="CO96" s="469">
        <f t="shared" si="224"/>
        <v>44195.965046457866</v>
      </c>
      <c r="CP96" s="469">
        <f t="shared" si="224"/>
        <v>24035.20865686602</v>
      </c>
      <c r="CQ96" s="469">
        <f t="shared" si="224"/>
        <v>0</v>
      </c>
      <c r="CR96" s="469">
        <f t="shared" si="224"/>
        <v>0</v>
      </c>
      <c r="CS96" s="570">
        <f t="shared" si="224"/>
        <v>0</v>
      </c>
    </row>
    <row r="97" spans="3:97">
      <c r="D97" s="9"/>
      <c r="E97" s="9"/>
      <c r="F97" s="9"/>
      <c r="G97" s="9"/>
      <c r="H97" s="9"/>
      <c r="J97" s="9"/>
      <c r="K97" s="9"/>
      <c r="L97" s="9"/>
      <c r="M97" s="9"/>
      <c r="N97" s="9"/>
      <c r="O97" s="9"/>
      <c r="P97" s="9"/>
      <c r="V97" s="10"/>
      <c r="W97" s="10"/>
      <c r="AC97" s="569" t="s">
        <v>577</v>
      </c>
      <c r="AD97" s="469" t="e">
        <f>AD93-AD96</f>
        <v>#REF!</v>
      </c>
      <c r="AE97" s="469" t="e">
        <f t="shared" ref="AE97:AW97" si="225">AE93-AE96</f>
        <v>#REF!</v>
      </c>
      <c r="AF97" s="469" t="e">
        <f t="shared" si="225"/>
        <v>#REF!</v>
      </c>
      <c r="AG97" s="469" t="e">
        <f t="shared" si="225"/>
        <v>#REF!</v>
      </c>
      <c r="AH97" s="469" t="e">
        <f t="shared" si="225"/>
        <v>#REF!</v>
      </c>
      <c r="AI97" s="469" t="e">
        <f t="shared" si="225"/>
        <v>#REF!</v>
      </c>
      <c r="AJ97" s="469" t="e">
        <f t="shared" si="225"/>
        <v>#REF!</v>
      </c>
      <c r="AK97" s="469" t="e">
        <f t="shared" si="225"/>
        <v>#REF!</v>
      </c>
      <c r="AL97" s="469" t="e">
        <f t="shared" si="225"/>
        <v>#REF!</v>
      </c>
      <c r="AM97" s="469" t="e">
        <f t="shared" si="225"/>
        <v>#REF!</v>
      </c>
      <c r="AN97" s="469" t="e">
        <f t="shared" si="225"/>
        <v>#REF!</v>
      </c>
      <c r="AO97" s="469" t="e">
        <f t="shared" si="225"/>
        <v>#REF!</v>
      </c>
      <c r="AP97" s="469" t="e">
        <f t="shared" si="225"/>
        <v>#REF!</v>
      </c>
      <c r="AQ97" s="469" t="e">
        <f t="shared" si="225"/>
        <v>#REF!</v>
      </c>
      <c r="AR97" s="469" t="e">
        <f t="shared" si="225"/>
        <v>#REF!</v>
      </c>
      <c r="AS97" s="469" t="e">
        <f t="shared" si="225"/>
        <v>#REF!</v>
      </c>
      <c r="AT97" s="469" t="e">
        <f t="shared" si="225"/>
        <v>#REF!</v>
      </c>
      <c r="AU97" s="469" t="e">
        <f t="shared" si="225"/>
        <v>#DIV/0!</v>
      </c>
      <c r="AV97" s="469" t="e">
        <f t="shared" si="225"/>
        <v>#DIV/0!</v>
      </c>
      <c r="AW97" s="570" t="e">
        <f t="shared" si="225"/>
        <v>#DIV/0!</v>
      </c>
      <c r="AZ97" s="569" t="s">
        <v>577</v>
      </c>
      <c r="BA97" s="469" t="e">
        <f>BA93-BA96</f>
        <v>#REF!</v>
      </c>
      <c r="BB97" s="469" t="e">
        <f t="shared" ref="BB97" si="226">BB93-BB96</f>
        <v>#REF!</v>
      </c>
      <c r="BC97" s="469" t="e">
        <f t="shared" ref="BC97" si="227">BC93-BC96</f>
        <v>#REF!</v>
      </c>
      <c r="BD97" s="469" t="e">
        <f t="shared" ref="BD97" si="228">BD93-BD96</f>
        <v>#REF!</v>
      </c>
      <c r="BE97" s="469" t="e">
        <f t="shared" ref="BE97" si="229">BE93-BE96</f>
        <v>#REF!</v>
      </c>
      <c r="BF97" s="469" t="e">
        <f t="shared" ref="BF97" si="230">BF93-BF96</f>
        <v>#REF!</v>
      </c>
      <c r="BG97" s="469" t="e">
        <f t="shared" ref="BG97" si="231">BG93-BG96</f>
        <v>#REF!</v>
      </c>
      <c r="BH97" s="469" t="e">
        <f t="shared" ref="BH97" si="232">BH93-BH96</f>
        <v>#REF!</v>
      </c>
      <c r="BI97" s="469" t="e">
        <f t="shared" ref="BI97" si="233">BI93-BI96</f>
        <v>#REF!</v>
      </c>
      <c r="BJ97" s="469" t="e">
        <f t="shared" ref="BJ97" si="234">BJ93-BJ96</f>
        <v>#REF!</v>
      </c>
      <c r="BK97" s="469" t="e">
        <f t="shared" ref="BK97" si="235">BK93-BK96</f>
        <v>#REF!</v>
      </c>
      <c r="BL97" s="469" t="e">
        <f t="shared" ref="BL97" si="236">BL93-BL96</f>
        <v>#REF!</v>
      </c>
      <c r="BM97" s="469" t="e">
        <f t="shared" ref="BM97" si="237">BM93-BM96</f>
        <v>#REF!</v>
      </c>
      <c r="BN97" s="469" t="e">
        <f t="shared" ref="BN97" si="238">BN93-BN96</f>
        <v>#REF!</v>
      </c>
      <c r="BO97" s="469" t="e">
        <f t="shared" ref="BO97" si="239">BO93-BO96</f>
        <v>#REF!</v>
      </c>
      <c r="BP97" s="469" t="e">
        <f t="shared" ref="BP97" si="240">BP93-BP96</f>
        <v>#REF!</v>
      </c>
      <c r="BQ97" s="469" t="e">
        <f t="shared" ref="BQ97" si="241">BQ93-BQ96</f>
        <v>#REF!</v>
      </c>
      <c r="BR97" s="469" t="e">
        <f t="shared" ref="BR97" si="242">BR93-BR96</f>
        <v>#DIV/0!</v>
      </c>
      <c r="BS97" s="469" t="e">
        <f t="shared" ref="BS97" si="243">BS93-BS96</f>
        <v>#DIV/0!</v>
      </c>
      <c r="BT97" s="570" t="e">
        <f t="shared" ref="BT97" si="244">BT93-BT96</f>
        <v>#DIV/0!</v>
      </c>
      <c r="BY97" s="569" t="s">
        <v>577</v>
      </c>
      <c r="BZ97" s="469" t="e">
        <f>BZ93-BZ96</f>
        <v>#REF!</v>
      </c>
      <c r="CA97" s="469" t="e">
        <f t="shared" ref="CA97" si="245">CA93-CA96</f>
        <v>#REF!</v>
      </c>
      <c r="CB97" s="469" t="e">
        <f t="shared" ref="CB97" si="246">CB93-CB96</f>
        <v>#REF!</v>
      </c>
      <c r="CC97" s="469" t="e">
        <f t="shared" ref="CC97" si="247">CC93-CC96</f>
        <v>#REF!</v>
      </c>
      <c r="CD97" s="469" t="e">
        <f t="shared" ref="CD97" si="248">CD93-CD96</f>
        <v>#REF!</v>
      </c>
      <c r="CE97" s="469" t="e">
        <f t="shared" ref="CE97" si="249">CE93-CE96</f>
        <v>#REF!</v>
      </c>
      <c r="CF97" s="469" t="e">
        <f t="shared" ref="CF97" si="250">CF93-CF96</f>
        <v>#REF!</v>
      </c>
      <c r="CG97" s="469" t="e">
        <f t="shared" ref="CG97" si="251">CG93-CG96</f>
        <v>#REF!</v>
      </c>
      <c r="CH97" s="469" t="e">
        <f t="shared" ref="CH97" si="252">CH93-CH96</f>
        <v>#REF!</v>
      </c>
      <c r="CI97" s="469" t="e">
        <f t="shared" ref="CI97" si="253">CI93-CI96</f>
        <v>#REF!</v>
      </c>
      <c r="CJ97" s="469" t="e">
        <f t="shared" ref="CJ97" si="254">CJ93-CJ96</f>
        <v>#REF!</v>
      </c>
      <c r="CK97" s="469" t="e">
        <f t="shared" ref="CK97" si="255">CK93-CK96</f>
        <v>#REF!</v>
      </c>
      <c r="CL97" s="469" t="e">
        <f t="shared" ref="CL97" si="256">CL93-CL96</f>
        <v>#REF!</v>
      </c>
      <c r="CM97" s="469" t="e">
        <f t="shared" ref="CM97" si="257">CM93-CM96</f>
        <v>#REF!</v>
      </c>
      <c r="CN97" s="469" t="e">
        <f t="shared" ref="CN97" si="258">CN93-CN96</f>
        <v>#REF!</v>
      </c>
      <c r="CO97" s="469" t="e">
        <f t="shared" ref="CO97" si="259">CO93-CO96</f>
        <v>#REF!</v>
      </c>
      <c r="CP97" s="469" t="e">
        <f t="shared" ref="CP97" si="260">CP93-CP96</f>
        <v>#REF!</v>
      </c>
      <c r="CQ97" s="469">
        <f t="shared" ref="CQ97" si="261">CQ93-CQ96</f>
        <v>0</v>
      </c>
      <c r="CR97" s="469">
        <f t="shared" ref="CR97" si="262">CR93-CR96</f>
        <v>0</v>
      </c>
      <c r="CS97" s="570">
        <f t="shared" ref="CS97" si="263">CS93-CS96</f>
        <v>0</v>
      </c>
    </row>
    <row r="98" spans="3:97">
      <c r="D98" s="9"/>
      <c r="E98" s="9"/>
      <c r="F98" s="9"/>
      <c r="G98" s="9"/>
      <c r="H98" s="9"/>
      <c r="J98" s="9"/>
      <c r="K98" s="9"/>
      <c r="L98" s="9"/>
      <c r="M98" s="9"/>
      <c r="N98" s="9"/>
      <c r="O98" s="9"/>
      <c r="P98" s="9"/>
      <c r="V98" s="10"/>
      <c r="W98" s="10"/>
      <c r="AC98" s="569"/>
      <c r="AD98" s="469"/>
      <c r="AE98" s="469"/>
      <c r="AF98" s="469"/>
      <c r="AG98" s="469"/>
      <c r="AH98" s="469"/>
      <c r="AI98" s="469"/>
      <c r="AJ98" s="469"/>
      <c r="AK98" s="469"/>
      <c r="AL98" s="469"/>
      <c r="AM98" s="469"/>
      <c r="AN98" s="469"/>
      <c r="AO98" s="469"/>
      <c r="AP98" s="469"/>
      <c r="AQ98" s="469"/>
      <c r="AR98" s="469"/>
      <c r="AS98" s="469"/>
      <c r="AT98" s="469"/>
      <c r="AU98" s="469"/>
      <c r="AV98" s="469"/>
      <c r="AW98" s="570"/>
      <c r="AZ98" s="569"/>
      <c r="BA98" s="469"/>
      <c r="BB98" s="469"/>
      <c r="BC98" s="469"/>
      <c r="BD98" s="469"/>
      <c r="BE98" s="469"/>
      <c r="BF98" s="469"/>
      <c r="BG98" s="469"/>
      <c r="BH98" s="469"/>
      <c r="BI98" s="469"/>
      <c r="BJ98" s="469"/>
      <c r="BK98" s="469"/>
      <c r="BL98" s="469"/>
      <c r="BM98" s="469"/>
      <c r="BN98" s="469"/>
      <c r="BO98" s="469"/>
      <c r="BP98" s="469"/>
      <c r="BQ98" s="469"/>
      <c r="BR98" s="469"/>
      <c r="BS98" s="469"/>
      <c r="BT98" s="570"/>
      <c r="BY98" s="569"/>
      <c r="BZ98" s="469"/>
      <c r="CA98" s="469"/>
      <c r="CB98" s="469"/>
      <c r="CC98" s="469"/>
      <c r="CD98" s="469"/>
      <c r="CE98" s="469"/>
      <c r="CF98" s="469"/>
      <c r="CG98" s="469"/>
      <c r="CH98" s="469"/>
      <c r="CI98" s="469"/>
      <c r="CJ98" s="469"/>
      <c r="CK98" s="469"/>
      <c r="CL98" s="469"/>
      <c r="CM98" s="469"/>
      <c r="CN98" s="469"/>
      <c r="CO98" s="469"/>
      <c r="CP98" s="469"/>
      <c r="CQ98" s="469"/>
      <c r="CR98" s="469"/>
      <c r="CS98" s="570"/>
    </row>
    <row r="99" spans="3:97">
      <c r="D99" s="9"/>
      <c r="E99" s="9"/>
      <c r="F99" s="9"/>
      <c r="G99" s="9"/>
      <c r="H99" s="9"/>
      <c r="J99" s="9"/>
      <c r="K99" s="9"/>
      <c r="L99" s="9"/>
      <c r="M99" s="9"/>
      <c r="N99" s="9"/>
      <c r="O99" s="9"/>
      <c r="P99" s="9"/>
      <c r="V99" s="10"/>
      <c r="W99" s="10"/>
      <c r="AC99" s="571" t="s">
        <v>578</v>
      </c>
      <c r="AD99" s="469">
        <f>AD30</f>
        <v>51.833221201014176</v>
      </c>
      <c r="AE99" s="469">
        <f t="shared" ref="AE99:AT99" si="264">AE30</f>
        <v>39.476429495189151</v>
      </c>
      <c r="AF99" s="469">
        <f t="shared" si="264"/>
        <v>47.849651700511657</v>
      </c>
      <c r="AG99" s="469">
        <f t="shared" si="264"/>
        <v>47.849651700511657</v>
      </c>
      <c r="AH99" s="469">
        <f t="shared" si="264"/>
        <v>29.286006734199113</v>
      </c>
      <c r="AI99" s="469">
        <f t="shared" si="264"/>
        <v>83.403949937152603</v>
      </c>
      <c r="AJ99" s="469">
        <f t="shared" si="264"/>
        <v>64.796426757183269</v>
      </c>
      <c r="AK99" s="469">
        <f t="shared" si="264"/>
        <v>69.977378568347149</v>
      </c>
      <c r="AL99" s="469">
        <f t="shared" si="264"/>
        <v>78.445438943421053</v>
      </c>
      <c r="AM99" s="469">
        <f t="shared" si="264"/>
        <v>132.51230809305139</v>
      </c>
      <c r="AN99" s="469">
        <f t="shared" si="264"/>
        <v>30.587317561997857</v>
      </c>
      <c r="AO99" s="469">
        <f t="shared" si="264"/>
        <v>48.333580462789371</v>
      </c>
      <c r="AP99" s="469">
        <f t="shared" si="264"/>
        <v>104.20137888193808</v>
      </c>
      <c r="AQ99" s="469">
        <f t="shared" si="264"/>
        <v>100.39073418663749</v>
      </c>
      <c r="AR99" s="469">
        <f t="shared" si="264"/>
        <v>50.232220647547074</v>
      </c>
      <c r="AS99" s="469">
        <f t="shared" si="264"/>
        <v>102.85633595947736</v>
      </c>
      <c r="AT99" s="469">
        <f t="shared" si="264"/>
        <v>54.700555004478041</v>
      </c>
      <c r="AU99" s="469">
        <f>AT49</f>
        <v>0.52483475051050144</v>
      </c>
      <c r="AV99" s="469">
        <f>AU49</f>
        <v>0</v>
      </c>
      <c r="AW99" s="570" t="str">
        <f>AV49</f>
        <v>Maintenance Overhead</v>
      </c>
      <c r="AZ99" s="571" t="s">
        <v>578</v>
      </c>
      <c r="BA99" s="469">
        <f>BA30</f>
        <v>61.576838928715524</v>
      </c>
      <c r="BB99" s="469">
        <f t="shared" ref="BB99:BT99" si="265">BB30</f>
        <v>46.879368899312439</v>
      </c>
      <c r="BC99" s="469">
        <f t="shared" si="265"/>
        <v>56.838888223756854</v>
      </c>
      <c r="BD99" s="469">
        <f t="shared" si="265"/>
        <v>56.838888223756854</v>
      </c>
      <c r="BE99" s="469">
        <f t="shared" si="265"/>
        <v>34.757222614730544</v>
      </c>
      <c r="BF99" s="469">
        <f t="shared" si="265"/>
        <v>73.325074377798416</v>
      </c>
      <c r="BG99" s="469">
        <f t="shared" si="265"/>
        <v>56.957188671225438</v>
      </c>
      <c r="BH99" s="469">
        <f t="shared" si="265"/>
        <v>61.514864504023635</v>
      </c>
      <c r="BI99" s="469">
        <f t="shared" si="265"/>
        <v>68.9636840992099</v>
      </c>
      <c r="BJ99" s="469">
        <f t="shared" si="265"/>
        <v>108.04156184277257</v>
      </c>
      <c r="BK99" s="469">
        <f t="shared" si="265"/>
        <v>24.905767988969146</v>
      </c>
      <c r="BL99" s="469">
        <f t="shared" si="265"/>
        <v>39.386869031031722</v>
      </c>
      <c r="BM99" s="469">
        <f t="shared" si="265"/>
        <v>84.958243850527381</v>
      </c>
      <c r="BN99" s="469">
        <f t="shared" si="265"/>
        <v>84.025025588089107</v>
      </c>
      <c r="BO99" s="469">
        <f t="shared" si="265"/>
        <v>42.023451082721678</v>
      </c>
      <c r="BP99" s="469">
        <f t="shared" si="265"/>
        <v>86.089108069226228</v>
      </c>
      <c r="BQ99" s="469">
        <f t="shared" si="265"/>
        <v>45.766006884358688</v>
      </c>
      <c r="BR99" s="469">
        <f t="shared" si="265"/>
        <v>0</v>
      </c>
      <c r="BS99" s="469">
        <f t="shared" si="265"/>
        <v>0</v>
      </c>
      <c r="BT99" s="570">
        <f t="shared" si="265"/>
        <v>0</v>
      </c>
      <c r="BY99" s="571" t="s">
        <v>578</v>
      </c>
      <c r="BZ99" s="469">
        <f>BZ30</f>
        <v>149.29880540771927</v>
      </c>
      <c r="CA99" s="469">
        <f t="shared" ref="CA99:CS99" si="266">CA30</f>
        <v>114.51637083718188</v>
      </c>
      <c r="CB99" s="469">
        <f t="shared" si="266"/>
        <v>138.08774319066228</v>
      </c>
      <c r="CC99" s="469">
        <f t="shared" si="266"/>
        <v>138.08774319066228</v>
      </c>
      <c r="CD99" s="469">
        <f t="shared" si="266"/>
        <v>85.817701367176099</v>
      </c>
      <c r="CE99" s="469">
        <f t="shared" si="266"/>
        <v>70.585028456081673</v>
      </c>
      <c r="CF99" s="469">
        <f t="shared" si="266"/>
        <v>55.058553240436737</v>
      </c>
      <c r="CG99" s="469">
        <f t="shared" si="266"/>
        <v>59.381936422106861</v>
      </c>
      <c r="CH99" s="469">
        <f t="shared" si="266"/>
        <v>66.447840649339426</v>
      </c>
      <c r="CI99" s="469">
        <f t="shared" si="266"/>
        <v>105.01392847189969</v>
      </c>
      <c r="CJ99" s="469">
        <f t="shared" si="266"/>
        <v>24.953480742242448</v>
      </c>
      <c r="CK99" s="469">
        <f t="shared" si="266"/>
        <v>38.898900329633889</v>
      </c>
      <c r="CL99" s="469">
        <f t="shared" si="266"/>
        <v>82.784506512169614</v>
      </c>
      <c r="CM99" s="469">
        <f t="shared" si="266"/>
        <v>79.791942609790226</v>
      </c>
      <c r="CN99" s="469">
        <f t="shared" si="266"/>
        <v>41.332423679212184</v>
      </c>
      <c r="CO99" s="469">
        <f t="shared" si="266"/>
        <v>83.633666267271806</v>
      </c>
      <c r="CP99" s="469">
        <f t="shared" si="266"/>
        <v>44.925125549843678</v>
      </c>
      <c r="CQ99" s="469">
        <f t="shared" si="266"/>
        <v>0</v>
      </c>
      <c r="CR99" s="469">
        <f t="shared" si="266"/>
        <v>0</v>
      </c>
      <c r="CS99" s="570">
        <f t="shared" si="266"/>
        <v>0</v>
      </c>
    </row>
    <row r="100" spans="3:97">
      <c r="D100" s="9"/>
      <c r="E100" s="9"/>
      <c r="F100" s="9"/>
      <c r="G100" s="9"/>
      <c r="H100" s="9"/>
      <c r="J100" s="9"/>
      <c r="K100" s="9"/>
      <c r="L100" s="9"/>
      <c r="M100" s="9"/>
      <c r="N100" s="9"/>
      <c r="O100" s="9"/>
      <c r="P100" s="9"/>
      <c r="V100" s="10"/>
      <c r="W100" s="10"/>
      <c r="AC100" s="569"/>
      <c r="AD100" s="469"/>
      <c r="AE100" s="469"/>
      <c r="AF100" s="469"/>
      <c r="AG100" s="469"/>
      <c r="AH100" s="469"/>
      <c r="AI100" s="469"/>
      <c r="AJ100" s="469"/>
      <c r="AK100" s="469"/>
      <c r="AL100" s="469"/>
      <c r="AM100" s="469"/>
      <c r="AN100" s="469"/>
      <c r="AO100" s="469"/>
      <c r="AP100" s="469"/>
      <c r="AQ100" s="469"/>
      <c r="AR100" s="469"/>
      <c r="AS100" s="469"/>
      <c r="AT100" s="469"/>
      <c r="AU100" s="469"/>
      <c r="AV100" s="469"/>
      <c r="AW100" s="570"/>
      <c r="AZ100" s="569"/>
      <c r="BA100" s="469"/>
      <c r="BB100" s="469"/>
      <c r="BC100" s="469"/>
      <c r="BD100" s="469"/>
      <c r="BE100" s="469"/>
      <c r="BF100" s="469"/>
      <c r="BG100" s="469"/>
      <c r="BH100" s="469"/>
      <c r="BI100" s="469"/>
      <c r="BJ100" s="469"/>
      <c r="BK100" s="469"/>
      <c r="BL100" s="469"/>
      <c r="BM100" s="469"/>
      <c r="BN100" s="469"/>
      <c r="BO100" s="469"/>
      <c r="BP100" s="469"/>
      <c r="BQ100" s="469"/>
      <c r="BR100" s="469"/>
      <c r="BS100" s="469"/>
      <c r="BT100" s="570"/>
      <c r="BY100" s="569"/>
      <c r="BZ100" s="469"/>
      <c r="CA100" s="469"/>
      <c r="CB100" s="469"/>
      <c r="CC100" s="469"/>
      <c r="CD100" s="469"/>
      <c r="CE100" s="469"/>
      <c r="CF100" s="469"/>
      <c r="CG100" s="469"/>
      <c r="CH100" s="469"/>
      <c r="CI100" s="469"/>
      <c r="CJ100" s="469"/>
      <c r="CK100" s="469"/>
      <c r="CL100" s="469"/>
      <c r="CM100" s="469"/>
      <c r="CN100" s="469"/>
      <c r="CO100" s="469"/>
      <c r="CP100" s="469"/>
      <c r="CQ100" s="469"/>
      <c r="CR100" s="469"/>
      <c r="CS100" s="570"/>
    </row>
    <row r="101" spans="3:97">
      <c r="D101" s="9"/>
      <c r="E101" s="9"/>
      <c r="F101" s="9"/>
      <c r="G101" s="9"/>
      <c r="H101" s="9"/>
      <c r="J101" s="9"/>
      <c r="K101" s="9"/>
      <c r="L101" s="9"/>
      <c r="M101" s="9"/>
      <c r="N101" s="9"/>
      <c r="O101" s="9"/>
      <c r="P101" s="9"/>
      <c r="V101" s="10"/>
      <c r="W101" s="10"/>
      <c r="AC101" s="569" t="s">
        <v>579</v>
      </c>
      <c r="AD101" s="469" t="e">
        <f>AD97-AD99</f>
        <v>#REF!</v>
      </c>
      <c r="AE101" s="469" t="e">
        <f t="shared" ref="AE101:AW101" si="267">AE97-AE99</f>
        <v>#REF!</v>
      </c>
      <c r="AF101" s="469" t="e">
        <f t="shared" si="267"/>
        <v>#REF!</v>
      </c>
      <c r="AG101" s="469" t="e">
        <f t="shared" si="267"/>
        <v>#REF!</v>
      </c>
      <c r="AH101" s="469" t="e">
        <f t="shared" si="267"/>
        <v>#REF!</v>
      </c>
      <c r="AI101" s="469" t="e">
        <f t="shared" si="267"/>
        <v>#REF!</v>
      </c>
      <c r="AJ101" s="469" t="e">
        <f t="shared" si="267"/>
        <v>#REF!</v>
      </c>
      <c r="AK101" s="469" t="e">
        <f t="shared" si="267"/>
        <v>#REF!</v>
      </c>
      <c r="AL101" s="469" t="e">
        <f t="shared" si="267"/>
        <v>#REF!</v>
      </c>
      <c r="AM101" s="469" t="e">
        <f t="shared" si="267"/>
        <v>#REF!</v>
      </c>
      <c r="AN101" s="469" t="e">
        <f t="shared" si="267"/>
        <v>#REF!</v>
      </c>
      <c r="AO101" s="469" t="e">
        <f t="shared" si="267"/>
        <v>#REF!</v>
      </c>
      <c r="AP101" s="469" t="e">
        <f t="shared" si="267"/>
        <v>#REF!</v>
      </c>
      <c r="AQ101" s="469" t="e">
        <f t="shared" si="267"/>
        <v>#REF!</v>
      </c>
      <c r="AR101" s="469" t="e">
        <f t="shared" si="267"/>
        <v>#REF!</v>
      </c>
      <c r="AS101" s="469" t="e">
        <f t="shared" si="267"/>
        <v>#REF!</v>
      </c>
      <c r="AT101" s="469" t="e">
        <f t="shared" si="267"/>
        <v>#REF!</v>
      </c>
      <c r="AU101" s="469" t="e">
        <f t="shared" si="267"/>
        <v>#DIV/0!</v>
      </c>
      <c r="AV101" s="469" t="e">
        <f t="shared" si="267"/>
        <v>#DIV/0!</v>
      </c>
      <c r="AW101" s="570" t="e">
        <f t="shared" si="267"/>
        <v>#DIV/0!</v>
      </c>
      <c r="AZ101" s="569" t="s">
        <v>579</v>
      </c>
      <c r="BA101" s="469" t="e">
        <f>BA97-BA99</f>
        <v>#REF!</v>
      </c>
      <c r="BB101" s="469" t="e">
        <f t="shared" ref="BB101:BT101" si="268">BB97-BB99</f>
        <v>#REF!</v>
      </c>
      <c r="BC101" s="469" t="e">
        <f t="shared" si="268"/>
        <v>#REF!</v>
      </c>
      <c r="BD101" s="469" t="e">
        <f t="shared" si="268"/>
        <v>#REF!</v>
      </c>
      <c r="BE101" s="469" t="e">
        <f t="shared" si="268"/>
        <v>#REF!</v>
      </c>
      <c r="BF101" s="469" t="e">
        <f t="shared" si="268"/>
        <v>#REF!</v>
      </c>
      <c r="BG101" s="469" t="e">
        <f t="shared" si="268"/>
        <v>#REF!</v>
      </c>
      <c r="BH101" s="469" t="e">
        <f t="shared" si="268"/>
        <v>#REF!</v>
      </c>
      <c r="BI101" s="469" t="e">
        <f t="shared" si="268"/>
        <v>#REF!</v>
      </c>
      <c r="BJ101" s="469" t="e">
        <f t="shared" si="268"/>
        <v>#REF!</v>
      </c>
      <c r="BK101" s="469" t="e">
        <f t="shared" si="268"/>
        <v>#REF!</v>
      </c>
      <c r="BL101" s="469" t="e">
        <f t="shared" si="268"/>
        <v>#REF!</v>
      </c>
      <c r="BM101" s="469" t="e">
        <f t="shared" si="268"/>
        <v>#REF!</v>
      </c>
      <c r="BN101" s="469" t="e">
        <f t="shared" si="268"/>
        <v>#REF!</v>
      </c>
      <c r="BO101" s="469" t="e">
        <f t="shared" si="268"/>
        <v>#REF!</v>
      </c>
      <c r="BP101" s="469" t="e">
        <f t="shared" si="268"/>
        <v>#REF!</v>
      </c>
      <c r="BQ101" s="469" t="e">
        <f t="shared" si="268"/>
        <v>#REF!</v>
      </c>
      <c r="BR101" s="469" t="e">
        <f t="shared" si="268"/>
        <v>#DIV/0!</v>
      </c>
      <c r="BS101" s="469" t="e">
        <f t="shared" si="268"/>
        <v>#DIV/0!</v>
      </c>
      <c r="BT101" s="570" t="e">
        <f t="shared" si="268"/>
        <v>#DIV/0!</v>
      </c>
      <c r="BY101" s="569" t="s">
        <v>579</v>
      </c>
      <c r="BZ101" s="469" t="e">
        <f>BZ97-BZ99</f>
        <v>#REF!</v>
      </c>
      <c r="CA101" s="469" t="e">
        <f t="shared" ref="CA101:CS101" si="269">CA97-CA99</f>
        <v>#REF!</v>
      </c>
      <c r="CB101" s="469" t="e">
        <f t="shared" si="269"/>
        <v>#REF!</v>
      </c>
      <c r="CC101" s="469" t="e">
        <f t="shared" si="269"/>
        <v>#REF!</v>
      </c>
      <c r="CD101" s="469" t="e">
        <f t="shared" si="269"/>
        <v>#REF!</v>
      </c>
      <c r="CE101" s="469" t="e">
        <f t="shared" si="269"/>
        <v>#REF!</v>
      </c>
      <c r="CF101" s="469" t="e">
        <f t="shared" si="269"/>
        <v>#REF!</v>
      </c>
      <c r="CG101" s="469" t="e">
        <f t="shared" si="269"/>
        <v>#REF!</v>
      </c>
      <c r="CH101" s="469" t="e">
        <f t="shared" si="269"/>
        <v>#REF!</v>
      </c>
      <c r="CI101" s="469" t="e">
        <f t="shared" si="269"/>
        <v>#REF!</v>
      </c>
      <c r="CJ101" s="469" t="e">
        <f t="shared" si="269"/>
        <v>#REF!</v>
      </c>
      <c r="CK101" s="469" t="e">
        <f t="shared" si="269"/>
        <v>#REF!</v>
      </c>
      <c r="CL101" s="469" t="e">
        <f t="shared" si="269"/>
        <v>#REF!</v>
      </c>
      <c r="CM101" s="469" t="e">
        <f t="shared" si="269"/>
        <v>#REF!</v>
      </c>
      <c r="CN101" s="469" t="e">
        <f t="shared" si="269"/>
        <v>#REF!</v>
      </c>
      <c r="CO101" s="469" t="e">
        <f t="shared" si="269"/>
        <v>#REF!</v>
      </c>
      <c r="CP101" s="469" t="e">
        <f t="shared" si="269"/>
        <v>#REF!</v>
      </c>
      <c r="CQ101" s="469">
        <f t="shared" si="269"/>
        <v>0</v>
      </c>
      <c r="CR101" s="469">
        <f t="shared" si="269"/>
        <v>0</v>
      </c>
      <c r="CS101" s="570">
        <f t="shared" si="269"/>
        <v>0</v>
      </c>
    </row>
    <row r="102" spans="3:97" ht="13.9" thickBot="1">
      <c r="J102" s="9"/>
      <c r="K102" s="9"/>
      <c r="L102" s="9"/>
      <c r="M102" s="9"/>
      <c r="N102" s="9"/>
      <c r="O102" s="9"/>
      <c r="P102" s="9"/>
      <c r="V102" s="10"/>
      <c r="W102" s="10"/>
      <c r="AC102" s="573" t="s">
        <v>580</v>
      </c>
      <c r="AD102" s="1517" t="e">
        <f>SUM(AD101:AH101)</f>
        <v>#REF!</v>
      </c>
      <c r="AE102" s="1517"/>
      <c r="AF102" s="1517"/>
      <c r="AG102" s="1517"/>
      <c r="AH102" s="1517"/>
      <c r="AI102" s="1518" t="e">
        <f>SUM(AI101:AL101)</f>
        <v>#REF!</v>
      </c>
      <c r="AJ102" s="1518"/>
      <c r="AK102" s="1518"/>
      <c r="AL102" s="1518"/>
      <c r="AM102" s="1518" t="e">
        <f>SUM(AM101:AQ101)</f>
        <v>#REF!</v>
      </c>
      <c r="AN102" s="1518"/>
      <c r="AO102" s="1518"/>
      <c r="AP102" s="1518"/>
      <c r="AQ102" s="1518"/>
      <c r="AR102" s="1518" t="e">
        <f>SUM(AR101:AW101)</f>
        <v>#REF!</v>
      </c>
      <c r="AS102" s="1518"/>
      <c r="AT102" s="1518"/>
      <c r="AU102" s="1518"/>
      <c r="AV102" s="1518"/>
      <c r="AW102" s="1519"/>
      <c r="AZ102" s="573" t="s">
        <v>580</v>
      </c>
      <c r="BA102" s="1517" t="e">
        <f>SUM(BA101:BE101)</f>
        <v>#REF!</v>
      </c>
      <c r="BB102" s="1517"/>
      <c r="BC102" s="1517"/>
      <c r="BD102" s="1517"/>
      <c r="BE102" s="1517"/>
      <c r="BF102" s="1518" t="e">
        <f>SUM(BF101:BI101)</f>
        <v>#REF!</v>
      </c>
      <c r="BG102" s="1518"/>
      <c r="BH102" s="1518"/>
      <c r="BI102" s="1518"/>
      <c r="BJ102" s="1518" t="e">
        <f>SUM(BJ101:BN101)</f>
        <v>#REF!</v>
      </c>
      <c r="BK102" s="1518"/>
      <c r="BL102" s="1518"/>
      <c r="BM102" s="1518"/>
      <c r="BN102" s="1518"/>
      <c r="BO102" s="1518" t="e">
        <f>SUM(BO101:BT101)</f>
        <v>#REF!</v>
      </c>
      <c r="BP102" s="1518"/>
      <c r="BQ102" s="1518"/>
      <c r="BR102" s="1518"/>
      <c r="BS102" s="1518"/>
      <c r="BT102" s="1519"/>
      <c r="BY102" s="573" t="s">
        <v>580</v>
      </c>
      <c r="BZ102" s="1517" t="e">
        <f>SUM(BZ101:CD101)</f>
        <v>#REF!</v>
      </c>
      <c r="CA102" s="1517"/>
      <c r="CB102" s="1517"/>
      <c r="CC102" s="1517"/>
      <c r="CD102" s="1517"/>
      <c r="CE102" s="1518" t="e">
        <f>SUM(CE101:CH101)</f>
        <v>#REF!</v>
      </c>
      <c r="CF102" s="1518"/>
      <c r="CG102" s="1518"/>
      <c r="CH102" s="1518"/>
      <c r="CI102" s="1518" t="e">
        <f>SUM(CI101:CM101)</f>
        <v>#REF!</v>
      </c>
      <c r="CJ102" s="1518"/>
      <c r="CK102" s="1518"/>
      <c r="CL102" s="1518"/>
      <c r="CM102" s="1518"/>
      <c r="CN102" s="1518" t="e">
        <f>SUM(CN101:CS101)</f>
        <v>#REF!</v>
      </c>
      <c r="CO102" s="1518"/>
      <c r="CP102" s="1518"/>
      <c r="CQ102" s="1518"/>
      <c r="CR102" s="1518"/>
      <c r="CS102" s="1519"/>
    </row>
    <row r="103" spans="3:97">
      <c r="D103" s="29"/>
      <c r="E103" s="29"/>
      <c r="F103" s="29"/>
      <c r="G103" s="29"/>
      <c r="H103" s="29"/>
      <c r="J103" s="9"/>
      <c r="K103" s="9"/>
      <c r="L103" s="9"/>
      <c r="M103" s="9"/>
      <c r="N103" s="9"/>
      <c r="O103" s="9"/>
      <c r="P103" s="9"/>
      <c r="V103" s="10"/>
      <c r="W103" s="10"/>
    </row>
    <row r="104" spans="3:97">
      <c r="D104" s="29"/>
      <c r="E104" s="29"/>
      <c r="F104" s="29"/>
      <c r="G104" s="29"/>
      <c r="H104" s="29"/>
      <c r="J104" s="9"/>
      <c r="K104" s="9"/>
      <c r="L104" s="9"/>
      <c r="M104" s="9"/>
      <c r="N104" s="9"/>
      <c r="O104" s="9"/>
      <c r="P104" s="9"/>
      <c r="V104" s="10"/>
      <c r="W104" s="10"/>
      <c r="AD104" s="564"/>
      <c r="BA104" s="22" t="s">
        <v>438</v>
      </c>
      <c r="BB104" s="22" t="s">
        <v>437</v>
      </c>
    </row>
    <row r="105" spans="3:97">
      <c r="D105" s="29"/>
      <c r="E105" s="29"/>
      <c r="F105" s="29"/>
      <c r="G105" s="29"/>
      <c r="H105" s="29"/>
      <c r="J105" s="9"/>
      <c r="K105" s="9"/>
      <c r="L105" s="9"/>
      <c r="M105" s="9"/>
      <c r="N105" s="9"/>
      <c r="O105" s="9"/>
      <c r="P105" s="9"/>
      <c r="V105" s="10"/>
      <c r="W105" s="10"/>
      <c r="AZ105" s="22" t="s">
        <v>581</v>
      </c>
      <c r="BA105" s="564">
        <f>AVERAGE(BA96:BQ96)</f>
        <v>3048.1904008966376</v>
      </c>
      <c r="BB105" s="458" t="e">
        <f>BA105/SUM($BA$105:$BA$107)</f>
        <v>#REF!</v>
      </c>
    </row>
    <row r="106" spans="3:97">
      <c r="J106" s="9"/>
      <c r="K106" s="9"/>
      <c r="L106" s="9"/>
      <c r="M106" s="9"/>
      <c r="N106" s="9"/>
      <c r="O106" s="9"/>
      <c r="P106" s="9"/>
      <c r="V106" s="10"/>
      <c r="W106" s="10"/>
      <c r="AZ106" s="22" t="s">
        <v>582</v>
      </c>
      <c r="BA106" s="564">
        <f>AVERAGE(BA88:BQ88)</f>
        <v>5848.1619020566259</v>
      </c>
      <c r="BB106" s="458" t="e">
        <f t="shared" ref="BB106:BB107" si="270">BA106/SUM($BA$105:$BA$107)</f>
        <v>#REF!</v>
      </c>
    </row>
    <row r="107" spans="3:97">
      <c r="J107" s="9"/>
      <c r="K107" s="9"/>
      <c r="L107" s="9"/>
      <c r="M107" s="9"/>
      <c r="N107" s="9"/>
      <c r="O107" s="9"/>
      <c r="P107" s="9"/>
      <c r="V107" s="10"/>
      <c r="W107" s="10"/>
      <c r="AZ107" s="22" t="s">
        <v>573</v>
      </c>
      <c r="BA107" s="564" t="e">
        <f>AVERAGE(BA92:BQ92)</f>
        <v>#REF!</v>
      </c>
      <c r="BB107" s="458" t="e">
        <f t="shared" si="270"/>
        <v>#REF!</v>
      </c>
    </row>
    <row r="108" spans="3:97">
      <c r="J108" s="9"/>
      <c r="K108" s="9"/>
      <c r="L108" s="95"/>
      <c r="M108" s="9"/>
      <c r="N108" s="9"/>
      <c r="O108" s="9"/>
    </row>
    <row r="109" spans="3:97">
      <c r="J109" s="29"/>
      <c r="K109" s="9"/>
      <c r="L109" s="29"/>
      <c r="M109" s="9"/>
      <c r="N109" s="29"/>
      <c r="O109" s="29"/>
    </row>
    <row r="110" spans="3:97">
      <c r="J110" s="29"/>
      <c r="K110" s="9"/>
      <c r="L110" s="29"/>
      <c r="M110" s="9"/>
      <c r="N110" s="29"/>
      <c r="O110" s="29"/>
    </row>
    <row r="111" spans="3:97">
      <c r="C111" s="29"/>
      <c r="D111" s="29"/>
      <c r="E111" s="29"/>
      <c r="F111" s="29"/>
      <c r="G111" s="29"/>
      <c r="H111" s="29"/>
      <c r="I111" s="29"/>
    </row>
    <row r="114" spans="1:70" ht="13.9" thickBot="1"/>
    <row r="115" spans="1:70" ht="14.45" thickTop="1" thickBot="1">
      <c r="A115" s="1426" t="s">
        <v>376</v>
      </c>
      <c r="B115" s="1427"/>
      <c r="C115" s="1427"/>
      <c r="D115" s="1427"/>
      <c r="E115" s="1427"/>
      <c r="F115" s="1427"/>
      <c r="G115" s="1427"/>
      <c r="H115" s="1427"/>
      <c r="I115" s="1427"/>
      <c r="AC115" s="22" t="s">
        <v>583</v>
      </c>
      <c r="AD115" s="22" t="s">
        <v>584</v>
      </c>
      <c r="AE115" s="22" t="s">
        <v>585</v>
      </c>
      <c r="AF115" s="22" t="s">
        <v>586</v>
      </c>
      <c r="AZ115" s="22" t="str" cm="1">
        <f t="array" ref="AZ115:BR126">TRANSPOSE(Profitability!AS2:BD20)</f>
        <v>Rotation</v>
      </c>
      <c r="BA115" s="22">
        <v>0</v>
      </c>
      <c r="BB115" s="22">
        <v>1</v>
      </c>
      <c r="BC115" s="22">
        <v>0</v>
      </c>
      <c r="BD115" s="22">
        <v>0</v>
      </c>
      <c r="BE115" s="22">
        <v>0</v>
      </c>
      <c r="BF115" s="22">
        <v>0</v>
      </c>
      <c r="BG115" s="22">
        <v>2</v>
      </c>
      <c r="BH115" s="22">
        <v>0</v>
      </c>
      <c r="BI115" s="22">
        <v>0</v>
      </c>
      <c r="BJ115" s="22">
        <v>0</v>
      </c>
      <c r="BK115" s="22">
        <v>3</v>
      </c>
      <c r="BL115" s="22">
        <v>0</v>
      </c>
      <c r="BM115" s="22">
        <v>0</v>
      </c>
      <c r="BN115" s="22">
        <v>0</v>
      </c>
      <c r="BO115" s="22">
        <v>4</v>
      </c>
      <c r="BP115" s="22">
        <v>0</v>
      </c>
      <c r="BQ115" s="22">
        <v>0</v>
      </c>
      <c r="BR115" s="22">
        <v>0</v>
      </c>
    </row>
    <row r="116" spans="1:70" ht="13.9" thickTop="1">
      <c r="A116" s="375"/>
      <c r="B116" s="376" t="s">
        <v>379</v>
      </c>
      <c r="C116" s="376">
        <v>1</v>
      </c>
      <c r="D116" s="376">
        <v>2</v>
      </c>
      <c r="E116" s="376">
        <v>3</v>
      </c>
      <c r="F116" s="376">
        <v>4</v>
      </c>
      <c r="G116" s="376">
        <v>5</v>
      </c>
      <c r="H116" s="376">
        <v>6</v>
      </c>
      <c r="I116" s="377">
        <v>7</v>
      </c>
      <c r="AC116" s="22" t="str" cm="1">
        <f t="array" ref="AC116:AC132">TRANSPOSE(AD8:AT8)</f>
        <v>PLM-SUB</v>
      </c>
      <c r="AD116" s="22" t="e" cm="1">
        <f t="array" ref="AD116:AD132">TRANSPOSE(AD43:AT43)</f>
        <v>#REF!</v>
      </c>
      <c r="AE116" s="22" t="e" cm="1">
        <f t="array" ref="AE116:AE132">TRANSPOSE(BA43:BQ43)</f>
        <v>#REF!</v>
      </c>
      <c r="AF116" s="22" t="e">
        <f>AE116-AD116</f>
        <v>#REF!</v>
      </c>
      <c r="AZ116" s="22" t="str">
        <v>O-D</v>
      </c>
      <c r="BA116" s="22">
        <v>0</v>
      </c>
      <c r="BB116" s="22" t="str">
        <v>PLM-SUB</v>
      </c>
      <c r="BC116" s="22" t="str">
        <v>SUB-CGK</v>
      </c>
      <c r="BD116" s="22" t="str">
        <v>CGK-PKY</v>
      </c>
      <c r="BE116" s="22" t="str">
        <v>PKY-CGK</v>
      </c>
      <c r="BF116" s="22" t="str">
        <v>CGK-PLM</v>
      </c>
      <c r="BG116" s="22" t="str">
        <v>MDC-SRG</v>
      </c>
      <c r="BH116" s="22" t="str">
        <v>SRG-KDI</v>
      </c>
      <c r="BI116" s="22" t="str">
        <v>KDI-PNK</v>
      </c>
      <c r="BJ116" s="22" t="str">
        <v>PNK-MDC</v>
      </c>
      <c r="BK116" s="22" t="str">
        <v>TTE-KNO</v>
      </c>
      <c r="BL116" s="22" t="str">
        <v>KNO-PKU</v>
      </c>
      <c r="BM116" s="22" t="str">
        <v>PKU-BDO</v>
      </c>
      <c r="BN116" s="22" t="str">
        <v>BDO-TTE</v>
      </c>
      <c r="BO116" s="22" t="str">
        <v>LOP-TIM</v>
      </c>
      <c r="BP116" s="22" t="str">
        <v>TIM-AMQ</v>
      </c>
      <c r="BQ116" s="22" t="str">
        <v>AMQ-CGK</v>
      </c>
      <c r="BR116" s="22" t="str">
        <v>CGK-LOP</v>
      </c>
    </row>
    <row r="117" spans="1:70">
      <c r="A117" s="378" t="s">
        <v>382</v>
      </c>
      <c r="B117" s="379">
        <v>0.311</v>
      </c>
      <c r="C117" s="379">
        <v>0.57599999999999996</v>
      </c>
      <c r="D117" s="379">
        <v>0.753</v>
      </c>
      <c r="E117" s="379">
        <v>0.86199999999999999</v>
      </c>
      <c r="F117" s="379">
        <v>0.92400000000000004</v>
      </c>
      <c r="G117" s="379">
        <v>0.95699999999999996</v>
      </c>
      <c r="H117" s="379">
        <v>1</v>
      </c>
      <c r="I117" s="380">
        <v>1</v>
      </c>
      <c r="AC117" s="22" t="str">
        <v>SUB-CGK</v>
      </c>
      <c r="AD117" s="22" t="e">
        <v>#REF!</v>
      </c>
      <c r="AE117" s="22" t="e">
        <v>#REF!</v>
      </c>
      <c r="AF117" s="22" t="e">
        <f t="shared" ref="AF117:AF132" si="271">AE117-AD117</f>
        <v>#REF!</v>
      </c>
      <c r="AZ117" s="22" t="str">
        <v>AVERAGE DEMAND PER YEAR</v>
      </c>
      <c r="BA117" s="22">
        <v>2023</v>
      </c>
      <c r="BB117" s="22">
        <v>9.1743079999999964</v>
      </c>
      <c r="BC117" s="22">
        <v>12.041999999999998</v>
      </c>
      <c r="BD117" s="22">
        <v>7.055979999999999</v>
      </c>
      <c r="BE117" s="22">
        <v>12.5298</v>
      </c>
      <c r="BF117" s="22">
        <v>16.853149999999999</v>
      </c>
      <c r="BG117" s="22">
        <v>3.3264000000000005</v>
      </c>
      <c r="BH117" s="22">
        <v>5.1959454545454546</v>
      </c>
      <c r="BI117" s="22">
        <v>8.4735999999999994</v>
      </c>
      <c r="BJ117" s="22">
        <v>9.1340800000000009</v>
      </c>
      <c r="BK117" s="22">
        <v>0</v>
      </c>
      <c r="BL117" s="22">
        <v>0</v>
      </c>
      <c r="BM117" s="22">
        <v>0</v>
      </c>
      <c r="BN117" s="22">
        <v>0</v>
      </c>
      <c r="BO117" s="22">
        <v>0</v>
      </c>
      <c r="BP117" s="22">
        <v>0</v>
      </c>
      <c r="BQ117" s="22">
        <v>0</v>
      </c>
      <c r="BR117" s="22">
        <v>0</v>
      </c>
    </row>
    <row r="118" spans="1:70">
      <c r="A118" s="381"/>
      <c r="B118" s="382">
        <v>8</v>
      </c>
      <c r="C118" s="382">
        <v>9</v>
      </c>
      <c r="D118" s="382">
        <v>10</v>
      </c>
      <c r="E118" s="382">
        <v>11</v>
      </c>
      <c r="F118" s="382">
        <v>12</v>
      </c>
      <c r="G118" s="382">
        <v>13</v>
      </c>
      <c r="H118" s="382">
        <v>14</v>
      </c>
      <c r="I118" s="383">
        <v>15</v>
      </c>
      <c r="AC118" s="22" t="str">
        <v>CGK-PKY</v>
      </c>
      <c r="AD118" s="22" t="e">
        <v>#REF!</v>
      </c>
      <c r="AE118" s="22" t="e">
        <v>#REF!</v>
      </c>
      <c r="AF118" s="22" t="e">
        <f t="shared" si="271"/>
        <v>#REF!</v>
      </c>
      <c r="AZ118" s="22">
        <v>0</v>
      </c>
      <c r="BA118" s="22">
        <v>2024</v>
      </c>
      <c r="BB118" s="22">
        <v>9.8950036799999985</v>
      </c>
      <c r="BC118" s="22">
        <v>13.404640046350194</v>
      </c>
      <c r="BD118" s="22">
        <v>8.4947366024822699</v>
      </c>
      <c r="BE118" s="22">
        <v>14.713137159639874</v>
      </c>
      <c r="BF118" s="22">
        <v>19.449545171500574</v>
      </c>
      <c r="BG118" s="22">
        <v>3.7554854559714808</v>
      </c>
      <c r="BH118" s="22">
        <v>5.8021693117928512</v>
      </c>
      <c r="BI118" s="22">
        <v>9.6286423578947371</v>
      </c>
      <c r="BJ118" s="22">
        <v>10.003784267942585</v>
      </c>
      <c r="BK118" s="22">
        <v>0</v>
      </c>
      <c r="BL118" s="22">
        <v>0</v>
      </c>
      <c r="BM118" s="22">
        <v>0</v>
      </c>
      <c r="BN118" s="22">
        <v>0</v>
      </c>
      <c r="BO118" s="22">
        <v>0</v>
      </c>
      <c r="BP118" s="22">
        <v>0</v>
      </c>
      <c r="BQ118" s="22">
        <v>0</v>
      </c>
      <c r="BR118" s="22">
        <v>0</v>
      </c>
    </row>
    <row r="119" spans="1:70" ht="13.9" thickBot="1">
      <c r="A119" s="384" t="s">
        <v>382</v>
      </c>
      <c r="B119" s="385">
        <v>1.008</v>
      </c>
      <c r="C119" s="385">
        <v>1.0189999999999999</v>
      </c>
      <c r="D119" s="385">
        <v>1.03</v>
      </c>
      <c r="E119" s="385">
        <v>1.042</v>
      </c>
      <c r="F119" s="385">
        <v>1.0529999999999999</v>
      </c>
      <c r="G119" s="385">
        <v>1.0640000000000001</v>
      </c>
      <c r="H119" s="385">
        <v>1.073</v>
      </c>
      <c r="I119" s="386">
        <v>1.0860000000000001</v>
      </c>
      <c r="AC119" s="22" t="str">
        <v>PKY-CGK</v>
      </c>
      <c r="AD119" s="22" t="e">
        <v>#REF!</v>
      </c>
      <c r="AE119" s="22" t="e">
        <v>#REF!</v>
      </c>
      <c r="AF119" s="22" t="e">
        <f t="shared" si="271"/>
        <v>#REF!</v>
      </c>
      <c r="AZ119" s="22">
        <v>0</v>
      </c>
      <c r="BA119" s="22">
        <v>2025</v>
      </c>
      <c r="BB119" s="22">
        <v>10.387836345599998</v>
      </c>
      <c r="BC119" s="22">
        <v>15.784100031226473</v>
      </c>
      <c r="BD119" s="22">
        <v>9.1454801909652534</v>
      </c>
      <c r="BE119" s="22">
        <v>16.065484846644527</v>
      </c>
      <c r="BF119" s="22">
        <v>21.58574849736069</v>
      </c>
      <c r="BG119" s="22">
        <v>4.2217063118958178</v>
      </c>
      <c r="BH119" s="22">
        <v>6.4595585698077924</v>
      </c>
      <c r="BI119" s="22">
        <v>10.896611061991436</v>
      </c>
      <c r="BJ119" s="22">
        <v>10.918386633539722</v>
      </c>
      <c r="BK119" s="22">
        <v>16.6404685792</v>
      </c>
      <c r="BL119" s="22">
        <v>16.902187380956903</v>
      </c>
      <c r="BM119" s="22">
        <v>2.6767235040136605</v>
      </c>
      <c r="BN119" s="22">
        <v>4.656292558853881</v>
      </c>
      <c r="BO119" s="22">
        <v>0</v>
      </c>
      <c r="BP119" s="22">
        <v>0</v>
      </c>
      <c r="BQ119" s="22">
        <v>0</v>
      </c>
      <c r="BR119" s="22">
        <v>0</v>
      </c>
    </row>
    <row r="120" spans="1:70" ht="13.9" thickTop="1">
      <c r="AC120" s="22" t="str">
        <v>CGK-PLM</v>
      </c>
      <c r="AD120" s="22" t="e">
        <v>#REF!</v>
      </c>
      <c r="AE120" s="22" t="e">
        <v>#REF!</v>
      </c>
      <c r="AF120" s="22" t="e">
        <f t="shared" si="271"/>
        <v>#REF!</v>
      </c>
      <c r="AZ120" s="22">
        <v>0</v>
      </c>
      <c r="BA120" s="22">
        <v>2026</v>
      </c>
      <c r="BB120" s="22">
        <v>11.119672765727998</v>
      </c>
      <c r="BC120" s="22">
        <v>18.400133730045024</v>
      </c>
      <c r="BD120" s="22">
        <v>9.4347936095768379</v>
      </c>
      <c r="BE120" s="22">
        <v>16.270143925044525</v>
      </c>
      <c r="BF120" s="22">
        <v>21.6</v>
      </c>
      <c r="BG120" s="22">
        <v>4.7277805915487896</v>
      </c>
      <c r="BH120" s="22">
        <v>7.1718186511420257</v>
      </c>
      <c r="BI120" s="22">
        <v>12.286370863870948</v>
      </c>
      <c r="BJ120" s="22">
        <v>11.87982745296372</v>
      </c>
      <c r="BK120" s="22">
        <v>17.516169750399996</v>
      </c>
      <c r="BL120" s="22">
        <v>18.268277478228953</v>
      </c>
      <c r="BM120" s="22">
        <v>2.9886251014534504</v>
      </c>
      <c r="BN120" s="22">
        <v>5.1701579253094927</v>
      </c>
      <c r="BO120" s="22">
        <v>6.6056964496003108</v>
      </c>
      <c r="BP120" s="22">
        <v>3.0110120541728547</v>
      </c>
      <c r="BQ120" s="22">
        <v>4.4160684885148989</v>
      </c>
      <c r="BR120" s="22">
        <v>15.248456546599357</v>
      </c>
    </row>
    <row r="121" spans="1:70">
      <c r="AC121" s="22" t="str">
        <v>MDC-SRG</v>
      </c>
      <c r="AD121" s="22" t="e">
        <v>#REF!</v>
      </c>
      <c r="AE121" s="22" t="e">
        <v>#REF!</v>
      </c>
      <c r="AF121" s="22" t="e">
        <f t="shared" si="271"/>
        <v>#REF!</v>
      </c>
      <c r="AZ121" s="22">
        <v>0</v>
      </c>
      <c r="BA121" s="22">
        <v>2027</v>
      </c>
      <c r="BB121" s="22">
        <v>12.325594389719038</v>
      </c>
      <c r="BC121" s="22">
        <v>21.156371179121507</v>
      </c>
      <c r="BD121" s="22">
        <v>9.6247703598243728</v>
      </c>
      <c r="BE121" s="22">
        <v>16.322120833844526</v>
      </c>
      <c r="BF121" s="22">
        <v>21.6</v>
      </c>
      <c r="BG121" s="22">
        <v>5.2766080053867528</v>
      </c>
      <c r="BH121" s="22">
        <v>7.9429011906161602</v>
      </c>
      <c r="BI121" s="22">
        <v>13.807402692653874</v>
      </c>
      <c r="BJ121" s="22">
        <v>12.602460248394504</v>
      </c>
      <c r="BK121" s="22">
        <v>18.381139289599997</v>
      </c>
      <c r="BL121" s="22">
        <v>19.680541942068839</v>
      </c>
      <c r="BM121" s="22">
        <v>3.3267208006630069</v>
      </c>
      <c r="BN121" s="22">
        <v>5.7049522853997843</v>
      </c>
      <c r="BO121" s="22">
        <v>7.1522986840411784</v>
      </c>
      <c r="BP121" s="22">
        <v>3.6057334178918503</v>
      </c>
      <c r="BQ121" s="22">
        <v>5.3348358791439665</v>
      </c>
      <c r="BR121" s="22">
        <v>16.258303335212752</v>
      </c>
    </row>
    <row r="122" spans="1:70">
      <c r="AC122" s="22" t="str">
        <v>SRG-KDI</v>
      </c>
      <c r="AD122" s="22" t="e">
        <v>#REF!</v>
      </c>
      <c r="AE122" s="22" t="e">
        <v>#REF!</v>
      </c>
      <c r="AF122" s="22" t="e">
        <f t="shared" si="271"/>
        <v>#REF!</v>
      </c>
      <c r="AZ122" s="22">
        <v>0</v>
      </c>
      <c r="BA122" s="22">
        <v>2028</v>
      </c>
      <c r="BB122" s="22">
        <v>13.710076153449023</v>
      </c>
      <c r="BC122" s="22">
        <v>21.6</v>
      </c>
      <c r="BD122" s="22">
        <v>9.8300730232108791</v>
      </c>
      <c r="BE122" s="22">
        <v>16.452063105844527</v>
      </c>
      <c r="BF122" s="22">
        <v>21.6</v>
      </c>
      <c r="BG122" s="22">
        <v>5.424871572747767</v>
      </c>
      <c r="BH122" s="22">
        <v>8.3547306174101639</v>
      </c>
      <c r="BI122" s="22">
        <v>14.223546963517094</v>
      </c>
      <c r="BJ122" s="22">
        <v>12.602460248394504</v>
      </c>
      <c r="BK122" s="22">
        <v>19.239669849599998</v>
      </c>
      <c r="BL122" s="22">
        <v>20.773633048133263</v>
      </c>
      <c r="BM122" s="22">
        <v>3.4206657353597638</v>
      </c>
      <c r="BN122" s="22">
        <v>5.9036077353740524</v>
      </c>
      <c r="BO122" s="22">
        <v>7.531769790592624</v>
      </c>
      <c r="BP122" s="22">
        <v>4.0357245431995459</v>
      </c>
      <c r="BQ122" s="22">
        <v>5.9550170924239456</v>
      </c>
      <c r="BR122" s="22">
        <v>17.111807243174798</v>
      </c>
    </row>
    <row r="123" spans="1:70">
      <c r="AC123" s="22" t="str">
        <v>KDI-PNK</v>
      </c>
      <c r="AD123" s="22" t="e">
        <v>#REF!</v>
      </c>
      <c r="AE123" s="22" t="e">
        <v>#REF!</v>
      </c>
      <c r="AF123" s="22" t="e">
        <f t="shared" si="271"/>
        <v>#REF!</v>
      </c>
      <c r="AZ123" s="22">
        <v>0</v>
      </c>
      <c r="BA123" s="22">
        <v>2029</v>
      </c>
      <c r="BB123" s="22">
        <v>14.523055052491307</v>
      </c>
      <c r="BC123" s="22">
        <v>21.6</v>
      </c>
      <c r="BD123" s="22">
        <v>10.030315769747265</v>
      </c>
      <c r="BE123" s="22">
        <v>16.237612807298351</v>
      </c>
      <c r="BF123" s="22">
        <v>21.6</v>
      </c>
      <c r="BG123" s="22">
        <v>5.5183848397416435</v>
      </c>
      <c r="BH123" s="22">
        <v>8.7221854686877656</v>
      </c>
      <c r="BI123" s="22">
        <v>14.582718763204637</v>
      </c>
      <c r="BJ123" s="22">
        <v>12.602460248394504</v>
      </c>
      <c r="BK123" s="22">
        <v>19.401095144669945</v>
      </c>
      <c r="BL123" s="22">
        <v>21.291034353777331</v>
      </c>
      <c r="BM123" s="22">
        <v>3.4777433340040051</v>
      </c>
      <c r="BN123" s="22">
        <v>6.0016762679311748</v>
      </c>
      <c r="BO123" s="22">
        <v>7.6559574628636895</v>
      </c>
      <c r="BP123" s="22">
        <v>4.3550289643975084</v>
      </c>
      <c r="BQ123" s="22">
        <v>6.4139663069198463</v>
      </c>
      <c r="BR123" s="22">
        <v>17.755180471765428</v>
      </c>
    </row>
    <row r="124" spans="1:70">
      <c r="AC124" s="22" t="str">
        <v>PNK-MDC</v>
      </c>
      <c r="AD124" s="22" t="e">
        <v>#REF!</v>
      </c>
      <c r="AE124" s="22" t="e">
        <v>#REF!</v>
      </c>
      <c r="AF124" s="22" t="e">
        <f t="shared" si="271"/>
        <v>#REF!</v>
      </c>
      <c r="AZ124" s="22">
        <v>0</v>
      </c>
      <c r="BA124" s="22">
        <v>2030</v>
      </c>
      <c r="BB124" s="22">
        <v>14.523055052491307</v>
      </c>
      <c r="BC124" s="22">
        <v>21.6</v>
      </c>
      <c r="BD124" s="22">
        <v>10.221043416535306</v>
      </c>
      <c r="BE124" s="22">
        <v>16.27497121049835</v>
      </c>
      <c r="BF124" s="22">
        <v>21.6</v>
      </c>
      <c r="BG124" s="22">
        <v>5.6571840598030034</v>
      </c>
      <c r="BH124" s="22">
        <v>9.1855928434978082</v>
      </c>
      <c r="BI124" s="22">
        <v>15.141713205377016</v>
      </c>
      <c r="BJ124" s="22">
        <v>12.591310248394505</v>
      </c>
      <c r="BK124" s="22">
        <v>19.743713487479777</v>
      </c>
      <c r="BL124" s="22">
        <v>21.6</v>
      </c>
      <c r="BM124" s="22">
        <v>3.5682279181234842</v>
      </c>
      <c r="BN124" s="22">
        <v>6.1903062208601174</v>
      </c>
      <c r="BO124" s="22">
        <v>7.8521586886855914</v>
      </c>
      <c r="BP124" s="22">
        <v>4.4664635282948151</v>
      </c>
      <c r="BQ124" s="22">
        <v>6.5995575254041299</v>
      </c>
      <c r="BR124" s="22">
        <v>18.29818634462162</v>
      </c>
    </row>
    <row r="125" spans="1:70">
      <c r="AC125" s="22" t="str">
        <v>TTE-KNO</v>
      </c>
      <c r="AD125" s="22" t="e">
        <v>#REF!</v>
      </c>
      <c r="AE125" s="22" t="e">
        <v>#REF!</v>
      </c>
      <c r="AF125" s="22" t="e">
        <f t="shared" si="271"/>
        <v>#REF!</v>
      </c>
      <c r="AZ125" s="22">
        <v>0</v>
      </c>
      <c r="BA125" s="22">
        <v>2031</v>
      </c>
      <c r="BB125" s="22">
        <v>14.464520571760263</v>
      </c>
      <c r="BC125" s="22">
        <v>21.6</v>
      </c>
      <c r="BD125" s="22">
        <v>10.392931151991696</v>
      </c>
      <c r="BE125" s="22">
        <v>16.489421509044526</v>
      </c>
      <c r="BF125" s="22">
        <v>21.6</v>
      </c>
      <c r="BG125" s="22">
        <v>5.8100976029208971</v>
      </c>
      <c r="BH125" s="22">
        <v>9.4683031144894834</v>
      </c>
      <c r="BI125" s="22">
        <v>15.830093170398584</v>
      </c>
      <c r="BJ125" s="22">
        <v>12.548940248394505</v>
      </c>
      <c r="BK125" s="22">
        <v>19.854420830139887</v>
      </c>
      <c r="BL125" s="22">
        <v>21.6</v>
      </c>
      <c r="BM125" s="22">
        <v>3.687187095950585</v>
      </c>
      <c r="BN125" s="22">
        <v>6.4297568458917738</v>
      </c>
      <c r="BO125" s="22">
        <v>8.0854637769747306</v>
      </c>
      <c r="BP125" s="22">
        <v>4.5930610403458729</v>
      </c>
      <c r="BQ125" s="22">
        <v>6.9380103770415547</v>
      </c>
      <c r="BR125" s="22">
        <v>18.898884768556957</v>
      </c>
    </row>
    <row r="126" spans="1:70">
      <c r="AC126" s="22" t="str">
        <v>KNO-PKU</v>
      </c>
      <c r="AD126" s="22" t="e">
        <v>#REF!</v>
      </c>
      <c r="AE126" s="22" t="e">
        <v>#REF!</v>
      </c>
      <c r="AF126" s="22" t="e">
        <f t="shared" si="271"/>
        <v>#REF!</v>
      </c>
      <c r="AZ126" s="22">
        <v>0</v>
      </c>
      <c r="BA126" s="22">
        <v>2032</v>
      </c>
      <c r="BB126" s="22">
        <v>14.386474597452203</v>
      </c>
      <c r="BC126" s="22">
        <v>21.6</v>
      </c>
      <c r="BD126" s="22">
        <v>10.549878831608222</v>
      </c>
      <c r="BE126" s="22">
        <v>16.430947486644527</v>
      </c>
      <c r="BF126" s="22">
        <v>21.6</v>
      </c>
      <c r="BG126" s="22">
        <v>5.8976174946425672</v>
      </c>
      <c r="BH126" s="22">
        <v>9.6421433863397503</v>
      </c>
      <c r="BI126" s="22">
        <v>16.265363421407272</v>
      </c>
      <c r="BJ126" s="22">
        <v>12.508800248394504</v>
      </c>
      <c r="BK126" s="22">
        <v>19.836348588799996</v>
      </c>
      <c r="BL126" s="22">
        <v>21.6</v>
      </c>
      <c r="BM126" s="22">
        <v>3.7720579622752899</v>
      </c>
      <c r="BN126" s="22">
        <v>6.5457830474570384</v>
      </c>
      <c r="BO126" s="22">
        <v>8.1225212922585115</v>
      </c>
      <c r="BP126" s="22">
        <v>4.6080864564220763</v>
      </c>
      <c r="BQ126" s="22">
        <v>6.9725632942460631</v>
      </c>
      <c r="BR126" s="22">
        <v>18.989588357883839</v>
      </c>
    </row>
    <row r="127" spans="1:70">
      <c r="AC127" s="22" t="str">
        <v>PKU-BDO</v>
      </c>
      <c r="AD127" s="22" t="e">
        <v>#REF!</v>
      </c>
      <c r="AE127" s="22" t="e">
        <v>#REF!</v>
      </c>
      <c r="AF127" s="22" t="e">
        <f t="shared" si="271"/>
        <v>#REF!</v>
      </c>
      <c r="AZ127" s="22" t="s">
        <v>587</v>
      </c>
      <c r="BB127" s="22">
        <f>AVERAGE(BB117:BB126)</f>
        <v>12.450959660869112</v>
      </c>
      <c r="BC127" s="22">
        <f t="shared" ref="BC127:BR127" si="272">AVERAGE(BC117:BC126)</f>
        <v>18.878724498674316</v>
      </c>
      <c r="BD127" s="22">
        <f t="shared" si="272"/>
        <v>9.4780002955942102</v>
      </c>
      <c r="BE127" s="22">
        <f t="shared" si="272"/>
        <v>15.778570288450373</v>
      </c>
      <c r="BF127" s="22">
        <f t="shared" si="272"/>
        <v>20.908844366886122</v>
      </c>
      <c r="BG127" s="22">
        <f t="shared" si="272"/>
        <v>4.9616135934658718</v>
      </c>
      <c r="BH127" s="22">
        <f t="shared" si="272"/>
        <v>7.7945348608329255</v>
      </c>
      <c r="BI127" s="22">
        <f t="shared" si="272"/>
        <v>13.113606250031561</v>
      </c>
      <c r="BJ127" s="22">
        <f t="shared" si="272"/>
        <v>11.739250984481306</v>
      </c>
      <c r="BK127" s="22">
        <f t="shared" si="272"/>
        <v>15.061302551988963</v>
      </c>
      <c r="BL127" s="22">
        <f t="shared" si="272"/>
        <v>16.171567420316528</v>
      </c>
      <c r="BM127" s="22">
        <f t="shared" si="272"/>
        <v>2.6917951451843245</v>
      </c>
      <c r="BN127" s="22">
        <f t="shared" si="272"/>
        <v>4.6602532887077306</v>
      </c>
      <c r="BO127" s="22">
        <f t="shared" si="272"/>
        <v>5.3005866145016638</v>
      </c>
      <c r="BP127" s="22">
        <f t="shared" si="272"/>
        <v>2.8675110004724522</v>
      </c>
      <c r="BQ127" s="22">
        <f t="shared" si="272"/>
        <v>4.2630018963694409</v>
      </c>
      <c r="BR127" s="22">
        <f t="shared" si="272"/>
        <v>12.256040706781477</v>
      </c>
    </row>
    <row r="128" spans="1:70">
      <c r="AC128" s="22" t="str">
        <v>BDO-TTE</v>
      </c>
      <c r="AD128" s="22" t="e">
        <v>#REF!</v>
      </c>
      <c r="AE128" s="22" t="e">
        <v>#REF!</v>
      </c>
      <c r="AF128" s="22" t="e">
        <f t="shared" si="271"/>
        <v>#REF!</v>
      </c>
    </row>
    <row r="129" spans="29:70">
      <c r="AC129" s="22" t="str">
        <v>LOP-TIM</v>
      </c>
      <c r="AD129" s="22" t="e">
        <v>#REF!</v>
      </c>
      <c r="AE129" s="22" t="e">
        <v>#REF!</v>
      </c>
      <c r="AF129" s="22" t="e">
        <f t="shared" si="271"/>
        <v>#REF!</v>
      </c>
    </row>
    <row r="130" spans="29:70">
      <c r="AC130" s="22" t="str">
        <v>TIM-AMQ</v>
      </c>
      <c r="AD130" s="22" t="e">
        <v>#REF!</v>
      </c>
      <c r="AE130" s="22" t="e">
        <v>#REF!</v>
      </c>
      <c r="AF130" s="22" t="e">
        <f t="shared" si="271"/>
        <v>#REF!</v>
      </c>
      <c r="AZ130" s="22" t="str" cm="1">
        <f t="array" ref="AZ130:BR139">TRANSPOSE('Station Cost'!X2:AG20)</f>
        <v>Avg Station Cost</v>
      </c>
      <c r="BA130" s="22">
        <v>2023</v>
      </c>
      <c r="BB130" s="22">
        <v>513.7612479999998</v>
      </c>
      <c r="BC130" s="22">
        <v>168.58799999999997</v>
      </c>
      <c r="BD130" s="22">
        <v>88.905347999999975</v>
      </c>
      <c r="BE130" s="22">
        <v>701.66879999999992</v>
      </c>
      <c r="BF130" s="22">
        <v>212.34968999999995</v>
      </c>
      <c r="BG130" s="22">
        <v>128.06640000000002</v>
      </c>
      <c r="BH130" s="22">
        <v>200.04390000000001</v>
      </c>
      <c r="BI130" s="22">
        <v>474.52159999999992</v>
      </c>
      <c r="BJ130" s="22">
        <v>511.50848000000002</v>
      </c>
      <c r="BK130" s="22">
        <v>0</v>
      </c>
      <c r="BL130" s="22">
        <v>0</v>
      </c>
      <c r="BM130" s="22">
        <v>0</v>
      </c>
      <c r="BN130" s="22">
        <v>0</v>
      </c>
      <c r="BO130" s="22">
        <v>0</v>
      </c>
      <c r="BP130" s="22">
        <v>0</v>
      </c>
      <c r="BQ130" s="22">
        <v>0</v>
      </c>
      <c r="BR130" s="22">
        <v>0</v>
      </c>
    </row>
    <row r="131" spans="29:70">
      <c r="AC131" s="22" t="str">
        <v>AMQ-CGK</v>
      </c>
      <c r="AD131" s="22" t="e">
        <v>#REF!</v>
      </c>
      <c r="AE131" s="22" t="e">
        <v>#REF!</v>
      </c>
      <c r="AF131" s="22" t="e">
        <f t="shared" si="271"/>
        <v>#REF!</v>
      </c>
      <c r="AZ131" s="22">
        <v>0</v>
      </c>
      <c r="BA131" s="22">
        <v>2024</v>
      </c>
      <c r="BB131" s="22">
        <v>554.12020607999989</v>
      </c>
      <c r="BC131" s="22">
        <v>187.66496064890271</v>
      </c>
      <c r="BD131" s="22">
        <v>107.03368119127659</v>
      </c>
      <c r="BE131" s="22">
        <v>823.93568093983288</v>
      </c>
      <c r="BF131" s="22">
        <v>245.0642691609072</v>
      </c>
      <c r="BG131" s="22">
        <v>144.586190054902</v>
      </c>
      <c r="BH131" s="22">
        <v>223.38351850402478</v>
      </c>
      <c r="BI131" s="22">
        <v>539.20397204210519</v>
      </c>
      <c r="BJ131" s="22">
        <v>560.2119190047847</v>
      </c>
      <c r="BK131" s="22">
        <v>0</v>
      </c>
      <c r="BL131" s="22">
        <v>0</v>
      </c>
      <c r="BM131" s="22">
        <v>0</v>
      </c>
      <c r="BN131" s="22">
        <v>0</v>
      </c>
      <c r="BO131" s="22">
        <v>0</v>
      </c>
      <c r="BP131" s="22">
        <v>0</v>
      </c>
      <c r="BQ131" s="22">
        <v>0</v>
      </c>
      <c r="BR131" s="22">
        <v>0</v>
      </c>
    </row>
    <row r="132" spans="29:70">
      <c r="AC132" s="22" t="str">
        <v>CGK-LOP</v>
      </c>
      <c r="AD132" s="22" t="e">
        <v>#REF!</v>
      </c>
      <c r="AE132" s="22" t="e">
        <v>#REF!</v>
      </c>
      <c r="AF132" s="22" t="e">
        <f t="shared" si="271"/>
        <v>#REF!</v>
      </c>
      <c r="AZ132" s="22">
        <v>0</v>
      </c>
      <c r="BA132" s="22">
        <v>2025</v>
      </c>
      <c r="BB132" s="22">
        <v>581.71883535359984</v>
      </c>
      <c r="BC132" s="22">
        <v>220.97740043717059</v>
      </c>
      <c r="BD132" s="22">
        <v>115.23305040616218</v>
      </c>
      <c r="BE132" s="22">
        <v>899.6671514120934</v>
      </c>
      <c r="BF132" s="22">
        <v>271.98043106674464</v>
      </c>
      <c r="BG132" s="22">
        <v>162.53569300798898</v>
      </c>
      <c r="BH132" s="22">
        <v>248.69300493759999</v>
      </c>
      <c r="BI132" s="22">
        <v>610.2102194715203</v>
      </c>
      <c r="BJ132" s="22">
        <v>611.4296514782244</v>
      </c>
      <c r="BK132" s="22">
        <v>931.86624043519998</v>
      </c>
      <c r="BL132" s="22">
        <v>946.52249333358657</v>
      </c>
      <c r="BM132" s="22">
        <v>164.88616784724147</v>
      </c>
      <c r="BN132" s="22">
        <v>179.26726351587442</v>
      </c>
      <c r="BO132" s="22">
        <v>0</v>
      </c>
      <c r="BP132" s="22">
        <v>0</v>
      </c>
      <c r="BQ132" s="22">
        <v>0</v>
      </c>
      <c r="BR132" s="22">
        <v>0</v>
      </c>
    </row>
    <row r="133" spans="29:70">
      <c r="AZ133" s="22">
        <v>0</v>
      </c>
      <c r="BA133" s="22">
        <v>2026</v>
      </c>
      <c r="BB133" s="22">
        <v>622.70167488076777</v>
      </c>
      <c r="BC133" s="22">
        <v>257.6018722206303</v>
      </c>
      <c r="BD133" s="22">
        <v>118.87839948066814</v>
      </c>
      <c r="BE133" s="22">
        <v>911.12805980249334</v>
      </c>
      <c r="BF133" s="22">
        <v>272.15999999999997</v>
      </c>
      <c r="BG133" s="22">
        <v>182.01955277462838</v>
      </c>
      <c r="BH133" s="22">
        <v>276.11501806896797</v>
      </c>
      <c r="BI133" s="22">
        <v>688.03676837677301</v>
      </c>
      <c r="BJ133" s="22">
        <v>665.27033736596832</v>
      </c>
      <c r="BK133" s="22">
        <v>980.90550602239966</v>
      </c>
      <c r="BL133" s="22">
        <v>1023.0235387808214</v>
      </c>
      <c r="BM133" s="22">
        <v>184.09930624953253</v>
      </c>
      <c r="BN133" s="22">
        <v>199.05108012441548</v>
      </c>
      <c r="BO133" s="22">
        <v>406.91090129537912</v>
      </c>
      <c r="BP133" s="22">
        <v>168.61667503367983</v>
      </c>
      <c r="BQ133" s="22">
        <v>272.02981889251777</v>
      </c>
      <c r="BR133" s="22">
        <v>192.13055248715187</v>
      </c>
    </row>
    <row r="134" spans="29:70">
      <c r="AZ134" s="22">
        <v>0</v>
      </c>
      <c r="BA134" s="22">
        <v>2027</v>
      </c>
      <c r="BB134" s="22">
        <v>690.23328582426598</v>
      </c>
      <c r="BC134" s="22">
        <v>296.18919650770107</v>
      </c>
      <c r="BD134" s="22">
        <v>121.27210653378708</v>
      </c>
      <c r="BE134" s="22">
        <v>914.03876669529336</v>
      </c>
      <c r="BF134" s="22">
        <v>272.15999999999997</v>
      </c>
      <c r="BG134" s="22">
        <v>203.14940820738997</v>
      </c>
      <c r="BH134" s="22">
        <v>305.8016958387222</v>
      </c>
      <c r="BI134" s="22">
        <v>773.21455078861675</v>
      </c>
      <c r="BJ134" s="22">
        <v>705.73777391009219</v>
      </c>
      <c r="BK134" s="22">
        <v>1029.3438002175997</v>
      </c>
      <c r="BL134" s="22">
        <v>1102.1103487558548</v>
      </c>
      <c r="BM134" s="22">
        <v>204.92600132084121</v>
      </c>
      <c r="BN134" s="22">
        <v>219.64066298789169</v>
      </c>
      <c r="BO134" s="22">
        <v>440.58159893693653</v>
      </c>
      <c r="BP134" s="22">
        <v>201.92107140194361</v>
      </c>
      <c r="BQ134" s="22">
        <v>328.62589015526834</v>
      </c>
      <c r="BR134" s="22">
        <v>204.85462202368066</v>
      </c>
    </row>
    <row r="135" spans="29:70">
      <c r="AZ135" s="22">
        <v>0</v>
      </c>
      <c r="BA135" s="22">
        <v>2028</v>
      </c>
      <c r="BB135" s="22">
        <v>767.76426459314519</v>
      </c>
      <c r="BC135" s="22">
        <v>302.39999999999998</v>
      </c>
      <c r="BD135" s="22">
        <v>123.85892009245705</v>
      </c>
      <c r="BE135" s="22">
        <v>921.31553392729336</v>
      </c>
      <c r="BF135" s="22">
        <v>272.15999999999997</v>
      </c>
      <c r="BG135" s="22">
        <v>208.85755555078902</v>
      </c>
      <c r="BH135" s="22">
        <v>321.65712877029131</v>
      </c>
      <c r="BI135" s="22">
        <v>796.51862995695717</v>
      </c>
      <c r="BJ135" s="22">
        <v>705.73777391009219</v>
      </c>
      <c r="BK135" s="22">
        <v>1077.4215115775999</v>
      </c>
      <c r="BL135" s="22">
        <v>1163.3234506954627</v>
      </c>
      <c r="BM135" s="22">
        <v>210.71300929816144</v>
      </c>
      <c r="BN135" s="22">
        <v>227.28889781190099</v>
      </c>
      <c r="BO135" s="22">
        <v>463.95701910050559</v>
      </c>
      <c r="BP135" s="22">
        <v>226.00057441917454</v>
      </c>
      <c r="BQ135" s="22">
        <v>366.82905289331501</v>
      </c>
      <c r="BR135" s="22">
        <v>215.60877126400243</v>
      </c>
    </row>
    <row r="136" spans="29:70">
      <c r="AZ136" s="22">
        <v>0</v>
      </c>
      <c r="BA136" s="22">
        <v>2029</v>
      </c>
      <c r="BB136" s="22">
        <v>813.2910829395131</v>
      </c>
      <c r="BC136" s="22">
        <v>302.39999999999998</v>
      </c>
      <c r="BD136" s="22">
        <v>126.38197869881552</v>
      </c>
      <c r="BE136" s="22">
        <v>909.30631720870758</v>
      </c>
      <c r="BF136" s="22">
        <v>272.15999999999997</v>
      </c>
      <c r="BG136" s="22">
        <v>212.45781633005328</v>
      </c>
      <c r="BH136" s="22">
        <v>335.80414054447897</v>
      </c>
      <c r="BI136" s="22">
        <v>816.63225073945955</v>
      </c>
      <c r="BJ136" s="22">
        <v>705.73777391009219</v>
      </c>
      <c r="BK136" s="22">
        <v>1086.4613281015168</v>
      </c>
      <c r="BL136" s="22">
        <v>1192.2979238115304</v>
      </c>
      <c r="BM136" s="22">
        <v>214.22898937464672</v>
      </c>
      <c r="BN136" s="22">
        <v>231.06453631535024</v>
      </c>
      <c r="BO136" s="22">
        <v>471.60697971240324</v>
      </c>
      <c r="BP136" s="22">
        <v>243.88162200626044</v>
      </c>
      <c r="BQ136" s="22">
        <v>395.1003245062625</v>
      </c>
      <c r="BR136" s="22">
        <v>223.71527394424436</v>
      </c>
    </row>
    <row r="137" spans="29:70">
      <c r="AZ137" s="22">
        <v>0</v>
      </c>
      <c r="BA137" s="22">
        <v>2030</v>
      </c>
      <c r="BB137" s="22">
        <v>813.2910829395131</v>
      </c>
      <c r="BC137" s="22">
        <v>302.39999999999998</v>
      </c>
      <c r="BD137" s="22">
        <v>128.78514704834484</v>
      </c>
      <c r="BE137" s="22">
        <v>911.3983877879075</v>
      </c>
      <c r="BF137" s="22">
        <v>272.15999999999997</v>
      </c>
      <c r="BG137" s="22">
        <v>217.80158630241564</v>
      </c>
      <c r="BH137" s="22">
        <v>353.64532447466564</v>
      </c>
      <c r="BI137" s="22">
        <v>847.93593950111278</v>
      </c>
      <c r="BJ137" s="22">
        <v>705.11337391009226</v>
      </c>
      <c r="BK137" s="22">
        <v>1105.6479552988674</v>
      </c>
      <c r="BL137" s="22">
        <v>1209.5999999999999</v>
      </c>
      <c r="BM137" s="22">
        <v>219.8028397564066</v>
      </c>
      <c r="BN137" s="22">
        <v>238.3267895031145</v>
      </c>
      <c r="BO137" s="22">
        <v>483.69297522303242</v>
      </c>
      <c r="BP137" s="22">
        <v>250.1219575845096</v>
      </c>
      <c r="BQ137" s="22">
        <v>406.53274356489436</v>
      </c>
      <c r="BR137" s="22">
        <v>230.55714794223238</v>
      </c>
    </row>
    <row r="138" spans="29:70">
      <c r="AZ138" s="22">
        <v>0</v>
      </c>
      <c r="BA138" s="22">
        <v>2031</v>
      </c>
      <c r="BB138" s="22">
        <v>810.0131520185746</v>
      </c>
      <c r="BC138" s="22">
        <v>302.39999999999998</v>
      </c>
      <c r="BD138" s="22">
        <v>130.95093251509536</v>
      </c>
      <c r="BE138" s="22">
        <v>923.40760450649339</v>
      </c>
      <c r="BF138" s="22">
        <v>272.15999999999997</v>
      </c>
      <c r="BG138" s="22">
        <v>223.68875771245453</v>
      </c>
      <c r="BH138" s="22">
        <v>364.52966990784506</v>
      </c>
      <c r="BI138" s="22">
        <v>886.48521754232058</v>
      </c>
      <c r="BJ138" s="22">
        <v>702.74065391009219</v>
      </c>
      <c r="BK138" s="22">
        <v>1111.8475664878335</v>
      </c>
      <c r="BL138" s="22">
        <v>1209.5999999999999</v>
      </c>
      <c r="BM138" s="22">
        <v>227.13072511055603</v>
      </c>
      <c r="BN138" s="22">
        <v>247.54563856683328</v>
      </c>
      <c r="BO138" s="22">
        <v>498.06456866164342</v>
      </c>
      <c r="BP138" s="22">
        <v>257.21141825936888</v>
      </c>
      <c r="BQ138" s="22">
        <v>427.38143922575972</v>
      </c>
      <c r="BR138" s="22">
        <v>238.12594808381763</v>
      </c>
    </row>
    <row r="139" spans="29:70">
      <c r="AZ139" s="22">
        <v>0</v>
      </c>
      <c r="BA139" s="22">
        <v>2032</v>
      </c>
      <c r="BB139" s="22">
        <v>805.64257745732323</v>
      </c>
      <c r="BC139" s="22">
        <v>302.39999999999998</v>
      </c>
      <c r="BD139" s="22">
        <v>132.92847327826357</v>
      </c>
      <c r="BE139" s="22">
        <v>920.1330592520934</v>
      </c>
      <c r="BF139" s="22">
        <v>272.15999999999997</v>
      </c>
      <c r="BG139" s="22">
        <v>227.05827354373884</v>
      </c>
      <c r="BH139" s="22">
        <v>371.22252037408037</v>
      </c>
      <c r="BI139" s="22">
        <v>910.86035159880714</v>
      </c>
      <c r="BJ139" s="22">
        <v>700.49281391009208</v>
      </c>
      <c r="BK139" s="22">
        <v>1110.8355209727995</v>
      </c>
      <c r="BL139" s="22">
        <v>1209.5999999999999</v>
      </c>
      <c r="BM139" s="22">
        <v>232.35877047615782</v>
      </c>
      <c r="BN139" s="22">
        <v>252.012647327096</v>
      </c>
      <c r="BO139" s="22">
        <v>500.3473116031243</v>
      </c>
      <c r="BP139" s="22">
        <v>258.05284155963625</v>
      </c>
      <c r="BQ139" s="22">
        <v>429.50989892555748</v>
      </c>
      <c r="BR139" s="22">
        <v>239.26881330933634</v>
      </c>
    </row>
    <row r="140" spans="29:70">
      <c r="AZ140" s="22" t="s">
        <v>588</v>
      </c>
      <c r="BB140" s="22">
        <f>AVERAGE(BB130:BB139)</f>
        <v>697.25374100867032</v>
      </c>
      <c r="BC140" s="22">
        <f t="shared" ref="BC140" si="273">AVERAGE(BC130:BC139)</f>
        <v>264.30214298144051</v>
      </c>
      <c r="BD140" s="22">
        <f t="shared" ref="BD140" si="274">AVERAGE(BD130:BD139)</f>
        <v>119.42280372448701</v>
      </c>
      <c r="BE140" s="22">
        <f t="shared" ref="BE140" si="275">AVERAGE(BE130:BE139)</f>
        <v>883.59993615322071</v>
      </c>
      <c r="BF140" s="22">
        <f t="shared" ref="BF140" si="276">AVERAGE(BF130:BF139)</f>
        <v>263.4514390227651</v>
      </c>
      <c r="BG140" s="22">
        <f t="shared" ref="BG140" si="277">AVERAGE(BG130:BG139)</f>
        <v>191.02212334843608</v>
      </c>
      <c r="BH140" s="22">
        <f t="shared" ref="BH140" si="278">AVERAGE(BH130:BH139)</f>
        <v>300.0895921420676</v>
      </c>
      <c r="BI140" s="22">
        <f t="shared" ref="BI140" si="279">AVERAGE(BI130:BI139)</f>
        <v>734.36195000176713</v>
      </c>
      <c r="BJ140" s="22">
        <f t="shared" ref="BJ140" si="280">AVERAGE(BJ130:BJ139)</f>
        <v>657.39805513095303</v>
      </c>
      <c r="BK140" s="22">
        <f t="shared" ref="BK140" si="281">AVERAGE(BK130:BK139)</f>
        <v>843.4329429113817</v>
      </c>
      <c r="BL140" s="22">
        <f t="shared" ref="BL140" si="282">AVERAGE(BL130:BL139)</f>
        <v>905.60777553772573</v>
      </c>
      <c r="BM140" s="22">
        <f t="shared" ref="BM140" si="283">AVERAGE(BM130:BM139)</f>
        <v>165.8145809433544</v>
      </c>
      <c r="BN140" s="22">
        <f t="shared" ref="BN140" si="284">AVERAGE(BN130:BN139)</f>
        <v>179.41975161524766</v>
      </c>
      <c r="BO140" s="22">
        <f t="shared" ref="BO140" si="285">AVERAGE(BO130:BO139)</f>
        <v>326.51613545330247</v>
      </c>
      <c r="BP140" s="22">
        <f t="shared" ref="BP140" si="286">AVERAGE(BP130:BP139)</f>
        <v>160.58061602645731</v>
      </c>
      <c r="BQ140" s="22">
        <f t="shared" ref="BQ140" si="287">AVERAGE(BQ130:BQ139)</f>
        <v>262.60091681635754</v>
      </c>
      <c r="BR140" s="22">
        <f t="shared" ref="BR140" si="288">AVERAGE(BR130:BR139)</f>
        <v>154.42611290544656</v>
      </c>
    </row>
    <row r="154" spans="52:62" ht="14.45">
      <c r="AZ154" t="s">
        <v>489</v>
      </c>
      <c r="BA154">
        <v>357</v>
      </c>
      <c r="BB154">
        <v>360</v>
      </c>
      <c r="BC154">
        <v>357</v>
      </c>
      <c r="BD154">
        <v>357</v>
      </c>
      <c r="BE154">
        <v>357</v>
      </c>
      <c r="BF154">
        <v>357</v>
      </c>
      <c r="BG154">
        <v>336</v>
      </c>
      <c r="BH154">
        <v>357</v>
      </c>
      <c r="BI154">
        <v>357</v>
      </c>
      <c r="BJ154">
        <v>357</v>
      </c>
    </row>
    <row r="155" spans="52:62" ht="14.45">
      <c r="AZ155" t="s">
        <v>490</v>
      </c>
      <c r="BA155">
        <v>355</v>
      </c>
      <c r="BB155">
        <v>355</v>
      </c>
      <c r="BC155">
        <v>352</v>
      </c>
      <c r="BD155">
        <v>355</v>
      </c>
      <c r="BE155">
        <v>334</v>
      </c>
      <c r="BF155">
        <v>355</v>
      </c>
      <c r="BG155">
        <v>352</v>
      </c>
      <c r="BH155">
        <v>355</v>
      </c>
      <c r="BI155">
        <v>355</v>
      </c>
      <c r="BJ155">
        <v>352</v>
      </c>
    </row>
    <row r="156" spans="52:62" ht="14.45">
      <c r="AZ156" t="s">
        <v>491</v>
      </c>
      <c r="BA156" t="s">
        <v>116</v>
      </c>
      <c r="BB156" t="s">
        <v>116</v>
      </c>
      <c r="BC156">
        <v>357</v>
      </c>
      <c r="BD156">
        <v>357</v>
      </c>
      <c r="BE156">
        <v>357</v>
      </c>
      <c r="BF156">
        <v>357</v>
      </c>
      <c r="BG156">
        <v>333</v>
      </c>
      <c r="BH156">
        <v>357</v>
      </c>
      <c r="BI156">
        <v>357</v>
      </c>
      <c r="BJ156">
        <v>357</v>
      </c>
    </row>
    <row r="157" spans="52:62" ht="14.45">
      <c r="AZ157" t="s">
        <v>492</v>
      </c>
      <c r="BA157" t="s">
        <v>116</v>
      </c>
      <c r="BB157" t="s">
        <v>116</v>
      </c>
      <c r="BC157" t="s">
        <v>116</v>
      </c>
      <c r="BD157">
        <v>356</v>
      </c>
      <c r="BE157">
        <v>356</v>
      </c>
      <c r="BF157">
        <v>353</v>
      </c>
      <c r="BG157">
        <v>356</v>
      </c>
      <c r="BH157">
        <v>335</v>
      </c>
      <c r="BI157">
        <v>353</v>
      </c>
      <c r="BJ157">
        <v>356</v>
      </c>
    </row>
  </sheetData>
  <autoFilter ref="AT48:AV55" xr:uid="{99B2A3DF-6063-470D-BF83-926695132175}">
    <sortState xmlns:xlrd2="http://schemas.microsoft.com/office/spreadsheetml/2017/richdata2" ref="AT49:AV55">
      <sortCondition descending="1" ref="AT48:AT55"/>
    </sortState>
  </autoFilter>
  <mergeCells count="83">
    <mergeCell ref="BY19:CP19"/>
    <mergeCell ref="BY29:CP29"/>
    <mergeCell ref="AM13:AP13"/>
    <mergeCell ref="AQ13:AT13"/>
    <mergeCell ref="AD14:AT14"/>
    <mergeCell ref="BF102:BI102"/>
    <mergeCell ref="BJ102:BN102"/>
    <mergeCell ref="BO102:BT102"/>
    <mergeCell ref="BY79:CS81"/>
    <mergeCell ref="BY83:CS83"/>
    <mergeCell ref="BZ86:CS86"/>
    <mergeCell ref="BZ91:CS91"/>
    <mergeCell ref="BZ95:CS95"/>
    <mergeCell ref="BZ102:CD102"/>
    <mergeCell ref="CE102:CH102"/>
    <mergeCell ref="CI102:CM102"/>
    <mergeCell ref="CN102:CS102"/>
    <mergeCell ref="AZ79:BT81"/>
    <mergeCell ref="AZ83:BT83"/>
    <mergeCell ref="BA86:BT86"/>
    <mergeCell ref="BA91:BT91"/>
    <mergeCell ref="AD102:AH102"/>
    <mergeCell ref="AI102:AL102"/>
    <mergeCell ref="AM102:AQ102"/>
    <mergeCell ref="AR102:AW102"/>
    <mergeCell ref="BA102:BE102"/>
    <mergeCell ref="BA95:BT95"/>
    <mergeCell ref="AC79:AW81"/>
    <mergeCell ref="AC83:AW83"/>
    <mergeCell ref="AD86:AW86"/>
    <mergeCell ref="AD91:AW91"/>
    <mergeCell ref="AD95:AW95"/>
    <mergeCell ref="K1:S3"/>
    <mergeCell ref="AC2:AD2"/>
    <mergeCell ref="J5:Y7"/>
    <mergeCell ref="AC5:AT7"/>
    <mergeCell ref="AZ5:BQ7"/>
    <mergeCell ref="CX5:DO7"/>
    <mergeCell ref="N14:O14"/>
    <mergeCell ref="CC14:CD14"/>
    <mergeCell ref="DB14:DC14"/>
    <mergeCell ref="BY5:CP7"/>
    <mergeCell ref="BA13:BE13"/>
    <mergeCell ref="BF13:BI13"/>
    <mergeCell ref="BJ13:BM13"/>
    <mergeCell ref="BN13:BQ13"/>
    <mergeCell ref="BA14:BQ14"/>
    <mergeCell ref="AD13:AH13"/>
    <mergeCell ref="AI13:AL13"/>
    <mergeCell ref="AM12:AP12"/>
    <mergeCell ref="AQ12:AT12"/>
    <mergeCell ref="CI12:CL12"/>
    <mergeCell ref="CM12:CP12"/>
    <mergeCell ref="CX29:DO29"/>
    <mergeCell ref="CX37:DO37"/>
    <mergeCell ref="CX42:DO42"/>
    <mergeCell ref="AD12:AH12"/>
    <mergeCell ref="AI12:AL12"/>
    <mergeCell ref="CE12:CH12"/>
    <mergeCell ref="CY12:DC12"/>
    <mergeCell ref="DD12:DG12"/>
    <mergeCell ref="DH12:DK12"/>
    <mergeCell ref="DL12:DO12"/>
    <mergeCell ref="CX19:DO19"/>
    <mergeCell ref="BZ12:CD12"/>
    <mergeCell ref="BY37:CP37"/>
    <mergeCell ref="BY42:CP42"/>
    <mergeCell ref="BJ12:BM12"/>
    <mergeCell ref="BN12:BQ12"/>
    <mergeCell ref="A115:I115"/>
    <mergeCell ref="B22:F22"/>
    <mergeCell ref="J38:Y38"/>
    <mergeCell ref="A60:B60"/>
    <mergeCell ref="D61:D84"/>
    <mergeCell ref="V93:W93"/>
    <mergeCell ref="J42:Y42"/>
    <mergeCell ref="BE48:BH48"/>
    <mergeCell ref="B20:F20"/>
    <mergeCell ref="J29:Y29"/>
    <mergeCell ref="BA12:BE12"/>
    <mergeCell ref="BF12:BI12"/>
    <mergeCell ref="B19:F19"/>
    <mergeCell ref="J19:Y19"/>
  </mergeCells>
  <phoneticPr fontId="8" type="noConversion"/>
  <conditionalFormatting sqref="AF121:AF132">
    <cfRule type="cellIs" dxfId="21" priority="1" operator="lessThan">
      <formula>0</formula>
    </cfRule>
  </conditionalFormatting>
  <hyperlinks>
    <hyperlink ref="D58" r:id="rId1" xr:uid="{3B3B43C1-9E5C-4A5B-BBD1-BF9D5B49BCA6}"/>
  </hyperlink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2C250-2C1E-49B0-93BE-D69FA1A07CE8}">
  <dimension ref="B1:FN81"/>
  <sheetViews>
    <sheetView topLeftCell="A14" zoomScale="68" zoomScaleNormal="55" workbookViewId="0">
      <selection activeCell="AN43" sqref="AN43:AN52"/>
    </sheetView>
  </sheetViews>
  <sheetFormatPr defaultRowHeight="14.45"/>
  <cols>
    <col min="2" max="2" width="56" bestFit="1" customWidth="1"/>
    <col min="3" max="3" width="27.28515625" bestFit="1" customWidth="1"/>
    <col min="4" max="4" width="14" bestFit="1" customWidth="1"/>
    <col min="5" max="5" width="12.28515625" bestFit="1" customWidth="1"/>
    <col min="6" max="6" width="13.7109375" bestFit="1" customWidth="1"/>
    <col min="7" max="8" width="14" bestFit="1" customWidth="1"/>
    <col min="9" max="10" width="13.7109375" bestFit="1" customWidth="1"/>
    <col min="11" max="11" width="14" bestFit="1" customWidth="1"/>
    <col min="12" max="12" width="13.7109375" bestFit="1" customWidth="1"/>
    <col min="13" max="13" width="39.7109375" bestFit="1" customWidth="1"/>
    <col min="14" max="14" width="14" bestFit="1" customWidth="1"/>
    <col min="24" max="24" width="39.7109375" bestFit="1" customWidth="1"/>
    <col min="25" max="25" width="14.85546875" bestFit="1" customWidth="1"/>
    <col min="39" max="39" width="39.7109375" bestFit="1" customWidth="1"/>
    <col min="40" max="40" width="14.85546875" bestFit="1" customWidth="1"/>
    <col min="58" max="58" width="39.7109375" bestFit="1" customWidth="1"/>
    <col min="59" max="59" width="14.85546875" bestFit="1" customWidth="1"/>
    <col min="77" max="77" width="39.7109375" bestFit="1" customWidth="1"/>
    <col min="78" max="78" width="14.28515625" bestFit="1" customWidth="1"/>
    <col min="96" max="96" width="39.7109375" bestFit="1" customWidth="1"/>
    <col min="97" max="97" width="14.28515625" bestFit="1" customWidth="1"/>
    <col min="115" max="115" width="39.7109375" bestFit="1" customWidth="1"/>
    <col min="116" max="116" width="14.85546875" bestFit="1" customWidth="1"/>
    <col min="134" max="134" width="39.7109375" bestFit="1" customWidth="1"/>
    <col min="135" max="135" width="14.28515625" bestFit="1" customWidth="1"/>
    <col min="153" max="153" width="39.7109375" bestFit="1" customWidth="1"/>
    <col min="154" max="154" width="14.85546875" bestFit="1" customWidth="1"/>
  </cols>
  <sheetData>
    <row r="1" spans="2:170" ht="15" thickBot="1"/>
    <row r="2" spans="2:170" ht="15" thickBot="1">
      <c r="B2" s="1520">
        <v>2023</v>
      </c>
      <c r="C2" s="1521"/>
      <c r="D2" s="1521"/>
      <c r="E2" s="1521"/>
      <c r="F2" s="1521"/>
      <c r="G2" s="1521"/>
      <c r="H2" s="1521"/>
      <c r="I2" s="1521"/>
      <c r="J2" s="1521"/>
      <c r="K2" s="1522"/>
      <c r="M2" s="1523">
        <v>2024</v>
      </c>
      <c r="N2" s="1524"/>
      <c r="O2" s="1524"/>
      <c r="P2" s="1524"/>
      <c r="Q2" s="1524"/>
      <c r="R2" s="1524"/>
      <c r="S2" s="1524"/>
      <c r="T2" s="1524"/>
      <c r="U2" s="1524"/>
      <c r="V2" s="1525"/>
      <c r="X2" s="1532">
        <v>2025</v>
      </c>
      <c r="Y2" s="1533"/>
      <c r="Z2" s="1533"/>
      <c r="AA2" s="1533"/>
      <c r="AB2" s="1533"/>
      <c r="AC2" s="1533"/>
      <c r="AD2" s="1533"/>
      <c r="AE2" s="1533"/>
      <c r="AF2" s="1533"/>
      <c r="AG2" s="1533"/>
      <c r="AH2" s="1533"/>
      <c r="AI2" s="1533"/>
      <c r="AJ2" s="1533"/>
      <c r="AK2" s="1534"/>
      <c r="AM2" s="1535">
        <v>2026</v>
      </c>
      <c r="AN2" s="1536"/>
      <c r="AO2" s="1536"/>
      <c r="AP2" s="1536"/>
      <c r="AQ2" s="1536"/>
      <c r="AR2" s="1536"/>
      <c r="AS2" s="1536"/>
      <c r="AT2" s="1536"/>
      <c r="AU2" s="1536"/>
      <c r="AV2" s="1536"/>
      <c r="AW2" s="1536"/>
      <c r="AX2" s="1536"/>
      <c r="AY2" s="1536"/>
      <c r="AZ2" s="1536"/>
      <c r="BA2" s="1536"/>
      <c r="BB2" s="1536"/>
      <c r="BC2" s="1536"/>
      <c r="BD2" s="1536"/>
      <c r="BE2" s="58"/>
      <c r="BF2" s="1537">
        <v>2027</v>
      </c>
      <c r="BG2" s="1537"/>
      <c r="BH2" s="1537"/>
      <c r="BI2" s="1537"/>
      <c r="BJ2" s="1537"/>
      <c r="BK2" s="1537"/>
      <c r="BL2" s="1537"/>
      <c r="BM2" s="1537"/>
      <c r="BN2" s="1537"/>
      <c r="BO2" s="1537"/>
      <c r="BP2" s="1537"/>
      <c r="BQ2" s="1537"/>
      <c r="BR2" s="1537"/>
      <c r="BS2" s="1537"/>
      <c r="BT2" s="1537"/>
      <c r="BU2" s="1537"/>
      <c r="BV2" s="1537"/>
      <c r="BW2" s="1537"/>
      <c r="BX2" s="58"/>
      <c r="BY2" s="1538">
        <v>2028</v>
      </c>
      <c r="BZ2" s="1538"/>
      <c r="CA2" s="1538"/>
      <c r="CB2" s="1538"/>
      <c r="CC2" s="1538"/>
      <c r="CD2" s="1538"/>
      <c r="CE2" s="1538"/>
      <c r="CF2" s="1538"/>
      <c r="CG2" s="1538"/>
      <c r="CH2" s="1538"/>
      <c r="CI2" s="1538"/>
      <c r="CJ2" s="1538"/>
      <c r="CK2" s="1538"/>
      <c r="CL2" s="1538"/>
      <c r="CM2" s="1538"/>
      <c r="CN2" s="1538"/>
      <c r="CO2" s="1538"/>
      <c r="CP2" s="1539"/>
      <c r="CQ2" s="336"/>
      <c r="CR2" s="1540">
        <v>2029</v>
      </c>
      <c r="CS2" s="1541"/>
      <c r="CT2" s="1541"/>
      <c r="CU2" s="1541"/>
      <c r="CV2" s="1541"/>
      <c r="CW2" s="1541"/>
      <c r="CX2" s="1541"/>
      <c r="CY2" s="1541"/>
      <c r="CZ2" s="1541"/>
      <c r="DA2" s="1541"/>
      <c r="DB2" s="1541"/>
      <c r="DC2" s="1541"/>
      <c r="DD2" s="1541"/>
      <c r="DE2" s="1541"/>
      <c r="DF2" s="1541"/>
      <c r="DG2" s="1541"/>
      <c r="DH2" s="1541"/>
      <c r="DI2" s="1541"/>
      <c r="DJ2" s="58"/>
      <c r="DK2" s="1533">
        <v>2030</v>
      </c>
      <c r="DL2" s="1533"/>
      <c r="DM2" s="1533"/>
      <c r="DN2" s="1533"/>
      <c r="DO2" s="1533"/>
      <c r="DP2" s="1533"/>
      <c r="DQ2" s="1533"/>
      <c r="DR2" s="1533"/>
      <c r="DS2" s="1533"/>
      <c r="DT2" s="1533"/>
      <c r="DU2" s="1533"/>
      <c r="DV2" s="1533"/>
      <c r="DW2" s="1533"/>
      <c r="DX2" s="1533"/>
      <c r="DY2" s="1533"/>
      <c r="DZ2" s="1533"/>
      <c r="EA2" s="1533"/>
      <c r="EB2" s="1534"/>
      <c r="EC2" s="336"/>
      <c r="ED2" s="1526">
        <v>2031</v>
      </c>
      <c r="EE2" s="1527"/>
      <c r="EF2" s="1527"/>
      <c r="EG2" s="1527"/>
      <c r="EH2" s="1527"/>
      <c r="EI2" s="1527"/>
      <c r="EJ2" s="1527"/>
      <c r="EK2" s="1527"/>
      <c r="EL2" s="1527"/>
      <c r="EM2" s="1527"/>
      <c r="EN2" s="1527"/>
      <c r="EO2" s="1527"/>
      <c r="EP2" s="1527"/>
      <c r="EQ2" s="1527"/>
      <c r="ER2" s="1527"/>
      <c r="ES2" s="1527"/>
      <c r="ET2" s="1527"/>
      <c r="EU2" s="1528"/>
      <c r="EV2" s="336"/>
      <c r="EW2" s="1529">
        <v>2032</v>
      </c>
      <c r="EX2" s="1530"/>
      <c r="EY2" s="1530"/>
      <c r="EZ2" s="1530"/>
      <c r="FA2" s="1530"/>
      <c r="FB2" s="1530"/>
      <c r="FC2" s="1530"/>
      <c r="FD2" s="1530"/>
      <c r="FE2" s="1530"/>
      <c r="FF2" s="1530"/>
      <c r="FG2" s="1530"/>
      <c r="FH2" s="1530"/>
      <c r="FI2" s="1530"/>
      <c r="FJ2" s="1530"/>
      <c r="FK2" s="1530"/>
      <c r="FL2" s="1530"/>
      <c r="FM2" s="1530"/>
      <c r="FN2" s="1531"/>
    </row>
    <row r="3" spans="2:170">
      <c r="B3" s="128" t="s">
        <v>247</v>
      </c>
      <c r="C3" s="128" t="s">
        <v>209</v>
      </c>
      <c r="D3" s="128" t="s">
        <v>210</v>
      </c>
      <c r="E3" s="128" t="s">
        <v>211</v>
      </c>
      <c r="F3" s="128" t="s">
        <v>212</v>
      </c>
      <c r="G3" s="128" t="s">
        <v>213</v>
      </c>
      <c r="H3" s="128" t="s">
        <v>214</v>
      </c>
      <c r="I3" s="128" t="s">
        <v>215</v>
      </c>
      <c r="J3" s="128" t="s">
        <v>216</v>
      </c>
      <c r="K3" s="128" t="s">
        <v>217</v>
      </c>
      <c r="L3" s="128"/>
      <c r="M3" s="128" t="s">
        <v>247</v>
      </c>
      <c r="N3" s="128" t="s">
        <v>209</v>
      </c>
      <c r="O3" s="128" t="s">
        <v>210</v>
      </c>
      <c r="P3" s="128" t="s">
        <v>211</v>
      </c>
      <c r="Q3" s="128" t="s">
        <v>212</v>
      </c>
      <c r="R3" s="128" t="s">
        <v>213</v>
      </c>
      <c r="S3" s="128" t="s">
        <v>214</v>
      </c>
      <c r="T3" s="128" t="s">
        <v>215</v>
      </c>
      <c r="U3" s="128" t="s">
        <v>216</v>
      </c>
      <c r="V3" s="128" t="s">
        <v>217</v>
      </c>
      <c r="W3" s="128"/>
      <c r="X3" s="128" t="s">
        <v>247</v>
      </c>
      <c r="Y3" s="128" t="s">
        <v>209</v>
      </c>
      <c r="Z3" s="128" t="s">
        <v>210</v>
      </c>
      <c r="AA3" s="128" t="s">
        <v>211</v>
      </c>
      <c r="AB3" s="128" t="s">
        <v>212</v>
      </c>
      <c r="AC3" s="128" t="s">
        <v>213</v>
      </c>
      <c r="AD3" s="128" t="s">
        <v>214</v>
      </c>
      <c r="AE3" s="128" t="s">
        <v>215</v>
      </c>
      <c r="AF3" s="128" t="s">
        <v>216</v>
      </c>
      <c r="AG3" s="128" t="s">
        <v>217</v>
      </c>
      <c r="AH3" s="128" t="s">
        <v>218</v>
      </c>
      <c r="AI3" s="128" t="s">
        <v>219</v>
      </c>
      <c r="AJ3" s="128" t="s">
        <v>220</v>
      </c>
      <c r="AK3" s="128" t="s">
        <v>221</v>
      </c>
      <c r="AL3" s="128"/>
      <c r="AM3" s="128" t="s">
        <v>247</v>
      </c>
      <c r="AN3" s="128" t="s">
        <v>209</v>
      </c>
      <c r="AO3" s="128" t="s">
        <v>210</v>
      </c>
      <c r="AP3" s="128" t="s">
        <v>211</v>
      </c>
      <c r="AQ3" s="128" t="s">
        <v>212</v>
      </c>
      <c r="AR3" s="128" t="s">
        <v>213</v>
      </c>
      <c r="AS3" s="128" t="s">
        <v>214</v>
      </c>
      <c r="AT3" s="128" t="s">
        <v>215</v>
      </c>
      <c r="AU3" s="128" t="s">
        <v>216</v>
      </c>
      <c r="AV3" s="128" t="s">
        <v>217</v>
      </c>
      <c r="AW3" s="128" t="s">
        <v>218</v>
      </c>
      <c r="AX3" s="128" t="s">
        <v>219</v>
      </c>
      <c r="AY3" s="128" t="s">
        <v>220</v>
      </c>
      <c r="AZ3" s="128" t="s">
        <v>221</v>
      </c>
      <c r="BA3" s="128" t="s">
        <v>222</v>
      </c>
      <c r="BB3" s="128" t="s">
        <v>223</v>
      </c>
      <c r="BC3" s="128" t="s">
        <v>224</v>
      </c>
      <c r="BD3" s="128" t="s">
        <v>225</v>
      </c>
      <c r="BE3" s="128"/>
      <c r="BF3" s="128" t="s">
        <v>247</v>
      </c>
      <c r="BG3" s="128" t="s">
        <v>209</v>
      </c>
      <c r="BH3" s="128" t="s">
        <v>210</v>
      </c>
      <c r="BI3" s="128" t="s">
        <v>211</v>
      </c>
      <c r="BJ3" s="128" t="s">
        <v>212</v>
      </c>
      <c r="BK3" s="128" t="s">
        <v>213</v>
      </c>
      <c r="BL3" s="128" t="s">
        <v>214</v>
      </c>
      <c r="BM3" s="128" t="s">
        <v>215</v>
      </c>
      <c r="BN3" s="128" t="s">
        <v>216</v>
      </c>
      <c r="BO3" s="128" t="s">
        <v>217</v>
      </c>
      <c r="BP3" s="128" t="s">
        <v>218</v>
      </c>
      <c r="BQ3" s="128" t="s">
        <v>219</v>
      </c>
      <c r="BR3" s="128" t="s">
        <v>220</v>
      </c>
      <c r="BS3" s="128" t="s">
        <v>221</v>
      </c>
      <c r="BT3" s="128" t="s">
        <v>222</v>
      </c>
      <c r="BU3" s="128" t="s">
        <v>223</v>
      </c>
      <c r="BV3" s="128" t="s">
        <v>224</v>
      </c>
      <c r="BW3" s="128" t="s">
        <v>225</v>
      </c>
      <c r="BX3" s="128"/>
      <c r="BY3" s="128" t="s">
        <v>247</v>
      </c>
      <c r="BZ3" s="128" t="s">
        <v>209</v>
      </c>
      <c r="CA3" s="128" t="s">
        <v>210</v>
      </c>
      <c r="CB3" s="128" t="s">
        <v>211</v>
      </c>
      <c r="CC3" s="128" t="s">
        <v>212</v>
      </c>
      <c r="CD3" s="128" t="s">
        <v>213</v>
      </c>
      <c r="CE3" s="128" t="s">
        <v>214</v>
      </c>
      <c r="CF3" s="128" t="s">
        <v>215</v>
      </c>
      <c r="CG3" s="128" t="s">
        <v>216</v>
      </c>
      <c r="CH3" s="128" t="s">
        <v>217</v>
      </c>
      <c r="CI3" s="128" t="s">
        <v>218</v>
      </c>
      <c r="CJ3" s="128" t="s">
        <v>219</v>
      </c>
      <c r="CK3" s="128" t="s">
        <v>220</v>
      </c>
      <c r="CL3" s="128" t="s">
        <v>221</v>
      </c>
      <c r="CM3" s="128" t="s">
        <v>222</v>
      </c>
      <c r="CN3" s="128" t="s">
        <v>223</v>
      </c>
      <c r="CO3" s="128" t="s">
        <v>224</v>
      </c>
      <c r="CP3" s="128" t="s">
        <v>225</v>
      </c>
      <c r="CQ3" s="128"/>
      <c r="CR3" s="128" t="s">
        <v>247</v>
      </c>
      <c r="CS3" s="128" t="s">
        <v>209</v>
      </c>
      <c r="CT3" s="128" t="s">
        <v>210</v>
      </c>
      <c r="CU3" s="128" t="s">
        <v>211</v>
      </c>
      <c r="CV3" s="128" t="s">
        <v>212</v>
      </c>
      <c r="CW3" s="128" t="s">
        <v>213</v>
      </c>
      <c r="CX3" s="128" t="s">
        <v>214</v>
      </c>
      <c r="CY3" s="128" t="s">
        <v>215</v>
      </c>
      <c r="CZ3" s="128" t="s">
        <v>216</v>
      </c>
      <c r="DA3" s="128" t="s">
        <v>217</v>
      </c>
      <c r="DB3" s="128" t="s">
        <v>218</v>
      </c>
      <c r="DC3" s="128" t="s">
        <v>219</v>
      </c>
      <c r="DD3" s="128" t="s">
        <v>220</v>
      </c>
      <c r="DE3" s="128" t="s">
        <v>221</v>
      </c>
      <c r="DF3" s="128" t="s">
        <v>222</v>
      </c>
      <c r="DG3" s="128" t="s">
        <v>223</v>
      </c>
      <c r="DH3" s="128" t="s">
        <v>224</v>
      </c>
      <c r="DI3" s="128" t="s">
        <v>225</v>
      </c>
      <c r="DJ3" s="128"/>
      <c r="DK3" s="128" t="s">
        <v>247</v>
      </c>
      <c r="DL3" s="128" t="s">
        <v>209</v>
      </c>
      <c r="DM3" s="128" t="s">
        <v>210</v>
      </c>
      <c r="DN3" s="128" t="s">
        <v>211</v>
      </c>
      <c r="DO3" s="128" t="s">
        <v>212</v>
      </c>
      <c r="DP3" s="128" t="s">
        <v>213</v>
      </c>
      <c r="DQ3" s="128" t="s">
        <v>214</v>
      </c>
      <c r="DR3" s="128" t="s">
        <v>215</v>
      </c>
      <c r="DS3" s="128" t="s">
        <v>216</v>
      </c>
      <c r="DT3" s="128" t="s">
        <v>217</v>
      </c>
      <c r="DU3" s="128" t="s">
        <v>218</v>
      </c>
      <c r="DV3" s="128" t="s">
        <v>219</v>
      </c>
      <c r="DW3" s="128" t="s">
        <v>220</v>
      </c>
      <c r="DX3" s="128" t="s">
        <v>221</v>
      </c>
      <c r="DY3" s="128" t="s">
        <v>222</v>
      </c>
      <c r="DZ3" s="128" t="s">
        <v>223</v>
      </c>
      <c r="EA3" s="128" t="s">
        <v>224</v>
      </c>
      <c r="EB3" s="128" t="s">
        <v>225</v>
      </c>
      <c r="EC3" s="128"/>
      <c r="ED3" s="128" t="s">
        <v>247</v>
      </c>
      <c r="EE3" s="128" t="s">
        <v>209</v>
      </c>
      <c r="EF3" s="128" t="s">
        <v>210</v>
      </c>
      <c r="EG3" s="128" t="s">
        <v>211</v>
      </c>
      <c r="EH3" s="128" t="s">
        <v>212</v>
      </c>
      <c r="EI3" s="128" t="s">
        <v>213</v>
      </c>
      <c r="EJ3" s="128" t="s">
        <v>214</v>
      </c>
      <c r="EK3" s="128" t="s">
        <v>215</v>
      </c>
      <c r="EL3" s="128" t="s">
        <v>216</v>
      </c>
      <c r="EM3" s="128" t="s">
        <v>217</v>
      </c>
      <c r="EN3" s="128" t="s">
        <v>218</v>
      </c>
      <c r="EO3" s="128" t="s">
        <v>219</v>
      </c>
      <c r="EP3" s="128" t="s">
        <v>220</v>
      </c>
      <c r="EQ3" s="128" t="s">
        <v>221</v>
      </c>
      <c r="ER3" s="128" t="s">
        <v>222</v>
      </c>
      <c r="ES3" s="128" t="s">
        <v>223</v>
      </c>
      <c r="ET3" s="128" t="s">
        <v>224</v>
      </c>
      <c r="EU3" s="128" t="s">
        <v>225</v>
      </c>
      <c r="EV3" s="128"/>
      <c r="EW3" s="128" t="s">
        <v>247</v>
      </c>
      <c r="EX3" s="128" t="s">
        <v>209</v>
      </c>
      <c r="EY3" s="128" t="s">
        <v>210</v>
      </c>
      <c r="EZ3" s="128" t="s">
        <v>211</v>
      </c>
      <c r="FA3" s="128" t="s">
        <v>212</v>
      </c>
      <c r="FB3" s="128" t="s">
        <v>213</v>
      </c>
      <c r="FC3" s="128" t="s">
        <v>214</v>
      </c>
      <c r="FD3" s="128" t="s">
        <v>215</v>
      </c>
      <c r="FE3" s="128" t="s">
        <v>216</v>
      </c>
      <c r="FF3" s="128" t="s">
        <v>217</v>
      </c>
      <c r="FG3" s="128" t="s">
        <v>218</v>
      </c>
      <c r="FH3" s="128" t="s">
        <v>219</v>
      </c>
      <c r="FI3" s="128" t="s">
        <v>220</v>
      </c>
      <c r="FJ3" s="128" t="s">
        <v>221</v>
      </c>
      <c r="FK3" s="128" t="s">
        <v>222</v>
      </c>
      <c r="FL3" s="128" t="s">
        <v>223</v>
      </c>
      <c r="FM3" s="128" t="s">
        <v>224</v>
      </c>
      <c r="FN3" s="128" t="s">
        <v>225</v>
      </c>
    </row>
    <row r="4" spans="2:170">
      <c r="B4" s="1217" t="s">
        <v>431</v>
      </c>
      <c r="C4" s="1217">
        <v>1024</v>
      </c>
      <c r="D4" s="1217">
        <v>692</v>
      </c>
      <c r="E4" s="1217">
        <v>917</v>
      </c>
      <c r="F4" s="1217">
        <v>917</v>
      </c>
      <c r="G4" s="1217">
        <v>418</v>
      </c>
      <c r="H4" s="1217">
        <v>1871.6624199999999</v>
      </c>
      <c r="I4" s="1217">
        <v>1372.76702</v>
      </c>
      <c r="J4" s="1217">
        <v>1511.1702600000001</v>
      </c>
      <c r="K4" s="1217">
        <v>1738.0871999999999</v>
      </c>
      <c r="L4" s="1217"/>
      <c r="M4" s="1217" t="s">
        <v>431</v>
      </c>
      <c r="N4" s="1217">
        <v>1024</v>
      </c>
      <c r="O4" s="1217">
        <v>692</v>
      </c>
      <c r="P4" s="1217">
        <v>917</v>
      </c>
      <c r="Q4" s="1217">
        <v>917</v>
      </c>
      <c r="R4" s="1217">
        <v>418</v>
      </c>
      <c r="S4" s="1217">
        <v>1871.6624199999999</v>
      </c>
      <c r="T4" s="1217">
        <v>1372.76702</v>
      </c>
      <c r="U4" s="1217">
        <v>1511.1702600000001</v>
      </c>
      <c r="V4" s="1217">
        <v>1738.0871999999999</v>
      </c>
      <c r="W4" s="1217"/>
      <c r="X4" s="1217" t="s">
        <v>431</v>
      </c>
      <c r="Y4" s="1217">
        <v>1024</v>
      </c>
      <c r="Z4" s="1217">
        <v>692</v>
      </c>
      <c r="AA4" s="1217">
        <v>917</v>
      </c>
      <c r="AB4" s="1217">
        <v>917</v>
      </c>
      <c r="AC4" s="1217">
        <v>418</v>
      </c>
      <c r="AD4" s="1217">
        <v>1871.6624199999999</v>
      </c>
      <c r="AE4" s="1217">
        <v>1372.76702</v>
      </c>
      <c r="AF4" s="1217">
        <v>1511.1702600000001</v>
      </c>
      <c r="AG4" s="1217">
        <v>1738.0871999999999</v>
      </c>
      <c r="AH4" s="1217">
        <v>3185</v>
      </c>
      <c r="AI4" s="1217">
        <v>453</v>
      </c>
      <c r="AJ4" s="1217">
        <v>1061</v>
      </c>
      <c r="AK4" s="1217">
        <v>1342</v>
      </c>
      <c r="AL4" s="1217"/>
      <c r="AM4" s="1217" t="s">
        <v>431</v>
      </c>
      <c r="AN4" s="1217">
        <v>1024</v>
      </c>
      <c r="AO4" s="1217">
        <v>692</v>
      </c>
      <c r="AP4" s="1217">
        <v>917</v>
      </c>
      <c r="AQ4" s="1217">
        <v>917</v>
      </c>
      <c r="AR4" s="1217">
        <v>418</v>
      </c>
      <c r="AS4" s="1217">
        <v>1871.6624199999999</v>
      </c>
      <c r="AT4" s="1217">
        <v>1372.76702</v>
      </c>
      <c r="AU4" s="1217">
        <v>1511.1702600000001</v>
      </c>
      <c r="AV4" s="1217">
        <v>1738.0871999999999</v>
      </c>
      <c r="AW4" s="1217">
        <v>3185</v>
      </c>
      <c r="AX4" s="1217">
        <v>453</v>
      </c>
      <c r="AY4" s="1217">
        <v>1061</v>
      </c>
      <c r="AZ4" s="1217">
        <v>1342</v>
      </c>
      <c r="BA4" s="1217">
        <v>2325.4962999999998</v>
      </c>
      <c r="BB4" s="1217">
        <v>981.69740000000002</v>
      </c>
      <c r="BC4" s="1217">
        <v>2391.4792400000001</v>
      </c>
      <c r="BD4" s="1217">
        <v>1100.78856</v>
      </c>
      <c r="BE4" s="1217"/>
      <c r="BF4" s="1217" t="s">
        <v>431</v>
      </c>
      <c r="BG4" s="1217">
        <v>1024</v>
      </c>
      <c r="BH4" s="1217">
        <v>692</v>
      </c>
      <c r="BI4" s="1217">
        <v>917</v>
      </c>
      <c r="BJ4" s="1217">
        <v>917</v>
      </c>
      <c r="BK4" s="1217">
        <v>418</v>
      </c>
      <c r="BL4" s="1217">
        <v>1871.6624199999999</v>
      </c>
      <c r="BM4" s="1217">
        <v>1372.76702</v>
      </c>
      <c r="BN4" s="1217">
        <v>1511.1702600000001</v>
      </c>
      <c r="BO4" s="1217">
        <v>1738.0871999999999</v>
      </c>
      <c r="BP4" s="1217">
        <v>3185</v>
      </c>
      <c r="BQ4" s="1217">
        <v>453</v>
      </c>
      <c r="BR4" s="1217">
        <v>1061</v>
      </c>
      <c r="BS4" s="1217">
        <v>1342</v>
      </c>
      <c r="BT4" s="1217">
        <v>2325.4962999999998</v>
      </c>
      <c r="BU4" s="1217">
        <v>981.69740000000002</v>
      </c>
      <c r="BV4" s="1217">
        <v>2391.4792400000001</v>
      </c>
      <c r="BW4" s="1217">
        <v>1100.78856</v>
      </c>
      <c r="BX4" s="1217"/>
      <c r="BY4" s="1217" t="s">
        <v>431</v>
      </c>
      <c r="BZ4" s="1217">
        <v>1024</v>
      </c>
      <c r="CA4" s="1217">
        <v>692</v>
      </c>
      <c r="CB4" s="1217">
        <v>917</v>
      </c>
      <c r="CC4" s="1217">
        <v>917</v>
      </c>
      <c r="CD4" s="1217">
        <v>418</v>
      </c>
      <c r="CE4" s="1217">
        <v>1871.6624199999999</v>
      </c>
      <c r="CF4" s="1217">
        <v>1372.76702</v>
      </c>
      <c r="CG4" s="1217">
        <v>1511.1702600000001</v>
      </c>
      <c r="CH4" s="1217">
        <v>1738.0871999999999</v>
      </c>
      <c r="CI4" s="1217">
        <v>3185</v>
      </c>
      <c r="CJ4" s="1217">
        <v>453</v>
      </c>
      <c r="CK4" s="1217">
        <v>1061</v>
      </c>
      <c r="CL4" s="1217">
        <v>1342</v>
      </c>
      <c r="CM4" s="1217">
        <v>2325.4962999999998</v>
      </c>
      <c r="CN4" s="1217">
        <v>981.69740000000002</v>
      </c>
      <c r="CO4" s="1217">
        <v>2391.4792400000001</v>
      </c>
      <c r="CP4" s="1217">
        <v>1100.78856</v>
      </c>
      <c r="CQ4" s="1217"/>
      <c r="CR4" s="1217" t="s">
        <v>431</v>
      </c>
      <c r="CS4" s="1217">
        <v>1024</v>
      </c>
      <c r="CT4" s="1217">
        <v>692</v>
      </c>
      <c r="CU4" s="1217">
        <v>917</v>
      </c>
      <c r="CV4" s="1217">
        <v>917</v>
      </c>
      <c r="CW4" s="1217">
        <v>418</v>
      </c>
      <c r="CX4" s="1217">
        <v>1871.6624199999999</v>
      </c>
      <c r="CY4" s="1217">
        <v>1372.76702</v>
      </c>
      <c r="CZ4" s="1217">
        <v>1511.1702600000001</v>
      </c>
      <c r="DA4" s="1217">
        <v>1738.0871999999999</v>
      </c>
      <c r="DB4" s="1217">
        <v>3185</v>
      </c>
      <c r="DC4" s="1217">
        <v>453</v>
      </c>
      <c r="DD4" s="1217">
        <v>1061</v>
      </c>
      <c r="DE4" s="1217">
        <v>1342</v>
      </c>
      <c r="DF4" s="1217">
        <v>2325.4962999999998</v>
      </c>
      <c r="DG4" s="1217">
        <v>981.69740000000002</v>
      </c>
      <c r="DH4" s="1217">
        <v>2391.4792400000001</v>
      </c>
      <c r="DI4" s="1217">
        <v>1100.78856</v>
      </c>
      <c r="DJ4" s="1217"/>
      <c r="DK4" s="1217" t="s">
        <v>431</v>
      </c>
      <c r="DL4" s="1217">
        <v>1024</v>
      </c>
      <c r="DM4" s="1217">
        <v>692</v>
      </c>
      <c r="DN4" s="1217">
        <v>917</v>
      </c>
      <c r="DO4" s="1217">
        <v>917</v>
      </c>
      <c r="DP4" s="1217">
        <v>418</v>
      </c>
      <c r="DQ4" s="1217">
        <v>1871.6624199999999</v>
      </c>
      <c r="DR4" s="1217">
        <v>1372.76702</v>
      </c>
      <c r="DS4" s="1217">
        <v>1511.1702600000001</v>
      </c>
      <c r="DT4" s="1217">
        <v>1738.0871999999999</v>
      </c>
      <c r="DU4" s="1217">
        <v>3185</v>
      </c>
      <c r="DV4" s="1217">
        <v>453</v>
      </c>
      <c r="DW4" s="1217">
        <v>1061</v>
      </c>
      <c r="DX4" s="1217">
        <v>1342</v>
      </c>
      <c r="DY4" s="1217">
        <v>2325.4962999999998</v>
      </c>
      <c r="DZ4" s="1217">
        <v>981.69740000000002</v>
      </c>
      <c r="EA4" s="1217">
        <v>2391.4792400000001</v>
      </c>
      <c r="EB4" s="1217">
        <v>1100.78856</v>
      </c>
      <c r="EC4" s="1217"/>
      <c r="ED4" s="1217" t="s">
        <v>431</v>
      </c>
      <c r="EE4" s="1217">
        <v>1024</v>
      </c>
      <c r="EF4" s="1217">
        <v>692</v>
      </c>
      <c r="EG4" s="1217">
        <v>917</v>
      </c>
      <c r="EH4" s="1217">
        <v>917</v>
      </c>
      <c r="EI4" s="1217">
        <v>418</v>
      </c>
      <c r="EJ4" s="1217">
        <v>1871.6624199999999</v>
      </c>
      <c r="EK4" s="1217">
        <v>1372.76702</v>
      </c>
      <c r="EL4" s="1217">
        <v>1511.1702600000001</v>
      </c>
      <c r="EM4" s="1217">
        <v>1738.0871999999999</v>
      </c>
      <c r="EN4" s="1217">
        <v>3185</v>
      </c>
      <c r="EO4" s="1217">
        <v>453</v>
      </c>
      <c r="EP4" s="1217">
        <v>1061</v>
      </c>
      <c r="EQ4" s="1217">
        <v>1342</v>
      </c>
      <c r="ER4" s="1217">
        <v>2325.4962999999998</v>
      </c>
      <c r="ES4" s="1217">
        <v>981.69740000000002</v>
      </c>
      <c r="ET4" s="1217">
        <v>2391.4792400000001</v>
      </c>
      <c r="EU4" s="1217">
        <v>1100.78856</v>
      </c>
      <c r="EV4" s="1217"/>
      <c r="EW4" s="1217" t="s">
        <v>431</v>
      </c>
      <c r="EX4" s="1217">
        <v>1024</v>
      </c>
      <c r="EY4" s="1217">
        <v>692</v>
      </c>
      <c r="EZ4" s="1217">
        <v>917</v>
      </c>
      <c r="FA4" s="1217">
        <v>917</v>
      </c>
      <c r="FB4" s="1217">
        <v>418</v>
      </c>
      <c r="FC4" s="1217">
        <v>1871.6624199999999</v>
      </c>
      <c r="FD4" s="1217">
        <v>1372.76702</v>
      </c>
      <c r="FE4" s="1217">
        <v>1511.1702600000001</v>
      </c>
      <c r="FF4" s="1217">
        <v>1738.0871999999999</v>
      </c>
      <c r="FG4" s="1217">
        <v>3185</v>
      </c>
      <c r="FH4" s="1217">
        <v>453</v>
      </c>
      <c r="FI4" s="1217">
        <v>1061</v>
      </c>
      <c r="FJ4" s="1217">
        <v>1342</v>
      </c>
      <c r="FK4" s="1217">
        <v>2325.4962999999998</v>
      </c>
      <c r="FL4" s="1217">
        <v>981.69740000000002</v>
      </c>
      <c r="FM4" s="1217">
        <v>2391.4792400000001</v>
      </c>
      <c r="FN4" s="1217">
        <v>1100.78856</v>
      </c>
    </row>
    <row r="5" spans="2:170">
      <c r="B5" s="81" t="s">
        <v>432</v>
      </c>
      <c r="C5" s="81">
        <v>1.889416553595658</v>
      </c>
      <c r="D5" s="81">
        <v>1.4389416553595658</v>
      </c>
      <c r="E5" s="81">
        <v>1.7442333785617368</v>
      </c>
      <c r="F5" s="81">
        <v>1.7442333785617368</v>
      </c>
      <c r="G5" s="81">
        <v>1.0671641791044775</v>
      </c>
      <c r="H5" s="81">
        <v>3.0395690909090907</v>
      </c>
      <c r="I5" s="81">
        <v>2.3626418181818183</v>
      </c>
      <c r="J5" s="81">
        <v>2.5504345454545456</v>
      </c>
      <c r="K5" s="81">
        <v>2.8583272727272728</v>
      </c>
      <c r="L5" s="81"/>
      <c r="M5" s="81" t="s">
        <v>432</v>
      </c>
      <c r="N5" s="81">
        <v>1.889416553595658</v>
      </c>
      <c r="O5" s="81">
        <v>1.4389416553595658</v>
      </c>
      <c r="P5" s="81">
        <v>1.7442333785617368</v>
      </c>
      <c r="Q5" s="81">
        <v>1.7442333785617368</v>
      </c>
      <c r="R5" s="81">
        <v>1.0671641791044775</v>
      </c>
      <c r="S5" s="81">
        <v>3.0395690909090907</v>
      </c>
      <c r="T5" s="81">
        <v>2.3626418181818183</v>
      </c>
      <c r="U5" s="81">
        <v>2.5504345454545456</v>
      </c>
      <c r="V5" s="81">
        <v>2.8583272727272728</v>
      </c>
      <c r="W5" s="81"/>
      <c r="X5" s="81" t="s">
        <v>432</v>
      </c>
      <c r="Y5" s="81">
        <v>1.889416553595658</v>
      </c>
      <c r="Z5" s="81">
        <v>1.4389416553595658</v>
      </c>
      <c r="AA5" s="81">
        <v>1.7442333785617368</v>
      </c>
      <c r="AB5" s="81">
        <v>1.7442333785617368</v>
      </c>
      <c r="AC5" s="81">
        <v>1.0671641791044775</v>
      </c>
      <c r="AD5" s="81">
        <v>3.0395690909090907</v>
      </c>
      <c r="AE5" s="81">
        <v>2.3626418181818183</v>
      </c>
      <c r="AF5" s="81">
        <v>2.5504345454545456</v>
      </c>
      <c r="AG5" s="81">
        <v>2.8583272727272728</v>
      </c>
      <c r="AH5" s="81">
        <v>4.8215739484396201</v>
      </c>
      <c r="AI5" s="81">
        <v>1.1146540027137042</v>
      </c>
      <c r="AJ5" s="81">
        <v>1.9396200814111262</v>
      </c>
      <c r="AK5" s="81">
        <v>2.3208955223880596</v>
      </c>
      <c r="AL5" s="81"/>
      <c r="AM5" s="81" t="s">
        <v>432</v>
      </c>
      <c r="AN5" s="81">
        <v>1.889416553595658</v>
      </c>
      <c r="AO5" s="81">
        <v>1.4389416553595658</v>
      </c>
      <c r="AP5" s="81">
        <v>1.7442333785617368</v>
      </c>
      <c r="AQ5" s="81">
        <v>1.7442333785617368</v>
      </c>
      <c r="AR5" s="81">
        <v>1.0671641791044775</v>
      </c>
      <c r="AS5" s="81">
        <v>3.0395690909090907</v>
      </c>
      <c r="AT5" s="81">
        <v>2.3626418181818183</v>
      </c>
      <c r="AU5" s="81">
        <v>2.5504345454545456</v>
      </c>
      <c r="AV5" s="81">
        <v>2.8583272727272728</v>
      </c>
      <c r="AW5" s="81">
        <v>4.8215739484396201</v>
      </c>
      <c r="AX5" s="81">
        <v>1.1146540027137042</v>
      </c>
      <c r="AY5" s="81">
        <v>1.9396200814111262</v>
      </c>
      <c r="AZ5" s="81">
        <v>2.3208955223880596</v>
      </c>
      <c r="BA5" s="81">
        <v>3.6553545454545451</v>
      </c>
      <c r="BB5" s="81">
        <v>1.8320181818181818</v>
      </c>
      <c r="BC5" s="81">
        <v>3.7448836363636366</v>
      </c>
      <c r="BD5" s="81">
        <v>1.9936072727272727</v>
      </c>
      <c r="BE5" s="81"/>
      <c r="BF5" s="81" t="s">
        <v>432</v>
      </c>
      <c r="BG5" s="81">
        <v>1.889416553595658</v>
      </c>
      <c r="BH5" s="81">
        <v>1.4389416553595658</v>
      </c>
      <c r="BI5" s="81">
        <v>1.7442333785617368</v>
      </c>
      <c r="BJ5" s="81">
        <v>1.7442333785617368</v>
      </c>
      <c r="BK5" s="81">
        <v>1.0671641791044775</v>
      </c>
      <c r="BL5" s="81">
        <v>3.0395690909090907</v>
      </c>
      <c r="BM5" s="81">
        <v>2.3626418181818183</v>
      </c>
      <c r="BN5" s="81">
        <v>2.5504345454545456</v>
      </c>
      <c r="BO5" s="81">
        <v>2.8583272727272728</v>
      </c>
      <c r="BP5" s="81">
        <v>4.8215739484396201</v>
      </c>
      <c r="BQ5" s="81">
        <v>1.1146540027137042</v>
      </c>
      <c r="BR5" s="81">
        <v>1.9396200814111262</v>
      </c>
      <c r="BS5" s="81">
        <v>2.3208955223880596</v>
      </c>
      <c r="BT5" s="81">
        <v>3.6553545454545451</v>
      </c>
      <c r="BU5" s="81">
        <v>1.8320181818181818</v>
      </c>
      <c r="BV5" s="81">
        <v>3.7448836363636366</v>
      </c>
      <c r="BW5" s="81">
        <v>1.9936072727272727</v>
      </c>
      <c r="BX5" s="81"/>
      <c r="BY5" s="81" t="s">
        <v>432</v>
      </c>
      <c r="BZ5" s="81">
        <v>1.889416553595658</v>
      </c>
      <c r="CA5" s="81">
        <v>1.4389416553595658</v>
      </c>
      <c r="CB5" s="81">
        <v>1.7442333785617368</v>
      </c>
      <c r="CC5" s="81">
        <v>1.7442333785617368</v>
      </c>
      <c r="CD5" s="81">
        <v>1.0671641791044775</v>
      </c>
      <c r="CE5" s="81">
        <v>3.0395690909090907</v>
      </c>
      <c r="CF5" s="81">
        <v>2.3626418181818183</v>
      </c>
      <c r="CG5" s="81">
        <v>2.5504345454545456</v>
      </c>
      <c r="CH5" s="81">
        <v>2.8583272727272728</v>
      </c>
      <c r="CI5" s="81">
        <v>4.8215739484396201</v>
      </c>
      <c r="CJ5" s="81">
        <v>1.1146540027137042</v>
      </c>
      <c r="CK5" s="81">
        <v>1.9396200814111262</v>
      </c>
      <c r="CL5" s="81">
        <v>2.3208955223880596</v>
      </c>
      <c r="CM5" s="81">
        <v>3.6553545454545451</v>
      </c>
      <c r="CN5" s="81">
        <v>1.8320181818181818</v>
      </c>
      <c r="CO5" s="81">
        <v>3.7448836363636366</v>
      </c>
      <c r="CP5" s="81">
        <v>1.9936072727272727</v>
      </c>
      <c r="CQ5" s="81"/>
      <c r="CR5" s="81" t="s">
        <v>432</v>
      </c>
      <c r="CS5" s="81">
        <v>1.889416553595658</v>
      </c>
      <c r="CT5" s="81">
        <v>1.4389416553595658</v>
      </c>
      <c r="CU5" s="81">
        <v>1.7442333785617368</v>
      </c>
      <c r="CV5" s="81">
        <v>1.7442333785617368</v>
      </c>
      <c r="CW5" s="81">
        <v>1.0671641791044775</v>
      </c>
      <c r="CX5" s="81">
        <v>3.0395690909090907</v>
      </c>
      <c r="CY5" s="81">
        <v>2.3626418181818183</v>
      </c>
      <c r="CZ5" s="81">
        <v>2.5504345454545456</v>
      </c>
      <c r="DA5" s="81">
        <v>2.8583272727272728</v>
      </c>
      <c r="DB5" s="81">
        <v>4.8215739484396201</v>
      </c>
      <c r="DC5" s="81">
        <v>1.1146540027137042</v>
      </c>
      <c r="DD5" s="81">
        <v>1.9396200814111262</v>
      </c>
      <c r="DE5" s="81">
        <v>2.3208955223880596</v>
      </c>
      <c r="DF5" s="81">
        <v>3.6553545454545451</v>
      </c>
      <c r="DG5" s="81">
        <v>1.8320181818181818</v>
      </c>
      <c r="DH5" s="81">
        <v>3.7448836363636366</v>
      </c>
      <c r="DI5" s="81">
        <v>1.9936072727272727</v>
      </c>
      <c r="DJ5" s="81"/>
      <c r="DK5" s="81" t="s">
        <v>432</v>
      </c>
      <c r="DL5" s="81">
        <v>1.889416553595658</v>
      </c>
      <c r="DM5" s="81">
        <v>1.4389416553595658</v>
      </c>
      <c r="DN5" s="81">
        <v>1.7442333785617368</v>
      </c>
      <c r="DO5" s="81">
        <v>1.7442333785617368</v>
      </c>
      <c r="DP5" s="81">
        <v>1.0671641791044775</v>
      </c>
      <c r="DQ5" s="81">
        <v>3.0395690909090907</v>
      </c>
      <c r="DR5" s="81">
        <v>2.3626418181818183</v>
      </c>
      <c r="DS5" s="81">
        <v>2.5504345454545456</v>
      </c>
      <c r="DT5" s="81">
        <v>2.8583272727272728</v>
      </c>
      <c r="DU5" s="81">
        <v>4.8215739484396201</v>
      </c>
      <c r="DV5" s="81">
        <v>1.1146540027137042</v>
      </c>
      <c r="DW5" s="81">
        <v>1.9396200814111262</v>
      </c>
      <c r="DX5" s="81">
        <v>2.3208955223880596</v>
      </c>
      <c r="DY5" s="81">
        <v>3.6553545454545451</v>
      </c>
      <c r="DZ5" s="81">
        <v>1.8320181818181818</v>
      </c>
      <c r="EA5" s="81">
        <v>3.7448836363636366</v>
      </c>
      <c r="EB5" s="81">
        <v>1.9936072727272727</v>
      </c>
      <c r="EC5" s="81"/>
      <c r="ED5" s="81" t="s">
        <v>432</v>
      </c>
      <c r="EE5" s="81">
        <v>1.889416553595658</v>
      </c>
      <c r="EF5" s="81">
        <v>1.4389416553595658</v>
      </c>
      <c r="EG5" s="81">
        <v>1.7442333785617368</v>
      </c>
      <c r="EH5" s="81">
        <v>1.7442333785617368</v>
      </c>
      <c r="EI5" s="81">
        <v>1.0671641791044775</v>
      </c>
      <c r="EJ5" s="81">
        <v>3.0395690909090907</v>
      </c>
      <c r="EK5" s="81">
        <v>2.3626418181818183</v>
      </c>
      <c r="EL5" s="81">
        <v>2.5504345454545456</v>
      </c>
      <c r="EM5" s="81">
        <v>2.8583272727272728</v>
      </c>
      <c r="EN5" s="81">
        <v>4.8215739484396201</v>
      </c>
      <c r="EO5" s="81">
        <v>1.1146540027137042</v>
      </c>
      <c r="EP5" s="81">
        <v>1.9396200814111262</v>
      </c>
      <c r="EQ5" s="81">
        <v>2.3208955223880596</v>
      </c>
      <c r="ER5" s="81">
        <v>3.6553545454545451</v>
      </c>
      <c r="ES5" s="81">
        <v>1.8320181818181818</v>
      </c>
      <c r="ET5" s="81">
        <v>3.7448836363636366</v>
      </c>
      <c r="EU5" s="81">
        <v>1.9936072727272727</v>
      </c>
      <c r="EV5" s="81"/>
      <c r="EW5" s="81" t="s">
        <v>432</v>
      </c>
      <c r="EX5" s="81">
        <v>1.889416553595658</v>
      </c>
      <c r="EY5" s="81">
        <v>1.4389416553595658</v>
      </c>
      <c r="EZ5" s="81">
        <v>1.7442333785617368</v>
      </c>
      <c r="FA5" s="81">
        <v>1.7442333785617368</v>
      </c>
      <c r="FB5" s="81">
        <v>1.0671641791044775</v>
      </c>
      <c r="FC5" s="81">
        <v>3.0395690909090907</v>
      </c>
      <c r="FD5" s="81">
        <v>2.3626418181818183</v>
      </c>
      <c r="FE5" s="81">
        <v>2.5504345454545456</v>
      </c>
      <c r="FF5" s="81">
        <v>2.8583272727272728</v>
      </c>
      <c r="FG5" s="81">
        <v>4.8215739484396201</v>
      </c>
      <c r="FH5" s="81">
        <v>1.1146540027137042</v>
      </c>
      <c r="FI5" s="81">
        <v>1.9396200814111262</v>
      </c>
      <c r="FJ5" s="81">
        <v>2.3208955223880596</v>
      </c>
      <c r="FK5" s="81">
        <v>3.6553545454545451</v>
      </c>
      <c r="FL5" s="81">
        <v>1.8320181818181818</v>
      </c>
      <c r="FM5" s="81">
        <v>3.7448836363636366</v>
      </c>
      <c r="FN5" s="81">
        <v>1.9936072727272727</v>
      </c>
    </row>
    <row r="6" spans="2:170">
      <c r="B6" s="1217" t="s">
        <v>433</v>
      </c>
      <c r="C6" s="1217">
        <v>3219.1105795346539</v>
      </c>
      <c r="D6" s="1217">
        <v>2249.4054337214652</v>
      </c>
      <c r="E6" s="1217">
        <v>2906.5851259141382</v>
      </c>
      <c r="F6" s="1217">
        <v>2906.5851259141382</v>
      </c>
      <c r="G6" s="1217">
        <v>1449.1066085623877</v>
      </c>
      <c r="H6" s="1217">
        <v>5694.9618162408588</v>
      </c>
      <c r="I6" s="1217">
        <v>4237.7888144260132</v>
      </c>
      <c r="J6" s="1217">
        <v>4642.0368084778738</v>
      </c>
      <c r="K6" s="1217">
        <v>5304.8154964001114</v>
      </c>
      <c r="L6" s="1217"/>
      <c r="M6" s="1217" t="s">
        <v>433</v>
      </c>
      <c r="N6" s="1217">
        <v>3219.1105795346539</v>
      </c>
      <c r="O6" s="1217">
        <v>2249.4054337214652</v>
      </c>
      <c r="P6" s="1217">
        <v>2906.5851259141382</v>
      </c>
      <c r="Q6" s="1217">
        <v>2906.5851259141382</v>
      </c>
      <c r="R6" s="1217">
        <v>1449.1066085623877</v>
      </c>
      <c r="S6" s="1217">
        <v>5694.9618162408588</v>
      </c>
      <c r="T6" s="1217">
        <v>4237.7888144260132</v>
      </c>
      <c r="U6" s="1217">
        <v>4642.0368084778738</v>
      </c>
      <c r="V6" s="1217">
        <v>5304.8154964001114</v>
      </c>
      <c r="W6" s="1217"/>
      <c r="X6" s="1217" t="s">
        <v>433</v>
      </c>
      <c r="Y6" s="1217">
        <v>3219.1105795346539</v>
      </c>
      <c r="Z6" s="1217">
        <v>2249.4054337214652</v>
      </c>
      <c r="AA6" s="1217">
        <v>2906.5851259141382</v>
      </c>
      <c r="AB6" s="1217">
        <v>2906.5851259141382</v>
      </c>
      <c r="AC6" s="1217">
        <v>1449.1066085623877</v>
      </c>
      <c r="AD6" s="1217">
        <v>5694.9618162408588</v>
      </c>
      <c r="AE6" s="1217">
        <v>4237.7888144260132</v>
      </c>
      <c r="AF6" s="1217">
        <v>4642.0368084778738</v>
      </c>
      <c r="AG6" s="1217">
        <v>5304.8154964001114</v>
      </c>
      <c r="AH6" s="1217">
        <v>9530.9564232162811</v>
      </c>
      <c r="AI6" s="1217">
        <v>1551.3345606812481</v>
      </c>
      <c r="AJ6" s="1217">
        <v>3327.1801289174491</v>
      </c>
      <c r="AK6" s="1217">
        <v>4147.924544500298</v>
      </c>
      <c r="AL6" s="1217"/>
      <c r="AM6" s="1217" t="s">
        <v>433</v>
      </c>
      <c r="AN6" s="1217">
        <v>3219.1105795346539</v>
      </c>
      <c r="AO6" s="1217">
        <v>2249.4054337214652</v>
      </c>
      <c r="AP6" s="1217">
        <v>2906.5851259141382</v>
      </c>
      <c r="AQ6" s="1217">
        <v>2906.5851259141382</v>
      </c>
      <c r="AR6" s="1217">
        <v>1449.1066085623877</v>
      </c>
      <c r="AS6" s="1217">
        <v>5694.9618162408588</v>
      </c>
      <c r="AT6" s="1217">
        <v>4237.7888144260132</v>
      </c>
      <c r="AU6" s="1217">
        <v>4642.0368084778738</v>
      </c>
      <c r="AV6" s="1217">
        <v>5304.8154964001114</v>
      </c>
      <c r="AW6" s="1217">
        <v>9530.9564232162811</v>
      </c>
      <c r="AX6" s="1217">
        <v>1551.3345606812481</v>
      </c>
      <c r="AY6" s="1217">
        <v>3327.1801289174491</v>
      </c>
      <c r="AZ6" s="1217">
        <v>4147.924544500298</v>
      </c>
      <c r="BA6" s="1217">
        <v>7020.5191920853322</v>
      </c>
      <c r="BB6" s="1217">
        <v>3095.5532033259883</v>
      </c>
      <c r="BC6" s="1217">
        <v>7213.2420729705227</v>
      </c>
      <c r="BD6" s="1217">
        <v>3443.3945005334031</v>
      </c>
      <c r="BE6" s="1217"/>
      <c r="BF6" s="1217" t="s">
        <v>433</v>
      </c>
      <c r="BG6" s="1217">
        <v>3219.1105795346539</v>
      </c>
      <c r="BH6" s="1217">
        <v>2249.4054337214652</v>
      </c>
      <c r="BI6" s="1217">
        <v>2906.5851259141382</v>
      </c>
      <c r="BJ6" s="1217">
        <v>2906.5851259141382</v>
      </c>
      <c r="BK6" s="1217">
        <v>1449.1066085623877</v>
      </c>
      <c r="BL6" s="1217">
        <v>5694.9618162408588</v>
      </c>
      <c r="BM6" s="1217">
        <v>4237.7888144260132</v>
      </c>
      <c r="BN6" s="1217">
        <v>4642.0368084778738</v>
      </c>
      <c r="BO6" s="1217">
        <v>5304.8154964001114</v>
      </c>
      <c r="BP6" s="1217">
        <v>9530.9564232162811</v>
      </c>
      <c r="BQ6" s="1217">
        <v>1551.3345606812481</v>
      </c>
      <c r="BR6" s="1217">
        <v>3327.1801289174491</v>
      </c>
      <c r="BS6" s="1217">
        <v>4147.924544500298</v>
      </c>
      <c r="BT6" s="1217">
        <v>7020.5191920853322</v>
      </c>
      <c r="BU6" s="1217">
        <v>3095.5532033259883</v>
      </c>
      <c r="BV6" s="1217">
        <v>7213.2420729705227</v>
      </c>
      <c r="BW6" s="1217">
        <v>3443.3945005334031</v>
      </c>
      <c r="BX6" s="1217"/>
      <c r="BY6" s="1217" t="s">
        <v>433</v>
      </c>
      <c r="BZ6" s="1217">
        <v>3219.1105795346539</v>
      </c>
      <c r="CA6" s="1217">
        <v>2249.4054337214652</v>
      </c>
      <c r="CB6" s="1217">
        <v>2906.5851259141382</v>
      </c>
      <c r="CC6" s="1217">
        <v>2906.5851259141382</v>
      </c>
      <c r="CD6" s="1217">
        <v>1449.1066085623877</v>
      </c>
      <c r="CE6" s="1217">
        <v>5694.9618162408588</v>
      </c>
      <c r="CF6" s="1217">
        <v>4237.7888144260132</v>
      </c>
      <c r="CG6" s="1217">
        <v>4642.0368084778738</v>
      </c>
      <c r="CH6" s="1217">
        <v>5304.8154964001114</v>
      </c>
      <c r="CI6" s="1217">
        <v>9530.9564232162811</v>
      </c>
      <c r="CJ6" s="1217">
        <v>1551.3345606812481</v>
      </c>
      <c r="CK6" s="1217">
        <v>3327.1801289174491</v>
      </c>
      <c r="CL6" s="1217">
        <v>4147.924544500298</v>
      </c>
      <c r="CM6" s="1217">
        <v>7020.5191920853322</v>
      </c>
      <c r="CN6" s="1217">
        <v>3095.5532033259883</v>
      </c>
      <c r="CO6" s="1217">
        <v>7213.2420729705227</v>
      </c>
      <c r="CP6" s="1217">
        <v>3443.3945005334031</v>
      </c>
      <c r="CQ6" s="1217"/>
      <c r="CR6" s="1217" t="s">
        <v>433</v>
      </c>
      <c r="CS6" s="1217">
        <v>3219.1105795346539</v>
      </c>
      <c r="CT6" s="1217">
        <v>2249.4054337214652</v>
      </c>
      <c r="CU6" s="1217">
        <v>2906.5851259141382</v>
      </c>
      <c r="CV6" s="1217">
        <v>2906.5851259141382</v>
      </c>
      <c r="CW6" s="1217">
        <v>1449.1066085623877</v>
      </c>
      <c r="CX6" s="1217">
        <v>5694.9618162408588</v>
      </c>
      <c r="CY6" s="1217">
        <v>4237.7888144260132</v>
      </c>
      <c r="CZ6" s="1217">
        <v>4642.0368084778738</v>
      </c>
      <c r="DA6" s="1217">
        <v>5304.8154964001114</v>
      </c>
      <c r="DB6" s="1217">
        <v>9530.9564232162811</v>
      </c>
      <c r="DC6" s="1217">
        <v>1551.3345606812481</v>
      </c>
      <c r="DD6" s="1217">
        <v>3327.1801289174491</v>
      </c>
      <c r="DE6" s="1217">
        <v>4147.924544500298</v>
      </c>
      <c r="DF6" s="1217">
        <v>7020.5191920853322</v>
      </c>
      <c r="DG6" s="1217">
        <v>3095.5532033259883</v>
      </c>
      <c r="DH6" s="1217">
        <v>7213.2420729705227</v>
      </c>
      <c r="DI6" s="1217">
        <v>3443.3945005334031</v>
      </c>
      <c r="DJ6" s="1217"/>
      <c r="DK6" s="1217" t="s">
        <v>433</v>
      </c>
      <c r="DL6" s="1217">
        <v>3219.1105795346539</v>
      </c>
      <c r="DM6" s="1217">
        <v>2249.4054337214652</v>
      </c>
      <c r="DN6" s="1217">
        <v>2906.5851259141382</v>
      </c>
      <c r="DO6" s="1217">
        <v>2906.5851259141382</v>
      </c>
      <c r="DP6" s="1217">
        <v>1449.1066085623877</v>
      </c>
      <c r="DQ6" s="1217">
        <v>5694.9618162408588</v>
      </c>
      <c r="DR6" s="1217">
        <v>4237.7888144260132</v>
      </c>
      <c r="DS6" s="1217">
        <v>4642.0368084778738</v>
      </c>
      <c r="DT6" s="1217">
        <v>5304.8154964001114</v>
      </c>
      <c r="DU6" s="1217">
        <v>9530.9564232162811</v>
      </c>
      <c r="DV6" s="1217">
        <v>1551.3345606812481</v>
      </c>
      <c r="DW6" s="1217">
        <v>3327.1801289174491</v>
      </c>
      <c r="DX6" s="1217">
        <v>4147.924544500298</v>
      </c>
      <c r="DY6" s="1217">
        <v>7020.5191920853322</v>
      </c>
      <c r="DZ6" s="1217">
        <v>3095.5532033259883</v>
      </c>
      <c r="EA6" s="1217">
        <v>7213.2420729705227</v>
      </c>
      <c r="EB6" s="1217">
        <v>3443.3945005334031</v>
      </c>
      <c r="EC6" s="1217"/>
      <c r="ED6" s="1217" t="s">
        <v>433</v>
      </c>
      <c r="EE6" s="1217">
        <v>3219.1105795346539</v>
      </c>
      <c r="EF6" s="1217">
        <v>2249.4054337214652</v>
      </c>
      <c r="EG6" s="1217">
        <v>2906.5851259141382</v>
      </c>
      <c r="EH6" s="1217">
        <v>2906.5851259141382</v>
      </c>
      <c r="EI6" s="1217">
        <v>1449.1066085623877</v>
      </c>
      <c r="EJ6" s="1217">
        <v>5694.9618162408588</v>
      </c>
      <c r="EK6" s="1217">
        <v>4237.7888144260132</v>
      </c>
      <c r="EL6" s="1217">
        <v>4642.0368084778738</v>
      </c>
      <c r="EM6" s="1217">
        <v>5304.8154964001114</v>
      </c>
      <c r="EN6" s="1217">
        <v>9530.9564232162811</v>
      </c>
      <c r="EO6" s="1217">
        <v>1551.3345606812481</v>
      </c>
      <c r="EP6" s="1217">
        <v>3327.1801289174491</v>
      </c>
      <c r="EQ6" s="1217">
        <v>4147.924544500298</v>
      </c>
      <c r="ER6" s="1217">
        <v>7020.5191920853322</v>
      </c>
      <c r="ES6" s="1217">
        <v>3095.5532033259883</v>
      </c>
      <c r="ET6" s="1217">
        <v>7213.2420729705227</v>
      </c>
      <c r="EU6" s="1217">
        <v>3443.3945005334031</v>
      </c>
      <c r="EV6" s="1217"/>
      <c r="EW6" s="1217" t="s">
        <v>433</v>
      </c>
      <c r="EX6" s="1217">
        <v>3219.1105795346539</v>
      </c>
      <c r="EY6" s="1217">
        <v>2249.4054337214652</v>
      </c>
      <c r="EZ6" s="1217">
        <v>2906.5851259141382</v>
      </c>
      <c r="FA6" s="1217">
        <v>2906.5851259141382</v>
      </c>
      <c r="FB6" s="1217">
        <v>1449.1066085623877</v>
      </c>
      <c r="FC6" s="1217">
        <v>5694.9618162408588</v>
      </c>
      <c r="FD6" s="1217">
        <v>4237.7888144260132</v>
      </c>
      <c r="FE6" s="1217">
        <v>4642.0368084778738</v>
      </c>
      <c r="FF6" s="1217">
        <v>5304.8154964001114</v>
      </c>
      <c r="FG6" s="1217">
        <v>9530.9564232162811</v>
      </c>
      <c r="FH6" s="1217">
        <v>1551.3345606812481</v>
      </c>
      <c r="FI6" s="1217">
        <v>3327.1801289174491</v>
      </c>
      <c r="FJ6" s="1217">
        <v>4147.924544500298</v>
      </c>
      <c r="FK6" s="1217">
        <v>7020.5191920853322</v>
      </c>
      <c r="FL6" s="1217">
        <v>3095.5532033259883</v>
      </c>
      <c r="FM6" s="1217">
        <v>7213.2420729705227</v>
      </c>
      <c r="FN6" s="1217">
        <v>3443.3945005334031</v>
      </c>
    </row>
    <row r="7" spans="2:170">
      <c r="B7" s="1217" t="s">
        <v>436</v>
      </c>
      <c r="C7" s="1217">
        <v>2814.5841248303936</v>
      </c>
      <c r="D7" s="1217"/>
      <c r="E7" s="1217"/>
      <c r="F7" s="1217"/>
      <c r="G7" s="1217"/>
      <c r="H7" s="1217">
        <v>3837.8953181818179</v>
      </c>
      <c r="I7" s="1217"/>
      <c r="J7" s="1217"/>
      <c r="K7" s="1217"/>
      <c r="L7" s="1217"/>
      <c r="M7" s="1217" t="s">
        <v>436</v>
      </c>
      <c r="N7" s="1217">
        <v>2838.2360922659432</v>
      </c>
      <c r="O7" s="1217"/>
      <c r="P7" s="1217"/>
      <c r="Q7" s="1217"/>
      <c r="R7" s="1217"/>
      <c r="S7" s="1217">
        <v>3837.8953181818179</v>
      </c>
      <c r="T7" s="1217"/>
      <c r="U7" s="1217"/>
      <c r="V7" s="1217"/>
      <c r="W7" s="1217"/>
      <c r="X7" s="1217" t="s">
        <v>436</v>
      </c>
      <c r="Y7" s="1217">
        <v>2814.5841248303936</v>
      </c>
      <c r="Z7" s="1217"/>
      <c r="AA7" s="1217"/>
      <c r="AB7" s="1217"/>
      <c r="AC7" s="1217"/>
      <c r="AD7" s="1217">
        <v>3805.4623999999999</v>
      </c>
      <c r="AE7" s="1217"/>
      <c r="AF7" s="1217"/>
      <c r="AG7" s="1217"/>
      <c r="AH7" s="1217">
        <v>3640.2374491180462</v>
      </c>
      <c r="AI7" s="1217"/>
      <c r="AJ7" s="1217"/>
      <c r="AK7" s="1217"/>
      <c r="AL7" s="1217"/>
      <c r="AM7" s="1217" t="s">
        <v>436</v>
      </c>
      <c r="AN7" s="1217">
        <v>2814.5841248303936</v>
      </c>
      <c r="AO7" s="1217"/>
      <c r="AP7" s="1217"/>
      <c r="AQ7" s="1217"/>
      <c r="AR7" s="1217"/>
      <c r="AS7" s="1217">
        <v>3837.8953181818179</v>
      </c>
      <c r="AT7" s="1217"/>
      <c r="AU7" s="1217"/>
      <c r="AV7" s="1217"/>
      <c r="AW7" s="1217">
        <v>3640.2374491180462</v>
      </c>
      <c r="AX7" s="1217"/>
      <c r="AY7" s="1217"/>
      <c r="AZ7" s="1217"/>
      <c r="BA7" s="1217">
        <v>3996.4074545454546</v>
      </c>
      <c r="BB7" s="1217"/>
      <c r="BC7" s="1217"/>
      <c r="BD7" s="1217"/>
      <c r="BE7" s="1217"/>
      <c r="BF7" s="1217" t="s">
        <v>436</v>
      </c>
      <c r="BG7" s="1217">
        <v>2814.5841248303936</v>
      </c>
      <c r="BH7" s="1217"/>
      <c r="BI7" s="1217"/>
      <c r="BJ7" s="1217"/>
      <c r="BK7" s="1217"/>
      <c r="BL7" s="1217">
        <v>3610.8648909090907</v>
      </c>
      <c r="BM7" s="1217"/>
      <c r="BN7" s="1217"/>
      <c r="BO7" s="1217"/>
      <c r="BP7" s="1217">
        <v>3640.2374491180462</v>
      </c>
      <c r="BQ7" s="1217"/>
      <c r="BR7" s="1217"/>
      <c r="BS7" s="1217"/>
      <c r="BT7" s="1217">
        <v>3996.4074545454546</v>
      </c>
      <c r="BU7" s="1217"/>
      <c r="BV7" s="1217"/>
      <c r="BW7" s="1217"/>
      <c r="BX7" s="1217"/>
      <c r="BY7" s="1217" t="s">
        <v>436</v>
      </c>
      <c r="BZ7" s="1217">
        <v>2814.5841248303936</v>
      </c>
      <c r="CA7" s="1217"/>
      <c r="CB7" s="1217"/>
      <c r="CC7" s="1217"/>
      <c r="CD7" s="1217"/>
      <c r="CE7" s="1217">
        <v>3837.8953181818179</v>
      </c>
      <c r="CF7" s="1217"/>
      <c r="CG7" s="1217"/>
      <c r="CH7" s="1217"/>
      <c r="CI7" s="1217">
        <v>3640.2374491180462</v>
      </c>
      <c r="CJ7" s="1217"/>
      <c r="CK7" s="1217"/>
      <c r="CL7" s="1217"/>
      <c r="CM7" s="1217">
        <v>3962.7298636363635</v>
      </c>
      <c r="CN7" s="1217"/>
      <c r="CO7" s="1217"/>
      <c r="CP7" s="1217"/>
      <c r="CQ7" s="1217"/>
      <c r="CR7" s="1217" t="s">
        <v>436</v>
      </c>
      <c r="CS7" s="1217">
        <v>2649.020352781547</v>
      </c>
      <c r="CT7" s="1217"/>
      <c r="CU7" s="1217"/>
      <c r="CV7" s="1217"/>
      <c r="CW7" s="1217"/>
      <c r="CX7" s="1217">
        <v>3805.4623999999999</v>
      </c>
      <c r="CY7" s="1217"/>
      <c r="CZ7" s="1217"/>
      <c r="DA7" s="1217"/>
      <c r="DB7" s="1217">
        <v>3395.515603799186</v>
      </c>
      <c r="DC7" s="1217"/>
      <c r="DD7" s="1217"/>
      <c r="DE7" s="1217"/>
      <c r="DF7" s="1217">
        <v>3996.4074545454546</v>
      </c>
      <c r="DG7" s="1217"/>
      <c r="DH7" s="1217"/>
      <c r="DI7" s="1217"/>
      <c r="DJ7" s="1217"/>
      <c r="DK7" s="1217" t="s">
        <v>436</v>
      </c>
      <c r="DL7" s="1217">
        <v>2814.5841248303936</v>
      </c>
      <c r="DM7" s="1217"/>
      <c r="DN7" s="1217"/>
      <c r="DO7" s="1217"/>
      <c r="DP7" s="1217"/>
      <c r="DQ7" s="1217">
        <v>3837.8953181818179</v>
      </c>
      <c r="DR7" s="1217"/>
      <c r="DS7" s="1217"/>
      <c r="DT7" s="1217"/>
      <c r="DU7" s="1217">
        <v>3640.2374491180462</v>
      </c>
      <c r="DV7" s="1217"/>
      <c r="DW7" s="1217"/>
      <c r="DX7" s="1217"/>
      <c r="DY7" s="1217">
        <v>3760.6643181818181</v>
      </c>
      <c r="DZ7" s="1217"/>
      <c r="EA7" s="1217"/>
      <c r="EB7" s="1217"/>
      <c r="EC7" s="1217"/>
      <c r="ED7" s="1217" t="s">
        <v>436</v>
      </c>
      <c r="EE7" s="1217">
        <v>2814.5841248303936</v>
      </c>
      <c r="EF7" s="1217"/>
      <c r="EG7" s="1217"/>
      <c r="EH7" s="1217"/>
      <c r="EI7" s="1217"/>
      <c r="EJ7" s="1217">
        <v>3837.8953181818179</v>
      </c>
      <c r="EK7" s="1217"/>
      <c r="EL7" s="1217"/>
      <c r="EM7" s="1217"/>
      <c r="EN7" s="1217">
        <v>3640.2374491180462</v>
      </c>
      <c r="EO7" s="1217"/>
      <c r="EP7" s="1217"/>
      <c r="EQ7" s="1217"/>
      <c r="ER7" s="1217">
        <v>3962.7298636363635</v>
      </c>
      <c r="ES7" s="1217"/>
      <c r="ET7" s="1217"/>
      <c r="EU7" s="1217"/>
      <c r="EV7" s="1217"/>
      <c r="EW7" s="1217" t="s">
        <v>436</v>
      </c>
      <c r="EX7" s="1217">
        <v>2814.5841248303936</v>
      </c>
      <c r="EY7" s="1217"/>
      <c r="EZ7" s="1217"/>
      <c r="FA7" s="1217"/>
      <c r="FB7" s="1217"/>
      <c r="FC7" s="1217">
        <v>3805.4623999999999</v>
      </c>
      <c r="FD7" s="1217"/>
      <c r="FE7" s="1217"/>
      <c r="FF7" s="1217"/>
      <c r="FG7" s="1217">
        <v>3640.2374491180462</v>
      </c>
      <c r="FH7" s="1217"/>
      <c r="FI7" s="1217"/>
      <c r="FJ7" s="1217"/>
      <c r="FK7" s="1217">
        <v>3996.4074545454546</v>
      </c>
      <c r="FL7" s="1217"/>
      <c r="FM7" s="1217"/>
      <c r="FN7" s="1217"/>
    </row>
    <row r="8" spans="2:170">
      <c r="B8" s="1217" t="s">
        <v>440</v>
      </c>
      <c r="C8" s="1217">
        <v>357</v>
      </c>
      <c r="D8" s="1217"/>
      <c r="E8" s="1217"/>
      <c r="F8" s="1217"/>
      <c r="G8" s="1217"/>
      <c r="H8" s="1217">
        <v>355</v>
      </c>
      <c r="I8" s="1217"/>
      <c r="J8" s="1217"/>
      <c r="K8" s="1217"/>
      <c r="L8" s="1217"/>
      <c r="M8" s="1217" t="s">
        <v>440</v>
      </c>
      <c r="N8" s="1217">
        <v>360</v>
      </c>
      <c r="O8" s="1217"/>
      <c r="P8" s="1217"/>
      <c r="Q8" s="1217"/>
      <c r="R8" s="1217"/>
      <c r="S8" s="1217">
        <v>355</v>
      </c>
      <c r="T8" s="1217"/>
      <c r="U8" s="1217"/>
      <c r="V8" s="1217"/>
      <c r="W8" s="1217"/>
      <c r="X8" s="1217" t="s">
        <v>440</v>
      </c>
      <c r="Y8" s="1217">
        <v>357</v>
      </c>
      <c r="Z8" s="1217"/>
      <c r="AA8" s="1217"/>
      <c r="AB8" s="1217"/>
      <c r="AC8" s="1217"/>
      <c r="AD8" s="1217">
        <v>352</v>
      </c>
      <c r="AE8" s="1217"/>
      <c r="AF8" s="1217"/>
      <c r="AG8" s="1217"/>
      <c r="AH8" s="1217">
        <v>357</v>
      </c>
      <c r="AI8" s="1217"/>
      <c r="AJ8" s="1217"/>
      <c r="AK8" s="1217"/>
      <c r="AL8" s="1217"/>
      <c r="AM8" s="1217" t="s">
        <v>440</v>
      </c>
      <c r="AN8" s="1217">
        <v>357</v>
      </c>
      <c r="AO8" s="1217"/>
      <c r="AP8" s="1217"/>
      <c r="AQ8" s="1217"/>
      <c r="AR8" s="1217"/>
      <c r="AS8" s="1217">
        <v>355</v>
      </c>
      <c r="AT8" s="1217"/>
      <c r="AU8" s="1217"/>
      <c r="AV8" s="1217"/>
      <c r="AW8" s="1217">
        <v>357</v>
      </c>
      <c r="AX8" s="1217"/>
      <c r="AY8" s="1217"/>
      <c r="AZ8" s="1217"/>
      <c r="BA8" s="1217">
        <v>356</v>
      </c>
      <c r="BB8" s="1217"/>
      <c r="BC8" s="1217"/>
      <c r="BD8" s="1217"/>
      <c r="BE8" s="1217"/>
      <c r="BF8" s="1217" t="s">
        <v>440</v>
      </c>
      <c r="BG8" s="1217">
        <v>357</v>
      </c>
      <c r="BH8" s="1217"/>
      <c r="BI8" s="1217"/>
      <c r="BJ8" s="1217"/>
      <c r="BK8" s="1217"/>
      <c r="BL8" s="1217">
        <v>334</v>
      </c>
      <c r="BM8" s="1217"/>
      <c r="BN8" s="1217"/>
      <c r="BO8" s="1217"/>
      <c r="BP8" s="1217">
        <v>357</v>
      </c>
      <c r="BQ8" s="1217"/>
      <c r="BR8" s="1217"/>
      <c r="BS8" s="1217"/>
      <c r="BT8" s="1217">
        <v>356</v>
      </c>
      <c r="BU8" s="1217"/>
      <c r="BV8" s="1217"/>
      <c r="BW8" s="1217"/>
      <c r="BX8" s="1217"/>
      <c r="BY8" s="1217" t="s">
        <v>440</v>
      </c>
      <c r="BZ8" s="1217">
        <v>357</v>
      </c>
      <c r="CA8" s="1217"/>
      <c r="CB8" s="1217"/>
      <c r="CC8" s="1217"/>
      <c r="CD8" s="1217"/>
      <c r="CE8" s="1217">
        <v>355</v>
      </c>
      <c r="CF8" s="1217"/>
      <c r="CG8" s="1217"/>
      <c r="CH8" s="1217"/>
      <c r="CI8" s="1217">
        <v>357</v>
      </c>
      <c r="CJ8" s="1217"/>
      <c r="CK8" s="1217"/>
      <c r="CL8" s="1217"/>
      <c r="CM8" s="1217">
        <v>353</v>
      </c>
      <c r="CN8" s="1217"/>
      <c r="CO8" s="1217"/>
      <c r="CP8" s="1217"/>
      <c r="CQ8" s="1217"/>
      <c r="CR8" s="1217" t="s">
        <v>440</v>
      </c>
      <c r="CS8" s="1217">
        <v>336</v>
      </c>
      <c r="CT8" s="1217"/>
      <c r="CU8" s="1217"/>
      <c r="CV8" s="1217"/>
      <c r="CW8" s="1217"/>
      <c r="CX8" s="1217">
        <v>352</v>
      </c>
      <c r="CY8" s="1217"/>
      <c r="CZ8" s="1217"/>
      <c r="DA8" s="1217"/>
      <c r="DB8" s="1217">
        <v>333</v>
      </c>
      <c r="DC8" s="1217"/>
      <c r="DD8" s="1217"/>
      <c r="DE8" s="1217"/>
      <c r="DF8" s="1217">
        <v>356</v>
      </c>
      <c r="DG8" s="1217"/>
      <c r="DH8" s="1217"/>
      <c r="DI8" s="1217"/>
      <c r="DJ8" s="1217"/>
      <c r="DK8" s="1217" t="s">
        <v>440</v>
      </c>
      <c r="DL8" s="1217">
        <v>357</v>
      </c>
      <c r="DM8" s="1217"/>
      <c r="DN8" s="1217"/>
      <c r="DO8" s="1217"/>
      <c r="DP8" s="1217"/>
      <c r="DQ8" s="1217">
        <v>355</v>
      </c>
      <c r="DR8" s="1217"/>
      <c r="DS8" s="1217"/>
      <c r="DT8" s="1217"/>
      <c r="DU8" s="1217">
        <v>357</v>
      </c>
      <c r="DV8" s="1217"/>
      <c r="DW8" s="1217"/>
      <c r="DX8" s="1217"/>
      <c r="DY8" s="1217">
        <v>335</v>
      </c>
      <c r="DZ8" s="1217"/>
      <c r="EA8" s="1217"/>
      <c r="EB8" s="1217"/>
      <c r="EC8" s="1217"/>
      <c r="ED8" s="1217" t="s">
        <v>440</v>
      </c>
      <c r="EE8" s="1217">
        <v>357</v>
      </c>
      <c r="EF8" s="1217"/>
      <c r="EG8" s="1217"/>
      <c r="EH8" s="1217"/>
      <c r="EI8" s="1217"/>
      <c r="EJ8" s="1217">
        <v>355</v>
      </c>
      <c r="EK8" s="1217"/>
      <c r="EL8" s="1217"/>
      <c r="EM8" s="1217"/>
      <c r="EN8" s="1217">
        <v>357</v>
      </c>
      <c r="EO8" s="1217"/>
      <c r="EP8" s="1217"/>
      <c r="EQ8" s="1217"/>
      <c r="ER8" s="1217">
        <v>353</v>
      </c>
      <c r="ES8" s="1217"/>
      <c r="ET8" s="1217"/>
      <c r="EU8" s="1217"/>
      <c r="EV8" s="1217"/>
      <c r="EW8" s="1217" t="s">
        <v>440</v>
      </c>
      <c r="EX8" s="1217">
        <v>357</v>
      </c>
      <c r="EY8" s="1217"/>
      <c r="EZ8" s="1217"/>
      <c r="FA8" s="1217"/>
      <c r="FB8" s="1217"/>
      <c r="FC8" s="1217">
        <v>352</v>
      </c>
      <c r="FD8" s="1217"/>
      <c r="FE8" s="1217"/>
      <c r="FF8" s="1217"/>
      <c r="FG8" s="1217">
        <v>357</v>
      </c>
      <c r="FH8" s="1217"/>
      <c r="FI8" s="1217"/>
      <c r="FJ8" s="1217"/>
      <c r="FK8" s="1217">
        <v>356</v>
      </c>
      <c r="FL8" s="1217"/>
      <c r="FM8" s="1217"/>
      <c r="FN8" s="1217"/>
    </row>
    <row r="9" spans="2:170">
      <c r="B9" s="1217" t="s">
        <v>441</v>
      </c>
      <c r="C9" s="1217">
        <v>4</v>
      </c>
      <c r="D9" s="1217"/>
      <c r="E9" s="1217"/>
      <c r="F9" s="1217"/>
      <c r="G9" s="1217"/>
      <c r="H9" s="1217"/>
      <c r="I9" s="1217"/>
      <c r="J9" s="1217"/>
      <c r="K9" s="1217"/>
      <c r="L9" s="1217"/>
      <c r="M9" s="1217" t="s">
        <v>441</v>
      </c>
      <c r="N9" s="1217">
        <v>4</v>
      </c>
      <c r="O9" s="1217"/>
      <c r="P9" s="1217"/>
      <c r="Q9" s="1217"/>
      <c r="R9" s="1217"/>
      <c r="S9" s="1217"/>
      <c r="T9" s="1217"/>
      <c r="U9" s="1217"/>
      <c r="V9" s="1217"/>
      <c r="W9" s="1217"/>
      <c r="X9" s="1217" t="s">
        <v>441</v>
      </c>
      <c r="Y9" s="1217">
        <v>4</v>
      </c>
      <c r="Z9" s="1217"/>
      <c r="AA9" s="1217"/>
      <c r="AB9" s="1217"/>
      <c r="AC9" s="1217"/>
      <c r="AD9" s="1217"/>
      <c r="AE9" s="1217"/>
      <c r="AF9" s="1217"/>
      <c r="AG9" s="1217"/>
      <c r="AH9" s="1217"/>
      <c r="AI9" s="1217"/>
      <c r="AJ9" s="1217"/>
      <c r="AK9" s="1217"/>
      <c r="AL9" s="1217"/>
      <c r="AM9" s="1217" t="s">
        <v>441</v>
      </c>
      <c r="AN9" s="1217">
        <v>4</v>
      </c>
      <c r="AO9" s="1217"/>
      <c r="AP9" s="1217"/>
      <c r="AQ9" s="1217"/>
      <c r="AR9" s="1217"/>
      <c r="AS9" s="1217"/>
      <c r="AT9" s="1217"/>
      <c r="AU9" s="1217"/>
      <c r="AV9" s="1217"/>
      <c r="AW9" s="1217"/>
      <c r="AX9" s="1217"/>
      <c r="AY9" s="1217"/>
      <c r="AZ9" s="1217"/>
      <c r="BA9" s="1217"/>
      <c r="BB9" s="1217"/>
      <c r="BC9" s="1217"/>
      <c r="BD9" s="1217"/>
      <c r="BE9" s="1217"/>
      <c r="BF9" s="1217" t="s">
        <v>441</v>
      </c>
      <c r="BG9" s="1217">
        <v>4</v>
      </c>
      <c r="BH9" s="1217"/>
      <c r="BI9" s="1217"/>
      <c r="BJ9" s="1217"/>
      <c r="BK9" s="1217"/>
      <c r="BL9" s="1217"/>
      <c r="BM9" s="1217"/>
      <c r="BN9" s="1217"/>
      <c r="BO9" s="1217"/>
      <c r="BP9" s="1217"/>
      <c r="BQ9" s="1217"/>
      <c r="BR9" s="1217"/>
      <c r="BS9" s="1217"/>
      <c r="BT9" s="1217"/>
      <c r="BU9" s="1217"/>
      <c r="BV9" s="1217"/>
      <c r="BW9" s="1217"/>
      <c r="BX9" s="1217"/>
      <c r="BY9" s="1217" t="s">
        <v>441</v>
      </c>
      <c r="BZ9" s="1217">
        <v>4</v>
      </c>
      <c r="CA9" s="1217"/>
      <c r="CB9" s="1217"/>
      <c r="CC9" s="1217"/>
      <c r="CD9" s="1217"/>
      <c r="CE9" s="1217"/>
      <c r="CF9" s="1217"/>
      <c r="CG9" s="1217"/>
      <c r="CH9" s="1217"/>
      <c r="CI9" s="1217"/>
      <c r="CJ9" s="1217"/>
      <c r="CK9" s="1217"/>
      <c r="CL9" s="1217"/>
      <c r="CM9" s="1217"/>
      <c r="CN9" s="1217"/>
      <c r="CO9" s="1217"/>
      <c r="CP9" s="1217"/>
      <c r="CQ9" s="1217"/>
      <c r="CR9" s="1217" t="s">
        <v>441</v>
      </c>
      <c r="CS9" s="1217">
        <v>4</v>
      </c>
      <c r="CT9" s="1217"/>
      <c r="CU9" s="1217"/>
      <c r="CV9" s="1217"/>
      <c r="CW9" s="1217"/>
      <c r="CX9" s="1217"/>
      <c r="CY9" s="1217"/>
      <c r="CZ9" s="1217"/>
      <c r="DA9" s="1217"/>
      <c r="DB9" s="1217"/>
      <c r="DC9" s="1217"/>
      <c r="DD9" s="1217"/>
      <c r="DE9" s="1217"/>
      <c r="DF9" s="1217"/>
      <c r="DG9" s="1217"/>
      <c r="DH9" s="1217"/>
      <c r="DI9" s="1217"/>
      <c r="DJ9" s="1217"/>
      <c r="DK9" s="1217" t="s">
        <v>441</v>
      </c>
      <c r="DL9" s="1217">
        <v>4</v>
      </c>
      <c r="DM9" s="1217"/>
      <c r="DN9" s="1217"/>
      <c r="DO9" s="1217"/>
      <c r="DP9" s="1217"/>
      <c r="DQ9" s="1217"/>
      <c r="DR9" s="1217"/>
      <c r="DS9" s="1217"/>
      <c r="DT9" s="1217"/>
      <c r="DU9" s="1217"/>
      <c r="DV9" s="1217"/>
      <c r="DW9" s="1217"/>
      <c r="DX9" s="1217"/>
      <c r="DY9" s="1217"/>
      <c r="DZ9" s="1217"/>
      <c r="EA9" s="1217"/>
      <c r="EB9" s="1217"/>
      <c r="EC9" s="1217"/>
      <c r="ED9" s="1217" t="s">
        <v>441</v>
      </c>
      <c r="EE9" s="1217">
        <v>4</v>
      </c>
      <c r="EF9" s="1217"/>
      <c r="EG9" s="1217"/>
      <c r="EH9" s="1217"/>
      <c r="EI9" s="1217"/>
      <c r="EJ9" s="1217"/>
      <c r="EK9" s="1217"/>
      <c r="EL9" s="1217"/>
      <c r="EM9" s="1217"/>
      <c r="EN9" s="1217"/>
      <c r="EO9" s="1217"/>
      <c r="EP9" s="1217"/>
      <c r="EQ9" s="1217"/>
      <c r="ER9" s="1217"/>
      <c r="ES9" s="1217"/>
      <c r="ET9" s="1217"/>
      <c r="EU9" s="1217"/>
      <c r="EV9" s="1217"/>
      <c r="EW9" s="1217" t="s">
        <v>441</v>
      </c>
      <c r="EX9" s="1217">
        <v>4</v>
      </c>
      <c r="EY9" s="1217"/>
      <c r="EZ9" s="1217"/>
      <c r="FA9" s="1217"/>
      <c r="FB9" s="1217"/>
      <c r="FC9" s="1217"/>
      <c r="FD9" s="1217"/>
      <c r="FE9" s="1217"/>
      <c r="FF9" s="1217"/>
      <c r="FG9" s="1217"/>
      <c r="FH9" s="1217"/>
      <c r="FI9" s="1217"/>
      <c r="FJ9" s="1217"/>
      <c r="FK9" s="1217"/>
      <c r="FL9" s="1217"/>
      <c r="FM9" s="1217"/>
      <c r="FN9" s="1217"/>
    </row>
    <row r="10" spans="2:170">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c r="AA10" s="128"/>
      <c r="AB10" s="128"/>
      <c r="AC10" s="128"/>
      <c r="AD10" s="128"/>
      <c r="AE10" s="128"/>
      <c r="AF10" s="128"/>
      <c r="AG10" s="128"/>
      <c r="AH10" s="128"/>
      <c r="AI10" s="128"/>
      <c r="AJ10" s="128"/>
      <c r="AK10" s="128"/>
      <c r="AL10" s="128"/>
      <c r="AM10" s="128"/>
      <c r="AN10" s="128"/>
      <c r="AO10" s="128"/>
      <c r="AP10" s="128"/>
      <c r="AQ10" s="128"/>
      <c r="AR10" s="128"/>
      <c r="AS10" s="128"/>
      <c r="AT10" s="128"/>
      <c r="AU10" s="128"/>
      <c r="AV10" s="128"/>
      <c r="AW10" s="128"/>
      <c r="AX10" s="128"/>
      <c r="AY10" s="128"/>
      <c r="AZ10" s="128"/>
      <c r="BA10" s="128"/>
      <c r="BB10" s="128"/>
      <c r="BC10" s="128"/>
      <c r="BD10" s="128"/>
      <c r="BE10" s="128"/>
      <c r="BF10" s="128"/>
      <c r="BG10" s="128"/>
      <c r="BH10" s="128"/>
      <c r="BI10" s="128"/>
      <c r="BJ10" s="128"/>
      <c r="BK10" s="128"/>
      <c r="BL10" s="128"/>
      <c r="BM10" s="128"/>
      <c r="BN10" s="128"/>
      <c r="BO10" s="128"/>
      <c r="BP10" s="128"/>
      <c r="BQ10" s="128"/>
      <c r="BR10" s="128"/>
      <c r="BS10" s="128"/>
      <c r="BT10" s="128"/>
      <c r="BU10" s="128"/>
      <c r="BV10" s="128"/>
      <c r="BW10" s="128"/>
      <c r="BX10" s="128"/>
      <c r="BY10" s="128"/>
      <c r="BZ10" s="128"/>
      <c r="CA10" s="128"/>
      <c r="CB10" s="128"/>
      <c r="CC10" s="128"/>
      <c r="CD10" s="128"/>
      <c r="CE10" s="128"/>
      <c r="CF10" s="128"/>
      <c r="CG10" s="128"/>
      <c r="CH10" s="128"/>
      <c r="CI10" s="128"/>
      <c r="CJ10" s="128"/>
      <c r="CK10" s="128"/>
      <c r="CL10" s="128"/>
      <c r="CM10" s="128"/>
      <c r="CN10" s="128"/>
      <c r="CO10" s="128"/>
      <c r="CP10" s="128"/>
      <c r="CQ10" s="128"/>
      <c r="CR10" s="128"/>
      <c r="CS10" s="128"/>
      <c r="CT10" s="128"/>
      <c r="CU10" s="128"/>
      <c r="CV10" s="128"/>
      <c r="CW10" s="128"/>
      <c r="CX10" s="128"/>
      <c r="CY10" s="128"/>
      <c r="CZ10" s="128"/>
      <c r="DA10" s="128"/>
      <c r="DB10" s="128"/>
      <c r="DC10" s="128"/>
      <c r="DD10" s="128"/>
      <c r="DE10" s="128"/>
      <c r="DF10" s="128"/>
      <c r="DG10" s="128"/>
      <c r="DH10" s="128"/>
      <c r="DI10" s="128"/>
      <c r="DJ10" s="128"/>
      <c r="DK10" s="128"/>
      <c r="DL10" s="128"/>
      <c r="DM10" s="128"/>
      <c r="DN10" s="128"/>
      <c r="DO10" s="128"/>
      <c r="DP10" s="128"/>
      <c r="DQ10" s="128"/>
      <c r="DR10" s="128"/>
      <c r="DS10" s="128"/>
      <c r="DT10" s="128"/>
      <c r="DU10" s="128"/>
      <c r="DV10" s="128"/>
      <c r="DW10" s="128"/>
      <c r="DX10" s="128"/>
      <c r="DY10" s="128"/>
      <c r="DZ10" s="128"/>
      <c r="EA10" s="128"/>
      <c r="EB10" s="128"/>
      <c r="EC10" s="128"/>
      <c r="ED10" s="128"/>
      <c r="EE10" s="128"/>
      <c r="EF10" s="128"/>
      <c r="EG10" s="128"/>
      <c r="EH10" s="128"/>
      <c r="EI10" s="128"/>
      <c r="EJ10" s="128"/>
      <c r="EK10" s="128"/>
      <c r="EL10" s="128"/>
      <c r="EM10" s="128"/>
      <c r="EN10" s="128"/>
      <c r="EO10" s="128"/>
      <c r="EP10" s="128"/>
      <c r="EQ10" s="128"/>
      <c r="ER10" s="128"/>
      <c r="ES10" s="128"/>
      <c r="ET10" s="128"/>
      <c r="EU10" s="128"/>
      <c r="EV10" s="128"/>
      <c r="EW10" s="128"/>
      <c r="EX10" s="128"/>
      <c r="EY10" s="128"/>
      <c r="EZ10" s="128"/>
      <c r="FA10" s="128"/>
      <c r="FB10" s="128"/>
      <c r="FC10" s="128"/>
      <c r="FD10" s="128"/>
      <c r="FE10" s="128"/>
      <c r="FF10" s="128"/>
      <c r="FG10" s="128"/>
      <c r="FH10" s="128"/>
      <c r="FI10" s="128"/>
      <c r="FJ10" s="128"/>
      <c r="FK10" s="128"/>
      <c r="FL10" s="128"/>
      <c r="FM10" s="128"/>
      <c r="FN10" s="128"/>
    </row>
    <row r="11" spans="2:170">
      <c r="B11" s="128"/>
      <c r="C11" s="128"/>
      <c r="D11" s="128"/>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128"/>
      <c r="AC11" s="128"/>
      <c r="AD11" s="128"/>
      <c r="AE11" s="128"/>
      <c r="AF11" s="128"/>
      <c r="AG11" s="128"/>
      <c r="AH11" s="128"/>
      <c r="AI11" s="128"/>
      <c r="AJ11" s="128"/>
      <c r="AK11" s="128"/>
      <c r="AL11" s="128"/>
      <c r="AM11" s="128"/>
      <c r="AN11" s="128"/>
      <c r="AO11" s="128"/>
      <c r="AP11" s="128"/>
      <c r="AQ11" s="128"/>
      <c r="AR11" s="128"/>
      <c r="AS11" s="128"/>
      <c r="AT11" s="128"/>
      <c r="AU11" s="128"/>
      <c r="AV11" s="128"/>
      <c r="AW11" s="128"/>
      <c r="AX11" s="128"/>
      <c r="AY11" s="128"/>
      <c r="AZ11" s="128"/>
      <c r="BA11" s="128"/>
      <c r="BB11" s="128"/>
      <c r="BC11" s="128"/>
      <c r="BD11" s="128"/>
      <c r="BE11" s="128"/>
      <c r="BF11" s="128"/>
      <c r="BG11" s="128"/>
      <c r="BH11" s="128"/>
      <c r="BI11" s="128"/>
      <c r="BJ11" s="128"/>
      <c r="BK11" s="128"/>
      <c r="BL11" s="128"/>
      <c r="BM11" s="128"/>
      <c r="BN11" s="128"/>
      <c r="BO11" s="128"/>
      <c r="BP11" s="128"/>
      <c r="BQ11" s="128"/>
      <c r="BR11" s="128"/>
      <c r="BS11" s="128"/>
      <c r="BT11" s="128"/>
      <c r="BU11" s="128"/>
      <c r="BV11" s="128"/>
      <c r="BW11" s="128"/>
      <c r="BX11" s="128"/>
      <c r="BY11" s="128"/>
      <c r="BZ11" s="128"/>
      <c r="CA11" s="128"/>
      <c r="CB11" s="128"/>
      <c r="CC11" s="128"/>
      <c r="CD11" s="128"/>
      <c r="CE11" s="128"/>
      <c r="CF11" s="128"/>
      <c r="CG11" s="128"/>
      <c r="CH11" s="128"/>
      <c r="CI11" s="128"/>
      <c r="CJ11" s="128"/>
      <c r="CK11" s="128"/>
      <c r="CL11" s="128"/>
      <c r="CM11" s="128"/>
      <c r="CN11" s="128"/>
      <c r="CO11" s="128"/>
      <c r="CP11" s="128"/>
      <c r="CQ11" s="128"/>
      <c r="CR11" s="128"/>
      <c r="CS11" s="128"/>
      <c r="CT11" s="128"/>
      <c r="CU11" s="128"/>
      <c r="CV11" s="128"/>
      <c r="CW11" s="128"/>
      <c r="CX11" s="128"/>
      <c r="CY11" s="128"/>
      <c r="CZ11" s="128"/>
      <c r="DA11" s="128"/>
      <c r="DB11" s="128"/>
      <c r="DC11" s="128"/>
      <c r="DD11" s="128"/>
      <c r="DE11" s="128"/>
      <c r="DF11" s="128"/>
      <c r="DG11" s="128"/>
      <c r="DH11" s="128"/>
      <c r="DI11" s="128"/>
      <c r="DJ11" s="128"/>
      <c r="DK11" s="128"/>
      <c r="DL11" s="128"/>
      <c r="DM11" s="128"/>
      <c r="DN11" s="128"/>
      <c r="DO11" s="128"/>
      <c r="DP11" s="128"/>
      <c r="DQ11" s="128"/>
      <c r="DR11" s="128"/>
      <c r="DS11" s="128"/>
      <c r="DT11" s="128"/>
      <c r="DU11" s="128"/>
      <c r="DV11" s="128"/>
      <c r="DW11" s="128"/>
      <c r="DX11" s="128"/>
      <c r="DY11" s="128"/>
      <c r="DZ11" s="128"/>
      <c r="EA11" s="128"/>
      <c r="EB11" s="128"/>
      <c r="EC11" s="128"/>
      <c r="ED11" s="128"/>
      <c r="EE11" s="128"/>
      <c r="EF11" s="128"/>
      <c r="EG11" s="128"/>
      <c r="EH11" s="128"/>
      <c r="EI11" s="128"/>
      <c r="EJ11" s="128"/>
      <c r="EK11" s="128"/>
      <c r="EL11" s="128"/>
      <c r="EM11" s="128"/>
      <c r="EN11" s="128"/>
      <c r="EO11" s="128"/>
      <c r="EP11" s="128"/>
      <c r="EQ11" s="128"/>
      <c r="ER11" s="128"/>
      <c r="ES11" s="128"/>
      <c r="ET11" s="128"/>
      <c r="EU11" s="128"/>
      <c r="EV11" s="128"/>
      <c r="EW11" s="128"/>
      <c r="EX11" s="128"/>
      <c r="EY11" s="128"/>
      <c r="EZ11" s="128"/>
      <c r="FA11" s="128"/>
      <c r="FB11" s="128"/>
      <c r="FC11" s="128"/>
      <c r="FD11" s="128"/>
      <c r="FE11" s="128"/>
      <c r="FF11" s="128"/>
      <c r="FG11" s="128"/>
      <c r="FH11" s="128"/>
      <c r="FI11" s="128"/>
      <c r="FJ11" s="128"/>
      <c r="FK11" s="128"/>
      <c r="FL11" s="128"/>
      <c r="FM11" s="128"/>
      <c r="FN11" s="128"/>
    </row>
    <row r="12" spans="2:170">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c r="DU12" s="128"/>
      <c r="DV12" s="128"/>
      <c r="DW12" s="128"/>
      <c r="DX12" s="128"/>
      <c r="DY12" s="128"/>
      <c r="DZ12" s="128"/>
      <c r="EA12" s="128"/>
      <c r="EB12" s="128"/>
      <c r="EC12" s="128"/>
      <c r="ED12" s="128"/>
      <c r="EE12" s="128"/>
      <c r="EF12" s="128"/>
      <c r="EG12" s="128"/>
      <c r="EH12" s="128"/>
      <c r="EI12" s="128"/>
      <c r="EJ12" s="128"/>
      <c r="EK12" s="128"/>
      <c r="EL12" s="128"/>
      <c r="EM12" s="128"/>
      <c r="EN12" s="128"/>
      <c r="EO12" s="128"/>
      <c r="EP12" s="128"/>
      <c r="EQ12" s="128"/>
      <c r="ER12" s="128"/>
      <c r="ES12" s="128"/>
      <c r="ET12" s="128"/>
      <c r="EU12" s="128"/>
      <c r="EV12" s="128"/>
      <c r="EW12" s="128"/>
      <c r="EX12" s="128"/>
      <c r="EY12" s="128"/>
      <c r="EZ12" s="128"/>
      <c r="FA12" s="128"/>
      <c r="FB12" s="128"/>
      <c r="FC12" s="128"/>
      <c r="FD12" s="128"/>
      <c r="FE12" s="128"/>
      <c r="FF12" s="128"/>
      <c r="FG12" s="128"/>
      <c r="FH12" s="128"/>
      <c r="FI12" s="128"/>
      <c r="FJ12" s="128"/>
      <c r="FK12" s="128"/>
      <c r="FL12" s="128"/>
      <c r="FM12" s="128"/>
      <c r="FN12" s="128"/>
    </row>
    <row r="13" spans="2:170">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8"/>
      <c r="DS13" s="128"/>
      <c r="DT13" s="128"/>
      <c r="DU13" s="128"/>
      <c r="DV13" s="128"/>
      <c r="DW13" s="128"/>
      <c r="DX13" s="128"/>
      <c r="DY13" s="128"/>
      <c r="DZ13" s="128"/>
      <c r="EA13" s="128"/>
      <c r="EB13" s="128"/>
      <c r="EC13" s="128"/>
      <c r="ED13" s="128"/>
      <c r="EE13" s="128"/>
      <c r="EF13" s="128"/>
      <c r="EG13" s="128"/>
      <c r="EH13" s="128"/>
      <c r="EI13" s="128"/>
      <c r="EJ13" s="128"/>
      <c r="EK13" s="128"/>
      <c r="EL13" s="128"/>
      <c r="EM13" s="128"/>
      <c r="EN13" s="128"/>
      <c r="EO13" s="128"/>
      <c r="EP13" s="128"/>
      <c r="EQ13" s="128"/>
      <c r="ER13" s="128"/>
      <c r="ES13" s="128"/>
      <c r="ET13" s="128"/>
      <c r="EU13" s="128"/>
      <c r="EV13" s="128"/>
      <c r="EW13" s="128"/>
      <c r="EX13" s="128"/>
      <c r="EY13" s="128"/>
      <c r="EZ13" s="128"/>
      <c r="FA13" s="128"/>
      <c r="FB13" s="128"/>
      <c r="FC13" s="128"/>
      <c r="FD13" s="128"/>
      <c r="FE13" s="128"/>
      <c r="FF13" s="128"/>
      <c r="FG13" s="128"/>
      <c r="FH13" s="128"/>
      <c r="FI13" s="128"/>
      <c r="FJ13" s="128"/>
      <c r="FK13" s="128"/>
      <c r="FL13" s="128"/>
      <c r="FM13" s="128"/>
      <c r="FN13" s="128"/>
    </row>
    <row r="14" spans="2:170">
      <c r="B14" s="128" t="s">
        <v>447</v>
      </c>
      <c r="C14" s="128"/>
      <c r="D14" s="128"/>
      <c r="E14" s="128"/>
      <c r="F14" s="128"/>
      <c r="G14" s="128"/>
      <c r="H14" s="128"/>
      <c r="I14" s="128"/>
      <c r="J14" s="128"/>
      <c r="K14" s="128"/>
      <c r="L14" s="128"/>
      <c r="M14" s="128" t="s">
        <v>447</v>
      </c>
      <c r="N14" s="128"/>
      <c r="O14" s="128"/>
      <c r="P14" s="128"/>
      <c r="Q14" s="128"/>
      <c r="R14" s="128"/>
      <c r="S14" s="128"/>
      <c r="T14" s="128"/>
      <c r="U14" s="128"/>
      <c r="V14" s="128"/>
      <c r="W14" s="128"/>
      <c r="X14" s="128" t="s">
        <v>447</v>
      </c>
      <c r="Y14" s="128"/>
      <c r="Z14" s="128"/>
      <c r="AA14" s="128"/>
      <c r="AB14" s="128"/>
      <c r="AC14" s="128"/>
      <c r="AD14" s="128"/>
      <c r="AE14" s="128"/>
      <c r="AF14" s="128"/>
      <c r="AG14" s="128"/>
      <c r="AH14" s="128"/>
      <c r="AI14" s="128"/>
      <c r="AJ14" s="128"/>
      <c r="AK14" s="128"/>
      <c r="AL14" s="128"/>
      <c r="AM14" s="128" t="s">
        <v>447</v>
      </c>
      <c r="AN14" s="128"/>
      <c r="AO14" s="128"/>
      <c r="AP14" s="128"/>
      <c r="AQ14" s="128"/>
      <c r="AR14" s="128"/>
      <c r="AS14" s="128"/>
      <c r="AT14" s="128"/>
      <c r="AU14" s="128"/>
      <c r="AV14" s="128"/>
      <c r="AW14" s="128"/>
      <c r="AX14" s="128"/>
      <c r="AY14" s="128"/>
      <c r="AZ14" s="128"/>
      <c r="BA14" s="128"/>
      <c r="BB14" s="128"/>
      <c r="BC14" s="128"/>
      <c r="BD14" s="128"/>
      <c r="BE14" s="128"/>
      <c r="BF14" s="128" t="s">
        <v>447</v>
      </c>
      <c r="BG14" s="128"/>
      <c r="BH14" s="128"/>
      <c r="BI14" s="128"/>
      <c r="BJ14" s="128"/>
      <c r="BK14" s="128"/>
      <c r="BL14" s="128"/>
      <c r="BM14" s="128"/>
      <c r="BN14" s="128"/>
      <c r="BO14" s="128"/>
      <c r="BP14" s="128"/>
      <c r="BQ14" s="128"/>
      <c r="BR14" s="128"/>
      <c r="BS14" s="128"/>
      <c r="BT14" s="128"/>
      <c r="BU14" s="128"/>
      <c r="BV14" s="128"/>
      <c r="BW14" s="128"/>
      <c r="BX14" s="128"/>
      <c r="BY14" s="128" t="s">
        <v>447</v>
      </c>
      <c r="BZ14" s="128"/>
      <c r="CA14" s="128"/>
      <c r="CB14" s="128"/>
      <c r="CC14" s="128"/>
      <c r="CD14" s="128"/>
      <c r="CE14" s="128"/>
      <c r="CF14" s="128"/>
      <c r="CG14" s="128"/>
      <c r="CH14" s="128"/>
      <c r="CI14" s="128"/>
      <c r="CJ14" s="128"/>
      <c r="CK14" s="128"/>
      <c r="CL14" s="128"/>
      <c r="CM14" s="128"/>
      <c r="CN14" s="128"/>
      <c r="CO14" s="128"/>
      <c r="CP14" s="128"/>
      <c r="CQ14" s="128"/>
      <c r="CR14" s="128" t="s">
        <v>447</v>
      </c>
      <c r="CS14" s="128"/>
      <c r="CT14" s="128"/>
      <c r="CU14" s="128"/>
      <c r="CV14" s="128"/>
      <c r="CW14" s="128"/>
      <c r="CX14" s="128"/>
      <c r="CY14" s="128"/>
      <c r="CZ14" s="128"/>
      <c r="DA14" s="128"/>
      <c r="DB14" s="128"/>
      <c r="DC14" s="128"/>
      <c r="DD14" s="128"/>
      <c r="DE14" s="128"/>
      <c r="DF14" s="128"/>
      <c r="DG14" s="128"/>
      <c r="DH14" s="128"/>
      <c r="DI14" s="128"/>
      <c r="DJ14" s="128"/>
      <c r="DK14" s="128" t="s">
        <v>447</v>
      </c>
      <c r="DL14" s="128"/>
      <c r="DM14" s="128"/>
      <c r="DN14" s="128"/>
      <c r="DO14" s="128"/>
      <c r="DP14" s="128"/>
      <c r="DQ14" s="128"/>
      <c r="DR14" s="128"/>
      <c r="DS14" s="128"/>
      <c r="DT14" s="128"/>
      <c r="DU14" s="128"/>
      <c r="DV14" s="128"/>
      <c r="DW14" s="128"/>
      <c r="DX14" s="128"/>
      <c r="DY14" s="128"/>
      <c r="DZ14" s="128"/>
      <c r="EA14" s="128"/>
      <c r="EB14" s="128"/>
      <c r="EC14" s="128"/>
      <c r="ED14" s="128" t="s">
        <v>447</v>
      </c>
      <c r="EE14" s="128"/>
      <c r="EF14" s="128"/>
      <c r="EG14" s="128"/>
      <c r="EH14" s="128"/>
      <c r="EI14" s="128"/>
      <c r="EJ14" s="128"/>
      <c r="EK14" s="128"/>
      <c r="EL14" s="128"/>
      <c r="EM14" s="128"/>
      <c r="EN14" s="128"/>
      <c r="EO14" s="128"/>
      <c r="EP14" s="128"/>
      <c r="EQ14" s="128"/>
      <c r="ER14" s="128"/>
      <c r="ES14" s="128"/>
      <c r="ET14" s="128"/>
      <c r="EU14" s="128"/>
      <c r="EV14" s="128"/>
      <c r="EW14" s="128" t="s">
        <v>447</v>
      </c>
      <c r="EX14" s="128"/>
      <c r="EY14" s="128"/>
      <c r="EZ14" s="128"/>
      <c r="FA14" s="128"/>
      <c r="FB14" s="128"/>
      <c r="FC14" s="128"/>
      <c r="FD14" s="128"/>
      <c r="FE14" s="128"/>
      <c r="FF14" s="128"/>
      <c r="FG14" s="128"/>
      <c r="FH14" s="128"/>
      <c r="FI14" s="128"/>
      <c r="FJ14" s="128"/>
      <c r="FK14" s="128"/>
      <c r="FL14" s="128"/>
      <c r="FM14" s="128"/>
      <c r="FN14" s="128"/>
    </row>
    <row r="15" spans="2:170">
      <c r="B15" s="128" t="s">
        <v>443</v>
      </c>
      <c r="C15" s="128">
        <v>1273.0098134263744</v>
      </c>
      <c r="D15" s="128">
        <v>969.49867658073265</v>
      </c>
      <c r="E15" s="128">
        <v>1175.1914651056406</v>
      </c>
      <c r="F15" s="128">
        <v>1175.1914651056406</v>
      </c>
      <c r="G15" s="128">
        <v>719.01056966595581</v>
      </c>
      <c r="H15" s="128">
        <v>2047.9344663044708</v>
      </c>
      <c r="I15" s="128">
        <v>1591.8491951566962</v>
      </c>
      <c r="J15" s="128">
        <v>1718.3760768299499</v>
      </c>
      <c r="K15" s="128">
        <v>1925.8213130616796</v>
      </c>
      <c r="L15" s="128"/>
      <c r="M15" s="128" t="s">
        <v>443</v>
      </c>
      <c r="N15" s="128">
        <v>1273.0098134263744</v>
      </c>
      <c r="O15" s="128">
        <v>969.49867658073265</v>
      </c>
      <c r="P15" s="128">
        <v>1175.1914651056406</v>
      </c>
      <c r="Q15" s="128">
        <v>1175.1914651056406</v>
      </c>
      <c r="R15" s="128">
        <v>719.01056966595581</v>
      </c>
      <c r="S15" s="128">
        <v>2047.9344663044708</v>
      </c>
      <c r="T15" s="128">
        <v>1591.8491951566962</v>
      </c>
      <c r="U15" s="128">
        <v>1718.3760768299499</v>
      </c>
      <c r="V15" s="128">
        <v>1925.8213130616796</v>
      </c>
      <c r="W15" s="128"/>
      <c r="X15" s="128" t="s">
        <v>443</v>
      </c>
      <c r="Y15" s="128">
        <v>1273.0098134263744</v>
      </c>
      <c r="Z15" s="128">
        <v>969.49867658073265</v>
      </c>
      <c r="AA15" s="128">
        <v>1175.1914651056406</v>
      </c>
      <c r="AB15" s="128">
        <v>1175.1914651056406</v>
      </c>
      <c r="AC15" s="128">
        <v>719.01056966595581</v>
      </c>
      <c r="AD15" s="128">
        <v>2047.9344663044708</v>
      </c>
      <c r="AE15" s="128">
        <v>1591.8491951566962</v>
      </c>
      <c r="AF15" s="128">
        <v>1718.3760768299499</v>
      </c>
      <c r="AG15" s="128">
        <v>1925.8213130616796</v>
      </c>
      <c r="AH15" s="128">
        <v>3248.5747734367123</v>
      </c>
      <c r="AI15" s="128">
        <v>751.00722565871934</v>
      </c>
      <c r="AJ15" s="128">
        <v>1306.8348497615816</v>
      </c>
      <c r="AK15" s="128">
        <v>1563.722287874911</v>
      </c>
      <c r="AL15" s="128"/>
      <c r="AM15" s="128" t="s">
        <v>443</v>
      </c>
      <c r="AN15" s="128">
        <v>1273.0098134263744</v>
      </c>
      <c r="AO15" s="128">
        <v>969.49867658073265</v>
      </c>
      <c r="AP15" s="128">
        <v>1175.1914651056406</v>
      </c>
      <c r="AQ15" s="128">
        <v>1175.1914651056406</v>
      </c>
      <c r="AR15" s="128">
        <v>719.01056966595581</v>
      </c>
      <c r="AS15" s="128">
        <v>2047.9344663044708</v>
      </c>
      <c r="AT15" s="128">
        <v>1591.8491951566962</v>
      </c>
      <c r="AU15" s="128">
        <v>1718.3760768299499</v>
      </c>
      <c r="AV15" s="128">
        <v>1925.8213130616796</v>
      </c>
      <c r="AW15" s="128">
        <v>3248.5747734367123</v>
      </c>
      <c r="AX15" s="128">
        <v>751.00722565871934</v>
      </c>
      <c r="AY15" s="128">
        <v>1306.8348497615816</v>
      </c>
      <c r="AZ15" s="128">
        <v>1563.722287874911</v>
      </c>
      <c r="BA15" s="128">
        <v>2462.8249387679302</v>
      </c>
      <c r="BB15" s="128">
        <v>1234.3371922892466</v>
      </c>
      <c r="BC15" s="128">
        <v>2523.1458939842491</v>
      </c>
      <c r="BD15" s="128">
        <v>1343.209160240651</v>
      </c>
      <c r="BE15" s="128"/>
      <c r="BF15" s="128" t="s">
        <v>443</v>
      </c>
      <c r="BG15" s="128">
        <v>1273.0098134263744</v>
      </c>
      <c r="BH15" s="128">
        <v>969.49867658073265</v>
      </c>
      <c r="BI15" s="128">
        <v>1175.1914651056406</v>
      </c>
      <c r="BJ15" s="128">
        <v>1175.1914651056406</v>
      </c>
      <c r="BK15" s="128">
        <v>719.01056966595581</v>
      </c>
      <c r="BL15" s="128">
        <v>2047.9344663044708</v>
      </c>
      <c r="BM15" s="128">
        <v>1591.8491951566962</v>
      </c>
      <c r="BN15" s="128">
        <v>1718.3760768299499</v>
      </c>
      <c r="BO15" s="128">
        <v>1925.8213130616796</v>
      </c>
      <c r="BP15" s="128">
        <v>3248.5747734367123</v>
      </c>
      <c r="BQ15" s="128">
        <v>751.00722565871934</v>
      </c>
      <c r="BR15" s="128">
        <v>1306.8348497615816</v>
      </c>
      <c r="BS15" s="128">
        <v>1563.722287874911</v>
      </c>
      <c r="BT15" s="128">
        <v>2462.8249387679302</v>
      </c>
      <c r="BU15" s="128">
        <v>1234.3371922892466</v>
      </c>
      <c r="BV15" s="128">
        <v>2523.1458939842491</v>
      </c>
      <c r="BW15" s="128">
        <v>1343.209160240651</v>
      </c>
      <c r="BX15" s="128"/>
      <c r="BY15" s="128" t="s">
        <v>443</v>
      </c>
      <c r="BZ15" s="128">
        <v>1273.0098134263744</v>
      </c>
      <c r="CA15" s="128">
        <v>969.49867658073265</v>
      </c>
      <c r="CB15" s="128">
        <v>1175.1914651056406</v>
      </c>
      <c r="CC15" s="128">
        <v>1175.1914651056406</v>
      </c>
      <c r="CD15" s="128">
        <v>719.01056966595581</v>
      </c>
      <c r="CE15" s="128">
        <v>2047.9344663044708</v>
      </c>
      <c r="CF15" s="128">
        <v>1591.8491951566962</v>
      </c>
      <c r="CG15" s="128">
        <v>1718.3760768299499</v>
      </c>
      <c r="CH15" s="128">
        <v>1925.8213130616796</v>
      </c>
      <c r="CI15" s="128">
        <v>3248.5747734367123</v>
      </c>
      <c r="CJ15" s="128">
        <v>751.00722565871934</v>
      </c>
      <c r="CK15" s="128">
        <v>1306.8348497615816</v>
      </c>
      <c r="CL15" s="128">
        <v>1563.722287874911</v>
      </c>
      <c r="CM15" s="128">
        <v>2462.8249387679302</v>
      </c>
      <c r="CN15" s="128">
        <v>1234.3371922892466</v>
      </c>
      <c r="CO15" s="128">
        <v>2523.1458939842491</v>
      </c>
      <c r="CP15" s="128">
        <v>1343.209160240651</v>
      </c>
      <c r="CQ15" s="128"/>
      <c r="CR15" s="128" t="s">
        <v>443</v>
      </c>
      <c r="CS15" s="128">
        <v>1273.0098134263744</v>
      </c>
      <c r="CT15" s="128">
        <v>969.49867658073265</v>
      </c>
      <c r="CU15" s="128">
        <v>1175.1914651056406</v>
      </c>
      <c r="CV15" s="128">
        <v>1175.1914651056406</v>
      </c>
      <c r="CW15" s="128">
        <v>719.01056966595581</v>
      </c>
      <c r="CX15" s="128">
        <v>2047.9344663044708</v>
      </c>
      <c r="CY15" s="128">
        <v>1591.8491951566962</v>
      </c>
      <c r="CZ15" s="128">
        <v>1718.3760768299499</v>
      </c>
      <c r="DA15" s="128">
        <v>1925.8213130616796</v>
      </c>
      <c r="DB15" s="128">
        <v>3248.5747734367123</v>
      </c>
      <c r="DC15" s="128">
        <v>751.00722565871934</v>
      </c>
      <c r="DD15" s="128">
        <v>1306.8348497615816</v>
      </c>
      <c r="DE15" s="128">
        <v>1563.722287874911</v>
      </c>
      <c r="DF15" s="128">
        <v>2462.8249387679302</v>
      </c>
      <c r="DG15" s="128">
        <v>1234.3371922892466</v>
      </c>
      <c r="DH15" s="128">
        <v>2523.1458939842491</v>
      </c>
      <c r="DI15" s="128">
        <v>1343.209160240651</v>
      </c>
      <c r="DJ15" s="128"/>
      <c r="DK15" s="128" t="s">
        <v>443</v>
      </c>
      <c r="DL15" s="128">
        <v>1273.0098134263744</v>
      </c>
      <c r="DM15" s="128">
        <v>969.49867658073265</v>
      </c>
      <c r="DN15" s="128">
        <v>1175.1914651056406</v>
      </c>
      <c r="DO15" s="128">
        <v>1175.1914651056406</v>
      </c>
      <c r="DP15" s="128">
        <v>719.01056966595581</v>
      </c>
      <c r="DQ15" s="128">
        <v>2047.9344663044708</v>
      </c>
      <c r="DR15" s="128">
        <v>1591.8491951566962</v>
      </c>
      <c r="DS15" s="128">
        <v>1718.3760768299499</v>
      </c>
      <c r="DT15" s="128">
        <v>1925.8213130616796</v>
      </c>
      <c r="DU15" s="128">
        <v>3248.5747734367123</v>
      </c>
      <c r="DV15" s="128">
        <v>751.00722565871934</v>
      </c>
      <c r="DW15" s="128">
        <v>1306.8348497615816</v>
      </c>
      <c r="DX15" s="128">
        <v>1563.722287874911</v>
      </c>
      <c r="DY15" s="128">
        <v>2462.8249387679302</v>
      </c>
      <c r="DZ15" s="128">
        <v>1234.3371922892466</v>
      </c>
      <c r="EA15" s="128">
        <v>2523.1458939842491</v>
      </c>
      <c r="EB15" s="128">
        <v>1343.209160240651</v>
      </c>
      <c r="EC15" s="128"/>
      <c r="ED15" s="128" t="s">
        <v>443</v>
      </c>
      <c r="EE15" s="128">
        <v>1273.0098134263744</v>
      </c>
      <c r="EF15" s="128">
        <v>969.49867658073265</v>
      </c>
      <c r="EG15" s="128">
        <v>1175.1914651056406</v>
      </c>
      <c r="EH15" s="128">
        <v>1175.1914651056406</v>
      </c>
      <c r="EI15" s="128">
        <v>719.01056966595581</v>
      </c>
      <c r="EJ15" s="128">
        <v>2047.9344663044708</v>
      </c>
      <c r="EK15" s="128">
        <v>1591.8491951566962</v>
      </c>
      <c r="EL15" s="128">
        <v>1718.3760768299499</v>
      </c>
      <c r="EM15" s="128">
        <v>1925.8213130616796</v>
      </c>
      <c r="EN15" s="128">
        <v>3248.5747734367123</v>
      </c>
      <c r="EO15" s="128">
        <v>751.00722565871934</v>
      </c>
      <c r="EP15" s="128">
        <v>1306.8348497615816</v>
      </c>
      <c r="EQ15" s="128">
        <v>1563.722287874911</v>
      </c>
      <c r="ER15" s="128">
        <v>2462.8249387679302</v>
      </c>
      <c r="ES15" s="128">
        <v>1234.3371922892466</v>
      </c>
      <c r="ET15" s="128">
        <v>2523.1458939842491</v>
      </c>
      <c r="EU15" s="128">
        <v>1343.209160240651</v>
      </c>
      <c r="EV15" s="128"/>
      <c r="EW15" s="128" t="s">
        <v>443</v>
      </c>
      <c r="EX15" s="128">
        <v>1273.0098134263744</v>
      </c>
      <c r="EY15" s="128">
        <v>969.49867658073265</v>
      </c>
      <c r="EZ15" s="128">
        <v>1175.1914651056406</v>
      </c>
      <c r="FA15" s="128">
        <v>1175.1914651056406</v>
      </c>
      <c r="FB15" s="128">
        <v>719.01056966595581</v>
      </c>
      <c r="FC15" s="128">
        <v>2047.9344663044708</v>
      </c>
      <c r="FD15" s="128">
        <v>1591.8491951566962</v>
      </c>
      <c r="FE15" s="128">
        <v>1718.3760768299499</v>
      </c>
      <c r="FF15" s="128">
        <v>1925.8213130616796</v>
      </c>
      <c r="FG15" s="128">
        <v>3248.5747734367123</v>
      </c>
      <c r="FH15" s="128">
        <v>751.00722565871934</v>
      </c>
      <c r="FI15" s="128">
        <v>1306.8348497615816</v>
      </c>
      <c r="FJ15" s="128">
        <v>1563.722287874911</v>
      </c>
      <c r="FK15" s="128">
        <v>2462.8249387679302</v>
      </c>
      <c r="FL15" s="128">
        <v>1234.3371922892466</v>
      </c>
      <c r="FM15" s="128">
        <v>2523.1458939842491</v>
      </c>
      <c r="FN15" s="128">
        <v>1343.209160240651</v>
      </c>
    </row>
    <row r="16" spans="2:170">
      <c r="B16" s="128" t="s">
        <v>444</v>
      </c>
      <c r="C16" s="128">
        <v>862.02615204171479</v>
      </c>
      <c r="D16" s="128">
        <v>656.501784014534</v>
      </c>
      <c r="E16" s="128">
        <v>795.78787680403912</v>
      </c>
      <c r="F16" s="128">
        <v>795.78787680403912</v>
      </c>
      <c r="G16" s="128">
        <v>486.88227546198107</v>
      </c>
      <c r="H16" s="128">
        <v>1386.7709808696989</v>
      </c>
      <c r="I16" s="128">
        <v>1077.9301320845557</v>
      </c>
      <c r="J16" s="128">
        <v>1163.6085611023695</v>
      </c>
      <c r="K16" s="128">
        <v>1304.0813342594831</v>
      </c>
      <c r="L16" s="128"/>
      <c r="M16" s="128" t="s">
        <v>444</v>
      </c>
      <c r="N16" s="128">
        <v>862.02615204171479</v>
      </c>
      <c r="O16" s="128">
        <v>656.501784014534</v>
      </c>
      <c r="P16" s="128">
        <v>795.78787680403912</v>
      </c>
      <c r="Q16" s="128">
        <v>795.78787680403912</v>
      </c>
      <c r="R16" s="128">
        <v>486.88227546198107</v>
      </c>
      <c r="S16" s="128">
        <v>1386.7709808696989</v>
      </c>
      <c r="T16" s="128">
        <v>1077.9301320845557</v>
      </c>
      <c r="U16" s="128">
        <v>1163.6085611023695</v>
      </c>
      <c r="V16" s="128">
        <v>1304.0813342594831</v>
      </c>
      <c r="W16" s="128"/>
      <c r="X16" s="128" t="s">
        <v>444</v>
      </c>
      <c r="Y16" s="128">
        <v>862.02615204171479</v>
      </c>
      <c r="Z16" s="128">
        <v>656.501784014534</v>
      </c>
      <c r="AA16" s="128">
        <v>795.78787680403912</v>
      </c>
      <c r="AB16" s="128">
        <v>795.78787680403912</v>
      </c>
      <c r="AC16" s="128">
        <v>486.88227546198107</v>
      </c>
      <c r="AD16" s="128">
        <v>1386.7709808696989</v>
      </c>
      <c r="AE16" s="128">
        <v>1077.9301320845557</v>
      </c>
      <c r="AF16" s="128">
        <v>1163.6085611023695</v>
      </c>
      <c r="AG16" s="128">
        <v>1304.0813342594831</v>
      </c>
      <c r="AH16" s="128">
        <v>2199.7916921222504</v>
      </c>
      <c r="AI16" s="128">
        <v>508.54900100701525</v>
      </c>
      <c r="AJ16" s="128">
        <v>884.93097618932234</v>
      </c>
      <c r="AK16" s="128">
        <v>1058.883829850882</v>
      </c>
      <c r="AL16" s="128"/>
      <c r="AM16" s="128" t="s">
        <v>444</v>
      </c>
      <c r="AN16" s="128">
        <v>862.02615204171479</v>
      </c>
      <c r="AO16" s="128">
        <v>656.501784014534</v>
      </c>
      <c r="AP16" s="128">
        <v>795.78787680403912</v>
      </c>
      <c r="AQ16" s="128">
        <v>795.78787680403912</v>
      </c>
      <c r="AR16" s="128">
        <v>486.88227546198107</v>
      </c>
      <c r="AS16" s="128">
        <v>1386.7709808696989</v>
      </c>
      <c r="AT16" s="128">
        <v>1077.9301320845557</v>
      </c>
      <c r="AU16" s="128">
        <v>1163.6085611023695</v>
      </c>
      <c r="AV16" s="128">
        <v>1304.0813342594831</v>
      </c>
      <c r="AW16" s="128">
        <v>2199.7916921222504</v>
      </c>
      <c r="AX16" s="128">
        <v>508.54900100701525</v>
      </c>
      <c r="AY16" s="128">
        <v>884.93097618932234</v>
      </c>
      <c r="AZ16" s="128">
        <v>1058.883829850882</v>
      </c>
      <c r="BA16" s="128">
        <v>1667.716527183926</v>
      </c>
      <c r="BB16" s="128">
        <v>835.83875706910453</v>
      </c>
      <c r="BC16" s="128">
        <v>1708.5632200877678</v>
      </c>
      <c r="BD16" s="128">
        <v>909.56205645652585</v>
      </c>
      <c r="BE16" s="128"/>
      <c r="BF16" s="128" t="s">
        <v>444</v>
      </c>
      <c r="BG16" s="128">
        <v>862.02615204171479</v>
      </c>
      <c r="BH16" s="128">
        <v>656.501784014534</v>
      </c>
      <c r="BI16" s="128">
        <v>795.78787680403912</v>
      </c>
      <c r="BJ16" s="128">
        <v>795.78787680403912</v>
      </c>
      <c r="BK16" s="128">
        <v>486.88227546198107</v>
      </c>
      <c r="BL16" s="128">
        <v>1386.7709808696989</v>
      </c>
      <c r="BM16" s="128">
        <v>1077.9301320845557</v>
      </c>
      <c r="BN16" s="128">
        <v>1163.6085611023695</v>
      </c>
      <c r="BO16" s="128">
        <v>1304.0813342594831</v>
      </c>
      <c r="BP16" s="128">
        <v>2199.7916921222504</v>
      </c>
      <c r="BQ16" s="128">
        <v>508.54900100701525</v>
      </c>
      <c r="BR16" s="128">
        <v>884.93097618932234</v>
      </c>
      <c r="BS16" s="128">
        <v>1058.883829850882</v>
      </c>
      <c r="BT16" s="128">
        <v>1667.716527183926</v>
      </c>
      <c r="BU16" s="128">
        <v>835.83875706910453</v>
      </c>
      <c r="BV16" s="128">
        <v>1708.5632200877678</v>
      </c>
      <c r="BW16" s="128">
        <v>909.56205645652585</v>
      </c>
      <c r="BX16" s="128"/>
      <c r="BY16" s="128" t="s">
        <v>444</v>
      </c>
      <c r="BZ16" s="128">
        <v>862.02615204171479</v>
      </c>
      <c r="CA16" s="128">
        <v>656.501784014534</v>
      </c>
      <c r="CB16" s="128">
        <v>795.78787680403912</v>
      </c>
      <c r="CC16" s="128">
        <v>795.78787680403912</v>
      </c>
      <c r="CD16" s="128">
        <v>486.88227546198107</v>
      </c>
      <c r="CE16" s="128">
        <v>1386.7709808696989</v>
      </c>
      <c r="CF16" s="128">
        <v>1077.9301320845557</v>
      </c>
      <c r="CG16" s="128">
        <v>1163.6085611023695</v>
      </c>
      <c r="CH16" s="128">
        <v>1304.0813342594831</v>
      </c>
      <c r="CI16" s="128">
        <v>2199.7916921222504</v>
      </c>
      <c r="CJ16" s="128">
        <v>508.54900100701525</v>
      </c>
      <c r="CK16" s="128">
        <v>884.93097618932234</v>
      </c>
      <c r="CL16" s="128">
        <v>1058.883829850882</v>
      </c>
      <c r="CM16" s="128">
        <v>1667.716527183926</v>
      </c>
      <c r="CN16" s="128">
        <v>835.83875706910453</v>
      </c>
      <c r="CO16" s="128">
        <v>1708.5632200877678</v>
      </c>
      <c r="CP16" s="128">
        <v>909.56205645652585</v>
      </c>
      <c r="CQ16" s="128"/>
      <c r="CR16" s="128" t="s">
        <v>444</v>
      </c>
      <c r="CS16" s="128">
        <v>862.02615204171479</v>
      </c>
      <c r="CT16" s="128">
        <v>656.501784014534</v>
      </c>
      <c r="CU16" s="128">
        <v>795.78787680403912</v>
      </c>
      <c r="CV16" s="128">
        <v>795.78787680403912</v>
      </c>
      <c r="CW16" s="128">
        <v>486.88227546198107</v>
      </c>
      <c r="CX16" s="128">
        <v>1386.7709808696989</v>
      </c>
      <c r="CY16" s="128">
        <v>1077.9301320845557</v>
      </c>
      <c r="CZ16" s="128">
        <v>1163.6085611023695</v>
      </c>
      <c r="DA16" s="128">
        <v>1304.0813342594831</v>
      </c>
      <c r="DB16" s="128">
        <v>2199.7916921222504</v>
      </c>
      <c r="DC16" s="128">
        <v>508.54900100701525</v>
      </c>
      <c r="DD16" s="128">
        <v>884.93097618932234</v>
      </c>
      <c r="DE16" s="128">
        <v>1058.883829850882</v>
      </c>
      <c r="DF16" s="128">
        <v>1667.716527183926</v>
      </c>
      <c r="DG16" s="128">
        <v>835.83875706910453</v>
      </c>
      <c r="DH16" s="128">
        <v>1708.5632200877678</v>
      </c>
      <c r="DI16" s="128">
        <v>909.56205645652585</v>
      </c>
      <c r="DJ16" s="128"/>
      <c r="DK16" s="128" t="s">
        <v>444</v>
      </c>
      <c r="DL16" s="128">
        <v>862.02615204171479</v>
      </c>
      <c r="DM16" s="128">
        <v>656.501784014534</v>
      </c>
      <c r="DN16" s="128">
        <v>795.78787680403912</v>
      </c>
      <c r="DO16" s="128">
        <v>795.78787680403912</v>
      </c>
      <c r="DP16" s="128">
        <v>486.88227546198107</v>
      </c>
      <c r="DQ16" s="128">
        <v>1386.7709808696989</v>
      </c>
      <c r="DR16" s="128">
        <v>1077.9301320845557</v>
      </c>
      <c r="DS16" s="128">
        <v>1163.6085611023695</v>
      </c>
      <c r="DT16" s="128">
        <v>1304.0813342594831</v>
      </c>
      <c r="DU16" s="128">
        <v>2199.7916921222504</v>
      </c>
      <c r="DV16" s="128">
        <v>508.54900100701525</v>
      </c>
      <c r="DW16" s="128">
        <v>884.93097618932234</v>
      </c>
      <c r="DX16" s="128">
        <v>1058.883829850882</v>
      </c>
      <c r="DY16" s="128">
        <v>1667.716527183926</v>
      </c>
      <c r="DZ16" s="128">
        <v>835.83875706910453</v>
      </c>
      <c r="EA16" s="128">
        <v>1708.5632200877678</v>
      </c>
      <c r="EB16" s="128">
        <v>909.56205645652585</v>
      </c>
      <c r="EC16" s="128"/>
      <c r="ED16" s="128" t="s">
        <v>444</v>
      </c>
      <c r="EE16" s="128">
        <v>862.02615204171479</v>
      </c>
      <c r="EF16" s="128">
        <v>656.501784014534</v>
      </c>
      <c r="EG16" s="128">
        <v>795.78787680403912</v>
      </c>
      <c r="EH16" s="128">
        <v>795.78787680403912</v>
      </c>
      <c r="EI16" s="128">
        <v>486.88227546198107</v>
      </c>
      <c r="EJ16" s="128">
        <v>1386.7709808696989</v>
      </c>
      <c r="EK16" s="128">
        <v>1077.9301320845557</v>
      </c>
      <c r="EL16" s="128">
        <v>1163.6085611023695</v>
      </c>
      <c r="EM16" s="128">
        <v>1304.0813342594831</v>
      </c>
      <c r="EN16" s="128">
        <v>2199.7916921222504</v>
      </c>
      <c r="EO16" s="128">
        <v>508.54900100701525</v>
      </c>
      <c r="EP16" s="128">
        <v>884.93097618932234</v>
      </c>
      <c r="EQ16" s="128">
        <v>1058.883829850882</v>
      </c>
      <c r="ER16" s="128">
        <v>1667.716527183926</v>
      </c>
      <c r="ES16" s="128">
        <v>835.83875706910453</v>
      </c>
      <c r="ET16" s="128">
        <v>1708.5632200877678</v>
      </c>
      <c r="EU16" s="128">
        <v>909.56205645652585</v>
      </c>
      <c r="EV16" s="128"/>
      <c r="EW16" s="128" t="s">
        <v>444</v>
      </c>
      <c r="EX16" s="128">
        <v>862.02615204171479</v>
      </c>
      <c r="EY16" s="128">
        <v>656.501784014534</v>
      </c>
      <c r="EZ16" s="128">
        <v>795.78787680403912</v>
      </c>
      <c r="FA16" s="128">
        <v>795.78787680403912</v>
      </c>
      <c r="FB16" s="128">
        <v>486.88227546198107</v>
      </c>
      <c r="FC16" s="128">
        <v>1386.7709808696989</v>
      </c>
      <c r="FD16" s="128">
        <v>1077.9301320845557</v>
      </c>
      <c r="FE16" s="128">
        <v>1163.6085611023695</v>
      </c>
      <c r="FF16" s="128">
        <v>1304.0813342594831</v>
      </c>
      <c r="FG16" s="128">
        <v>2199.7916921222504</v>
      </c>
      <c r="FH16" s="128">
        <v>508.54900100701525</v>
      </c>
      <c r="FI16" s="128">
        <v>884.93097618932234</v>
      </c>
      <c r="FJ16" s="128">
        <v>1058.883829850882</v>
      </c>
      <c r="FK16" s="128">
        <v>1667.716527183926</v>
      </c>
      <c r="FL16" s="128">
        <v>835.83875706910453</v>
      </c>
      <c r="FM16" s="128">
        <v>1708.5632200877678</v>
      </c>
      <c r="FN16" s="128">
        <v>909.56205645652585</v>
      </c>
    </row>
    <row r="17" spans="2:170">
      <c r="B17" s="128" t="s">
        <v>6</v>
      </c>
      <c r="C17" s="128">
        <v>2106.8929042769005</v>
      </c>
      <c r="D17" s="128">
        <v>1472.2253958218339</v>
      </c>
      <c r="E17" s="128">
        <v>1902.346448238671</v>
      </c>
      <c r="F17" s="128">
        <v>1902.346448238671</v>
      </c>
      <c r="G17" s="128">
        <v>948.43353643421858</v>
      </c>
      <c r="H17" s="128">
        <v>3727.3260250973581</v>
      </c>
      <c r="I17" s="128">
        <v>2773.6130717910519</v>
      </c>
      <c r="J17" s="128">
        <v>3038.1915039986084</v>
      </c>
      <c r="K17" s="128">
        <v>3471.9770730830905</v>
      </c>
      <c r="L17" s="128"/>
      <c r="M17" s="128" t="s">
        <v>6</v>
      </c>
      <c r="N17" s="128">
        <v>2106.8929042769005</v>
      </c>
      <c r="O17" s="128">
        <v>1472.2253958218339</v>
      </c>
      <c r="P17" s="128">
        <v>1902.346448238671</v>
      </c>
      <c r="Q17" s="128">
        <v>1902.346448238671</v>
      </c>
      <c r="R17" s="128">
        <v>948.43353643421858</v>
      </c>
      <c r="S17" s="128">
        <v>3727.3260250973581</v>
      </c>
      <c r="T17" s="128">
        <v>2773.6130717910519</v>
      </c>
      <c r="U17" s="128">
        <v>3038.1915039986084</v>
      </c>
      <c r="V17" s="128">
        <v>3471.9770730830905</v>
      </c>
      <c r="W17" s="128"/>
      <c r="X17" s="128" t="s">
        <v>6</v>
      </c>
      <c r="Y17" s="128">
        <v>2106.8929042769005</v>
      </c>
      <c r="Z17" s="128">
        <v>1472.2253958218339</v>
      </c>
      <c r="AA17" s="128">
        <v>1902.346448238671</v>
      </c>
      <c r="AB17" s="128">
        <v>1902.346448238671</v>
      </c>
      <c r="AC17" s="128">
        <v>948.43353643421858</v>
      </c>
      <c r="AD17" s="128">
        <v>3727.3260250973581</v>
      </c>
      <c r="AE17" s="128">
        <v>2773.6130717910519</v>
      </c>
      <c r="AF17" s="128">
        <v>3038.1915039986084</v>
      </c>
      <c r="AG17" s="128">
        <v>3471.9770730830905</v>
      </c>
      <c r="AH17" s="128">
        <v>6237.9666566003898</v>
      </c>
      <c r="AI17" s="128">
        <v>1015.3412556990601</v>
      </c>
      <c r="AJ17" s="128">
        <v>2177.6239217854472</v>
      </c>
      <c r="AK17" s="128">
        <v>2714.7973250260302</v>
      </c>
      <c r="AL17" s="128"/>
      <c r="AM17" s="128" t="s">
        <v>6</v>
      </c>
      <c r="AN17" s="128">
        <v>2106.8929042769005</v>
      </c>
      <c r="AO17" s="128">
        <v>1472.2253958218339</v>
      </c>
      <c r="AP17" s="128">
        <v>1902.346448238671</v>
      </c>
      <c r="AQ17" s="128">
        <v>1902.346448238671</v>
      </c>
      <c r="AR17" s="128">
        <v>948.43353643421858</v>
      </c>
      <c r="AS17" s="128">
        <v>3727.3260250973581</v>
      </c>
      <c r="AT17" s="128">
        <v>2773.6130717910519</v>
      </c>
      <c r="AU17" s="128">
        <v>3038.1915039986084</v>
      </c>
      <c r="AV17" s="128">
        <v>3471.9770730830905</v>
      </c>
      <c r="AW17" s="128">
        <v>6237.9666566003898</v>
      </c>
      <c r="AX17" s="128">
        <v>1015.3412556990601</v>
      </c>
      <c r="AY17" s="128">
        <v>2177.6239217854472</v>
      </c>
      <c r="AZ17" s="128">
        <v>2714.7973250260302</v>
      </c>
      <c r="BA17" s="128">
        <v>4594.8971632663215</v>
      </c>
      <c r="BB17" s="128">
        <v>2026.0251761348184</v>
      </c>
      <c r="BC17" s="128">
        <v>4721.0333925745754</v>
      </c>
      <c r="BD17" s="128">
        <v>2253.685687569227</v>
      </c>
      <c r="BE17" s="128"/>
      <c r="BF17" s="128" t="s">
        <v>6</v>
      </c>
      <c r="BG17" s="128">
        <v>2106.8929042769005</v>
      </c>
      <c r="BH17" s="128">
        <v>1472.2253958218339</v>
      </c>
      <c r="BI17" s="128">
        <v>1902.346448238671</v>
      </c>
      <c r="BJ17" s="128">
        <v>1902.346448238671</v>
      </c>
      <c r="BK17" s="128">
        <v>948.43353643421858</v>
      </c>
      <c r="BL17" s="128">
        <v>3727.3260250973581</v>
      </c>
      <c r="BM17" s="128">
        <v>2773.6130717910519</v>
      </c>
      <c r="BN17" s="128">
        <v>3038.1915039986084</v>
      </c>
      <c r="BO17" s="128">
        <v>3471.9770730830905</v>
      </c>
      <c r="BP17" s="128">
        <v>6237.9666566003898</v>
      </c>
      <c r="BQ17" s="128">
        <v>1015.3412556990601</v>
      </c>
      <c r="BR17" s="128">
        <v>2177.6239217854472</v>
      </c>
      <c r="BS17" s="128">
        <v>2714.7973250260302</v>
      </c>
      <c r="BT17" s="128">
        <v>4594.8971632663215</v>
      </c>
      <c r="BU17" s="128">
        <v>2026.0251761348184</v>
      </c>
      <c r="BV17" s="128">
        <v>4721.0333925745754</v>
      </c>
      <c r="BW17" s="128">
        <v>2253.685687569227</v>
      </c>
      <c r="BX17" s="128"/>
      <c r="BY17" s="128" t="s">
        <v>6</v>
      </c>
      <c r="BZ17" s="128">
        <v>2106.8929042769005</v>
      </c>
      <c r="CA17" s="128">
        <v>1472.2253958218339</v>
      </c>
      <c r="CB17" s="128">
        <v>1902.346448238671</v>
      </c>
      <c r="CC17" s="128">
        <v>1902.346448238671</v>
      </c>
      <c r="CD17" s="128">
        <v>948.43353643421858</v>
      </c>
      <c r="CE17" s="128">
        <v>3727.3260250973581</v>
      </c>
      <c r="CF17" s="128">
        <v>2773.6130717910519</v>
      </c>
      <c r="CG17" s="128">
        <v>3038.1915039986084</v>
      </c>
      <c r="CH17" s="128">
        <v>3471.9770730830905</v>
      </c>
      <c r="CI17" s="128">
        <v>6237.9666566003898</v>
      </c>
      <c r="CJ17" s="128">
        <v>1015.3412556990601</v>
      </c>
      <c r="CK17" s="128">
        <v>2177.6239217854472</v>
      </c>
      <c r="CL17" s="128">
        <v>2714.7973250260302</v>
      </c>
      <c r="CM17" s="128">
        <v>4594.8971632663215</v>
      </c>
      <c r="CN17" s="128">
        <v>2026.0251761348184</v>
      </c>
      <c r="CO17" s="128">
        <v>4721.0333925745754</v>
      </c>
      <c r="CP17" s="128">
        <v>2253.685687569227</v>
      </c>
      <c r="CQ17" s="128"/>
      <c r="CR17" s="128" t="s">
        <v>6</v>
      </c>
      <c r="CS17" s="128">
        <v>2106.8929042769005</v>
      </c>
      <c r="CT17" s="128">
        <v>1472.2253958218339</v>
      </c>
      <c r="CU17" s="128">
        <v>1902.346448238671</v>
      </c>
      <c r="CV17" s="128">
        <v>1902.346448238671</v>
      </c>
      <c r="CW17" s="128">
        <v>948.43353643421858</v>
      </c>
      <c r="CX17" s="128">
        <v>3727.3260250973581</v>
      </c>
      <c r="CY17" s="128">
        <v>2773.6130717910519</v>
      </c>
      <c r="CZ17" s="128">
        <v>3038.1915039986084</v>
      </c>
      <c r="DA17" s="128">
        <v>3471.9770730830905</v>
      </c>
      <c r="DB17" s="128">
        <v>6237.9666566003898</v>
      </c>
      <c r="DC17" s="128">
        <v>1015.3412556990601</v>
      </c>
      <c r="DD17" s="128">
        <v>2177.6239217854472</v>
      </c>
      <c r="DE17" s="128">
        <v>2714.7973250260302</v>
      </c>
      <c r="DF17" s="128">
        <v>4594.8971632663215</v>
      </c>
      <c r="DG17" s="128">
        <v>2026.0251761348184</v>
      </c>
      <c r="DH17" s="128">
        <v>4721.0333925745754</v>
      </c>
      <c r="DI17" s="128">
        <v>2253.685687569227</v>
      </c>
      <c r="DJ17" s="128"/>
      <c r="DK17" s="128" t="s">
        <v>6</v>
      </c>
      <c r="DL17" s="128">
        <v>2106.8929042769005</v>
      </c>
      <c r="DM17" s="128">
        <v>1472.2253958218339</v>
      </c>
      <c r="DN17" s="128">
        <v>1902.346448238671</v>
      </c>
      <c r="DO17" s="128">
        <v>1902.346448238671</v>
      </c>
      <c r="DP17" s="128">
        <v>948.43353643421858</v>
      </c>
      <c r="DQ17" s="128">
        <v>3727.3260250973581</v>
      </c>
      <c r="DR17" s="128">
        <v>2773.6130717910519</v>
      </c>
      <c r="DS17" s="128">
        <v>3038.1915039986084</v>
      </c>
      <c r="DT17" s="128">
        <v>3471.9770730830905</v>
      </c>
      <c r="DU17" s="128">
        <v>6237.9666566003898</v>
      </c>
      <c r="DV17" s="128">
        <v>1015.3412556990601</v>
      </c>
      <c r="DW17" s="128">
        <v>2177.6239217854472</v>
      </c>
      <c r="DX17" s="128">
        <v>2714.7973250260302</v>
      </c>
      <c r="DY17" s="128">
        <v>4594.8971632663215</v>
      </c>
      <c r="DZ17" s="128">
        <v>2026.0251761348184</v>
      </c>
      <c r="EA17" s="128">
        <v>4721.0333925745754</v>
      </c>
      <c r="EB17" s="128">
        <v>2253.685687569227</v>
      </c>
      <c r="EC17" s="128"/>
      <c r="ED17" s="128" t="s">
        <v>6</v>
      </c>
      <c r="EE17" s="128">
        <v>2106.8929042769005</v>
      </c>
      <c r="EF17" s="128">
        <v>1472.2253958218339</v>
      </c>
      <c r="EG17" s="128">
        <v>1902.346448238671</v>
      </c>
      <c r="EH17" s="128">
        <v>1902.346448238671</v>
      </c>
      <c r="EI17" s="128">
        <v>948.43353643421858</v>
      </c>
      <c r="EJ17" s="128">
        <v>3727.3260250973581</v>
      </c>
      <c r="EK17" s="128">
        <v>2773.6130717910519</v>
      </c>
      <c r="EL17" s="128">
        <v>3038.1915039986084</v>
      </c>
      <c r="EM17" s="128">
        <v>3471.9770730830905</v>
      </c>
      <c r="EN17" s="128">
        <v>6237.9666566003898</v>
      </c>
      <c r="EO17" s="128">
        <v>1015.3412556990601</v>
      </c>
      <c r="EP17" s="128">
        <v>2177.6239217854472</v>
      </c>
      <c r="EQ17" s="128">
        <v>2714.7973250260302</v>
      </c>
      <c r="ER17" s="128">
        <v>4594.8971632663215</v>
      </c>
      <c r="ES17" s="128">
        <v>2026.0251761348184</v>
      </c>
      <c r="ET17" s="128">
        <v>4721.0333925745754</v>
      </c>
      <c r="EU17" s="128">
        <v>2253.685687569227</v>
      </c>
      <c r="EV17" s="128"/>
      <c r="EW17" s="128" t="s">
        <v>6</v>
      </c>
      <c r="EX17" s="128">
        <v>2106.8929042769005</v>
      </c>
      <c r="EY17" s="128">
        <v>1472.2253958218339</v>
      </c>
      <c r="EZ17" s="128">
        <v>1902.346448238671</v>
      </c>
      <c r="FA17" s="128">
        <v>1902.346448238671</v>
      </c>
      <c r="FB17" s="128">
        <v>948.43353643421858</v>
      </c>
      <c r="FC17" s="128">
        <v>3727.3260250973581</v>
      </c>
      <c r="FD17" s="128">
        <v>2773.6130717910519</v>
      </c>
      <c r="FE17" s="128">
        <v>3038.1915039986084</v>
      </c>
      <c r="FF17" s="128">
        <v>3471.9770730830905</v>
      </c>
      <c r="FG17" s="128">
        <v>6237.9666566003898</v>
      </c>
      <c r="FH17" s="128">
        <v>1015.3412556990601</v>
      </c>
      <c r="FI17" s="128">
        <v>2177.6239217854472</v>
      </c>
      <c r="FJ17" s="128">
        <v>2714.7973250260302</v>
      </c>
      <c r="FK17" s="128">
        <v>4594.8971632663215</v>
      </c>
      <c r="FL17" s="128">
        <v>2026.0251761348184</v>
      </c>
      <c r="FM17" s="128">
        <v>4721.0333925745754</v>
      </c>
      <c r="FN17" s="128">
        <v>2253.685687569227</v>
      </c>
    </row>
    <row r="18" spans="2:170">
      <c r="B18" s="128" t="s">
        <v>22</v>
      </c>
      <c r="C18" s="128">
        <v>327.24999999999994</v>
      </c>
      <c r="D18" s="128">
        <v>327.24999999999994</v>
      </c>
      <c r="E18" s="128">
        <v>327.24999999999994</v>
      </c>
      <c r="F18" s="128">
        <v>327.24999999999994</v>
      </c>
      <c r="G18" s="128">
        <v>327.24999999999994</v>
      </c>
      <c r="H18" s="128">
        <v>327.24999999999994</v>
      </c>
      <c r="I18" s="128">
        <v>327.24999999999994</v>
      </c>
      <c r="J18" s="128">
        <v>327.24999999999994</v>
      </c>
      <c r="K18" s="128">
        <v>327.24999999999994</v>
      </c>
      <c r="L18" s="128"/>
      <c r="M18" s="128" t="s">
        <v>22</v>
      </c>
      <c r="N18" s="128">
        <v>327.24999999999994</v>
      </c>
      <c r="O18" s="128">
        <v>327.24999999999994</v>
      </c>
      <c r="P18" s="128">
        <v>327.24999999999994</v>
      </c>
      <c r="Q18" s="128">
        <v>327.24999999999994</v>
      </c>
      <c r="R18" s="128">
        <v>327.24999999999994</v>
      </c>
      <c r="S18" s="128">
        <v>327.24999999999994</v>
      </c>
      <c r="T18" s="128">
        <v>327.24999999999994</v>
      </c>
      <c r="U18" s="128">
        <v>327.24999999999994</v>
      </c>
      <c r="V18" s="128">
        <v>327.24999999999994</v>
      </c>
      <c r="W18" s="128"/>
      <c r="X18" s="128" t="s">
        <v>22</v>
      </c>
      <c r="Y18" s="128">
        <v>327.24999999999994</v>
      </c>
      <c r="Z18" s="128">
        <v>327.24999999999994</v>
      </c>
      <c r="AA18" s="128">
        <v>327.24999999999994</v>
      </c>
      <c r="AB18" s="128">
        <v>327.24999999999994</v>
      </c>
      <c r="AC18" s="128">
        <v>327.24999999999994</v>
      </c>
      <c r="AD18" s="128">
        <v>327.24999999999994</v>
      </c>
      <c r="AE18" s="128">
        <v>327.24999999999994</v>
      </c>
      <c r="AF18" s="128">
        <v>327.24999999999994</v>
      </c>
      <c r="AG18" s="128">
        <v>327.24999999999994</v>
      </c>
      <c r="AH18" s="128">
        <v>327.24999999999994</v>
      </c>
      <c r="AI18" s="128">
        <v>327.24999999999994</v>
      </c>
      <c r="AJ18" s="128">
        <v>327.24999999999994</v>
      </c>
      <c r="AK18" s="128">
        <v>327.24999999999994</v>
      </c>
      <c r="AL18" s="128"/>
      <c r="AM18" s="128" t="s">
        <v>22</v>
      </c>
      <c r="AN18" s="128">
        <v>327.24999999999994</v>
      </c>
      <c r="AO18" s="128">
        <v>327.24999999999994</v>
      </c>
      <c r="AP18" s="128">
        <v>327.24999999999994</v>
      </c>
      <c r="AQ18" s="128">
        <v>327.24999999999994</v>
      </c>
      <c r="AR18" s="128">
        <v>327.24999999999994</v>
      </c>
      <c r="AS18" s="128">
        <v>327.24999999999994</v>
      </c>
      <c r="AT18" s="128">
        <v>327.24999999999994</v>
      </c>
      <c r="AU18" s="128">
        <v>327.24999999999994</v>
      </c>
      <c r="AV18" s="128">
        <v>327.24999999999994</v>
      </c>
      <c r="AW18" s="128">
        <v>327.24999999999994</v>
      </c>
      <c r="AX18" s="128">
        <v>327.24999999999994</v>
      </c>
      <c r="AY18" s="128">
        <v>327.24999999999994</v>
      </c>
      <c r="AZ18" s="128">
        <v>327.24999999999994</v>
      </c>
      <c r="BA18" s="128">
        <v>327.24999999999994</v>
      </c>
      <c r="BB18" s="128">
        <v>327.24999999999994</v>
      </c>
      <c r="BC18" s="128">
        <v>327.24999999999994</v>
      </c>
      <c r="BD18" s="128">
        <v>327.24999999999994</v>
      </c>
      <c r="BE18" s="128"/>
      <c r="BF18" s="128" t="s">
        <v>22</v>
      </c>
      <c r="BG18" s="128">
        <v>327.24999999999994</v>
      </c>
      <c r="BH18" s="128">
        <v>327.24999999999994</v>
      </c>
      <c r="BI18" s="128">
        <v>327.24999999999994</v>
      </c>
      <c r="BJ18" s="128">
        <v>327.24999999999994</v>
      </c>
      <c r="BK18" s="128">
        <v>327.24999999999994</v>
      </c>
      <c r="BL18" s="128">
        <v>327.24999999999994</v>
      </c>
      <c r="BM18" s="128">
        <v>327.24999999999994</v>
      </c>
      <c r="BN18" s="128">
        <v>327.24999999999994</v>
      </c>
      <c r="BO18" s="128">
        <v>327.24999999999994</v>
      </c>
      <c r="BP18" s="128">
        <v>327.24999999999994</v>
      </c>
      <c r="BQ18" s="128">
        <v>327.24999999999994</v>
      </c>
      <c r="BR18" s="128">
        <v>327.24999999999994</v>
      </c>
      <c r="BS18" s="128">
        <v>327.24999999999994</v>
      </c>
      <c r="BT18" s="128">
        <v>327.24999999999994</v>
      </c>
      <c r="BU18" s="128">
        <v>327.24999999999994</v>
      </c>
      <c r="BV18" s="128">
        <v>327.24999999999994</v>
      </c>
      <c r="BW18" s="128">
        <v>327.24999999999994</v>
      </c>
      <c r="BX18" s="128"/>
      <c r="BY18" s="128" t="s">
        <v>22</v>
      </c>
      <c r="BZ18" s="128">
        <v>327.24999999999994</v>
      </c>
      <c r="CA18" s="128">
        <v>327.24999999999994</v>
      </c>
      <c r="CB18" s="128">
        <v>327.24999999999994</v>
      </c>
      <c r="CC18" s="128">
        <v>327.24999999999994</v>
      </c>
      <c r="CD18" s="128">
        <v>327.24999999999994</v>
      </c>
      <c r="CE18" s="128">
        <v>327.24999999999994</v>
      </c>
      <c r="CF18" s="128">
        <v>327.24999999999994</v>
      </c>
      <c r="CG18" s="128">
        <v>327.24999999999994</v>
      </c>
      <c r="CH18" s="128">
        <v>327.24999999999994</v>
      </c>
      <c r="CI18" s="128">
        <v>327.24999999999994</v>
      </c>
      <c r="CJ18" s="128">
        <v>327.24999999999994</v>
      </c>
      <c r="CK18" s="128">
        <v>327.24999999999994</v>
      </c>
      <c r="CL18" s="128">
        <v>327.24999999999994</v>
      </c>
      <c r="CM18" s="128">
        <v>327.24999999999994</v>
      </c>
      <c r="CN18" s="128">
        <v>327.24999999999994</v>
      </c>
      <c r="CO18" s="128">
        <v>327.24999999999994</v>
      </c>
      <c r="CP18" s="128">
        <v>327.24999999999994</v>
      </c>
      <c r="CQ18" s="128"/>
      <c r="CR18" s="128" t="s">
        <v>22</v>
      </c>
      <c r="CS18" s="128">
        <v>327.24999999999994</v>
      </c>
      <c r="CT18" s="128">
        <v>327.24999999999994</v>
      </c>
      <c r="CU18" s="128">
        <v>327.24999999999994</v>
      </c>
      <c r="CV18" s="128">
        <v>327.24999999999994</v>
      </c>
      <c r="CW18" s="128">
        <v>327.24999999999994</v>
      </c>
      <c r="CX18" s="128">
        <v>327.24999999999994</v>
      </c>
      <c r="CY18" s="128">
        <v>327.24999999999994</v>
      </c>
      <c r="CZ18" s="128">
        <v>327.24999999999994</v>
      </c>
      <c r="DA18" s="128">
        <v>327.24999999999994</v>
      </c>
      <c r="DB18" s="128">
        <v>327.24999999999994</v>
      </c>
      <c r="DC18" s="128">
        <v>327.24999999999994</v>
      </c>
      <c r="DD18" s="128">
        <v>327.24999999999994</v>
      </c>
      <c r="DE18" s="128">
        <v>327.24999999999994</v>
      </c>
      <c r="DF18" s="128">
        <v>327.24999999999994</v>
      </c>
      <c r="DG18" s="128">
        <v>327.24999999999994</v>
      </c>
      <c r="DH18" s="128">
        <v>327.24999999999994</v>
      </c>
      <c r="DI18" s="128">
        <v>327.24999999999994</v>
      </c>
      <c r="DJ18" s="128"/>
      <c r="DK18" s="128" t="s">
        <v>22</v>
      </c>
      <c r="DL18" s="128">
        <v>327.24999999999994</v>
      </c>
      <c r="DM18" s="128">
        <v>327.24999999999994</v>
      </c>
      <c r="DN18" s="128">
        <v>327.24999999999994</v>
      </c>
      <c r="DO18" s="128">
        <v>327.24999999999994</v>
      </c>
      <c r="DP18" s="128">
        <v>327.24999999999994</v>
      </c>
      <c r="DQ18" s="128">
        <v>327.24999999999994</v>
      </c>
      <c r="DR18" s="128">
        <v>327.24999999999994</v>
      </c>
      <c r="DS18" s="128">
        <v>327.24999999999994</v>
      </c>
      <c r="DT18" s="128">
        <v>327.24999999999994</v>
      </c>
      <c r="DU18" s="128">
        <v>327.24999999999994</v>
      </c>
      <c r="DV18" s="128">
        <v>327.24999999999994</v>
      </c>
      <c r="DW18" s="128">
        <v>327.24999999999994</v>
      </c>
      <c r="DX18" s="128">
        <v>327.24999999999994</v>
      </c>
      <c r="DY18" s="128">
        <v>327.24999999999994</v>
      </c>
      <c r="DZ18" s="128">
        <v>327.24999999999994</v>
      </c>
      <c r="EA18" s="128">
        <v>327.24999999999994</v>
      </c>
      <c r="EB18" s="128">
        <v>327.24999999999994</v>
      </c>
      <c r="EC18" s="128"/>
      <c r="ED18" s="128" t="s">
        <v>22</v>
      </c>
      <c r="EE18" s="128">
        <v>327.24999999999994</v>
      </c>
      <c r="EF18" s="128">
        <v>327.24999999999994</v>
      </c>
      <c r="EG18" s="128">
        <v>327.24999999999994</v>
      </c>
      <c r="EH18" s="128">
        <v>327.24999999999994</v>
      </c>
      <c r="EI18" s="128">
        <v>327.24999999999994</v>
      </c>
      <c r="EJ18" s="128">
        <v>327.24999999999994</v>
      </c>
      <c r="EK18" s="128">
        <v>327.24999999999994</v>
      </c>
      <c r="EL18" s="128">
        <v>327.24999999999994</v>
      </c>
      <c r="EM18" s="128">
        <v>327.24999999999994</v>
      </c>
      <c r="EN18" s="128">
        <v>327.24999999999994</v>
      </c>
      <c r="EO18" s="128">
        <v>327.24999999999994</v>
      </c>
      <c r="EP18" s="128">
        <v>327.24999999999994</v>
      </c>
      <c r="EQ18" s="128">
        <v>327.24999999999994</v>
      </c>
      <c r="ER18" s="128">
        <v>327.24999999999994</v>
      </c>
      <c r="ES18" s="128">
        <v>327.24999999999994</v>
      </c>
      <c r="ET18" s="128">
        <v>327.24999999999994</v>
      </c>
      <c r="EU18" s="128">
        <v>327.24999999999994</v>
      </c>
      <c r="EV18" s="128"/>
      <c r="EW18" s="128" t="s">
        <v>22</v>
      </c>
      <c r="EX18" s="128">
        <v>327.24999999999994</v>
      </c>
      <c r="EY18" s="128">
        <v>327.24999999999994</v>
      </c>
      <c r="EZ18" s="128">
        <v>327.24999999999994</v>
      </c>
      <c r="FA18" s="128">
        <v>327.24999999999994</v>
      </c>
      <c r="FB18" s="128">
        <v>327.24999999999994</v>
      </c>
      <c r="FC18" s="128">
        <v>327.24999999999994</v>
      </c>
      <c r="FD18" s="128">
        <v>327.24999999999994</v>
      </c>
      <c r="FE18" s="128">
        <v>327.24999999999994</v>
      </c>
      <c r="FF18" s="128">
        <v>327.24999999999994</v>
      </c>
      <c r="FG18" s="128">
        <v>327.24999999999994</v>
      </c>
      <c r="FH18" s="128">
        <v>327.24999999999994</v>
      </c>
      <c r="FI18" s="128">
        <v>327.24999999999994</v>
      </c>
      <c r="FJ18" s="128">
        <v>327.24999999999994</v>
      </c>
      <c r="FK18" s="128">
        <v>327.24999999999994</v>
      </c>
      <c r="FL18" s="128">
        <v>327.24999999999994</v>
      </c>
      <c r="FM18" s="128">
        <v>327.24999999999994</v>
      </c>
      <c r="FN18" s="128">
        <v>327.24999999999994</v>
      </c>
    </row>
    <row r="19" spans="2:170">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8"/>
      <c r="DS19" s="128"/>
      <c r="DT19" s="128"/>
      <c r="DU19" s="128"/>
      <c r="DV19" s="128"/>
      <c r="DW19" s="128"/>
      <c r="DX19" s="128"/>
      <c r="DY19" s="128"/>
      <c r="DZ19" s="128"/>
      <c r="EA19" s="128"/>
      <c r="EB19" s="128"/>
      <c r="EC19" s="128"/>
      <c r="ED19" s="128"/>
      <c r="EE19" s="128"/>
      <c r="EF19" s="128"/>
      <c r="EG19" s="128"/>
      <c r="EH19" s="128"/>
      <c r="EI19" s="128"/>
      <c r="EJ19" s="128"/>
      <c r="EK19" s="128"/>
      <c r="EL19" s="128"/>
      <c r="EM19" s="128"/>
      <c r="EN19" s="128"/>
      <c r="EO19" s="128"/>
      <c r="EP19" s="128"/>
      <c r="EQ19" s="128"/>
      <c r="ER19" s="128"/>
      <c r="ES19" s="128"/>
      <c r="ET19" s="128"/>
      <c r="EU19" s="128"/>
      <c r="EV19" s="128"/>
      <c r="EW19" s="128"/>
      <c r="EX19" s="128"/>
      <c r="EY19" s="128"/>
      <c r="EZ19" s="128"/>
      <c r="FA19" s="128"/>
      <c r="FB19" s="128"/>
      <c r="FC19" s="128"/>
      <c r="FD19" s="128"/>
      <c r="FE19" s="128"/>
      <c r="FF19" s="128"/>
      <c r="FG19" s="128"/>
      <c r="FH19" s="128"/>
      <c r="FI19" s="128"/>
      <c r="FJ19" s="128"/>
      <c r="FK19" s="128"/>
      <c r="FL19" s="128"/>
      <c r="FM19" s="128"/>
      <c r="FN19" s="128"/>
    </row>
    <row r="20" spans="2:170">
      <c r="B20" s="128" t="s">
        <v>448</v>
      </c>
      <c r="C20" s="128">
        <v>35.302651999999995</v>
      </c>
      <c r="D20" s="128">
        <v>45.629989999999999</v>
      </c>
      <c r="E20" s="128">
        <v>18.983999999999998</v>
      </c>
      <c r="F20" s="128">
        <v>45.629989999999999</v>
      </c>
      <c r="G20" s="128">
        <v>35.434055999999998</v>
      </c>
      <c r="H20" s="128">
        <v>24.566807999999998</v>
      </c>
      <c r="I20" s="128">
        <v>33.913851999999999</v>
      </c>
      <c r="J20" s="128">
        <v>35.434055999999998</v>
      </c>
      <c r="K20" s="128">
        <v>32.664939999999994</v>
      </c>
      <c r="L20" s="128"/>
      <c r="M20" s="128" t="s">
        <v>448</v>
      </c>
      <c r="N20" s="128">
        <v>35.302651999999995</v>
      </c>
      <c r="O20" s="128">
        <v>45.629989999999999</v>
      </c>
      <c r="P20" s="128">
        <v>18.983999999999998</v>
      </c>
      <c r="Q20" s="128">
        <v>45.629989999999999</v>
      </c>
      <c r="R20" s="128">
        <v>35.434055999999998</v>
      </c>
      <c r="S20" s="128">
        <v>24.566807999999998</v>
      </c>
      <c r="T20" s="128">
        <v>33.913851999999999</v>
      </c>
      <c r="U20" s="128">
        <v>35.434055999999998</v>
      </c>
      <c r="V20" s="128">
        <v>32.664939999999994</v>
      </c>
      <c r="W20" s="128"/>
      <c r="X20" s="128" t="s">
        <v>448</v>
      </c>
      <c r="Y20" s="128">
        <v>35.302651999999995</v>
      </c>
      <c r="Z20" s="128">
        <v>45.629989999999999</v>
      </c>
      <c r="AA20" s="128">
        <v>18.983999999999998</v>
      </c>
      <c r="AB20" s="128">
        <v>45.629989999999999</v>
      </c>
      <c r="AC20" s="128">
        <v>35.434055999999998</v>
      </c>
      <c r="AD20" s="128">
        <v>24.566807999999998</v>
      </c>
      <c r="AE20" s="128">
        <v>33.913851999999999</v>
      </c>
      <c r="AF20" s="128">
        <v>35.434055999999998</v>
      </c>
      <c r="AG20" s="128">
        <v>32.664939999999994</v>
      </c>
      <c r="AH20" s="128">
        <v>49.479443999999994</v>
      </c>
      <c r="AI20" s="128">
        <v>27.489755999999996</v>
      </c>
      <c r="AJ20" s="128">
        <v>29.220071999999995</v>
      </c>
      <c r="AK20" s="128">
        <v>24.351208</v>
      </c>
      <c r="AL20" s="128"/>
      <c r="AM20" s="128" t="s">
        <v>448</v>
      </c>
      <c r="AN20" s="128">
        <v>35.302651999999995</v>
      </c>
      <c r="AO20" s="128">
        <v>45.629989999999999</v>
      </c>
      <c r="AP20" s="128">
        <v>18.983999999999998</v>
      </c>
      <c r="AQ20" s="128">
        <v>45.629989999999999</v>
      </c>
      <c r="AR20" s="128">
        <v>35.434055999999998</v>
      </c>
      <c r="AS20" s="128">
        <v>24.566807999999998</v>
      </c>
      <c r="AT20" s="128">
        <v>33.913851999999999</v>
      </c>
      <c r="AU20" s="128">
        <v>35.434055999999998</v>
      </c>
      <c r="AV20" s="128">
        <v>32.664939999999994</v>
      </c>
      <c r="AW20" s="128">
        <v>49.479443999999994</v>
      </c>
      <c r="AX20" s="128">
        <v>27.489755999999996</v>
      </c>
      <c r="AY20" s="128">
        <v>29.220071999999995</v>
      </c>
      <c r="AZ20" s="128">
        <v>24.351208</v>
      </c>
      <c r="BA20" s="128">
        <v>24.351208</v>
      </c>
      <c r="BB20" s="128">
        <v>24.351208</v>
      </c>
      <c r="BC20" s="128">
        <v>45.629989999999999</v>
      </c>
      <c r="BD20" s="128">
        <v>22.254973999999994</v>
      </c>
      <c r="BE20" s="128"/>
      <c r="BF20" s="128" t="s">
        <v>448</v>
      </c>
      <c r="BG20" s="128">
        <v>35.302651999999995</v>
      </c>
      <c r="BH20" s="128">
        <v>45.629989999999999</v>
      </c>
      <c r="BI20" s="128">
        <v>18.983999999999998</v>
      </c>
      <c r="BJ20" s="128">
        <v>45.629989999999999</v>
      </c>
      <c r="BK20" s="128">
        <v>35.434055999999998</v>
      </c>
      <c r="BL20" s="128">
        <v>24.566807999999998</v>
      </c>
      <c r="BM20" s="128">
        <v>33.913851999999999</v>
      </c>
      <c r="BN20" s="128">
        <v>35.434055999999998</v>
      </c>
      <c r="BO20" s="128">
        <v>32.664939999999994</v>
      </c>
      <c r="BP20" s="128">
        <v>49.479443999999994</v>
      </c>
      <c r="BQ20" s="128">
        <v>27.489755999999996</v>
      </c>
      <c r="BR20" s="128">
        <v>29.220071999999995</v>
      </c>
      <c r="BS20" s="128">
        <v>24.351208</v>
      </c>
      <c r="BT20" s="128">
        <v>24.351208</v>
      </c>
      <c r="BU20" s="128">
        <v>24.351208</v>
      </c>
      <c r="BV20" s="128">
        <v>45.629989999999999</v>
      </c>
      <c r="BW20" s="128">
        <v>22.254973999999994</v>
      </c>
      <c r="BX20" s="128"/>
      <c r="BY20" s="128" t="s">
        <v>448</v>
      </c>
      <c r="BZ20" s="128">
        <v>35.302651999999995</v>
      </c>
      <c r="CA20" s="128">
        <v>45.629989999999999</v>
      </c>
      <c r="CB20" s="128">
        <v>18.983999999999998</v>
      </c>
      <c r="CC20" s="128">
        <v>45.629989999999999</v>
      </c>
      <c r="CD20" s="128">
        <v>35.434055999999998</v>
      </c>
      <c r="CE20" s="128">
        <v>24.566807999999998</v>
      </c>
      <c r="CF20" s="128">
        <v>33.913851999999999</v>
      </c>
      <c r="CG20" s="128">
        <v>35.434055999999998</v>
      </c>
      <c r="CH20" s="128">
        <v>32.664939999999994</v>
      </c>
      <c r="CI20" s="128">
        <v>49.479443999999994</v>
      </c>
      <c r="CJ20" s="128">
        <v>27.489755999999996</v>
      </c>
      <c r="CK20" s="128">
        <v>29.220071999999995</v>
      </c>
      <c r="CL20" s="128">
        <v>24.351208</v>
      </c>
      <c r="CM20" s="128">
        <v>24.351208</v>
      </c>
      <c r="CN20" s="128">
        <v>24.351208</v>
      </c>
      <c r="CO20" s="128">
        <v>45.629989999999999</v>
      </c>
      <c r="CP20" s="128">
        <v>22.254973999999994</v>
      </c>
      <c r="CQ20" s="128"/>
      <c r="CR20" s="128" t="s">
        <v>448</v>
      </c>
      <c r="CS20" s="128">
        <v>35.302651999999995</v>
      </c>
      <c r="CT20" s="128">
        <v>45.629989999999999</v>
      </c>
      <c r="CU20" s="128">
        <v>18.983999999999998</v>
      </c>
      <c r="CV20" s="128">
        <v>45.629989999999999</v>
      </c>
      <c r="CW20" s="128">
        <v>35.434055999999998</v>
      </c>
      <c r="CX20" s="128">
        <v>24.566807999999998</v>
      </c>
      <c r="CY20" s="128">
        <v>33.913851999999999</v>
      </c>
      <c r="CZ20" s="128">
        <v>35.434055999999998</v>
      </c>
      <c r="DA20" s="128">
        <v>32.664939999999994</v>
      </c>
      <c r="DB20" s="128">
        <v>49.479443999999994</v>
      </c>
      <c r="DC20" s="128">
        <v>27.489755999999996</v>
      </c>
      <c r="DD20" s="128">
        <v>29.220071999999995</v>
      </c>
      <c r="DE20" s="128">
        <v>24.351208</v>
      </c>
      <c r="DF20" s="128">
        <v>24.351208</v>
      </c>
      <c r="DG20" s="128">
        <v>24.351208</v>
      </c>
      <c r="DH20" s="128">
        <v>45.629989999999999</v>
      </c>
      <c r="DI20" s="128">
        <v>22.254973999999994</v>
      </c>
      <c r="DJ20" s="128"/>
      <c r="DK20" s="128" t="s">
        <v>448</v>
      </c>
      <c r="DL20" s="128">
        <v>35.302651999999995</v>
      </c>
      <c r="DM20" s="128">
        <v>45.629989999999999</v>
      </c>
      <c r="DN20" s="128">
        <v>18.983999999999998</v>
      </c>
      <c r="DO20" s="128">
        <v>45.629989999999999</v>
      </c>
      <c r="DP20" s="128">
        <v>35.434055999999998</v>
      </c>
      <c r="DQ20" s="128">
        <v>24.566807999999998</v>
      </c>
      <c r="DR20" s="128">
        <v>33.913851999999999</v>
      </c>
      <c r="DS20" s="128">
        <v>35.434055999999998</v>
      </c>
      <c r="DT20" s="128">
        <v>32.664939999999994</v>
      </c>
      <c r="DU20" s="128">
        <v>49.479443999999994</v>
      </c>
      <c r="DV20" s="128">
        <v>27.489755999999996</v>
      </c>
      <c r="DW20" s="128">
        <v>29.220071999999995</v>
      </c>
      <c r="DX20" s="128">
        <v>24.351208</v>
      </c>
      <c r="DY20" s="128">
        <v>24.351208</v>
      </c>
      <c r="DZ20" s="128">
        <v>24.351208</v>
      </c>
      <c r="EA20" s="128">
        <v>45.629989999999999</v>
      </c>
      <c r="EB20" s="128">
        <v>22.254973999999994</v>
      </c>
      <c r="EC20" s="128"/>
      <c r="ED20" s="128" t="s">
        <v>448</v>
      </c>
      <c r="EE20" s="128">
        <v>35.302651999999995</v>
      </c>
      <c r="EF20" s="128">
        <v>45.629989999999999</v>
      </c>
      <c r="EG20" s="128">
        <v>18.983999999999998</v>
      </c>
      <c r="EH20" s="128">
        <v>45.629989999999999</v>
      </c>
      <c r="EI20" s="128">
        <v>35.434055999999998</v>
      </c>
      <c r="EJ20" s="128">
        <v>24.566807999999998</v>
      </c>
      <c r="EK20" s="128">
        <v>33.913851999999999</v>
      </c>
      <c r="EL20" s="128">
        <v>35.434055999999998</v>
      </c>
      <c r="EM20" s="128">
        <v>32.664939999999994</v>
      </c>
      <c r="EN20" s="128">
        <v>49.479443999999994</v>
      </c>
      <c r="EO20" s="128">
        <v>27.489755999999996</v>
      </c>
      <c r="EP20" s="128">
        <v>29.220071999999995</v>
      </c>
      <c r="EQ20" s="128">
        <v>24.351208</v>
      </c>
      <c r="ER20" s="128">
        <v>24.351208</v>
      </c>
      <c r="ES20" s="128">
        <v>24.351208</v>
      </c>
      <c r="ET20" s="128">
        <v>45.629989999999999</v>
      </c>
      <c r="EU20" s="128">
        <v>22.254973999999994</v>
      </c>
      <c r="EV20" s="128"/>
      <c r="EW20" s="128" t="s">
        <v>448</v>
      </c>
      <c r="EX20" s="128">
        <v>35.302651999999995</v>
      </c>
      <c r="EY20" s="128">
        <v>45.629989999999999</v>
      </c>
      <c r="EZ20" s="128">
        <v>18.983999999999998</v>
      </c>
      <c r="FA20" s="128">
        <v>45.629989999999999</v>
      </c>
      <c r="FB20" s="128">
        <v>35.434055999999998</v>
      </c>
      <c r="FC20" s="128">
        <v>24.566807999999998</v>
      </c>
      <c r="FD20" s="128">
        <v>33.913851999999999</v>
      </c>
      <c r="FE20" s="128">
        <v>35.434055999999998</v>
      </c>
      <c r="FF20" s="128">
        <v>32.664939999999994</v>
      </c>
      <c r="FG20" s="128">
        <v>49.479443999999994</v>
      </c>
      <c r="FH20" s="128">
        <v>27.489755999999996</v>
      </c>
      <c r="FI20" s="128">
        <v>29.220071999999995</v>
      </c>
      <c r="FJ20" s="128">
        <v>24.351208</v>
      </c>
      <c r="FK20" s="128">
        <v>24.351208</v>
      </c>
      <c r="FL20" s="128">
        <v>24.351208</v>
      </c>
      <c r="FM20" s="128">
        <v>45.629989999999999</v>
      </c>
      <c r="FN20" s="128">
        <v>22.254973999999994</v>
      </c>
    </row>
    <row r="21" spans="2:170">
      <c r="B21" s="128" t="s">
        <v>446</v>
      </c>
      <c r="C21" s="128">
        <v>186.2</v>
      </c>
      <c r="D21" s="128">
        <v>111.71999999999998</v>
      </c>
      <c r="E21" s="128">
        <v>148.95999999999998</v>
      </c>
      <c r="F21" s="128">
        <v>148.95999999999998</v>
      </c>
      <c r="G21" s="128">
        <v>55.859999999999992</v>
      </c>
      <c r="H21" s="128">
        <v>335.15999999999997</v>
      </c>
      <c r="I21" s="128">
        <v>242.05999999999997</v>
      </c>
      <c r="J21" s="128">
        <v>260.67999999999995</v>
      </c>
      <c r="K21" s="128">
        <v>316.53999999999996</v>
      </c>
      <c r="L21" s="128"/>
      <c r="M21" s="128" t="s">
        <v>446</v>
      </c>
      <c r="N21" s="128">
        <v>186.2</v>
      </c>
      <c r="O21" s="128">
        <v>111.71999999999998</v>
      </c>
      <c r="P21" s="128">
        <v>148.95999999999998</v>
      </c>
      <c r="Q21" s="128">
        <v>148.95999999999998</v>
      </c>
      <c r="R21" s="128">
        <v>55.859999999999992</v>
      </c>
      <c r="S21" s="128">
        <v>335.15999999999997</v>
      </c>
      <c r="T21" s="128">
        <v>242.05999999999997</v>
      </c>
      <c r="U21" s="128">
        <v>260.67999999999995</v>
      </c>
      <c r="V21" s="128">
        <v>316.53999999999996</v>
      </c>
      <c r="W21" s="128"/>
      <c r="X21" s="128" t="s">
        <v>446</v>
      </c>
      <c r="Y21" s="128">
        <v>186.2</v>
      </c>
      <c r="Z21" s="128">
        <v>111.71999999999998</v>
      </c>
      <c r="AA21" s="128">
        <v>148.95999999999998</v>
      </c>
      <c r="AB21" s="128">
        <v>148.95999999999998</v>
      </c>
      <c r="AC21" s="128">
        <v>55.859999999999992</v>
      </c>
      <c r="AD21" s="128">
        <v>335.15999999999997</v>
      </c>
      <c r="AE21" s="128">
        <v>242.05999999999997</v>
      </c>
      <c r="AF21" s="128">
        <v>260.67999999999995</v>
      </c>
      <c r="AG21" s="128">
        <v>316.53999999999996</v>
      </c>
      <c r="AH21" s="128">
        <v>577.21999999999991</v>
      </c>
      <c r="AI21" s="128">
        <v>74.47999999999999</v>
      </c>
      <c r="AJ21" s="128">
        <v>186.2</v>
      </c>
      <c r="AK21" s="128">
        <v>242.05999999999997</v>
      </c>
      <c r="AL21" s="128"/>
      <c r="AM21" s="128" t="s">
        <v>446</v>
      </c>
      <c r="AN21" s="128">
        <v>186.2</v>
      </c>
      <c r="AO21" s="128">
        <v>111.71999999999998</v>
      </c>
      <c r="AP21" s="128">
        <v>148.95999999999998</v>
      </c>
      <c r="AQ21" s="128">
        <v>148.95999999999998</v>
      </c>
      <c r="AR21" s="128">
        <v>55.859999999999992</v>
      </c>
      <c r="AS21" s="128">
        <v>335.15999999999997</v>
      </c>
      <c r="AT21" s="128">
        <v>242.05999999999997</v>
      </c>
      <c r="AU21" s="128">
        <v>260.67999999999995</v>
      </c>
      <c r="AV21" s="128">
        <v>316.53999999999996</v>
      </c>
      <c r="AW21" s="128">
        <v>577.21999999999991</v>
      </c>
      <c r="AX21" s="128">
        <v>74.47999999999999</v>
      </c>
      <c r="AY21" s="128">
        <v>186.2</v>
      </c>
      <c r="AZ21" s="128">
        <v>242.05999999999997</v>
      </c>
      <c r="BA21" s="128">
        <v>428.25999999999993</v>
      </c>
      <c r="BB21" s="128">
        <v>167.57999999999998</v>
      </c>
      <c r="BC21" s="128">
        <v>428.25999999999993</v>
      </c>
      <c r="BD21" s="128">
        <v>186.2</v>
      </c>
      <c r="BE21" s="128"/>
      <c r="BF21" s="128" t="s">
        <v>446</v>
      </c>
      <c r="BG21" s="128">
        <v>186.2</v>
      </c>
      <c r="BH21" s="128">
        <v>111.71999999999998</v>
      </c>
      <c r="BI21" s="128">
        <v>148.95999999999998</v>
      </c>
      <c r="BJ21" s="128">
        <v>148.95999999999998</v>
      </c>
      <c r="BK21" s="128">
        <v>55.859999999999992</v>
      </c>
      <c r="BL21" s="128">
        <v>335.15999999999997</v>
      </c>
      <c r="BM21" s="128">
        <v>242.05999999999997</v>
      </c>
      <c r="BN21" s="128">
        <v>260.67999999999995</v>
      </c>
      <c r="BO21" s="128">
        <v>316.53999999999996</v>
      </c>
      <c r="BP21" s="128">
        <v>577.21999999999991</v>
      </c>
      <c r="BQ21" s="128">
        <v>74.47999999999999</v>
      </c>
      <c r="BR21" s="128">
        <v>186.2</v>
      </c>
      <c r="BS21" s="128">
        <v>242.05999999999997</v>
      </c>
      <c r="BT21" s="128">
        <v>428.25999999999993</v>
      </c>
      <c r="BU21" s="128">
        <v>167.57999999999998</v>
      </c>
      <c r="BV21" s="128">
        <v>428.25999999999993</v>
      </c>
      <c r="BW21" s="128">
        <v>186.2</v>
      </c>
      <c r="BX21" s="128"/>
      <c r="BY21" s="128" t="s">
        <v>446</v>
      </c>
      <c r="BZ21" s="128">
        <v>186.2</v>
      </c>
      <c r="CA21" s="128">
        <v>111.71999999999998</v>
      </c>
      <c r="CB21" s="128">
        <v>148.95999999999998</v>
      </c>
      <c r="CC21" s="128">
        <v>148.95999999999998</v>
      </c>
      <c r="CD21" s="128">
        <v>55.859999999999992</v>
      </c>
      <c r="CE21" s="128">
        <v>335.15999999999997</v>
      </c>
      <c r="CF21" s="128">
        <v>242.05999999999997</v>
      </c>
      <c r="CG21" s="128">
        <v>260.67999999999995</v>
      </c>
      <c r="CH21" s="128">
        <v>316.53999999999996</v>
      </c>
      <c r="CI21" s="128">
        <v>577.21999999999991</v>
      </c>
      <c r="CJ21" s="128">
        <v>74.47999999999999</v>
      </c>
      <c r="CK21" s="128">
        <v>186.2</v>
      </c>
      <c r="CL21" s="128">
        <v>242.05999999999997</v>
      </c>
      <c r="CM21" s="128">
        <v>428.25999999999993</v>
      </c>
      <c r="CN21" s="128">
        <v>167.57999999999998</v>
      </c>
      <c r="CO21" s="128">
        <v>428.25999999999993</v>
      </c>
      <c r="CP21" s="128">
        <v>186.2</v>
      </c>
      <c r="CQ21" s="128"/>
      <c r="CR21" s="128" t="s">
        <v>446</v>
      </c>
      <c r="CS21" s="128">
        <v>186.2</v>
      </c>
      <c r="CT21" s="128">
        <v>111.71999999999998</v>
      </c>
      <c r="CU21" s="128">
        <v>148.95999999999998</v>
      </c>
      <c r="CV21" s="128">
        <v>148.95999999999998</v>
      </c>
      <c r="CW21" s="128">
        <v>55.859999999999992</v>
      </c>
      <c r="CX21" s="128">
        <v>335.15999999999997</v>
      </c>
      <c r="CY21" s="128">
        <v>242.05999999999997</v>
      </c>
      <c r="CZ21" s="128">
        <v>260.67999999999995</v>
      </c>
      <c r="DA21" s="128">
        <v>316.53999999999996</v>
      </c>
      <c r="DB21" s="128">
        <v>577.21999999999991</v>
      </c>
      <c r="DC21" s="128">
        <v>74.47999999999999</v>
      </c>
      <c r="DD21" s="128">
        <v>186.2</v>
      </c>
      <c r="DE21" s="128">
        <v>242.05999999999997</v>
      </c>
      <c r="DF21" s="128">
        <v>428.25999999999993</v>
      </c>
      <c r="DG21" s="128">
        <v>167.57999999999998</v>
      </c>
      <c r="DH21" s="128">
        <v>428.25999999999993</v>
      </c>
      <c r="DI21" s="128">
        <v>186.2</v>
      </c>
      <c r="DJ21" s="128"/>
      <c r="DK21" s="128" t="s">
        <v>446</v>
      </c>
      <c r="DL21" s="128">
        <v>186.2</v>
      </c>
      <c r="DM21" s="128">
        <v>111.71999999999998</v>
      </c>
      <c r="DN21" s="128">
        <v>148.95999999999998</v>
      </c>
      <c r="DO21" s="128">
        <v>148.95999999999998</v>
      </c>
      <c r="DP21" s="128">
        <v>55.859999999999992</v>
      </c>
      <c r="DQ21" s="128">
        <v>335.15999999999997</v>
      </c>
      <c r="DR21" s="128">
        <v>242.05999999999997</v>
      </c>
      <c r="DS21" s="128">
        <v>260.67999999999995</v>
      </c>
      <c r="DT21" s="128">
        <v>316.53999999999996</v>
      </c>
      <c r="DU21" s="128">
        <v>577.21999999999991</v>
      </c>
      <c r="DV21" s="128">
        <v>74.47999999999999</v>
      </c>
      <c r="DW21" s="128">
        <v>186.2</v>
      </c>
      <c r="DX21" s="128">
        <v>242.05999999999997</v>
      </c>
      <c r="DY21" s="128">
        <v>428.25999999999993</v>
      </c>
      <c r="DZ21" s="128">
        <v>167.57999999999998</v>
      </c>
      <c r="EA21" s="128">
        <v>428.25999999999993</v>
      </c>
      <c r="EB21" s="128">
        <v>186.2</v>
      </c>
      <c r="EC21" s="128"/>
      <c r="ED21" s="128" t="s">
        <v>446</v>
      </c>
      <c r="EE21" s="128">
        <v>186.2</v>
      </c>
      <c r="EF21" s="128">
        <v>111.71999999999998</v>
      </c>
      <c r="EG21" s="128">
        <v>148.95999999999998</v>
      </c>
      <c r="EH21" s="128">
        <v>148.95999999999998</v>
      </c>
      <c r="EI21" s="128">
        <v>55.859999999999992</v>
      </c>
      <c r="EJ21" s="128">
        <v>335.15999999999997</v>
      </c>
      <c r="EK21" s="128">
        <v>242.05999999999997</v>
      </c>
      <c r="EL21" s="128">
        <v>260.67999999999995</v>
      </c>
      <c r="EM21" s="128">
        <v>316.53999999999996</v>
      </c>
      <c r="EN21" s="128">
        <v>577.21999999999991</v>
      </c>
      <c r="EO21" s="128">
        <v>74.47999999999999</v>
      </c>
      <c r="EP21" s="128">
        <v>186.2</v>
      </c>
      <c r="EQ21" s="128">
        <v>242.05999999999997</v>
      </c>
      <c r="ER21" s="128">
        <v>428.25999999999993</v>
      </c>
      <c r="ES21" s="128">
        <v>167.57999999999998</v>
      </c>
      <c r="ET21" s="128">
        <v>428.25999999999993</v>
      </c>
      <c r="EU21" s="128">
        <v>186.2</v>
      </c>
      <c r="EV21" s="128"/>
      <c r="EW21" s="128" t="s">
        <v>446</v>
      </c>
      <c r="EX21" s="128">
        <v>186.2</v>
      </c>
      <c r="EY21" s="128">
        <v>111.71999999999998</v>
      </c>
      <c r="EZ21" s="128">
        <v>148.95999999999998</v>
      </c>
      <c r="FA21" s="128">
        <v>148.95999999999998</v>
      </c>
      <c r="FB21" s="128">
        <v>55.859999999999992</v>
      </c>
      <c r="FC21" s="128">
        <v>335.15999999999997</v>
      </c>
      <c r="FD21" s="128">
        <v>242.05999999999997</v>
      </c>
      <c r="FE21" s="128">
        <v>260.67999999999995</v>
      </c>
      <c r="FF21" s="128">
        <v>316.53999999999996</v>
      </c>
      <c r="FG21" s="128">
        <v>577.21999999999991</v>
      </c>
      <c r="FH21" s="128">
        <v>74.47999999999999</v>
      </c>
      <c r="FI21" s="128">
        <v>186.2</v>
      </c>
      <c r="FJ21" s="128">
        <v>242.05999999999997</v>
      </c>
      <c r="FK21" s="128">
        <v>428.25999999999993</v>
      </c>
      <c r="FL21" s="128">
        <v>167.57999999999998</v>
      </c>
      <c r="FM21" s="128">
        <v>428.25999999999993</v>
      </c>
      <c r="FN21" s="128">
        <v>186.2</v>
      </c>
    </row>
    <row r="22" spans="2:170">
      <c r="B22" s="128" t="s">
        <v>445</v>
      </c>
      <c r="C22" s="128">
        <v>550.32319999999993</v>
      </c>
      <c r="D22" s="128">
        <v>559.88479999999993</v>
      </c>
      <c r="E22" s="128">
        <v>396.27519999999993</v>
      </c>
      <c r="F22" s="128">
        <v>404.77439999999996</v>
      </c>
      <c r="G22" s="128">
        <v>217.65759999999995</v>
      </c>
      <c r="H22" s="128">
        <v>323.71199999999993</v>
      </c>
      <c r="I22" s="128">
        <v>322.76479999999998</v>
      </c>
      <c r="J22" s="128">
        <v>231.01439999999999</v>
      </c>
      <c r="K22" s="128">
        <v>204.01920000000001</v>
      </c>
      <c r="L22" s="128"/>
      <c r="M22" s="128" t="s">
        <v>445</v>
      </c>
      <c r="N22" s="128">
        <v>634.63100359547536</v>
      </c>
      <c r="O22" s="128">
        <v>645.65741099385218</v>
      </c>
      <c r="P22" s="128">
        <v>456.98332884384598</v>
      </c>
      <c r="Q22" s="128">
        <v>466.78457986462553</v>
      </c>
      <c r="R22" s="128">
        <v>252.84757923767359</v>
      </c>
      <c r="S22" s="128">
        <v>359.73249347368426</v>
      </c>
      <c r="T22" s="128">
        <v>360.56688982966512</v>
      </c>
      <c r="U22" s="128">
        <v>258.07071810143543</v>
      </c>
      <c r="V22" s="128">
        <v>229.36479185454553</v>
      </c>
      <c r="W22" s="128"/>
      <c r="X22" s="128" t="s">
        <v>445</v>
      </c>
      <c r="Y22" s="128">
        <v>691.2</v>
      </c>
      <c r="Z22" s="128">
        <v>691.2</v>
      </c>
      <c r="AA22" s="128">
        <v>521.63349133166901</v>
      </c>
      <c r="AB22" s="128">
        <v>532.82134101170504</v>
      </c>
      <c r="AC22" s="128">
        <v>297.65933863647092</v>
      </c>
      <c r="AD22" s="128">
        <v>398.60091916551227</v>
      </c>
      <c r="AE22" s="128">
        <v>401.40258696795354</v>
      </c>
      <c r="AF22" s="128">
        <v>287.2982982867079</v>
      </c>
      <c r="AG22" s="128">
        <v>256.77709904496095</v>
      </c>
      <c r="AH22" s="128">
        <v>286.44426369086113</v>
      </c>
      <c r="AI22" s="128">
        <v>440.74300894426682</v>
      </c>
      <c r="AJ22" s="128">
        <v>453.7308717131861</v>
      </c>
      <c r="AK22" s="128">
        <v>324.91138010778451</v>
      </c>
      <c r="AL22" s="128"/>
      <c r="AM22" s="128" t="s">
        <v>445</v>
      </c>
      <c r="AN22" s="128">
        <v>691.2</v>
      </c>
      <c r="AO22" s="128">
        <v>691.2</v>
      </c>
      <c r="AP22" s="128">
        <v>592.38457230453832</v>
      </c>
      <c r="AQ22" s="128">
        <v>605.08987144243758</v>
      </c>
      <c r="AR22" s="128">
        <v>346.91156171038995</v>
      </c>
      <c r="AS22" s="128">
        <v>440.5148931529111</v>
      </c>
      <c r="AT22" s="128">
        <v>445.48388924588886</v>
      </c>
      <c r="AU22" s="128">
        <v>318.84887504401183</v>
      </c>
      <c r="AV22" s="128">
        <v>286.40162810154311</v>
      </c>
      <c r="AW22" s="128">
        <v>318.31785419986591</v>
      </c>
      <c r="AX22" s="128">
        <v>484.22712507084327</v>
      </c>
      <c r="AY22" s="128">
        <v>498.49638248793303</v>
      </c>
      <c r="AZ22" s="128">
        <v>365.27557734563754</v>
      </c>
      <c r="BA22" s="128">
        <v>310.63454840877614</v>
      </c>
      <c r="BB22" s="128">
        <v>287.17266355469593</v>
      </c>
      <c r="BC22" s="128">
        <v>240.44208365374004</v>
      </c>
      <c r="BD22" s="128">
        <v>131.27102347737656</v>
      </c>
      <c r="BE22" s="128"/>
      <c r="BF22" s="128" t="s">
        <v>445</v>
      </c>
      <c r="BG22" s="128">
        <v>691.2</v>
      </c>
      <c r="BH22" s="128">
        <v>691.2</v>
      </c>
      <c r="BI22" s="128">
        <v>669.03361148737781</v>
      </c>
      <c r="BJ22" s="128">
        <v>680.86743523098619</v>
      </c>
      <c r="BK22" s="128">
        <v>400.44021578213307</v>
      </c>
      <c r="BL22" s="128">
        <v>485.6848230093031</v>
      </c>
      <c r="BM22" s="128">
        <v>493.03657395340514</v>
      </c>
      <c r="BN22" s="128">
        <v>345.00887278667551</v>
      </c>
      <c r="BO22" s="128">
        <v>318.39338397276538</v>
      </c>
      <c r="BP22" s="128">
        <v>352.71150527896896</v>
      </c>
      <c r="BQ22" s="128">
        <v>531.01726197674748</v>
      </c>
      <c r="BR22" s="128">
        <v>546.66533622074144</v>
      </c>
      <c r="BS22" s="128">
        <v>408.93112820151993</v>
      </c>
      <c r="BT22" s="128">
        <v>342.43900749156938</v>
      </c>
      <c r="BU22" s="128">
        <v>317.76748695316024</v>
      </c>
      <c r="BV22" s="128">
        <v>314.13039853818066</v>
      </c>
      <c r="BW22" s="128">
        <v>176.11727560388618</v>
      </c>
      <c r="BX22" s="128"/>
      <c r="BY22" s="128" t="s">
        <v>445</v>
      </c>
      <c r="BZ22" s="128">
        <v>691.2</v>
      </c>
      <c r="CA22" s="128">
        <v>691.2</v>
      </c>
      <c r="CB22" s="128">
        <v>691.2</v>
      </c>
      <c r="CC22" s="128">
        <v>691.2</v>
      </c>
      <c r="CD22" s="128">
        <v>433.53608702441284</v>
      </c>
      <c r="CE22" s="128">
        <v>517.05921790644663</v>
      </c>
      <c r="CF22" s="128">
        <v>505.47372625367905</v>
      </c>
      <c r="CG22" s="128">
        <v>347.20189922570228</v>
      </c>
      <c r="CH22" s="128">
        <v>326.9341914161086</v>
      </c>
      <c r="CI22" s="128">
        <v>361.75771331307328</v>
      </c>
      <c r="CJ22" s="128">
        <v>542.6564423222901</v>
      </c>
      <c r="CK22" s="128">
        <v>558.6475011945206</v>
      </c>
      <c r="CL22" s="128">
        <v>420.91900018068173</v>
      </c>
      <c r="CM22" s="128">
        <v>351.07892859135751</v>
      </c>
      <c r="CN22" s="128">
        <v>326.21498180726689</v>
      </c>
      <c r="CO22" s="128">
        <v>339.75201950082754</v>
      </c>
      <c r="CP22" s="128">
        <v>191.88652264166333</v>
      </c>
      <c r="CQ22" s="128"/>
      <c r="CR22" s="128" t="s">
        <v>445</v>
      </c>
      <c r="CS22" s="128">
        <v>691.2</v>
      </c>
      <c r="CT22" s="128">
        <v>691.2</v>
      </c>
      <c r="CU22" s="128">
        <v>691.2</v>
      </c>
      <c r="CV22" s="128">
        <v>691.2</v>
      </c>
      <c r="CW22" s="128">
        <v>454.60659280172337</v>
      </c>
      <c r="CX22" s="128">
        <v>541.05076561730584</v>
      </c>
      <c r="CY22" s="128">
        <v>512.7658970273676</v>
      </c>
      <c r="CZ22" s="128">
        <v>352.21077587072131</v>
      </c>
      <c r="DA22" s="128">
        <v>331.65067781636822</v>
      </c>
      <c r="DB22" s="128">
        <v>366.9765780871723</v>
      </c>
      <c r="DC22" s="128">
        <v>550.48502617012866</v>
      </c>
      <c r="DD22" s="128">
        <v>566.70677859989121</v>
      </c>
      <c r="DE22" s="128">
        <v>426.99134988312164</v>
      </c>
      <c r="DF22" s="128">
        <v>356.19448426546739</v>
      </c>
      <c r="DG22" s="128">
        <v>330.96824600304052</v>
      </c>
      <c r="DH22" s="128">
        <v>344.70253127925093</v>
      </c>
      <c r="DI22" s="128">
        <v>194.68249274907865</v>
      </c>
      <c r="DJ22" s="128"/>
      <c r="DK22" s="128" t="s">
        <v>445</v>
      </c>
      <c r="DL22" s="128">
        <v>691.2</v>
      </c>
      <c r="DM22" s="128">
        <v>691.2</v>
      </c>
      <c r="DN22" s="128">
        <v>691.2</v>
      </c>
      <c r="DO22" s="128">
        <v>691.2</v>
      </c>
      <c r="DP22" s="128">
        <v>476.69905566124828</v>
      </c>
      <c r="DQ22" s="128">
        <v>566.15552114194884</v>
      </c>
      <c r="DR22" s="128">
        <v>524.32610725797065</v>
      </c>
      <c r="DS22" s="128">
        <v>360.15130124137016</v>
      </c>
      <c r="DT22" s="128">
        <v>339.1276796624457</v>
      </c>
      <c r="DU22" s="128">
        <v>375.24999567790718</v>
      </c>
      <c r="DV22" s="128">
        <v>562.89560703796303</v>
      </c>
      <c r="DW22" s="128">
        <v>579.48307581018139</v>
      </c>
      <c r="DX22" s="128">
        <v>436.61778916060445</v>
      </c>
      <c r="DY22" s="128">
        <v>364.27643214053631</v>
      </c>
      <c r="DZ22" s="128">
        <v>338.47781796627726</v>
      </c>
      <c r="EA22" s="128">
        <v>352.52373012781857</v>
      </c>
      <c r="EB22" s="128">
        <v>199.09978113531281</v>
      </c>
      <c r="EC22" s="128"/>
      <c r="ED22" s="128" t="s">
        <v>445</v>
      </c>
      <c r="EE22" s="128">
        <v>691.2</v>
      </c>
      <c r="EF22" s="128">
        <v>691.2</v>
      </c>
      <c r="EG22" s="128">
        <v>691.2</v>
      </c>
      <c r="EH22" s="128">
        <v>691.2</v>
      </c>
      <c r="EI22" s="128">
        <v>499.86294926409863</v>
      </c>
      <c r="EJ22" s="128">
        <v>592.42513732293514</v>
      </c>
      <c r="EK22" s="128">
        <v>539.62219188779432</v>
      </c>
      <c r="EL22" s="128">
        <v>370.65793958546988</v>
      </c>
      <c r="EM22" s="128">
        <v>349.02099913791551</v>
      </c>
      <c r="EN22" s="128">
        <v>386.1971059052571</v>
      </c>
      <c r="EO22" s="128">
        <v>579.31687373405839</v>
      </c>
      <c r="EP22" s="128">
        <v>596.38824617352168</v>
      </c>
      <c r="EQ22" s="128">
        <v>449.35517255891239</v>
      </c>
      <c r="ER22" s="128">
        <v>375.11815650814179</v>
      </c>
      <c r="ES22" s="128">
        <v>348.55171482909481</v>
      </c>
      <c r="ET22" s="128">
        <v>363.0156664099095</v>
      </c>
      <c r="EU22" s="128">
        <v>205.02545943416811</v>
      </c>
      <c r="EV22" s="128"/>
      <c r="EW22" s="128" t="s">
        <v>445</v>
      </c>
      <c r="EX22" s="128">
        <v>691.2</v>
      </c>
      <c r="EY22" s="128">
        <v>691.2</v>
      </c>
      <c r="EZ22" s="128">
        <v>691.2</v>
      </c>
      <c r="FA22" s="128">
        <v>691.2</v>
      </c>
      <c r="FB22" s="128">
        <v>523.74005766274297</v>
      </c>
      <c r="FC22" s="128">
        <v>619.91366369471939</v>
      </c>
      <c r="FD22" s="128">
        <v>550.76080034319841</v>
      </c>
      <c r="FE22" s="128">
        <v>378.3088733720993</v>
      </c>
      <c r="FF22" s="128">
        <v>356.22531413932569</v>
      </c>
      <c r="FG22" s="128">
        <v>394.16879130655599</v>
      </c>
      <c r="FH22" s="128">
        <v>591.27483974275469</v>
      </c>
      <c r="FI22" s="128">
        <v>608.69859082093603</v>
      </c>
      <c r="FJ22" s="128">
        <v>458.63053483975966</v>
      </c>
      <c r="FK22" s="128">
        <v>383.08189792326493</v>
      </c>
      <c r="FL22" s="128">
        <v>358.03372975775409</v>
      </c>
      <c r="FM22" s="128">
        <v>374.40548483381059</v>
      </c>
      <c r="FN22" s="128">
        <v>211.45824724833156</v>
      </c>
    </row>
    <row r="23" spans="2:170">
      <c r="B23" s="128" t="s">
        <v>450</v>
      </c>
      <c r="C23" s="128">
        <v>15.331364999999998</v>
      </c>
      <c r="D23" s="128">
        <v>16.670114999999999</v>
      </c>
      <c r="E23" s="128">
        <v>10.576124999999999</v>
      </c>
      <c r="F23" s="128">
        <v>10.576124999999999</v>
      </c>
      <c r="G23" s="128">
        <v>16.332749999999997</v>
      </c>
      <c r="H23" s="128">
        <v>11.97378</v>
      </c>
      <c r="I23" s="128">
        <v>12.953744999999998</v>
      </c>
      <c r="J23" s="128">
        <v>15.566984999999999</v>
      </c>
      <c r="K23" s="128">
        <v>14.688764999999997</v>
      </c>
      <c r="L23" s="128"/>
      <c r="M23" s="128" t="s">
        <v>450</v>
      </c>
      <c r="N23" s="128">
        <v>15.331364999999998</v>
      </c>
      <c r="O23" s="128">
        <v>16.670114999999999</v>
      </c>
      <c r="P23" s="128">
        <v>10.576124999999999</v>
      </c>
      <c r="Q23" s="128">
        <v>10.576124999999999</v>
      </c>
      <c r="R23" s="128">
        <v>16.332749999999997</v>
      </c>
      <c r="S23" s="128">
        <v>11.97378</v>
      </c>
      <c r="T23" s="128">
        <v>12.953744999999998</v>
      </c>
      <c r="U23" s="128">
        <v>15.566984999999999</v>
      </c>
      <c r="V23" s="128">
        <v>14.688764999999997</v>
      </c>
      <c r="W23" s="128"/>
      <c r="X23" s="128" t="s">
        <v>450</v>
      </c>
      <c r="Y23" s="128">
        <v>15.331364999999998</v>
      </c>
      <c r="Z23" s="128">
        <v>16.670114999999999</v>
      </c>
      <c r="AA23" s="128">
        <v>10.576124999999999</v>
      </c>
      <c r="AB23" s="128">
        <v>10.576124999999999</v>
      </c>
      <c r="AC23" s="128">
        <v>16.332749999999997</v>
      </c>
      <c r="AD23" s="128">
        <v>11.97378</v>
      </c>
      <c r="AE23" s="128">
        <v>12.953744999999998</v>
      </c>
      <c r="AF23" s="128">
        <v>15.566984999999999</v>
      </c>
      <c r="AG23" s="128">
        <v>14.688764999999997</v>
      </c>
      <c r="AH23" s="128">
        <v>16.734375</v>
      </c>
      <c r="AI23" s="128">
        <v>17.537624999999998</v>
      </c>
      <c r="AJ23" s="128">
        <v>12.878774999999999</v>
      </c>
      <c r="AK23" s="128">
        <v>12.075524999999999</v>
      </c>
      <c r="AL23" s="128"/>
      <c r="AM23" s="128" t="s">
        <v>450</v>
      </c>
      <c r="AN23" s="128">
        <v>15.331364999999998</v>
      </c>
      <c r="AO23" s="128">
        <v>16.670114999999999</v>
      </c>
      <c r="AP23" s="128">
        <v>10.576124999999999</v>
      </c>
      <c r="AQ23" s="128">
        <v>10.576124999999999</v>
      </c>
      <c r="AR23" s="128">
        <v>16.332749999999997</v>
      </c>
      <c r="AS23" s="128">
        <v>11.97378</v>
      </c>
      <c r="AT23" s="128">
        <v>12.953744999999998</v>
      </c>
      <c r="AU23" s="128">
        <v>15.566984999999999</v>
      </c>
      <c r="AV23" s="128">
        <v>14.688764999999997</v>
      </c>
      <c r="AW23" s="128">
        <v>16.734375</v>
      </c>
      <c r="AX23" s="128">
        <v>17.537624999999998</v>
      </c>
      <c r="AY23" s="128">
        <v>12.878774999999999</v>
      </c>
      <c r="AZ23" s="128">
        <v>12.075524999999999</v>
      </c>
      <c r="BA23" s="128">
        <v>9.8799749999999982</v>
      </c>
      <c r="BB23" s="128">
        <v>9.9817199999999993</v>
      </c>
      <c r="BC23" s="128">
        <v>13.826609999999999</v>
      </c>
      <c r="BD23" s="128">
        <v>13.724864999999999</v>
      </c>
      <c r="BE23" s="128"/>
      <c r="BF23" s="128" t="s">
        <v>450</v>
      </c>
      <c r="BG23" s="128">
        <v>15.331364999999998</v>
      </c>
      <c r="BH23" s="128">
        <v>16.670114999999999</v>
      </c>
      <c r="BI23" s="128">
        <v>10.576124999999999</v>
      </c>
      <c r="BJ23" s="128">
        <v>10.576124999999999</v>
      </c>
      <c r="BK23" s="128">
        <v>16.332749999999997</v>
      </c>
      <c r="BL23" s="128">
        <v>11.97378</v>
      </c>
      <c r="BM23" s="128">
        <v>12.953744999999998</v>
      </c>
      <c r="BN23" s="128">
        <v>15.566984999999999</v>
      </c>
      <c r="BO23" s="128">
        <v>14.688764999999997</v>
      </c>
      <c r="BP23" s="128">
        <v>16.734375</v>
      </c>
      <c r="BQ23" s="128">
        <v>17.537624999999998</v>
      </c>
      <c r="BR23" s="128">
        <v>12.878774999999999</v>
      </c>
      <c r="BS23" s="128">
        <v>12.075524999999999</v>
      </c>
      <c r="BT23" s="128">
        <v>9.8799749999999982</v>
      </c>
      <c r="BU23" s="128">
        <v>9.9817199999999993</v>
      </c>
      <c r="BV23" s="128">
        <v>13.826609999999999</v>
      </c>
      <c r="BW23" s="128">
        <v>13.724864999999999</v>
      </c>
      <c r="BX23" s="128"/>
      <c r="BY23" s="128" t="s">
        <v>450</v>
      </c>
      <c r="BZ23" s="128">
        <v>15.331364999999998</v>
      </c>
      <c r="CA23" s="128">
        <v>16.670114999999999</v>
      </c>
      <c r="CB23" s="128">
        <v>10.576124999999999</v>
      </c>
      <c r="CC23" s="128">
        <v>10.576124999999999</v>
      </c>
      <c r="CD23" s="128">
        <v>16.332749999999997</v>
      </c>
      <c r="CE23" s="128">
        <v>11.97378</v>
      </c>
      <c r="CF23" s="128">
        <v>12.953744999999998</v>
      </c>
      <c r="CG23" s="128">
        <v>15.566984999999999</v>
      </c>
      <c r="CH23" s="128">
        <v>14.688764999999997</v>
      </c>
      <c r="CI23" s="128">
        <v>16.734375</v>
      </c>
      <c r="CJ23" s="128">
        <v>17.537624999999998</v>
      </c>
      <c r="CK23" s="128">
        <v>12.878774999999999</v>
      </c>
      <c r="CL23" s="128">
        <v>12.075524999999999</v>
      </c>
      <c r="CM23" s="128">
        <v>9.8799749999999982</v>
      </c>
      <c r="CN23" s="128">
        <v>9.9817199999999993</v>
      </c>
      <c r="CO23" s="128">
        <v>13.826609999999999</v>
      </c>
      <c r="CP23" s="128">
        <v>13.724864999999999</v>
      </c>
      <c r="CQ23" s="128"/>
      <c r="CR23" s="128" t="s">
        <v>450</v>
      </c>
      <c r="CS23" s="128">
        <v>15.331364999999998</v>
      </c>
      <c r="CT23" s="128">
        <v>16.670114999999999</v>
      </c>
      <c r="CU23" s="128">
        <v>10.576124999999999</v>
      </c>
      <c r="CV23" s="128">
        <v>10.576124999999999</v>
      </c>
      <c r="CW23" s="128">
        <v>16.332749999999997</v>
      </c>
      <c r="CX23" s="128">
        <v>11.97378</v>
      </c>
      <c r="CY23" s="128">
        <v>12.953744999999998</v>
      </c>
      <c r="CZ23" s="128">
        <v>15.566984999999999</v>
      </c>
      <c r="DA23" s="128">
        <v>14.688764999999997</v>
      </c>
      <c r="DB23" s="128">
        <v>16.734375</v>
      </c>
      <c r="DC23" s="128">
        <v>17.537624999999998</v>
      </c>
      <c r="DD23" s="128">
        <v>12.878774999999999</v>
      </c>
      <c r="DE23" s="128">
        <v>12.075524999999999</v>
      </c>
      <c r="DF23" s="128">
        <v>9.8799749999999982</v>
      </c>
      <c r="DG23" s="128">
        <v>9.9817199999999993</v>
      </c>
      <c r="DH23" s="128">
        <v>13.826609999999999</v>
      </c>
      <c r="DI23" s="128">
        <v>13.724864999999999</v>
      </c>
      <c r="DJ23" s="128"/>
      <c r="DK23" s="128" t="s">
        <v>450</v>
      </c>
      <c r="DL23" s="128">
        <v>15.331364999999998</v>
      </c>
      <c r="DM23" s="128">
        <v>16.670114999999999</v>
      </c>
      <c r="DN23" s="128">
        <v>10.576124999999999</v>
      </c>
      <c r="DO23" s="128">
        <v>10.576124999999999</v>
      </c>
      <c r="DP23" s="128">
        <v>16.332749999999997</v>
      </c>
      <c r="DQ23" s="128">
        <v>11.97378</v>
      </c>
      <c r="DR23" s="128">
        <v>12.953744999999998</v>
      </c>
      <c r="DS23" s="128">
        <v>15.566984999999999</v>
      </c>
      <c r="DT23" s="128">
        <v>14.688764999999997</v>
      </c>
      <c r="DU23" s="128">
        <v>16.734375</v>
      </c>
      <c r="DV23" s="128">
        <v>17.537624999999998</v>
      </c>
      <c r="DW23" s="128">
        <v>12.878774999999999</v>
      </c>
      <c r="DX23" s="128">
        <v>12.075524999999999</v>
      </c>
      <c r="DY23" s="128">
        <v>9.8799749999999982</v>
      </c>
      <c r="DZ23" s="128">
        <v>9.9817199999999993</v>
      </c>
      <c r="EA23" s="128">
        <v>13.826609999999999</v>
      </c>
      <c r="EB23" s="128">
        <v>13.724864999999999</v>
      </c>
      <c r="EC23" s="128"/>
      <c r="ED23" s="128" t="s">
        <v>450</v>
      </c>
      <c r="EE23" s="128">
        <v>15.331364999999998</v>
      </c>
      <c r="EF23" s="128">
        <v>16.670114999999999</v>
      </c>
      <c r="EG23" s="128">
        <v>10.576124999999999</v>
      </c>
      <c r="EH23" s="128">
        <v>10.576124999999999</v>
      </c>
      <c r="EI23" s="128">
        <v>16.332749999999997</v>
      </c>
      <c r="EJ23" s="128">
        <v>11.97378</v>
      </c>
      <c r="EK23" s="128">
        <v>12.953744999999998</v>
      </c>
      <c r="EL23" s="128">
        <v>15.566984999999999</v>
      </c>
      <c r="EM23" s="128">
        <v>14.688764999999997</v>
      </c>
      <c r="EN23" s="128">
        <v>16.734375</v>
      </c>
      <c r="EO23" s="128">
        <v>17.537624999999998</v>
      </c>
      <c r="EP23" s="128">
        <v>12.878774999999999</v>
      </c>
      <c r="EQ23" s="128">
        <v>12.075524999999999</v>
      </c>
      <c r="ER23" s="128">
        <v>9.8799749999999982</v>
      </c>
      <c r="ES23" s="128">
        <v>9.9817199999999993</v>
      </c>
      <c r="ET23" s="128">
        <v>13.826609999999999</v>
      </c>
      <c r="EU23" s="128">
        <v>13.724864999999999</v>
      </c>
      <c r="EV23" s="128"/>
      <c r="EW23" s="128" t="s">
        <v>450</v>
      </c>
      <c r="EX23" s="128">
        <v>15.331364999999998</v>
      </c>
      <c r="EY23" s="128">
        <v>16.670114999999999</v>
      </c>
      <c r="EZ23" s="128">
        <v>10.576124999999999</v>
      </c>
      <c r="FA23" s="128">
        <v>10.576124999999999</v>
      </c>
      <c r="FB23" s="128">
        <v>16.332749999999997</v>
      </c>
      <c r="FC23" s="128">
        <v>11.97378</v>
      </c>
      <c r="FD23" s="128">
        <v>12.953744999999998</v>
      </c>
      <c r="FE23" s="128">
        <v>15.566984999999999</v>
      </c>
      <c r="FF23" s="128">
        <v>14.688764999999997</v>
      </c>
      <c r="FG23" s="128">
        <v>16.734375</v>
      </c>
      <c r="FH23" s="128">
        <v>17.537624999999998</v>
      </c>
      <c r="FI23" s="128">
        <v>12.878774999999999</v>
      </c>
      <c r="FJ23" s="128">
        <v>12.075524999999999</v>
      </c>
      <c r="FK23" s="128">
        <v>9.8799749999999982</v>
      </c>
      <c r="FL23" s="128">
        <v>9.9817199999999993</v>
      </c>
      <c r="FM23" s="128">
        <v>13.826609999999999</v>
      </c>
      <c r="FN23" s="128">
        <v>13.724864999999999</v>
      </c>
    </row>
    <row r="24" spans="2:170">
      <c r="B24" s="128" t="s">
        <v>456</v>
      </c>
      <c r="C24" s="128"/>
      <c r="D24" s="128"/>
      <c r="E24" s="128"/>
      <c r="F24" s="128"/>
      <c r="G24" s="128"/>
      <c r="H24" s="128"/>
      <c r="I24" s="128"/>
      <c r="J24" s="128"/>
      <c r="K24" s="128"/>
      <c r="L24" s="128"/>
      <c r="M24" s="128" t="s">
        <v>456</v>
      </c>
      <c r="N24" s="128"/>
      <c r="O24" s="128"/>
      <c r="P24" s="128"/>
      <c r="Q24" s="128"/>
      <c r="R24" s="128"/>
      <c r="S24" s="128"/>
      <c r="T24" s="128"/>
      <c r="U24" s="128"/>
      <c r="V24" s="128"/>
      <c r="W24" s="128"/>
      <c r="X24" s="128" t="s">
        <v>456</v>
      </c>
      <c r="Y24" s="128"/>
      <c r="Z24" s="128"/>
      <c r="AA24" s="128"/>
      <c r="AB24" s="128"/>
      <c r="AC24" s="128"/>
      <c r="AD24" s="128"/>
      <c r="AE24" s="128"/>
      <c r="AF24" s="128"/>
      <c r="AG24" s="128"/>
      <c r="AH24" s="128"/>
      <c r="AI24" s="128"/>
      <c r="AJ24" s="128"/>
      <c r="AK24" s="128"/>
      <c r="AL24" s="128"/>
      <c r="AM24" s="128" t="s">
        <v>456</v>
      </c>
      <c r="AN24" s="128"/>
      <c r="AO24" s="128"/>
      <c r="AP24" s="128"/>
      <c r="AQ24" s="128"/>
      <c r="AR24" s="128"/>
      <c r="AS24" s="128"/>
      <c r="AT24" s="128"/>
      <c r="AU24" s="128"/>
      <c r="AV24" s="128"/>
      <c r="AW24" s="128"/>
      <c r="AX24" s="128"/>
      <c r="AY24" s="128"/>
      <c r="AZ24" s="128"/>
      <c r="BA24" s="128"/>
      <c r="BB24" s="128"/>
      <c r="BC24" s="128"/>
      <c r="BD24" s="128"/>
      <c r="BE24" s="128"/>
      <c r="BF24" s="128" t="s">
        <v>456</v>
      </c>
      <c r="BG24" s="128"/>
      <c r="BH24" s="128"/>
      <c r="BI24" s="128"/>
      <c r="BJ24" s="128"/>
      <c r="BK24" s="128"/>
      <c r="BL24" s="128"/>
      <c r="BM24" s="128"/>
      <c r="BN24" s="128"/>
      <c r="BO24" s="128"/>
      <c r="BP24" s="128"/>
      <c r="BQ24" s="128"/>
      <c r="BR24" s="128"/>
      <c r="BS24" s="128"/>
      <c r="BT24" s="128"/>
      <c r="BU24" s="128"/>
      <c r="BV24" s="128"/>
      <c r="BW24" s="128"/>
      <c r="BX24" s="128"/>
      <c r="BY24" s="128" t="s">
        <v>456</v>
      </c>
      <c r="BZ24" s="128"/>
      <c r="CA24" s="128"/>
      <c r="CB24" s="128"/>
      <c r="CC24" s="128"/>
      <c r="CD24" s="128"/>
      <c r="CE24" s="128"/>
      <c r="CF24" s="128"/>
      <c r="CG24" s="128"/>
      <c r="CH24" s="128"/>
      <c r="CI24" s="128"/>
      <c r="CJ24" s="128"/>
      <c r="CK24" s="128"/>
      <c r="CL24" s="128"/>
      <c r="CM24" s="128"/>
      <c r="CN24" s="128"/>
      <c r="CO24" s="128"/>
      <c r="CP24" s="128"/>
      <c r="CQ24" s="128"/>
      <c r="CR24" s="128" t="s">
        <v>456</v>
      </c>
      <c r="CS24" s="128"/>
      <c r="CT24" s="128"/>
      <c r="CU24" s="128"/>
      <c r="CV24" s="128"/>
      <c r="CW24" s="128"/>
      <c r="CX24" s="128"/>
      <c r="CY24" s="128"/>
      <c r="CZ24" s="128"/>
      <c r="DA24" s="128"/>
      <c r="DB24" s="128"/>
      <c r="DC24" s="128"/>
      <c r="DD24" s="128"/>
      <c r="DE24" s="128"/>
      <c r="DF24" s="128"/>
      <c r="DG24" s="128"/>
      <c r="DH24" s="128"/>
      <c r="DI24" s="128"/>
      <c r="DJ24" s="128"/>
      <c r="DK24" s="128" t="s">
        <v>456</v>
      </c>
      <c r="DL24" s="128"/>
      <c r="DM24" s="128"/>
      <c r="DN24" s="128"/>
      <c r="DO24" s="128"/>
      <c r="DP24" s="128"/>
      <c r="DQ24" s="128"/>
      <c r="DR24" s="128"/>
      <c r="DS24" s="128"/>
      <c r="DT24" s="128"/>
      <c r="DU24" s="128"/>
      <c r="DV24" s="128"/>
      <c r="DW24" s="128"/>
      <c r="DX24" s="128"/>
      <c r="DY24" s="128"/>
      <c r="DZ24" s="128"/>
      <c r="EA24" s="128"/>
      <c r="EB24" s="128"/>
      <c r="EC24" s="128"/>
      <c r="ED24" s="128" t="s">
        <v>456</v>
      </c>
      <c r="EE24" s="128"/>
      <c r="EF24" s="128"/>
      <c r="EG24" s="128"/>
      <c r="EH24" s="128"/>
      <c r="EI24" s="128"/>
      <c r="EJ24" s="128"/>
      <c r="EK24" s="128"/>
      <c r="EL24" s="128"/>
      <c r="EM24" s="128"/>
      <c r="EN24" s="128"/>
      <c r="EO24" s="128"/>
      <c r="EP24" s="128"/>
      <c r="EQ24" s="128"/>
      <c r="ER24" s="128"/>
      <c r="ES24" s="128"/>
      <c r="ET24" s="128"/>
      <c r="EU24" s="128"/>
      <c r="EV24" s="128"/>
      <c r="EW24" s="128" t="s">
        <v>456</v>
      </c>
      <c r="EX24" s="128"/>
      <c r="EY24" s="128"/>
      <c r="EZ24" s="128"/>
      <c r="FA24" s="128"/>
      <c r="FB24" s="128"/>
      <c r="FC24" s="128"/>
      <c r="FD24" s="128"/>
      <c r="FE24" s="128"/>
      <c r="FF24" s="128"/>
      <c r="FG24" s="128"/>
      <c r="FH24" s="128"/>
      <c r="FI24" s="128"/>
      <c r="FJ24" s="128"/>
      <c r="FK24" s="128"/>
      <c r="FL24" s="128"/>
      <c r="FM24" s="128"/>
      <c r="FN24" s="128"/>
    </row>
    <row r="25" spans="2:170">
      <c r="B25" s="128" t="s">
        <v>458</v>
      </c>
      <c r="C25" s="128">
        <v>61.576838928715524</v>
      </c>
      <c r="D25" s="128">
        <v>46.879368899312439</v>
      </c>
      <c r="E25" s="128">
        <v>56.838888223756854</v>
      </c>
      <c r="F25" s="128">
        <v>56.838888223756854</v>
      </c>
      <c r="G25" s="128">
        <v>34.757222614730544</v>
      </c>
      <c r="H25" s="128">
        <v>72.712380130773852</v>
      </c>
      <c r="I25" s="128">
        <v>56.489450164871648</v>
      </c>
      <c r="J25" s="128">
        <v>60.98830957524229</v>
      </c>
      <c r="K25" s="128">
        <v>68.367163334807259</v>
      </c>
      <c r="L25" s="128"/>
      <c r="M25" s="128" t="s">
        <v>458</v>
      </c>
      <c r="N25" s="128">
        <v>61.063698604309565</v>
      </c>
      <c r="O25" s="128">
        <v>46.488707491818168</v>
      </c>
      <c r="P25" s="128">
        <v>56.365230821892219</v>
      </c>
      <c r="Q25" s="128">
        <v>56.365230821892219</v>
      </c>
      <c r="R25" s="128">
        <v>34.467579092941122</v>
      </c>
      <c r="S25" s="128">
        <v>72.712380130773852</v>
      </c>
      <c r="T25" s="128">
        <v>56.489450164871648</v>
      </c>
      <c r="U25" s="128">
        <v>60.98830957524229</v>
      </c>
      <c r="V25" s="128">
        <v>68.367163334807259</v>
      </c>
      <c r="W25" s="128"/>
      <c r="X25" s="128" t="s">
        <v>458</v>
      </c>
      <c r="Y25" s="128">
        <v>61.576838928715524</v>
      </c>
      <c r="Z25" s="128">
        <v>46.879368899312439</v>
      </c>
      <c r="AA25" s="128">
        <v>56.838888223756854</v>
      </c>
      <c r="AB25" s="128">
        <v>56.838888223756854</v>
      </c>
      <c r="AC25" s="128">
        <v>34.757222614730544</v>
      </c>
      <c r="AD25" s="128">
        <v>73.332087915979301</v>
      </c>
      <c r="AE25" s="128">
        <v>56.970894342413168</v>
      </c>
      <c r="AF25" s="128">
        <v>61.508096304576739</v>
      </c>
      <c r="AG25" s="128">
        <v>68.949838022319824</v>
      </c>
      <c r="AH25" s="128">
        <v>121.77139438566648</v>
      </c>
      <c r="AI25" s="128">
        <v>28.070772437334487</v>
      </c>
      <c r="AJ25" s="128">
        <v>48.877355836994717</v>
      </c>
      <c r="AK25" s="128">
        <v>58.502505705647302</v>
      </c>
      <c r="AL25" s="128"/>
      <c r="AM25" s="128" t="s">
        <v>458</v>
      </c>
      <c r="AN25" s="128">
        <v>61.576838928715524</v>
      </c>
      <c r="AO25" s="128">
        <v>46.879368899312439</v>
      </c>
      <c r="AP25" s="128">
        <v>56.838888223756854</v>
      </c>
      <c r="AQ25" s="128">
        <v>56.838888223756854</v>
      </c>
      <c r="AR25" s="128">
        <v>34.757222614730544</v>
      </c>
      <c r="AS25" s="128">
        <v>72.712380130773852</v>
      </c>
      <c r="AT25" s="128">
        <v>56.489450164871648</v>
      </c>
      <c r="AU25" s="128">
        <v>60.98830957524229</v>
      </c>
      <c r="AV25" s="128">
        <v>68.367163334807259</v>
      </c>
      <c r="AW25" s="128">
        <v>121.77139438566648</v>
      </c>
      <c r="AX25" s="128">
        <v>28.070772437334487</v>
      </c>
      <c r="AY25" s="128">
        <v>48.877355836994717</v>
      </c>
      <c r="AZ25" s="128">
        <v>58.502505705647302</v>
      </c>
      <c r="BA25" s="128">
        <v>84.014741943440569</v>
      </c>
      <c r="BB25" s="128">
        <v>42.047935477016793</v>
      </c>
      <c r="BC25" s="128">
        <v>86.078422996228724</v>
      </c>
      <c r="BD25" s="128">
        <v>45.762390046238252</v>
      </c>
      <c r="BE25" s="128"/>
      <c r="BF25" s="128" t="s">
        <v>458</v>
      </c>
      <c r="BG25" s="128">
        <v>61.576838928715524</v>
      </c>
      <c r="BH25" s="128">
        <v>46.879368899312439</v>
      </c>
      <c r="BI25" s="128">
        <v>56.838888223756854</v>
      </c>
      <c r="BJ25" s="128">
        <v>56.838888223756854</v>
      </c>
      <c r="BK25" s="128">
        <v>34.757222614730544</v>
      </c>
      <c r="BL25" s="128">
        <v>77.284116606062028</v>
      </c>
      <c r="BM25" s="128">
        <v>60.041182061465371</v>
      </c>
      <c r="BN25" s="128">
        <v>64.822903889853336</v>
      </c>
      <c r="BO25" s="128">
        <v>72.66569755645682</v>
      </c>
      <c r="BP25" s="128">
        <v>121.77139438566648</v>
      </c>
      <c r="BQ25" s="128">
        <v>28.070772437334487</v>
      </c>
      <c r="BR25" s="128">
        <v>48.877355836994717</v>
      </c>
      <c r="BS25" s="128">
        <v>58.502505705647302</v>
      </c>
      <c r="BT25" s="128">
        <v>84.014741943440569</v>
      </c>
      <c r="BU25" s="128">
        <v>42.047935477016793</v>
      </c>
      <c r="BV25" s="128">
        <v>86.078422996228724</v>
      </c>
      <c r="BW25" s="128">
        <v>45.762390046238252</v>
      </c>
      <c r="BX25" s="128"/>
      <c r="BY25" s="128" t="s">
        <v>458</v>
      </c>
      <c r="BZ25" s="128">
        <v>61.576838928715524</v>
      </c>
      <c r="CA25" s="128">
        <v>46.879368899312439</v>
      </c>
      <c r="CB25" s="128">
        <v>56.838888223756854</v>
      </c>
      <c r="CC25" s="128">
        <v>56.838888223756854</v>
      </c>
      <c r="CD25" s="128">
        <v>34.757222614730544</v>
      </c>
      <c r="CE25" s="128">
        <v>72.712380130773852</v>
      </c>
      <c r="CF25" s="128">
        <v>56.489450164871648</v>
      </c>
      <c r="CG25" s="128">
        <v>60.98830957524229</v>
      </c>
      <c r="CH25" s="128">
        <v>68.367163334807259</v>
      </c>
      <c r="CI25" s="128">
        <v>121.77139438566648</v>
      </c>
      <c r="CJ25" s="128">
        <v>28.070772437334487</v>
      </c>
      <c r="CK25" s="128">
        <v>48.877355836994717</v>
      </c>
      <c r="CL25" s="128">
        <v>58.502505705647302</v>
      </c>
      <c r="CM25" s="128">
        <v>84.7287482489089</v>
      </c>
      <c r="CN25" s="128">
        <v>42.405283370589174</v>
      </c>
      <c r="CO25" s="128">
        <v>86.809967667584786</v>
      </c>
      <c r="CP25" s="128">
        <v>46.15130554238192</v>
      </c>
      <c r="CQ25" s="128"/>
      <c r="CR25" s="128" t="s">
        <v>458</v>
      </c>
      <c r="CS25" s="128">
        <v>65.425391361760248</v>
      </c>
      <c r="CT25" s="128">
        <v>49.80932945551946</v>
      </c>
      <c r="CU25" s="128">
        <v>60.391318737741663</v>
      </c>
      <c r="CV25" s="128">
        <v>60.391318737741663</v>
      </c>
      <c r="CW25" s="128">
        <v>36.929549028151207</v>
      </c>
      <c r="CX25" s="128">
        <v>73.332087915979301</v>
      </c>
      <c r="CY25" s="128">
        <v>56.970894342413168</v>
      </c>
      <c r="CZ25" s="128">
        <v>61.508096304576739</v>
      </c>
      <c r="DA25" s="128">
        <v>68.949838022319824</v>
      </c>
      <c r="DB25" s="128">
        <v>130.54771109814695</v>
      </c>
      <c r="DC25" s="128">
        <v>30.093891171556791</v>
      </c>
      <c r="DD25" s="128">
        <v>52.400048149570914</v>
      </c>
      <c r="DE25" s="128">
        <v>62.718902513261519</v>
      </c>
      <c r="DF25" s="128">
        <v>84.014741943440569</v>
      </c>
      <c r="DG25" s="128">
        <v>42.047935477016793</v>
      </c>
      <c r="DH25" s="128">
        <v>86.078422996228724</v>
      </c>
      <c r="DI25" s="128">
        <v>45.762390046238252</v>
      </c>
      <c r="DJ25" s="128"/>
      <c r="DK25" s="128" t="s">
        <v>458</v>
      </c>
      <c r="DL25" s="128">
        <v>61.576838928715524</v>
      </c>
      <c r="DM25" s="128">
        <v>46.879368899312439</v>
      </c>
      <c r="DN25" s="128">
        <v>56.838888223756854</v>
      </c>
      <c r="DO25" s="128">
        <v>56.838888223756854</v>
      </c>
      <c r="DP25" s="128">
        <v>34.757222614730544</v>
      </c>
      <c r="DQ25" s="128">
        <v>72.712380130773852</v>
      </c>
      <c r="DR25" s="128">
        <v>56.489450164871648</v>
      </c>
      <c r="DS25" s="128">
        <v>60.98830957524229</v>
      </c>
      <c r="DT25" s="128">
        <v>68.367163334807259</v>
      </c>
      <c r="DU25" s="128">
        <v>121.77139438566648</v>
      </c>
      <c r="DV25" s="128">
        <v>28.070772437334487</v>
      </c>
      <c r="DW25" s="128">
        <v>48.877355836994717</v>
      </c>
      <c r="DX25" s="128">
        <v>58.502505705647302</v>
      </c>
      <c r="DY25" s="128">
        <v>89.281337707059222</v>
      </c>
      <c r="DZ25" s="128">
        <v>44.683776208411878</v>
      </c>
      <c r="EA25" s="128">
        <v>91.474383840768439</v>
      </c>
      <c r="EB25" s="128">
        <v>48.631077183465123</v>
      </c>
      <c r="EC25" s="128"/>
      <c r="ED25" s="128" t="s">
        <v>458</v>
      </c>
      <c r="EE25" s="128">
        <v>61.576838928715524</v>
      </c>
      <c r="EF25" s="128">
        <v>46.879368899312439</v>
      </c>
      <c r="EG25" s="128">
        <v>56.838888223756854</v>
      </c>
      <c r="EH25" s="128">
        <v>56.838888223756854</v>
      </c>
      <c r="EI25" s="128">
        <v>34.757222614730544</v>
      </c>
      <c r="EJ25" s="128">
        <v>72.712380130773852</v>
      </c>
      <c r="EK25" s="128">
        <v>56.489450164871648</v>
      </c>
      <c r="EL25" s="128">
        <v>60.98830957524229</v>
      </c>
      <c r="EM25" s="128">
        <v>68.367163334807259</v>
      </c>
      <c r="EN25" s="128">
        <v>121.77139438566648</v>
      </c>
      <c r="EO25" s="128">
        <v>28.070772437334487</v>
      </c>
      <c r="EP25" s="128">
        <v>48.877355836994717</v>
      </c>
      <c r="EQ25" s="128">
        <v>58.502505705647302</v>
      </c>
      <c r="ER25" s="128">
        <v>84.7287482489089</v>
      </c>
      <c r="ES25" s="128">
        <v>42.405283370589174</v>
      </c>
      <c r="ET25" s="128">
        <v>86.809967667584786</v>
      </c>
      <c r="EU25" s="128">
        <v>46.15130554238192</v>
      </c>
      <c r="EV25" s="128"/>
      <c r="EW25" s="128" t="s">
        <v>458</v>
      </c>
      <c r="EX25" s="128">
        <v>61.576838928715524</v>
      </c>
      <c r="EY25" s="128">
        <v>46.879368899312439</v>
      </c>
      <c r="EZ25" s="128">
        <v>56.838888223756854</v>
      </c>
      <c r="FA25" s="128">
        <v>56.838888223756854</v>
      </c>
      <c r="FB25" s="128">
        <v>34.757222614730544</v>
      </c>
      <c r="FC25" s="128">
        <v>73.332087915979301</v>
      </c>
      <c r="FD25" s="128">
        <v>56.970894342413168</v>
      </c>
      <c r="FE25" s="128">
        <v>61.508096304576739</v>
      </c>
      <c r="FF25" s="128">
        <v>68.949838022319824</v>
      </c>
      <c r="FG25" s="128">
        <v>121.77139438566648</v>
      </c>
      <c r="FH25" s="128">
        <v>28.070772437334487</v>
      </c>
      <c r="FI25" s="128">
        <v>48.877355836994717</v>
      </c>
      <c r="FJ25" s="128">
        <v>58.502505705647302</v>
      </c>
      <c r="FK25" s="128">
        <v>84.014741943440569</v>
      </c>
      <c r="FL25" s="128">
        <v>42.047935477016793</v>
      </c>
      <c r="FM25" s="128">
        <v>86.078422996228724</v>
      </c>
      <c r="FN25" s="128">
        <v>45.762390046238252</v>
      </c>
    </row>
    <row r="26" spans="2:170">
      <c r="B26" s="128" t="s">
        <v>462</v>
      </c>
      <c r="C26" s="128">
        <v>162.94198600000001</v>
      </c>
      <c r="D26" s="128">
        <v>162.94198600000001</v>
      </c>
      <c r="E26" s="128">
        <v>162.94198600000001</v>
      </c>
      <c r="F26" s="128">
        <v>162.94198600000001</v>
      </c>
      <c r="G26" s="128">
        <v>162.94198600000001</v>
      </c>
      <c r="H26" s="128">
        <v>162.94198600000001</v>
      </c>
      <c r="I26" s="128">
        <v>162.94198600000001</v>
      </c>
      <c r="J26" s="128">
        <v>162.94198600000001</v>
      </c>
      <c r="K26" s="128">
        <v>162.94198600000001</v>
      </c>
      <c r="L26" s="128"/>
      <c r="M26" s="128" t="s">
        <v>462</v>
      </c>
      <c r="N26" s="128">
        <v>162.94198600000001</v>
      </c>
      <c r="O26" s="128">
        <v>162.94198600000001</v>
      </c>
      <c r="P26" s="128">
        <v>162.94198600000001</v>
      </c>
      <c r="Q26" s="128">
        <v>162.94198600000001</v>
      </c>
      <c r="R26" s="128">
        <v>162.94198600000001</v>
      </c>
      <c r="S26" s="128">
        <v>162.94198600000001</v>
      </c>
      <c r="T26" s="128">
        <v>162.94198600000001</v>
      </c>
      <c r="U26" s="128">
        <v>162.94198600000001</v>
      </c>
      <c r="V26" s="128">
        <v>162.94198600000001</v>
      </c>
      <c r="W26" s="128"/>
      <c r="X26" s="128" t="s">
        <v>462</v>
      </c>
      <c r="Y26" s="128">
        <v>162.94198600000001</v>
      </c>
      <c r="Z26" s="128">
        <v>162.94198600000001</v>
      </c>
      <c r="AA26" s="128">
        <v>162.94198600000001</v>
      </c>
      <c r="AB26" s="128">
        <v>162.94198600000001</v>
      </c>
      <c r="AC26" s="128">
        <v>162.94198600000001</v>
      </c>
      <c r="AD26" s="128">
        <v>162.94198600000001</v>
      </c>
      <c r="AE26" s="128">
        <v>162.94198600000001</v>
      </c>
      <c r="AF26" s="128">
        <v>162.94198600000001</v>
      </c>
      <c r="AG26" s="128">
        <v>162.94198600000001</v>
      </c>
      <c r="AH26" s="128">
        <v>162.94198600000001</v>
      </c>
      <c r="AI26" s="128">
        <v>162.94198600000001</v>
      </c>
      <c r="AJ26" s="128">
        <v>162.94198600000001</v>
      </c>
      <c r="AK26" s="128">
        <v>162.94198600000001</v>
      </c>
      <c r="AL26" s="128"/>
      <c r="AM26" s="128" t="s">
        <v>462</v>
      </c>
      <c r="AN26" s="128">
        <v>162.94198600000001</v>
      </c>
      <c r="AO26" s="128">
        <v>162.94198600000001</v>
      </c>
      <c r="AP26" s="128">
        <v>162.94198600000001</v>
      </c>
      <c r="AQ26" s="128">
        <v>162.94198600000001</v>
      </c>
      <c r="AR26" s="128">
        <v>162.94198600000001</v>
      </c>
      <c r="AS26" s="128">
        <v>162.94198600000001</v>
      </c>
      <c r="AT26" s="128">
        <v>162.94198600000001</v>
      </c>
      <c r="AU26" s="128">
        <v>162.94198600000001</v>
      </c>
      <c r="AV26" s="128">
        <v>162.94198600000001</v>
      </c>
      <c r="AW26" s="128">
        <v>162.94198600000001</v>
      </c>
      <c r="AX26" s="128">
        <v>162.94198600000001</v>
      </c>
      <c r="AY26" s="128">
        <v>162.94198600000001</v>
      </c>
      <c r="AZ26" s="128">
        <v>162.94198600000001</v>
      </c>
      <c r="BA26" s="128">
        <v>162.94198600000001</v>
      </c>
      <c r="BB26" s="128">
        <v>162.94198600000001</v>
      </c>
      <c r="BC26" s="128">
        <v>162.94198600000001</v>
      </c>
      <c r="BD26" s="128">
        <v>162.94198600000001</v>
      </c>
      <c r="BE26" s="128"/>
      <c r="BF26" s="128" t="s">
        <v>462</v>
      </c>
      <c r="BG26" s="128">
        <v>162.94198600000001</v>
      </c>
      <c r="BH26" s="128">
        <v>162.94198600000001</v>
      </c>
      <c r="BI26" s="128">
        <v>162.94198600000001</v>
      </c>
      <c r="BJ26" s="128">
        <v>162.94198600000001</v>
      </c>
      <c r="BK26" s="128">
        <v>162.94198600000001</v>
      </c>
      <c r="BL26" s="128">
        <v>162.94198600000001</v>
      </c>
      <c r="BM26" s="128">
        <v>162.94198600000001</v>
      </c>
      <c r="BN26" s="128">
        <v>162.94198600000001</v>
      </c>
      <c r="BO26" s="128">
        <v>162.94198600000001</v>
      </c>
      <c r="BP26" s="128">
        <v>162.94198600000001</v>
      </c>
      <c r="BQ26" s="128">
        <v>162.94198600000001</v>
      </c>
      <c r="BR26" s="128">
        <v>162.94198600000001</v>
      </c>
      <c r="BS26" s="128">
        <v>162.94198600000001</v>
      </c>
      <c r="BT26" s="128">
        <v>162.94198600000001</v>
      </c>
      <c r="BU26" s="128">
        <v>162.94198600000001</v>
      </c>
      <c r="BV26" s="128">
        <v>162.94198600000001</v>
      </c>
      <c r="BW26" s="128">
        <v>162.94198600000001</v>
      </c>
      <c r="BX26" s="128"/>
      <c r="BY26" s="128" t="s">
        <v>462</v>
      </c>
      <c r="BZ26" s="128">
        <v>162.94198600000001</v>
      </c>
      <c r="CA26" s="128">
        <v>162.94198600000001</v>
      </c>
      <c r="CB26" s="128">
        <v>162.94198600000001</v>
      </c>
      <c r="CC26" s="128">
        <v>162.94198600000001</v>
      </c>
      <c r="CD26" s="128">
        <v>162.94198600000001</v>
      </c>
      <c r="CE26" s="128">
        <v>162.94198600000001</v>
      </c>
      <c r="CF26" s="128">
        <v>162.94198600000001</v>
      </c>
      <c r="CG26" s="128">
        <v>162.94198600000001</v>
      </c>
      <c r="CH26" s="128">
        <v>162.94198600000001</v>
      </c>
      <c r="CI26" s="128">
        <v>162.94198600000001</v>
      </c>
      <c r="CJ26" s="128">
        <v>162.94198600000001</v>
      </c>
      <c r="CK26" s="128">
        <v>162.94198600000001</v>
      </c>
      <c r="CL26" s="128">
        <v>162.94198600000001</v>
      </c>
      <c r="CM26" s="128">
        <v>162.94198600000001</v>
      </c>
      <c r="CN26" s="128">
        <v>162.94198600000001</v>
      </c>
      <c r="CO26" s="128">
        <v>162.94198600000001</v>
      </c>
      <c r="CP26" s="128">
        <v>162.94198600000001</v>
      </c>
      <c r="CQ26" s="128"/>
      <c r="CR26" s="128" t="s">
        <v>462</v>
      </c>
      <c r="CS26" s="128">
        <v>162.94198600000001</v>
      </c>
      <c r="CT26" s="128">
        <v>162.94198600000001</v>
      </c>
      <c r="CU26" s="128">
        <v>162.94198600000001</v>
      </c>
      <c r="CV26" s="128">
        <v>162.94198600000001</v>
      </c>
      <c r="CW26" s="128">
        <v>162.94198600000001</v>
      </c>
      <c r="CX26" s="128">
        <v>162.94198600000001</v>
      </c>
      <c r="CY26" s="128">
        <v>162.94198600000001</v>
      </c>
      <c r="CZ26" s="128">
        <v>162.94198600000001</v>
      </c>
      <c r="DA26" s="128">
        <v>162.94198600000001</v>
      </c>
      <c r="DB26" s="128">
        <v>162.94198600000001</v>
      </c>
      <c r="DC26" s="128">
        <v>162.94198600000001</v>
      </c>
      <c r="DD26" s="128">
        <v>162.94198600000001</v>
      </c>
      <c r="DE26" s="128">
        <v>162.94198600000001</v>
      </c>
      <c r="DF26" s="128">
        <v>162.94198600000001</v>
      </c>
      <c r="DG26" s="128">
        <v>162.94198600000001</v>
      </c>
      <c r="DH26" s="128">
        <v>162.94198600000001</v>
      </c>
      <c r="DI26" s="128">
        <v>162.94198600000001</v>
      </c>
      <c r="DJ26" s="128"/>
      <c r="DK26" s="128" t="s">
        <v>462</v>
      </c>
      <c r="DL26" s="128">
        <v>162.94198600000001</v>
      </c>
      <c r="DM26" s="128">
        <v>162.94198600000001</v>
      </c>
      <c r="DN26" s="128">
        <v>162.94198600000001</v>
      </c>
      <c r="DO26" s="128">
        <v>162.94198600000001</v>
      </c>
      <c r="DP26" s="128">
        <v>162.94198600000001</v>
      </c>
      <c r="DQ26" s="128">
        <v>162.94198600000001</v>
      </c>
      <c r="DR26" s="128">
        <v>162.94198600000001</v>
      </c>
      <c r="DS26" s="128">
        <v>162.94198600000001</v>
      </c>
      <c r="DT26" s="128">
        <v>162.94198600000001</v>
      </c>
      <c r="DU26" s="128">
        <v>162.94198600000001</v>
      </c>
      <c r="DV26" s="128">
        <v>162.94198600000001</v>
      </c>
      <c r="DW26" s="128">
        <v>162.94198600000001</v>
      </c>
      <c r="DX26" s="128">
        <v>162.94198600000001</v>
      </c>
      <c r="DY26" s="128">
        <v>162.94198600000001</v>
      </c>
      <c r="DZ26" s="128">
        <v>162.94198600000001</v>
      </c>
      <c r="EA26" s="128">
        <v>162.94198600000001</v>
      </c>
      <c r="EB26" s="128">
        <v>162.94198600000001</v>
      </c>
      <c r="EC26" s="128"/>
      <c r="ED26" s="128" t="s">
        <v>462</v>
      </c>
      <c r="EE26" s="128">
        <v>162.94198600000001</v>
      </c>
      <c r="EF26" s="128">
        <v>162.94198600000001</v>
      </c>
      <c r="EG26" s="128">
        <v>162.94198600000001</v>
      </c>
      <c r="EH26" s="128">
        <v>162.94198600000001</v>
      </c>
      <c r="EI26" s="128">
        <v>162.94198600000001</v>
      </c>
      <c r="EJ26" s="128">
        <v>162.94198600000001</v>
      </c>
      <c r="EK26" s="128">
        <v>162.94198600000001</v>
      </c>
      <c r="EL26" s="128">
        <v>162.94198600000001</v>
      </c>
      <c r="EM26" s="128">
        <v>162.94198600000001</v>
      </c>
      <c r="EN26" s="128">
        <v>162.94198600000001</v>
      </c>
      <c r="EO26" s="128">
        <v>162.94198600000001</v>
      </c>
      <c r="EP26" s="128">
        <v>162.94198600000001</v>
      </c>
      <c r="EQ26" s="128">
        <v>162.94198600000001</v>
      </c>
      <c r="ER26" s="128">
        <v>162.94198600000001</v>
      </c>
      <c r="ES26" s="128">
        <v>162.94198600000001</v>
      </c>
      <c r="ET26" s="128">
        <v>162.94198600000001</v>
      </c>
      <c r="EU26" s="128">
        <v>162.94198600000001</v>
      </c>
      <c r="EV26" s="128"/>
      <c r="EW26" s="128" t="s">
        <v>462</v>
      </c>
      <c r="EX26" s="128">
        <v>162.94198600000001</v>
      </c>
      <c r="EY26" s="128">
        <v>162.94198600000001</v>
      </c>
      <c r="EZ26" s="128">
        <v>162.94198600000001</v>
      </c>
      <c r="FA26" s="128">
        <v>162.94198600000001</v>
      </c>
      <c r="FB26" s="128">
        <v>162.94198600000001</v>
      </c>
      <c r="FC26" s="128">
        <v>162.94198600000001</v>
      </c>
      <c r="FD26" s="128">
        <v>162.94198600000001</v>
      </c>
      <c r="FE26" s="128">
        <v>162.94198600000001</v>
      </c>
      <c r="FF26" s="128">
        <v>162.94198600000001</v>
      </c>
      <c r="FG26" s="128">
        <v>162.94198600000001</v>
      </c>
      <c r="FH26" s="128">
        <v>162.94198600000001</v>
      </c>
      <c r="FI26" s="128">
        <v>162.94198600000001</v>
      </c>
      <c r="FJ26" s="128">
        <v>162.94198600000001</v>
      </c>
      <c r="FK26" s="128">
        <v>162.94198600000001</v>
      </c>
      <c r="FL26" s="128">
        <v>162.94198600000001</v>
      </c>
      <c r="FM26" s="128">
        <v>162.94198600000001</v>
      </c>
      <c r="FN26" s="128">
        <v>162.94198600000001</v>
      </c>
    </row>
    <row r="27" spans="2:170">
      <c r="B27" s="128" t="s">
        <v>463</v>
      </c>
      <c r="C27" s="128">
        <v>217.82770760000002</v>
      </c>
      <c r="D27" s="128">
        <v>217.82770760000002</v>
      </c>
      <c r="E27" s="128">
        <v>217.82770760000002</v>
      </c>
      <c r="F27" s="128">
        <v>217.82770760000002</v>
      </c>
      <c r="G27" s="128">
        <v>217.82770760000002</v>
      </c>
      <c r="H27" s="128">
        <v>217.82770760000002</v>
      </c>
      <c r="I27" s="128">
        <v>217.82770760000002</v>
      </c>
      <c r="J27" s="128">
        <v>217.82770760000002</v>
      </c>
      <c r="K27" s="128">
        <v>217.82770760000002</v>
      </c>
      <c r="L27" s="128"/>
      <c r="M27" s="128" t="s">
        <v>463</v>
      </c>
      <c r="N27" s="128">
        <v>217.82770760000002</v>
      </c>
      <c r="O27" s="128">
        <v>217.82770760000002</v>
      </c>
      <c r="P27" s="128">
        <v>217.82770760000002</v>
      </c>
      <c r="Q27" s="128">
        <v>217.82770760000002</v>
      </c>
      <c r="R27" s="128">
        <v>217.82770760000002</v>
      </c>
      <c r="S27" s="128">
        <v>217.82770760000002</v>
      </c>
      <c r="T27" s="128">
        <v>217.82770760000002</v>
      </c>
      <c r="U27" s="128">
        <v>217.82770760000002</v>
      </c>
      <c r="V27" s="128">
        <v>217.82770760000002</v>
      </c>
      <c r="W27" s="128"/>
      <c r="X27" s="128" t="s">
        <v>463</v>
      </c>
      <c r="Y27" s="128">
        <v>217.82770760000002</v>
      </c>
      <c r="Z27" s="128">
        <v>217.82770760000002</v>
      </c>
      <c r="AA27" s="128">
        <v>217.82770760000002</v>
      </c>
      <c r="AB27" s="128">
        <v>217.82770760000002</v>
      </c>
      <c r="AC27" s="128">
        <v>217.82770760000002</v>
      </c>
      <c r="AD27" s="128">
        <v>217.82770760000002</v>
      </c>
      <c r="AE27" s="128">
        <v>217.82770760000002</v>
      </c>
      <c r="AF27" s="128">
        <v>217.82770760000002</v>
      </c>
      <c r="AG27" s="128">
        <v>217.82770760000002</v>
      </c>
      <c r="AH27" s="128">
        <v>217.82770760000002</v>
      </c>
      <c r="AI27" s="128">
        <v>217.82770760000002</v>
      </c>
      <c r="AJ27" s="128">
        <v>217.82770760000002</v>
      </c>
      <c r="AK27" s="128">
        <v>217.82770760000002</v>
      </c>
      <c r="AL27" s="128"/>
      <c r="AM27" s="128" t="s">
        <v>463</v>
      </c>
      <c r="AN27" s="128">
        <v>217.82770760000002</v>
      </c>
      <c r="AO27" s="128">
        <v>217.82770760000002</v>
      </c>
      <c r="AP27" s="128">
        <v>217.82770760000002</v>
      </c>
      <c r="AQ27" s="128">
        <v>217.82770760000002</v>
      </c>
      <c r="AR27" s="128">
        <v>217.82770760000002</v>
      </c>
      <c r="AS27" s="128">
        <v>217.82770760000002</v>
      </c>
      <c r="AT27" s="128">
        <v>217.82770760000002</v>
      </c>
      <c r="AU27" s="128">
        <v>217.82770760000002</v>
      </c>
      <c r="AV27" s="128">
        <v>217.82770760000002</v>
      </c>
      <c r="AW27" s="128">
        <v>217.82770760000002</v>
      </c>
      <c r="AX27" s="128">
        <v>217.82770760000002</v>
      </c>
      <c r="AY27" s="128">
        <v>217.82770760000002</v>
      </c>
      <c r="AZ27" s="128">
        <v>217.82770760000002</v>
      </c>
      <c r="BA27" s="128">
        <v>217.82770760000002</v>
      </c>
      <c r="BB27" s="128">
        <v>217.82770760000002</v>
      </c>
      <c r="BC27" s="128">
        <v>217.82770760000002</v>
      </c>
      <c r="BD27" s="128">
        <v>217.82770760000002</v>
      </c>
      <c r="BE27" s="128"/>
      <c r="BF27" s="128" t="s">
        <v>463</v>
      </c>
      <c r="BG27" s="128">
        <v>217.82770760000002</v>
      </c>
      <c r="BH27" s="128">
        <v>217.82770760000002</v>
      </c>
      <c r="BI27" s="128">
        <v>217.82770760000002</v>
      </c>
      <c r="BJ27" s="128">
        <v>217.82770760000002</v>
      </c>
      <c r="BK27" s="128">
        <v>217.82770760000002</v>
      </c>
      <c r="BL27" s="128">
        <v>217.82770760000002</v>
      </c>
      <c r="BM27" s="128">
        <v>217.82770760000002</v>
      </c>
      <c r="BN27" s="128">
        <v>217.82770760000002</v>
      </c>
      <c r="BO27" s="128">
        <v>217.82770760000002</v>
      </c>
      <c r="BP27" s="128">
        <v>217.82770760000002</v>
      </c>
      <c r="BQ27" s="128">
        <v>217.82770760000002</v>
      </c>
      <c r="BR27" s="128">
        <v>217.82770760000002</v>
      </c>
      <c r="BS27" s="128">
        <v>217.82770760000002</v>
      </c>
      <c r="BT27" s="128">
        <v>217.82770760000002</v>
      </c>
      <c r="BU27" s="128">
        <v>217.82770760000002</v>
      </c>
      <c r="BV27" s="128">
        <v>217.82770760000002</v>
      </c>
      <c r="BW27" s="128">
        <v>217.82770760000002</v>
      </c>
      <c r="BX27" s="128"/>
      <c r="BY27" s="128" t="s">
        <v>463</v>
      </c>
      <c r="BZ27" s="128">
        <v>217.82770760000002</v>
      </c>
      <c r="CA27" s="128">
        <v>217.82770760000002</v>
      </c>
      <c r="CB27" s="128">
        <v>217.82770760000002</v>
      </c>
      <c r="CC27" s="128">
        <v>217.82770760000002</v>
      </c>
      <c r="CD27" s="128">
        <v>217.82770760000002</v>
      </c>
      <c r="CE27" s="128">
        <v>217.82770760000002</v>
      </c>
      <c r="CF27" s="128">
        <v>217.82770760000002</v>
      </c>
      <c r="CG27" s="128">
        <v>217.82770760000002</v>
      </c>
      <c r="CH27" s="128">
        <v>217.82770760000002</v>
      </c>
      <c r="CI27" s="128">
        <v>217.82770760000002</v>
      </c>
      <c r="CJ27" s="128">
        <v>217.82770760000002</v>
      </c>
      <c r="CK27" s="128">
        <v>217.82770760000002</v>
      </c>
      <c r="CL27" s="128">
        <v>217.82770760000002</v>
      </c>
      <c r="CM27" s="128">
        <v>217.82770760000002</v>
      </c>
      <c r="CN27" s="128">
        <v>217.82770760000002</v>
      </c>
      <c r="CO27" s="128">
        <v>217.82770760000002</v>
      </c>
      <c r="CP27" s="128">
        <v>217.82770760000002</v>
      </c>
      <c r="CQ27" s="128"/>
      <c r="CR27" s="128" t="s">
        <v>463</v>
      </c>
      <c r="CS27" s="128">
        <v>217.82770760000002</v>
      </c>
      <c r="CT27" s="128">
        <v>217.82770760000002</v>
      </c>
      <c r="CU27" s="128">
        <v>217.82770760000002</v>
      </c>
      <c r="CV27" s="128">
        <v>217.82770760000002</v>
      </c>
      <c r="CW27" s="128">
        <v>217.82770760000002</v>
      </c>
      <c r="CX27" s="128">
        <v>217.82770760000002</v>
      </c>
      <c r="CY27" s="128">
        <v>217.82770760000002</v>
      </c>
      <c r="CZ27" s="128">
        <v>217.82770760000002</v>
      </c>
      <c r="DA27" s="128">
        <v>217.82770760000002</v>
      </c>
      <c r="DB27" s="128">
        <v>217.82770760000002</v>
      </c>
      <c r="DC27" s="128">
        <v>217.82770760000002</v>
      </c>
      <c r="DD27" s="128">
        <v>217.82770760000002</v>
      </c>
      <c r="DE27" s="128">
        <v>217.82770760000002</v>
      </c>
      <c r="DF27" s="128">
        <v>217.82770760000002</v>
      </c>
      <c r="DG27" s="128">
        <v>217.82770760000002</v>
      </c>
      <c r="DH27" s="128">
        <v>217.82770760000002</v>
      </c>
      <c r="DI27" s="128">
        <v>217.82770760000002</v>
      </c>
      <c r="DJ27" s="128"/>
      <c r="DK27" s="128" t="s">
        <v>463</v>
      </c>
      <c r="DL27" s="128">
        <v>217.82770760000002</v>
      </c>
      <c r="DM27" s="128">
        <v>217.82770760000002</v>
      </c>
      <c r="DN27" s="128">
        <v>217.82770760000002</v>
      </c>
      <c r="DO27" s="128">
        <v>217.82770760000002</v>
      </c>
      <c r="DP27" s="128">
        <v>217.82770760000002</v>
      </c>
      <c r="DQ27" s="128">
        <v>217.82770760000002</v>
      </c>
      <c r="DR27" s="128">
        <v>217.82770760000002</v>
      </c>
      <c r="DS27" s="128">
        <v>217.82770760000002</v>
      </c>
      <c r="DT27" s="128">
        <v>217.82770760000002</v>
      </c>
      <c r="DU27" s="128">
        <v>217.82770760000002</v>
      </c>
      <c r="DV27" s="128">
        <v>217.82770760000002</v>
      </c>
      <c r="DW27" s="128">
        <v>217.82770760000002</v>
      </c>
      <c r="DX27" s="128">
        <v>217.82770760000002</v>
      </c>
      <c r="DY27" s="128">
        <v>217.82770760000002</v>
      </c>
      <c r="DZ27" s="128">
        <v>217.82770760000002</v>
      </c>
      <c r="EA27" s="128">
        <v>217.82770760000002</v>
      </c>
      <c r="EB27" s="128">
        <v>217.82770760000002</v>
      </c>
      <c r="EC27" s="128"/>
      <c r="ED27" s="128" t="s">
        <v>463</v>
      </c>
      <c r="EE27" s="128">
        <v>217.82770760000002</v>
      </c>
      <c r="EF27" s="128">
        <v>217.82770760000002</v>
      </c>
      <c r="EG27" s="128">
        <v>217.82770760000002</v>
      </c>
      <c r="EH27" s="128">
        <v>217.82770760000002</v>
      </c>
      <c r="EI27" s="128">
        <v>217.82770760000002</v>
      </c>
      <c r="EJ27" s="128">
        <v>217.82770760000002</v>
      </c>
      <c r="EK27" s="128">
        <v>217.82770760000002</v>
      </c>
      <c r="EL27" s="128">
        <v>217.82770760000002</v>
      </c>
      <c r="EM27" s="128">
        <v>217.82770760000002</v>
      </c>
      <c r="EN27" s="128">
        <v>217.82770760000002</v>
      </c>
      <c r="EO27" s="128">
        <v>217.82770760000002</v>
      </c>
      <c r="EP27" s="128">
        <v>217.82770760000002</v>
      </c>
      <c r="EQ27" s="128">
        <v>217.82770760000002</v>
      </c>
      <c r="ER27" s="128">
        <v>217.82770760000002</v>
      </c>
      <c r="ES27" s="128">
        <v>217.82770760000002</v>
      </c>
      <c r="ET27" s="128">
        <v>217.82770760000002</v>
      </c>
      <c r="EU27" s="128">
        <v>217.82770760000002</v>
      </c>
      <c r="EV27" s="128"/>
      <c r="EW27" s="128" t="s">
        <v>463</v>
      </c>
      <c r="EX27" s="128">
        <v>217.82770760000002</v>
      </c>
      <c r="EY27" s="128">
        <v>217.82770760000002</v>
      </c>
      <c r="EZ27" s="128">
        <v>217.82770760000002</v>
      </c>
      <c r="FA27" s="128">
        <v>217.82770760000002</v>
      </c>
      <c r="FB27" s="128">
        <v>217.82770760000002</v>
      </c>
      <c r="FC27" s="128">
        <v>217.82770760000002</v>
      </c>
      <c r="FD27" s="128">
        <v>217.82770760000002</v>
      </c>
      <c r="FE27" s="128">
        <v>217.82770760000002</v>
      </c>
      <c r="FF27" s="128">
        <v>217.82770760000002</v>
      </c>
      <c r="FG27" s="128">
        <v>217.82770760000002</v>
      </c>
      <c r="FH27" s="128">
        <v>217.82770760000002</v>
      </c>
      <c r="FI27" s="128">
        <v>217.82770760000002</v>
      </c>
      <c r="FJ27" s="128">
        <v>217.82770760000002</v>
      </c>
      <c r="FK27" s="128">
        <v>217.82770760000002</v>
      </c>
      <c r="FL27" s="128">
        <v>217.82770760000002</v>
      </c>
      <c r="FM27" s="128">
        <v>217.82770760000002</v>
      </c>
      <c r="FN27" s="128">
        <v>217.82770760000002</v>
      </c>
    </row>
    <row r="28" spans="2:170">
      <c r="B28" s="128" t="s">
        <v>83</v>
      </c>
      <c r="C28" s="128">
        <v>29.206146985232408</v>
      </c>
      <c r="D28" s="128">
        <v>29.206146985232408</v>
      </c>
      <c r="E28" s="128">
        <v>29.206146985232408</v>
      </c>
      <c r="F28" s="128">
        <v>29.206146985232408</v>
      </c>
      <c r="G28" s="128">
        <v>29.206146985232408</v>
      </c>
      <c r="H28" s="128">
        <v>29.370688658388648</v>
      </c>
      <c r="I28" s="128">
        <v>29.370688658388648</v>
      </c>
      <c r="J28" s="128">
        <v>29.370688658388648</v>
      </c>
      <c r="K28" s="128">
        <v>29.370688658388648</v>
      </c>
      <c r="L28" s="128"/>
      <c r="M28" s="128" t="s">
        <v>83</v>
      </c>
      <c r="N28" s="128">
        <v>28.962762427022138</v>
      </c>
      <c r="O28" s="128">
        <v>28.962762427022138</v>
      </c>
      <c r="P28" s="128">
        <v>28.962762427022138</v>
      </c>
      <c r="Q28" s="128">
        <v>28.962762427022138</v>
      </c>
      <c r="R28" s="128">
        <v>28.962762427022138</v>
      </c>
      <c r="S28" s="128">
        <v>29.370688658388648</v>
      </c>
      <c r="T28" s="128">
        <v>29.370688658388648</v>
      </c>
      <c r="U28" s="128">
        <v>29.370688658388648</v>
      </c>
      <c r="V28" s="128">
        <v>29.370688658388648</v>
      </c>
      <c r="W28" s="128"/>
      <c r="X28" s="128" t="s">
        <v>83</v>
      </c>
      <c r="Y28" s="128">
        <v>29.206146985232408</v>
      </c>
      <c r="Z28" s="128">
        <v>29.206146985232408</v>
      </c>
      <c r="AA28" s="128">
        <v>29.206146985232408</v>
      </c>
      <c r="AB28" s="128">
        <v>29.206146985232408</v>
      </c>
      <c r="AC28" s="128">
        <v>29.206146985232408</v>
      </c>
      <c r="AD28" s="128">
        <v>29.621007027636278</v>
      </c>
      <c r="AE28" s="128">
        <v>29.621007027636278</v>
      </c>
      <c r="AF28" s="128">
        <v>29.621007027636278</v>
      </c>
      <c r="AG28" s="128">
        <v>29.621007027636278</v>
      </c>
      <c r="AH28" s="128">
        <v>29.206146985232408</v>
      </c>
      <c r="AI28" s="128">
        <v>29.206146985232408</v>
      </c>
      <c r="AJ28" s="128">
        <v>29.206146985232408</v>
      </c>
      <c r="AK28" s="128">
        <v>29.206146985232408</v>
      </c>
      <c r="AL28" s="128"/>
      <c r="AM28" s="128" t="s">
        <v>83</v>
      </c>
      <c r="AN28" s="128">
        <v>29.206146985232408</v>
      </c>
      <c r="AO28" s="128">
        <v>29.206146985232408</v>
      </c>
      <c r="AP28" s="128">
        <v>29.206146985232408</v>
      </c>
      <c r="AQ28" s="128">
        <v>29.206146985232408</v>
      </c>
      <c r="AR28" s="128">
        <v>29.206146985232408</v>
      </c>
      <c r="AS28" s="128">
        <v>29.370688658388648</v>
      </c>
      <c r="AT28" s="128">
        <v>29.370688658388648</v>
      </c>
      <c r="AU28" s="128">
        <v>29.370688658388648</v>
      </c>
      <c r="AV28" s="128">
        <v>29.370688658388648</v>
      </c>
      <c r="AW28" s="128">
        <v>29.206146985232408</v>
      </c>
      <c r="AX28" s="128">
        <v>29.206146985232408</v>
      </c>
      <c r="AY28" s="128">
        <v>29.206146985232408</v>
      </c>
      <c r="AZ28" s="128">
        <v>29.206146985232408</v>
      </c>
      <c r="BA28" s="128">
        <v>29.288186723954972</v>
      </c>
      <c r="BB28" s="128">
        <v>29.288186723954972</v>
      </c>
      <c r="BC28" s="128">
        <v>29.288186723954972</v>
      </c>
      <c r="BD28" s="128">
        <v>29.288186723954972</v>
      </c>
      <c r="BE28" s="128"/>
      <c r="BF28" s="128" t="s">
        <v>83</v>
      </c>
      <c r="BG28" s="128">
        <v>29.206146985232408</v>
      </c>
      <c r="BH28" s="128">
        <v>29.206146985232408</v>
      </c>
      <c r="BI28" s="128">
        <v>29.206146985232408</v>
      </c>
      <c r="BJ28" s="128">
        <v>29.206146985232408</v>
      </c>
      <c r="BK28" s="128">
        <v>29.206146985232408</v>
      </c>
      <c r="BL28" s="128">
        <v>31.217348723736436</v>
      </c>
      <c r="BM28" s="128">
        <v>31.217348723736436</v>
      </c>
      <c r="BN28" s="128">
        <v>31.217348723736436</v>
      </c>
      <c r="BO28" s="128">
        <v>31.217348723736436</v>
      </c>
      <c r="BP28" s="128">
        <v>29.206146985232408</v>
      </c>
      <c r="BQ28" s="128">
        <v>29.206146985232408</v>
      </c>
      <c r="BR28" s="128">
        <v>29.206146985232408</v>
      </c>
      <c r="BS28" s="128">
        <v>29.206146985232408</v>
      </c>
      <c r="BT28" s="128">
        <v>29.288186723954972</v>
      </c>
      <c r="BU28" s="128">
        <v>29.288186723954972</v>
      </c>
      <c r="BV28" s="128">
        <v>29.288186723954972</v>
      </c>
      <c r="BW28" s="128">
        <v>29.288186723954972</v>
      </c>
      <c r="BX28" s="128"/>
      <c r="BY28" s="128" t="s">
        <v>83</v>
      </c>
      <c r="BZ28" s="128">
        <v>29.206146985232408</v>
      </c>
      <c r="CA28" s="128">
        <v>29.206146985232408</v>
      </c>
      <c r="CB28" s="128">
        <v>29.206146985232408</v>
      </c>
      <c r="CC28" s="128">
        <v>29.206146985232408</v>
      </c>
      <c r="CD28" s="128">
        <v>29.206146985232408</v>
      </c>
      <c r="CE28" s="128">
        <v>29.370688658388648</v>
      </c>
      <c r="CF28" s="128">
        <v>29.370688658388648</v>
      </c>
      <c r="CG28" s="128">
        <v>29.370688658388648</v>
      </c>
      <c r="CH28" s="128">
        <v>29.370688658388648</v>
      </c>
      <c r="CI28" s="128">
        <v>29.206146985232408</v>
      </c>
      <c r="CJ28" s="128">
        <v>29.206146985232408</v>
      </c>
      <c r="CK28" s="128">
        <v>29.206146985232408</v>
      </c>
      <c r="CL28" s="128">
        <v>29.206146985232408</v>
      </c>
      <c r="CM28" s="128">
        <v>29.537094826424845</v>
      </c>
      <c r="CN28" s="128">
        <v>29.537094826424845</v>
      </c>
      <c r="CO28" s="128">
        <v>29.537094826424845</v>
      </c>
      <c r="CP28" s="128">
        <v>29.537094826424845</v>
      </c>
      <c r="CQ28" s="128"/>
      <c r="CR28" s="128" t="s">
        <v>83</v>
      </c>
      <c r="CS28" s="128">
        <v>31.031531171809434</v>
      </c>
      <c r="CT28" s="128">
        <v>31.031531171809434</v>
      </c>
      <c r="CU28" s="128">
        <v>31.031531171809434</v>
      </c>
      <c r="CV28" s="128">
        <v>31.031531171809434</v>
      </c>
      <c r="CW28" s="128">
        <v>31.031531171809434</v>
      </c>
      <c r="CX28" s="128">
        <v>29.621007027636278</v>
      </c>
      <c r="CY28" s="128">
        <v>29.621007027636278</v>
      </c>
      <c r="CZ28" s="128">
        <v>29.621007027636278</v>
      </c>
      <c r="DA28" s="128">
        <v>29.621007027636278</v>
      </c>
      <c r="DB28" s="128">
        <v>31.311094515699608</v>
      </c>
      <c r="DC28" s="128">
        <v>31.311094515699608</v>
      </c>
      <c r="DD28" s="128">
        <v>31.311094515699608</v>
      </c>
      <c r="DE28" s="128">
        <v>31.311094515699608</v>
      </c>
      <c r="DF28" s="128">
        <v>29.288186723954972</v>
      </c>
      <c r="DG28" s="128">
        <v>29.288186723954972</v>
      </c>
      <c r="DH28" s="128">
        <v>29.288186723954972</v>
      </c>
      <c r="DI28" s="128">
        <v>29.288186723954972</v>
      </c>
      <c r="DJ28" s="128"/>
      <c r="DK28" s="128" t="s">
        <v>83</v>
      </c>
      <c r="DL28" s="128">
        <v>29.206146985232408</v>
      </c>
      <c r="DM28" s="128">
        <v>29.206146985232408</v>
      </c>
      <c r="DN28" s="128">
        <v>29.206146985232408</v>
      </c>
      <c r="DO28" s="128">
        <v>29.206146985232408</v>
      </c>
      <c r="DP28" s="128">
        <v>29.206146985232408</v>
      </c>
      <c r="DQ28" s="128">
        <v>29.370688658388648</v>
      </c>
      <c r="DR28" s="128">
        <v>29.370688658388648</v>
      </c>
      <c r="DS28" s="128">
        <v>29.370688658388648</v>
      </c>
      <c r="DT28" s="128">
        <v>29.370688658388648</v>
      </c>
      <c r="DU28" s="128">
        <v>29.206146985232408</v>
      </c>
      <c r="DV28" s="128">
        <v>29.206146985232408</v>
      </c>
      <c r="DW28" s="128">
        <v>29.206146985232408</v>
      </c>
      <c r="DX28" s="128">
        <v>29.206146985232408</v>
      </c>
      <c r="DY28" s="128">
        <v>31.124162608143195</v>
      </c>
      <c r="DZ28" s="128">
        <v>31.124162608143195</v>
      </c>
      <c r="EA28" s="128">
        <v>31.124162608143195</v>
      </c>
      <c r="EB28" s="128">
        <v>31.124162608143195</v>
      </c>
      <c r="EC28" s="128"/>
      <c r="ED28" s="128" t="s">
        <v>83</v>
      </c>
      <c r="EE28" s="128">
        <v>29.206146985232408</v>
      </c>
      <c r="EF28" s="128">
        <v>29.206146985232408</v>
      </c>
      <c r="EG28" s="128">
        <v>29.206146985232408</v>
      </c>
      <c r="EH28" s="128">
        <v>29.206146985232408</v>
      </c>
      <c r="EI28" s="128">
        <v>29.206146985232408</v>
      </c>
      <c r="EJ28" s="128">
        <v>29.370688658388648</v>
      </c>
      <c r="EK28" s="128">
        <v>29.370688658388648</v>
      </c>
      <c r="EL28" s="128">
        <v>29.370688658388648</v>
      </c>
      <c r="EM28" s="128">
        <v>29.370688658388648</v>
      </c>
      <c r="EN28" s="128">
        <v>29.206146985232408</v>
      </c>
      <c r="EO28" s="128">
        <v>29.206146985232408</v>
      </c>
      <c r="EP28" s="128">
        <v>29.206146985232408</v>
      </c>
      <c r="EQ28" s="128">
        <v>29.206146985232408</v>
      </c>
      <c r="ER28" s="128">
        <v>29.537094826424845</v>
      </c>
      <c r="ES28" s="128">
        <v>29.537094826424845</v>
      </c>
      <c r="ET28" s="128">
        <v>29.537094826424845</v>
      </c>
      <c r="EU28" s="128">
        <v>29.537094826424845</v>
      </c>
      <c r="EV28" s="128"/>
      <c r="EW28" s="128" t="s">
        <v>83</v>
      </c>
      <c r="EX28" s="128">
        <v>29.206146985232408</v>
      </c>
      <c r="EY28" s="128">
        <v>29.206146985232408</v>
      </c>
      <c r="EZ28" s="128">
        <v>29.206146985232408</v>
      </c>
      <c r="FA28" s="128">
        <v>29.206146985232408</v>
      </c>
      <c r="FB28" s="128">
        <v>29.206146985232408</v>
      </c>
      <c r="FC28" s="128">
        <v>29.621007027636278</v>
      </c>
      <c r="FD28" s="128">
        <v>29.621007027636278</v>
      </c>
      <c r="FE28" s="128">
        <v>29.621007027636278</v>
      </c>
      <c r="FF28" s="128">
        <v>29.621007027636278</v>
      </c>
      <c r="FG28" s="128">
        <v>29.206146985232408</v>
      </c>
      <c r="FH28" s="128">
        <v>29.206146985232408</v>
      </c>
      <c r="FI28" s="128">
        <v>29.206146985232408</v>
      </c>
      <c r="FJ28" s="128">
        <v>29.206146985232408</v>
      </c>
      <c r="FK28" s="128">
        <v>29.288186723954972</v>
      </c>
      <c r="FL28" s="128">
        <v>29.288186723954972</v>
      </c>
      <c r="FM28" s="128">
        <v>29.288186723954972</v>
      </c>
      <c r="FN28" s="128">
        <v>29.288186723954972</v>
      </c>
    </row>
    <row r="29" spans="2:170">
      <c r="B29" s="128" t="s">
        <v>466</v>
      </c>
      <c r="C29" s="128">
        <v>1030.8339230734678</v>
      </c>
      <c r="D29" s="128">
        <v>785.06238809293541</v>
      </c>
      <c r="E29" s="128">
        <v>951.62442234179014</v>
      </c>
      <c r="F29" s="128">
        <v>951.62442234179014</v>
      </c>
      <c r="G29" s="128">
        <v>582.22684416321886</v>
      </c>
      <c r="H29" s="128">
        <v>1658.3378209912769</v>
      </c>
      <c r="I29" s="128">
        <v>1289.017675651739</v>
      </c>
      <c r="J29" s="128">
        <v>1391.474232100772</v>
      </c>
      <c r="K29" s="128">
        <v>1559.4553304648846</v>
      </c>
      <c r="L29" s="128"/>
      <c r="M29" s="128" t="s">
        <v>466</v>
      </c>
      <c r="N29" s="128">
        <v>1030.8339230734678</v>
      </c>
      <c r="O29" s="128">
        <v>785.06238809293541</v>
      </c>
      <c r="P29" s="128">
        <v>951.62442234179014</v>
      </c>
      <c r="Q29" s="128">
        <v>951.62442234179014</v>
      </c>
      <c r="R29" s="128">
        <v>582.22684416321886</v>
      </c>
      <c r="S29" s="128">
        <v>1658.3378209912769</v>
      </c>
      <c r="T29" s="128">
        <v>1289.017675651739</v>
      </c>
      <c r="U29" s="128">
        <v>1391.474232100772</v>
      </c>
      <c r="V29" s="128">
        <v>1559.4553304648846</v>
      </c>
      <c r="W29" s="128"/>
      <c r="X29" s="128" t="s">
        <v>466</v>
      </c>
      <c r="Y29" s="128">
        <v>1030.8339230734678</v>
      </c>
      <c r="Z29" s="128">
        <v>785.06238809293541</v>
      </c>
      <c r="AA29" s="128">
        <v>951.62442234179014</v>
      </c>
      <c r="AB29" s="128">
        <v>951.62442234179014</v>
      </c>
      <c r="AC29" s="128">
        <v>582.22684416321886</v>
      </c>
      <c r="AD29" s="128">
        <v>1658.3378209912769</v>
      </c>
      <c r="AE29" s="128">
        <v>1289.017675651739</v>
      </c>
      <c r="AF29" s="128">
        <v>1391.474232100772</v>
      </c>
      <c r="AG29" s="128">
        <v>1559.4553304648846</v>
      </c>
      <c r="AH29" s="128">
        <v>2630.569727570246</v>
      </c>
      <c r="AI29" s="128">
        <v>608.13649393526305</v>
      </c>
      <c r="AJ29" s="128">
        <v>1058.2241242610571</v>
      </c>
      <c r="AK29" s="128">
        <v>1266.2415981451825</v>
      </c>
      <c r="AL29" s="128"/>
      <c r="AM29" s="128" t="s">
        <v>466</v>
      </c>
      <c r="AN29" s="128">
        <v>1030.8339230734678</v>
      </c>
      <c r="AO29" s="128">
        <v>785.06238809293541</v>
      </c>
      <c r="AP29" s="128">
        <v>951.62442234179014</v>
      </c>
      <c r="AQ29" s="128">
        <v>951.62442234179014</v>
      </c>
      <c r="AR29" s="128">
        <v>582.22684416321886</v>
      </c>
      <c r="AS29" s="128">
        <v>1658.3378209912769</v>
      </c>
      <c r="AT29" s="128">
        <v>1289.017675651739</v>
      </c>
      <c r="AU29" s="128">
        <v>1391.474232100772</v>
      </c>
      <c r="AV29" s="128">
        <v>1559.4553304648846</v>
      </c>
      <c r="AW29" s="128">
        <v>2630.569727570246</v>
      </c>
      <c r="AX29" s="128">
        <v>608.13649393526305</v>
      </c>
      <c r="AY29" s="128">
        <v>1058.2241242610571</v>
      </c>
      <c r="AZ29" s="128">
        <v>1266.2415981451825</v>
      </c>
      <c r="BA29" s="128">
        <v>1994.300017719502</v>
      </c>
      <c r="BB29" s="128">
        <v>999.51833591784282</v>
      </c>
      <c r="BC29" s="128">
        <v>2043.1455853289251</v>
      </c>
      <c r="BD29" s="128">
        <v>1087.6786286763131</v>
      </c>
      <c r="BE29" s="128"/>
      <c r="BF29" s="128" t="s">
        <v>466</v>
      </c>
      <c r="BG29" s="128">
        <v>1030.8339230734678</v>
      </c>
      <c r="BH29" s="128">
        <v>785.06238809293541</v>
      </c>
      <c r="BI29" s="128">
        <v>951.62442234179014</v>
      </c>
      <c r="BJ29" s="128">
        <v>951.62442234179014</v>
      </c>
      <c r="BK29" s="128">
        <v>582.22684416321886</v>
      </c>
      <c r="BL29" s="128">
        <v>1658.3378209912769</v>
      </c>
      <c r="BM29" s="128">
        <v>1289.017675651739</v>
      </c>
      <c r="BN29" s="128">
        <v>1391.474232100772</v>
      </c>
      <c r="BO29" s="128">
        <v>1559.4553304648846</v>
      </c>
      <c r="BP29" s="128">
        <v>2630.569727570246</v>
      </c>
      <c r="BQ29" s="128">
        <v>608.13649393526305</v>
      </c>
      <c r="BR29" s="128">
        <v>1058.2241242610571</v>
      </c>
      <c r="BS29" s="128">
        <v>1266.2415981451825</v>
      </c>
      <c r="BT29" s="128">
        <v>1994.300017719502</v>
      </c>
      <c r="BU29" s="128">
        <v>999.51833591784282</v>
      </c>
      <c r="BV29" s="128">
        <v>2043.1455853289251</v>
      </c>
      <c r="BW29" s="128">
        <v>1087.6786286763131</v>
      </c>
      <c r="BX29" s="128"/>
      <c r="BY29" s="128" t="s">
        <v>466</v>
      </c>
      <c r="BZ29" s="128">
        <v>1030.8339230734678</v>
      </c>
      <c r="CA29" s="128">
        <v>785.06238809293541</v>
      </c>
      <c r="CB29" s="128">
        <v>951.62442234179014</v>
      </c>
      <c r="CC29" s="128">
        <v>951.62442234179014</v>
      </c>
      <c r="CD29" s="128">
        <v>582.22684416321886</v>
      </c>
      <c r="CE29" s="128">
        <v>1658.3378209912769</v>
      </c>
      <c r="CF29" s="128">
        <v>1289.017675651739</v>
      </c>
      <c r="CG29" s="128">
        <v>1391.474232100772</v>
      </c>
      <c r="CH29" s="128">
        <v>1559.4553304648846</v>
      </c>
      <c r="CI29" s="128">
        <v>2630.569727570246</v>
      </c>
      <c r="CJ29" s="128">
        <v>608.13649393526305</v>
      </c>
      <c r="CK29" s="128">
        <v>1058.2241242610571</v>
      </c>
      <c r="CL29" s="128">
        <v>1266.2415981451825</v>
      </c>
      <c r="CM29" s="128">
        <v>1994.300017719502</v>
      </c>
      <c r="CN29" s="128">
        <v>999.51833591784282</v>
      </c>
      <c r="CO29" s="128">
        <v>2043.1455853289251</v>
      </c>
      <c r="CP29" s="128">
        <v>1087.6786286763131</v>
      </c>
      <c r="CQ29" s="128"/>
      <c r="CR29" s="128" t="s">
        <v>466</v>
      </c>
      <c r="CS29" s="128">
        <v>1030.8339230734678</v>
      </c>
      <c r="CT29" s="128">
        <v>785.06238809293541</v>
      </c>
      <c r="CU29" s="128">
        <v>951.62442234179014</v>
      </c>
      <c r="CV29" s="128">
        <v>951.62442234179014</v>
      </c>
      <c r="CW29" s="128">
        <v>582.22684416321886</v>
      </c>
      <c r="CX29" s="128">
        <v>1658.3378209912769</v>
      </c>
      <c r="CY29" s="128">
        <v>1289.017675651739</v>
      </c>
      <c r="CZ29" s="128">
        <v>1391.474232100772</v>
      </c>
      <c r="DA29" s="128">
        <v>1559.4553304648846</v>
      </c>
      <c r="DB29" s="128">
        <v>2630.569727570246</v>
      </c>
      <c r="DC29" s="128">
        <v>608.13649393526305</v>
      </c>
      <c r="DD29" s="128">
        <v>1058.2241242610571</v>
      </c>
      <c r="DE29" s="128">
        <v>1266.2415981451825</v>
      </c>
      <c r="DF29" s="128">
        <v>1994.300017719502</v>
      </c>
      <c r="DG29" s="128">
        <v>999.51833591784282</v>
      </c>
      <c r="DH29" s="128">
        <v>2043.1455853289251</v>
      </c>
      <c r="DI29" s="128">
        <v>1087.6786286763131</v>
      </c>
      <c r="DJ29" s="128"/>
      <c r="DK29" s="128" t="s">
        <v>466</v>
      </c>
      <c r="DL29" s="128">
        <v>1030.8339230734678</v>
      </c>
      <c r="DM29" s="128">
        <v>785.06238809293541</v>
      </c>
      <c r="DN29" s="128">
        <v>951.62442234179014</v>
      </c>
      <c r="DO29" s="128">
        <v>951.62442234179014</v>
      </c>
      <c r="DP29" s="128">
        <v>582.22684416321886</v>
      </c>
      <c r="DQ29" s="128">
        <v>1658.3378209912769</v>
      </c>
      <c r="DR29" s="128">
        <v>1289.017675651739</v>
      </c>
      <c r="DS29" s="128">
        <v>1391.474232100772</v>
      </c>
      <c r="DT29" s="128">
        <v>1559.4553304648846</v>
      </c>
      <c r="DU29" s="128">
        <v>2630.569727570246</v>
      </c>
      <c r="DV29" s="128">
        <v>608.13649393526305</v>
      </c>
      <c r="DW29" s="128">
        <v>1058.2241242610571</v>
      </c>
      <c r="DX29" s="128">
        <v>1266.2415981451825</v>
      </c>
      <c r="DY29" s="128">
        <v>1994.300017719502</v>
      </c>
      <c r="DZ29" s="128">
        <v>999.51833591784282</v>
      </c>
      <c r="EA29" s="128">
        <v>2043.1455853289251</v>
      </c>
      <c r="EB29" s="128">
        <v>1087.6786286763131</v>
      </c>
      <c r="EC29" s="128"/>
      <c r="ED29" s="128" t="s">
        <v>466</v>
      </c>
      <c r="EE29" s="128">
        <v>1030.8339230734678</v>
      </c>
      <c r="EF29" s="128">
        <v>785.06238809293541</v>
      </c>
      <c r="EG29" s="128">
        <v>951.62442234179014</v>
      </c>
      <c r="EH29" s="128">
        <v>951.62442234179014</v>
      </c>
      <c r="EI29" s="128">
        <v>582.22684416321886</v>
      </c>
      <c r="EJ29" s="128">
        <v>1658.3378209912769</v>
      </c>
      <c r="EK29" s="128">
        <v>1289.017675651739</v>
      </c>
      <c r="EL29" s="128">
        <v>1391.474232100772</v>
      </c>
      <c r="EM29" s="128">
        <v>1559.4553304648846</v>
      </c>
      <c r="EN29" s="128">
        <v>2630.569727570246</v>
      </c>
      <c r="EO29" s="128">
        <v>608.13649393526305</v>
      </c>
      <c r="EP29" s="128">
        <v>1058.2241242610571</v>
      </c>
      <c r="EQ29" s="128">
        <v>1266.2415981451825</v>
      </c>
      <c r="ER29" s="128">
        <v>1994.300017719502</v>
      </c>
      <c r="ES29" s="128">
        <v>999.51833591784282</v>
      </c>
      <c r="ET29" s="128">
        <v>2043.1455853289251</v>
      </c>
      <c r="EU29" s="128">
        <v>1087.6786286763131</v>
      </c>
      <c r="EV29" s="128"/>
      <c r="EW29" s="128" t="s">
        <v>466</v>
      </c>
      <c r="EX29" s="128">
        <v>1030.8339230734678</v>
      </c>
      <c r="EY29" s="128">
        <v>785.06238809293541</v>
      </c>
      <c r="EZ29" s="128">
        <v>951.62442234179014</v>
      </c>
      <c r="FA29" s="128">
        <v>951.62442234179014</v>
      </c>
      <c r="FB29" s="128">
        <v>582.22684416321886</v>
      </c>
      <c r="FC29" s="128">
        <v>1658.3378209912769</v>
      </c>
      <c r="FD29" s="128">
        <v>1289.017675651739</v>
      </c>
      <c r="FE29" s="128">
        <v>1391.474232100772</v>
      </c>
      <c r="FF29" s="128">
        <v>1559.4553304648846</v>
      </c>
      <c r="FG29" s="128">
        <v>2630.569727570246</v>
      </c>
      <c r="FH29" s="128">
        <v>608.13649393526305</v>
      </c>
      <c r="FI29" s="128">
        <v>1058.2241242610571</v>
      </c>
      <c r="FJ29" s="128">
        <v>1266.2415981451825</v>
      </c>
      <c r="FK29" s="128">
        <v>1994.300017719502</v>
      </c>
      <c r="FL29" s="128">
        <v>999.51833591784282</v>
      </c>
      <c r="FM29" s="128">
        <v>2043.1455853289251</v>
      </c>
      <c r="FN29" s="128">
        <v>1087.6786286763131</v>
      </c>
    </row>
    <row r="30" spans="2:170">
      <c r="B30" s="128" t="s">
        <v>469</v>
      </c>
      <c r="C30" s="128">
        <v>7.7813445378151265</v>
      </c>
      <c r="D30" s="128">
        <v>7.7813445378151265</v>
      </c>
      <c r="E30" s="128">
        <v>7.7813445378151265</v>
      </c>
      <c r="F30" s="128">
        <v>7.7813445378151265</v>
      </c>
      <c r="G30" s="128">
        <v>7.7813445378151265</v>
      </c>
      <c r="H30" s="128">
        <v>38.702901760563378</v>
      </c>
      <c r="I30" s="128">
        <v>38.702901760563378</v>
      </c>
      <c r="J30" s="128">
        <v>38.702901760563378</v>
      </c>
      <c r="K30" s="128">
        <v>38.702901760563378</v>
      </c>
      <c r="L30" s="128"/>
      <c r="M30" s="128" t="s">
        <v>469</v>
      </c>
      <c r="N30" s="128">
        <v>7.7165000000000008</v>
      </c>
      <c r="O30" s="128">
        <v>7.7165000000000008</v>
      </c>
      <c r="P30" s="128">
        <v>7.7165000000000008</v>
      </c>
      <c r="Q30" s="128">
        <v>7.7165000000000008</v>
      </c>
      <c r="R30" s="128">
        <v>7.7165000000000008</v>
      </c>
      <c r="S30" s="128">
        <v>38.702901760563378</v>
      </c>
      <c r="T30" s="128">
        <v>38.702901760563378</v>
      </c>
      <c r="U30" s="128">
        <v>38.702901760563378</v>
      </c>
      <c r="V30" s="128">
        <v>38.702901760563378</v>
      </c>
      <c r="W30" s="128"/>
      <c r="X30" s="128" t="s">
        <v>469</v>
      </c>
      <c r="Y30" s="128">
        <v>7.7813445378151265</v>
      </c>
      <c r="Z30" s="128">
        <v>7.7813445378151265</v>
      </c>
      <c r="AA30" s="128">
        <v>7.7813445378151265</v>
      </c>
      <c r="AB30" s="128">
        <v>7.7813445378151265</v>
      </c>
      <c r="AC30" s="128">
        <v>7.7813445378151265</v>
      </c>
      <c r="AD30" s="128">
        <v>39.032756036931815</v>
      </c>
      <c r="AE30" s="128">
        <v>39.032756036931815</v>
      </c>
      <c r="AF30" s="128">
        <v>39.032756036931815</v>
      </c>
      <c r="AG30" s="128">
        <v>39.032756036931815</v>
      </c>
      <c r="AH30" s="128">
        <v>23.106882352941174</v>
      </c>
      <c r="AI30" s="128">
        <v>23.106882352941174</v>
      </c>
      <c r="AJ30" s="128">
        <v>23.106882352941174</v>
      </c>
      <c r="AK30" s="128">
        <v>23.106882352941174</v>
      </c>
      <c r="AL30" s="128"/>
      <c r="AM30" s="128" t="s">
        <v>469</v>
      </c>
      <c r="AN30" s="128">
        <v>7.7813445378151265</v>
      </c>
      <c r="AO30" s="128">
        <v>7.7813445378151265</v>
      </c>
      <c r="AP30" s="128">
        <v>7.7813445378151265</v>
      </c>
      <c r="AQ30" s="128">
        <v>7.7813445378151265</v>
      </c>
      <c r="AR30" s="128">
        <v>7.7813445378151265</v>
      </c>
      <c r="AS30" s="128">
        <v>38.702901760563378</v>
      </c>
      <c r="AT30" s="128">
        <v>38.702901760563378</v>
      </c>
      <c r="AU30" s="128">
        <v>38.702901760563378</v>
      </c>
      <c r="AV30" s="128">
        <v>38.702901760563378</v>
      </c>
      <c r="AW30" s="128">
        <v>23.106882352941174</v>
      </c>
      <c r="AX30" s="128">
        <v>23.106882352941174</v>
      </c>
      <c r="AY30" s="128">
        <v>23.106882352941174</v>
      </c>
      <c r="AZ30" s="128">
        <v>23.106882352941174</v>
      </c>
      <c r="BA30" s="128">
        <v>3.5817977528089884</v>
      </c>
      <c r="BB30" s="128">
        <v>3.5817977528089884</v>
      </c>
      <c r="BC30" s="128">
        <v>3.5817977528089884</v>
      </c>
      <c r="BD30" s="128">
        <v>3.5817977528089884</v>
      </c>
      <c r="BE30" s="128"/>
      <c r="BF30" s="128" t="s">
        <v>469</v>
      </c>
      <c r="BG30" s="128">
        <v>7.7813445378151265</v>
      </c>
      <c r="BH30" s="128">
        <v>7.7813445378151265</v>
      </c>
      <c r="BI30" s="128">
        <v>7.7813445378151265</v>
      </c>
      <c r="BJ30" s="128">
        <v>7.7813445378151265</v>
      </c>
      <c r="BK30" s="128">
        <v>7.7813445378151265</v>
      </c>
      <c r="BL30" s="128">
        <v>41.136317739520955</v>
      </c>
      <c r="BM30" s="128">
        <v>41.136317739520955</v>
      </c>
      <c r="BN30" s="128">
        <v>41.136317739520955</v>
      </c>
      <c r="BO30" s="128">
        <v>41.136317739520955</v>
      </c>
      <c r="BP30" s="128">
        <v>23.106882352941174</v>
      </c>
      <c r="BQ30" s="128">
        <v>23.106882352941174</v>
      </c>
      <c r="BR30" s="128">
        <v>23.106882352941174</v>
      </c>
      <c r="BS30" s="128">
        <v>23.106882352941174</v>
      </c>
      <c r="BT30" s="128">
        <v>3.5817977528089884</v>
      </c>
      <c r="BU30" s="128">
        <v>3.5817977528089884</v>
      </c>
      <c r="BV30" s="128">
        <v>3.5817977528089884</v>
      </c>
      <c r="BW30" s="128">
        <v>3.5817977528089884</v>
      </c>
      <c r="BX30" s="128"/>
      <c r="BY30" s="128" t="s">
        <v>469</v>
      </c>
      <c r="BZ30" s="128">
        <v>7.7813445378151265</v>
      </c>
      <c r="CA30" s="128">
        <v>7.7813445378151265</v>
      </c>
      <c r="CB30" s="128">
        <v>7.7813445378151265</v>
      </c>
      <c r="CC30" s="128">
        <v>7.7813445378151265</v>
      </c>
      <c r="CD30" s="128">
        <v>7.7813445378151265</v>
      </c>
      <c r="CE30" s="128">
        <v>38.702901760563378</v>
      </c>
      <c r="CF30" s="128">
        <v>38.702901760563378</v>
      </c>
      <c r="CG30" s="128">
        <v>38.702901760563378</v>
      </c>
      <c r="CH30" s="128">
        <v>38.702901760563378</v>
      </c>
      <c r="CI30" s="128">
        <v>23.106882352941174</v>
      </c>
      <c r="CJ30" s="128">
        <v>23.106882352941174</v>
      </c>
      <c r="CK30" s="128">
        <v>23.106882352941174</v>
      </c>
      <c r="CL30" s="128">
        <v>23.106882352941174</v>
      </c>
      <c r="CM30" s="128">
        <v>3.612237960339943</v>
      </c>
      <c r="CN30" s="128">
        <v>3.612237960339943</v>
      </c>
      <c r="CO30" s="128">
        <v>3.612237960339943</v>
      </c>
      <c r="CP30" s="128">
        <v>3.612237960339943</v>
      </c>
      <c r="CQ30" s="128"/>
      <c r="CR30" s="128" t="s">
        <v>469</v>
      </c>
      <c r="CS30" s="128">
        <v>8.2676785714285721</v>
      </c>
      <c r="CT30" s="128">
        <v>8.2676785714285721</v>
      </c>
      <c r="CU30" s="128">
        <v>8.2676785714285721</v>
      </c>
      <c r="CV30" s="128">
        <v>8.2676785714285721</v>
      </c>
      <c r="CW30" s="128">
        <v>8.2676785714285721</v>
      </c>
      <c r="CX30" s="128">
        <v>39.032756036931815</v>
      </c>
      <c r="CY30" s="128">
        <v>39.032756036931815</v>
      </c>
      <c r="CZ30" s="128">
        <v>39.032756036931815</v>
      </c>
      <c r="DA30" s="128">
        <v>39.032756036931815</v>
      </c>
      <c r="DB30" s="128">
        <v>24.772243243243242</v>
      </c>
      <c r="DC30" s="128">
        <v>24.772243243243242</v>
      </c>
      <c r="DD30" s="128">
        <v>24.772243243243242</v>
      </c>
      <c r="DE30" s="128">
        <v>24.772243243243242</v>
      </c>
      <c r="DF30" s="128">
        <v>3.5817977528089884</v>
      </c>
      <c r="DG30" s="128">
        <v>3.5817977528089884</v>
      </c>
      <c r="DH30" s="128">
        <v>3.5817977528089884</v>
      </c>
      <c r="DI30" s="128">
        <v>3.5817977528089884</v>
      </c>
      <c r="DJ30" s="128"/>
      <c r="DK30" s="128" t="s">
        <v>469</v>
      </c>
      <c r="DL30" s="128">
        <v>7.7813445378151265</v>
      </c>
      <c r="DM30" s="128">
        <v>7.7813445378151265</v>
      </c>
      <c r="DN30" s="128">
        <v>7.7813445378151265</v>
      </c>
      <c r="DO30" s="128">
        <v>7.7813445378151265</v>
      </c>
      <c r="DP30" s="128">
        <v>7.7813445378151265</v>
      </c>
      <c r="DQ30" s="128">
        <v>38.702901760563378</v>
      </c>
      <c r="DR30" s="128">
        <v>38.702901760563378</v>
      </c>
      <c r="DS30" s="128">
        <v>38.702901760563378</v>
      </c>
      <c r="DT30" s="128">
        <v>38.702901760563378</v>
      </c>
      <c r="DU30" s="128">
        <v>23.106882352941174</v>
      </c>
      <c r="DV30" s="128">
        <v>23.106882352941174</v>
      </c>
      <c r="DW30" s="128">
        <v>23.106882352941174</v>
      </c>
      <c r="DX30" s="128">
        <v>23.106882352941174</v>
      </c>
      <c r="DY30" s="128">
        <v>3.8063283582089551</v>
      </c>
      <c r="DZ30" s="128">
        <v>3.8063283582089551</v>
      </c>
      <c r="EA30" s="128">
        <v>3.8063283582089551</v>
      </c>
      <c r="EB30" s="128">
        <v>3.8063283582089551</v>
      </c>
      <c r="EC30" s="128"/>
      <c r="ED30" s="128" t="s">
        <v>469</v>
      </c>
      <c r="EE30" s="128">
        <v>7.7813445378151265</v>
      </c>
      <c r="EF30" s="128">
        <v>7.7813445378151265</v>
      </c>
      <c r="EG30" s="128">
        <v>7.7813445378151265</v>
      </c>
      <c r="EH30" s="128">
        <v>7.7813445378151265</v>
      </c>
      <c r="EI30" s="128">
        <v>7.7813445378151265</v>
      </c>
      <c r="EJ30" s="128">
        <v>38.702901760563378</v>
      </c>
      <c r="EK30" s="128">
        <v>38.702901760563378</v>
      </c>
      <c r="EL30" s="128">
        <v>38.702901760563378</v>
      </c>
      <c r="EM30" s="128">
        <v>38.702901760563378</v>
      </c>
      <c r="EN30" s="128">
        <v>23.106882352941174</v>
      </c>
      <c r="EO30" s="128">
        <v>23.106882352941174</v>
      </c>
      <c r="EP30" s="128">
        <v>23.106882352941174</v>
      </c>
      <c r="EQ30" s="128">
        <v>23.106882352941174</v>
      </c>
      <c r="ER30" s="128">
        <v>3.612237960339943</v>
      </c>
      <c r="ES30" s="128">
        <v>3.612237960339943</v>
      </c>
      <c r="ET30" s="128">
        <v>3.612237960339943</v>
      </c>
      <c r="EU30" s="128">
        <v>3.612237960339943</v>
      </c>
      <c r="EV30" s="128"/>
      <c r="EW30" s="128" t="s">
        <v>469</v>
      </c>
      <c r="EX30" s="128">
        <v>7.7813445378151265</v>
      </c>
      <c r="EY30" s="128">
        <v>7.7813445378151265</v>
      </c>
      <c r="EZ30" s="128">
        <v>7.7813445378151265</v>
      </c>
      <c r="FA30" s="128">
        <v>7.7813445378151265</v>
      </c>
      <c r="FB30" s="128">
        <v>7.7813445378151265</v>
      </c>
      <c r="FC30" s="128">
        <v>39.032756036931815</v>
      </c>
      <c r="FD30" s="128">
        <v>39.032756036931815</v>
      </c>
      <c r="FE30" s="128">
        <v>39.032756036931815</v>
      </c>
      <c r="FF30" s="128">
        <v>39.032756036931815</v>
      </c>
      <c r="FG30" s="128">
        <v>23.106882352941174</v>
      </c>
      <c r="FH30" s="128">
        <v>23.106882352941174</v>
      </c>
      <c r="FI30" s="128">
        <v>23.106882352941174</v>
      </c>
      <c r="FJ30" s="128">
        <v>23.106882352941174</v>
      </c>
      <c r="FK30" s="128">
        <v>3.5817977528089884</v>
      </c>
      <c r="FL30" s="128">
        <v>3.5817977528089884</v>
      </c>
      <c r="FM30" s="128">
        <v>3.5817977528089884</v>
      </c>
      <c r="FN30" s="128">
        <v>3.5817977528089884</v>
      </c>
    </row>
    <row r="31" spans="2:170">
      <c r="B31" s="128" t="s">
        <v>75</v>
      </c>
      <c r="C31" s="128">
        <v>963.06559999999979</v>
      </c>
      <c r="D31" s="128">
        <v>244.94959999999995</v>
      </c>
      <c r="E31" s="128">
        <v>156.03335999999996</v>
      </c>
      <c r="F31" s="128">
        <v>708.35519999999985</v>
      </c>
      <c r="G31" s="128">
        <v>85.702679999999958</v>
      </c>
      <c r="H31" s="128">
        <v>389.46599999999995</v>
      </c>
      <c r="I31" s="128">
        <v>388.32639999999998</v>
      </c>
      <c r="J31" s="128">
        <v>404.27519999999993</v>
      </c>
      <c r="K31" s="128">
        <v>357.03359999999998</v>
      </c>
      <c r="L31" s="128"/>
      <c r="M31" s="128" t="s">
        <v>75</v>
      </c>
      <c r="N31" s="128">
        <v>1110.6042562920816</v>
      </c>
      <c r="O31" s="128">
        <v>282.47511730981029</v>
      </c>
      <c r="P31" s="128">
        <v>179.93718573226431</v>
      </c>
      <c r="Q31" s="128">
        <v>816.8730147630946</v>
      </c>
      <c r="R31" s="128">
        <v>99.558734324833978</v>
      </c>
      <c r="S31" s="128">
        <v>432.80315621052637</v>
      </c>
      <c r="T31" s="128">
        <v>433.80703932631582</v>
      </c>
      <c r="U31" s="128">
        <v>451.62375667751201</v>
      </c>
      <c r="V31" s="128">
        <v>401.38838574545468</v>
      </c>
      <c r="W31" s="128"/>
      <c r="X31" s="128" t="s">
        <v>75</v>
      </c>
      <c r="Y31" s="128">
        <v>1209.5999999999999</v>
      </c>
      <c r="Z31" s="128">
        <v>302.39999999999998</v>
      </c>
      <c r="AA31" s="128">
        <v>205.39318721184466</v>
      </c>
      <c r="AB31" s="128">
        <v>932.43734677048371</v>
      </c>
      <c r="AC31" s="128">
        <v>117.20336458811042</v>
      </c>
      <c r="AD31" s="128">
        <v>479.56673087100694</v>
      </c>
      <c r="AE31" s="128">
        <v>482.9374874458191</v>
      </c>
      <c r="AF31" s="128">
        <v>502.77202200173878</v>
      </c>
      <c r="AG31" s="128">
        <v>449.35992332868165</v>
      </c>
      <c r="AH31" s="128">
        <v>501.27746145900699</v>
      </c>
      <c r="AI31" s="128">
        <v>771.30026565246692</v>
      </c>
      <c r="AJ31" s="128">
        <v>873.43192804788316</v>
      </c>
      <c r="AK31" s="128">
        <v>390.9090041921782</v>
      </c>
      <c r="AL31" s="128"/>
      <c r="AM31" s="128" t="s">
        <v>75</v>
      </c>
      <c r="AN31" s="128">
        <v>1209.5999999999999</v>
      </c>
      <c r="AO31" s="128">
        <v>302.39999999999998</v>
      </c>
      <c r="AP31" s="128">
        <v>233.25142534491195</v>
      </c>
      <c r="AQ31" s="128">
        <v>1058.9072750242653</v>
      </c>
      <c r="AR31" s="128">
        <v>136.59642742346603</v>
      </c>
      <c r="AS31" s="128">
        <v>529.99448082459617</v>
      </c>
      <c r="AT31" s="128">
        <v>535.97280424895996</v>
      </c>
      <c r="AU31" s="128">
        <v>557.98553132702068</v>
      </c>
      <c r="AV31" s="128">
        <v>501.20284917770044</v>
      </c>
      <c r="AW31" s="128">
        <v>557.05624484976522</v>
      </c>
      <c r="AX31" s="128">
        <v>847.39746887397564</v>
      </c>
      <c r="AY31" s="128">
        <v>959.60553628927107</v>
      </c>
      <c r="AZ31" s="128">
        <v>439.47217899397015</v>
      </c>
      <c r="BA31" s="128">
        <v>597.97150568689403</v>
      </c>
      <c r="BB31" s="128">
        <v>502.55216122071778</v>
      </c>
      <c r="BC31" s="128">
        <v>462.85101103344954</v>
      </c>
      <c r="BD31" s="128">
        <v>51.687965494217011</v>
      </c>
      <c r="BE31" s="128"/>
      <c r="BF31" s="128" t="s">
        <v>75</v>
      </c>
      <c r="BG31" s="128">
        <v>1209.5999999999999</v>
      </c>
      <c r="BH31" s="128">
        <v>302.39999999999998</v>
      </c>
      <c r="BI31" s="128">
        <v>263.43198452315499</v>
      </c>
      <c r="BJ31" s="128">
        <v>1191.5180116542253</v>
      </c>
      <c r="BK31" s="128">
        <v>157.67333496421486</v>
      </c>
      <c r="BL31" s="128">
        <v>584.33955268306784</v>
      </c>
      <c r="BM31" s="128">
        <v>593.18462803769057</v>
      </c>
      <c r="BN31" s="128">
        <v>603.76552737668214</v>
      </c>
      <c r="BO31" s="128">
        <v>557.18842195233935</v>
      </c>
      <c r="BP31" s="128">
        <v>617.24513423819565</v>
      </c>
      <c r="BQ31" s="128">
        <v>929.28020845930803</v>
      </c>
      <c r="BR31" s="128">
        <v>1052.3307722249272</v>
      </c>
      <c r="BS31" s="128">
        <v>491.99526361745365</v>
      </c>
      <c r="BT31" s="128">
        <v>659.19508942127095</v>
      </c>
      <c r="BU31" s="128">
        <v>556.09310216803033</v>
      </c>
      <c r="BV31" s="128">
        <v>604.70101718599767</v>
      </c>
      <c r="BW31" s="128">
        <v>69.346177269030179</v>
      </c>
      <c r="BX31" s="128"/>
      <c r="BY31" s="128" t="s">
        <v>75</v>
      </c>
      <c r="BZ31" s="128">
        <v>1209.5999999999999</v>
      </c>
      <c r="CA31" s="128">
        <v>302.39999999999998</v>
      </c>
      <c r="CB31" s="128">
        <v>272.15999999999997</v>
      </c>
      <c r="CC31" s="128">
        <v>1209.5999999999999</v>
      </c>
      <c r="CD31" s="128">
        <v>170.70483426586253</v>
      </c>
      <c r="CE31" s="128">
        <v>622.08687154369363</v>
      </c>
      <c r="CF31" s="128">
        <v>608.14807689895758</v>
      </c>
      <c r="CG31" s="128">
        <v>607.6033236449789</v>
      </c>
      <c r="CH31" s="128">
        <v>572.13483497818982</v>
      </c>
      <c r="CI31" s="128">
        <v>633.07599829787819</v>
      </c>
      <c r="CJ31" s="128">
        <v>949.64877406400763</v>
      </c>
      <c r="CK31" s="128">
        <v>1075.3964397994521</v>
      </c>
      <c r="CL31" s="128">
        <v>506.41817209238269</v>
      </c>
      <c r="CM31" s="128">
        <v>675.82693753836315</v>
      </c>
      <c r="CN31" s="128">
        <v>570.87621816271701</v>
      </c>
      <c r="CO31" s="128">
        <v>654.02263753909301</v>
      </c>
      <c r="CP31" s="128">
        <v>75.555318290154929</v>
      </c>
      <c r="CQ31" s="128"/>
      <c r="CR31" s="128" t="s">
        <v>75</v>
      </c>
      <c r="CS31" s="128">
        <v>1209.5999999999999</v>
      </c>
      <c r="CT31" s="128">
        <v>302.39999999999998</v>
      </c>
      <c r="CU31" s="128">
        <v>272.15999999999997</v>
      </c>
      <c r="CV31" s="128">
        <v>1209.5999999999999</v>
      </c>
      <c r="CW31" s="128">
        <v>179.00134591567854</v>
      </c>
      <c r="CX31" s="128">
        <v>650.95170238332116</v>
      </c>
      <c r="CY31" s="128">
        <v>616.92146986105172</v>
      </c>
      <c r="CZ31" s="128">
        <v>616.36885777376222</v>
      </c>
      <c r="DA31" s="128">
        <v>580.38868617864432</v>
      </c>
      <c r="DB31" s="128">
        <v>642.20901165255145</v>
      </c>
      <c r="DC31" s="128">
        <v>963.34879579772507</v>
      </c>
      <c r="DD31" s="128">
        <v>1090.9105488047903</v>
      </c>
      <c r="DE31" s="128">
        <v>513.72396782813064</v>
      </c>
      <c r="DF31" s="128">
        <v>685.67438221102475</v>
      </c>
      <c r="DG31" s="128">
        <v>579.19443050532084</v>
      </c>
      <c r="DH31" s="128">
        <v>663.55237271255794</v>
      </c>
      <c r="DI31" s="128">
        <v>76.656231519949714</v>
      </c>
      <c r="DJ31" s="128"/>
      <c r="DK31" s="128" t="s">
        <v>75</v>
      </c>
      <c r="DL31" s="128">
        <v>1209.5999999999999</v>
      </c>
      <c r="DM31" s="128">
        <v>302.39999999999998</v>
      </c>
      <c r="DN31" s="128">
        <v>272.15999999999997</v>
      </c>
      <c r="DO31" s="128">
        <v>1209.5999999999999</v>
      </c>
      <c r="DP31" s="128">
        <v>187.70025316661645</v>
      </c>
      <c r="DQ31" s="128">
        <v>681.1558613739071</v>
      </c>
      <c r="DR31" s="128">
        <v>630.82984779474589</v>
      </c>
      <c r="DS31" s="128">
        <v>630.26477717239766</v>
      </c>
      <c r="DT31" s="128">
        <v>593.47343940927988</v>
      </c>
      <c r="DU31" s="128">
        <v>656.68749243633749</v>
      </c>
      <c r="DV31" s="128">
        <v>985.06731231643516</v>
      </c>
      <c r="DW31" s="128">
        <v>1115.5049209345991</v>
      </c>
      <c r="DX31" s="128">
        <v>525.3057775838522</v>
      </c>
      <c r="DY31" s="128">
        <v>701.23213187053227</v>
      </c>
      <c r="DZ31" s="128">
        <v>592.33618144098511</v>
      </c>
      <c r="EA31" s="128">
        <v>678.60818049605064</v>
      </c>
      <c r="EB31" s="128">
        <v>78.395538822029408</v>
      </c>
      <c r="EC31" s="128"/>
      <c r="ED31" s="128" t="s">
        <v>75</v>
      </c>
      <c r="EE31" s="128">
        <v>1209.5999999999999</v>
      </c>
      <c r="EF31" s="128">
        <v>302.39999999999998</v>
      </c>
      <c r="EG31" s="128">
        <v>272.15999999999997</v>
      </c>
      <c r="EH31" s="128">
        <v>1209.5999999999999</v>
      </c>
      <c r="EI31" s="128">
        <v>196.82103627273881</v>
      </c>
      <c r="EJ31" s="128">
        <v>712.76149334165632</v>
      </c>
      <c r="EK31" s="128">
        <v>649.23294961500255</v>
      </c>
      <c r="EL31" s="128">
        <v>648.65139427457223</v>
      </c>
      <c r="EM31" s="128">
        <v>610.78674849135211</v>
      </c>
      <c r="EN31" s="128">
        <v>675.84493533419982</v>
      </c>
      <c r="EO31" s="128">
        <v>1013.8045290346021</v>
      </c>
      <c r="EP31" s="128">
        <v>1148.0473738840292</v>
      </c>
      <c r="EQ31" s="128">
        <v>540.63044198494151</v>
      </c>
      <c r="ER31" s="128">
        <v>722.10245127817291</v>
      </c>
      <c r="ES31" s="128">
        <v>609.96550095091584</v>
      </c>
      <c r="ET31" s="128">
        <v>698.80515783907572</v>
      </c>
      <c r="EU31" s="128">
        <v>80.728774652203683</v>
      </c>
      <c r="EV31" s="128"/>
      <c r="EW31" s="128" t="s">
        <v>75</v>
      </c>
      <c r="EX31" s="128">
        <v>1209.5999999999999</v>
      </c>
      <c r="EY31" s="128">
        <v>302.39999999999998</v>
      </c>
      <c r="EZ31" s="128">
        <v>272.15999999999997</v>
      </c>
      <c r="FA31" s="128">
        <v>1209.5999999999999</v>
      </c>
      <c r="FB31" s="128">
        <v>206.22264770470503</v>
      </c>
      <c r="FC31" s="128">
        <v>745.83362663270918</v>
      </c>
      <c r="FD31" s="128">
        <v>662.63408791291056</v>
      </c>
      <c r="FE31" s="128">
        <v>662.04052840117367</v>
      </c>
      <c r="FF31" s="128">
        <v>623.39429974381983</v>
      </c>
      <c r="FG31" s="128">
        <v>689.79538478647282</v>
      </c>
      <c r="FH31" s="128">
        <v>1034.7309695498207</v>
      </c>
      <c r="FI31" s="128">
        <v>1171.7447873303017</v>
      </c>
      <c r="FJ31" s="128">
        <v>551.78986222908588</v>
      </c>
      <c r="FK31" s="128">
        <v>737.43265350228489</v>
      </c>
      <c r="FL31" s="128">
        <v>626.55902707606958</v>
      </c>
      <c r="FM31" s="128">
        <v>720.73055830508542</v>
      </c>
      <c r="FN31" s="128">
        <v>83.261684854030548</v>
      </c>
    </row>
    <row r="32" spans="2:170">
      <c r="B32" s="128" t="s">
        <v>471</v>
      </c>
      <c r="C32" s="128"/>
      <c r="D32" s="128"/>
      <c r="E32" s="128"/>
      <c r="F32" s="128"/>
      <c r="G32" s="128"/>
      <c r="H32" s="128"/>
      <c r="I32" s="128"/>
      <c r="J32" s="128"/>
      <c r="K32" s="128"/>
      <c r="L32" s="128"/>
      <c r="M32" s="128" t="s">
        <v>471</v>
      </c>
      <c r="N32" s="128"/>
      <c r="O32" s="128"/>
      <c r="P32" s="128"/>
      <c r="Q32" s="128"/>
      <c r="R32" s="128"/>
      <c r="S32" s="128"/>
      <c r="T32" s="128"/>
      <c r="U32" s="128"/>
      <c r="V32" s="128"/>
      <c r="W32" s="128"/>
      <c r="X32" s="128" t="s">
        <v>471</v>
      </c>
      <c r="Y32" s="128"/>
      <c r="Z32" s="128"/>
      <c r="AA32" s="128"/>
      <c r="AB32" s="128"/>
      <c r="AC32" s="128"/>
      <c r="AD32" s="128"/>
      <c r="AE32" s="128"/>
      <c r="AF32" s="128"/>
      <c r="AG32" s="128"/>
      <c r="AH32" s="128"/>
      <c r="AI32" s="128"/>
      <c r="AJ32" s="128"/>
      <c r="AK32" s="128"/>
      <c r="AL32" s="128"/>
      <c r="AM32" s="128" t="s">
        <v>471</v>
      </c>
      <c r="AN32" s="128"/>
      <c r="AO32" s="128"/>
      <c r="AP32" s="128"/>
      <c r="AQ32" s="128"/>
      <c r="AR32" s="128"/>
      <c r="AS32" s="128"/>
      <c r="AT32" s="128"/>
      <c r="AU32" s="128"/>
      <c r="AV32" s="128"/>
      <c r="AW32" s="128"/>
      <c r="AX32" s="128"/>
      <c r="AY32" s="128"/>
      <c r="AZ32" s="128"/>
      <c r="BA32" s="128"/>
      <c r="BB32" s="128"/>
      <c r="BC32" s="128"/>
      <c r="BD32" s="128"/>
      <c r="BE32" s="128"/>
      <c r="BF32" s="128" t="s">
        <v>471</v>
      </c>
      <c r="BG32" s="128"/>
      <c r="BH32" s="128"/>
      <c r="BI32" s="128"/>
      <c r="BJ32" s="128"/>
      <c r="BK32" s="128"/>
      <c r="BL32" s="128"/>
      <c r="BM32" s="128"/>
      <c r="BN32" s="128"/>
      <c r="BO32" s="128"/>
      <c r="BP32" s="128"/>
      <c r="BQ32" s="128"/>
      <c r="BR32" s="128"/>
      <c r="BS32" s="128"/>
      <c r="BT32" s="128"/>
      <c r="BU32" s="128"/>
      <c r="BV32" s="128"/>
      <c r="BW32" s="128"/>
      <c r="BX32" s="128"/>
      <c r="BY32" s="128" t="s">
        <v>471</v>
      </c>
      <c r="BZ32" s="128"/>
      <c r="CA32" s="128"/>
      <c r="CB32" s="128"/>
      <c r="CC32" s="128"/>
      <c r="CD32" s="128"/>
      <c r="CE32" s="128"/>
      <c r="CF32" s="128"/>
      <c r="CG32" s="128"/>
      <c r="CH32" s="128"/>
      <c r="CI32" s="128"/>
      <c r="CJ32" s="128"/>
      <c r="CK32" s="128"/>
      <c r="CL32" s="128"/>
      <c r="CM32" s="128"/>
      <c r="CN32" s="128"/>
      <c r="CO32" s="128"/>
      <c r="CP32" s="128"/>
      <c r="CQ32" s="128"/>
      <c r="CR32" s="128" t="s">
        <v>471</v>
      </c>
      <c r="CS32" s="128"/>
      <c r="CT32" s="128"/>
      <c r="CU32" s="128"/>
      <c r="CV32" s="128"/>
      <c r="CW32" s="128"/>
      <c r="CX32" s="128"/>
      <c r="CY32" s="128"/>
      <c r="CZ32" s="128"/>
      <c r="DA32" s="128"/>
      <c r="DB32" s="128"/>
      <c r="DC32" s="128"/>
      <c r="DD32" s="128"/>
      <c r="DE32" s="128"/>
      <c r="DF32" s="128"/>
      <c r="DG32" s="128"/>
      <c r="DH32" s="128"/>
      <c r="DI32" s="128"/>
      <c r="DJ32" s="128"/>
      <c r="DK32" s="128" t="s">
        <v>471</v>
      </c>
      <c r="DL32" s="128"/>
      <c r="DM32" s="128"/>
      <c r="DN32" s="128"/>
      <c r="DO32" s="128"/>
      <c r="DP32" s="128"/>
      <c r="DQ32" s="128"/>
      <c r="DR32" s="128"/>
      <c r="DS32" s="128"/>
      <c r="DT32" s="128"/>
      <c r="DU32" s="128"/>
      <c r="DV32" s="128"/>
      <c r="DW32" s="128"/>
      <c r="DX32" s="128"/>
      <c r="DY32" s="128"/>
      <c r="DZ32" s="128"/>
      <c r="EA32" s="128"/>
      <c r="EB32" s="128"/>
      <c r="EC32" s="128"/>
      <c r="ED32" s="128" t="s">
        <v>471</v>
      </c>
      <c r="EE32" s="128"/>
      <c r="EF32" s="128"/>
      <c r="EG32" s="128"/>
      <c r="EH32" s="128"/>
      <c r="EI32" s="128"/>
      <c r="EJ32" s="128"/>
      <c r="EK32" s="128"/>
      <c r="EL32" s="128"/>
      <c r="EM32" s="128"/>
      <c r="EN32" s="128"/>
      <c r="EO32" s="128"/>
      <c r="EP32" s="128"/>
      <c r="EQ32" s="128"/>
      <c r="ER32" s="128"/>
      <c r="ES32" s="128"/>
      <c r="ET32" s="128"/>
      <c r="EU32" s="128"/>
      <c r="EV32" s="128"/>
      <c r="EW32" s="128" t="s">
        <v>471</v>
      </c>
      <c r="EX32" s="128"/>
      <c r="EY32" s="128"/>
      <c r="EZ32" s="128"/>
      <c r="FA32" s="128"/>
      <c r="FB32" s="128"/>
      <c r="FC32" s="128"/>
      <c r="FD32" s="128"/>
      <c r="FE32" s="128"/>
      <c r="FF32" s="128"/>
      <c r="FG32" s="128"/>
      <c r="FH32" s="128"/>
      <c r="FI32" s="128"/>
      <c r="FJ32" s="128"/>
      <c r="FK32" s="128"/>
      <c r="FL32" s="128"/>
      <c r="FM32" s="128"/>
      <c r="FN32" s="128"/>
    </row>
    <row r="33" spans="2:170">
      <c r="B33" s="128" t="s">
        <v>472</v>
      </c>
      <c r="C33" s="128">
        <v>0</v>
      </c>
      <c r="D33" s="128">
        <v>0</v>
      </c>
      <c r="E33" s="128">
        <v>0</v>
      </c>
      <c r="F33" s="128">
        <v>0</v>
      </c>
      <c r="G33" s="128">
        <v>0</v>
      </c>
      <c r="H33" s="128">
        <v>0</v>
      </c>
      <c r="I33" s="128">
        <v>0</v>
      </c>
      <c r="J33" s="128">
        <v>0</v>
      </c>
      <c r="K33" s="128">
        <v>0</v>
      </c>
      <c r="L33" s="128"/>
      <c r="M33" s="128" t="s">
        <v>472</v>
      </c>
      <c r="N33" s="128">
        <v>0</v>
      </c>
      <c r="O33" s="128">
        <v>0</v>
      </c>
      <c r="P33" s="128">
        <v>0</v>
      </c>
      <c r="Q33" s="128">
        <v>0</v>
      </c>
      <c r="R33" s="128">
        <v>0</v>
      </c>
      <c r="S33" s="128">
        <v>0</v>
      </c>
      <c r="T33" s="128">
        <v>0</v>
      </c>
      <c r="U33" s="128">
        <v>0</v>
      </c>
      <c r="V33" s="128">
        <v>0</v>
      </c>
      <c r="W33" s="128"/>
      <c r="X33" s="128" t="s">
        <v>472</v>
      </c>
      <c r="Y33" s="128">
        <v>0</v>
      </c>
      <c r="Z33" s="128">
        <v>0</v>
      </c>
      <c r="AA33" s="128">
        <v>0</v>
      </c>
      <c r="AB33" s="128">
        <v>0</v>
      </c>
      <c r="AC33" s="128">
        <v>0</v>
      </c>
      <c r="AD33" s="128">
        <v>0</v>
      </c>
      <c r="AE33" s="128">
        <v>0</v>
      </c>
      <c r="AF33" s="128">
        <v>0</v>
      </c>
      <c r="AG33" s="128">
        <v>0</v>
      </c>
      <c r="AH33" s="128">
        <v>0</v>
      </c>
      <c r="AI33" s="128">
        <v>0</v>
      </c>
      <c r="AJ33" s="128">
        <v>0</v>
      </c>
      <c r="AK33" s="128">
        <v>0</v>
      </c>
      <c r="AL33" s="128"/>
      <c r="AM33" s="128" t="s">
        <v>472</v>
      </c>
      <c r="AN33" s="128">
        <v>0</v>
      </c>
      <c r="AO33" s="128">
        <v>0</v>
      </c>
      <c r="AP33" s="128">
        <v>0</v>
      </c>
      <c r="AQ33" s="128">
        <v>0</v>
      </c>
      <c r="AR33" s="128">
        <v>0</v>
      </c>
      <c r="AS33" s="128">
        <v>0</v>
      </c>
      <c r="AT33" s="128">
        <v>0</v>
      </c>
      <c r="AU33" s="128">
        <v>0</v>
      </c>
      <c r="AV33" s="128">
        <v>0</v>
      </c>
      <c r="AW33" s="128">
        <v>0</v>
      </c>
      <c r="AX33" s="128">
        <v>0</v>
      </c>
      <c r="AY33" s="128">
        <v>0</v>
      </c>
      <c r="AZ33" s="128">
        <v>0</v>
      </c>
      <c r="BA33" s="128">
        <v>0</v>
      </c>
      <c r="BB33" s="128">
        <v>0</v>
      </c>
      <c r="BC33" s="128">
        <v>0</v>
      </c>
      <c r="BD33" s="128">
        <v>0</v>
      </c>
      <c r="BE33" s="128"/>
      <c r="BF33" s="128" t="s">
        <v>472</v>
      </c>
      <c r="BG33" s="128">
        <v>0</v>
      </c>
      <c r="BH33" s="128">
        <v>0</v>
      </c>
      <c r="BI33" s="128">
        <v>0</v>
      </c>
      <c r="BJ33" s="128">
        <v>0</v>
      </c>
      <c r="BK33" s="128">
        <v>0</v>
      </c>
      <c r="BL33" s="128">
        <v>0</v>
      </c>
      <c r="BM33" s="128">
        <v>0</v>
      </c>
      <c r="BN33" s="128">
        <v>0</v>
      </c>
      <c r="BO33" s="128">
        <v>0</v>
      </c>
      <c r="BP33" s="128">
        <v>0</v>
      </c>
      <c r="BQ33" s="128">
        <v>0</v>
      </c>
      <c r="BR33" s="128">
        <v>0</v>
      </c>
      <c r="BS33" s="128">
        <v>0</v>
      </c>
      <c r="BT33" s="128">
        <v>0</v>
      </c>
      <c r="BU33" s="128">
        <v>0</v>
      </c>
      <c r="BV33" s="128">
        <v>0</v>
      </c>
      <c r="BW33" s="128">
        <v>0</v>
      </c>
      <c r="BX33" s="128"/>
      <c r="BY33" s="128" t="s">
        <v>472</v>
      </c>
      <c r="BZ33" s="128">
        <v>0</v>
      </c>
      <c r="CA33" s="128">
        <v>0</v>
      </c>
      <c r="CB33" s="128">
        <v>0</v>
      </c>
      <c r="CC33" s="128">
        <v>0</v>
      </c>
      <c r="CD33" s="128">
        <v>0</v>
      </c>
      <c r="CE33" s="128">
        <v>0</v>
      </c>
      <c r="CF33" s="128">
        <v>0</v>
      </c>
      <c r="CG33" s="128">
        <v>0</v>
      </c>
      <c r="CH33" s="128">
        <v>0</v>
      </c>
      <c r="CI33" s="128">
        <v>0</v>
      </c>
      <c r="CJ33" s="128">
        <v>0</v>
      </c>
      <c r="CK33" s="128">
        <v>0</v>
      </c>
      <c r="CL33" s="128">
        <v>0</v>
      </c>
      <c r="CM33" s="128">
        <v>0</v>
      </c>
      <c r="CN33" s="128">
        <v>0</v>
      </c>
      <c r="CO33" s="128">
        <v>0</v>
      </c>
      <c r="CP33" s="128">
        <v>0</v>
      </c>
      <c r="CQ33" s="128"/>
      <c r="CR33" s="128" t="s">
        <v>472</v>
      </c>
      <c r="CS33" s="128">
        <v>0</v>
      </c>
      <c r="CT33" s="128">
        <v>0</v>
      </c>
      <c r="CU33" s="128">
        <v>0</v>
      </c>
      <c r="CV33" s="128">
        <v>0</v>
      </c>
      <c r="CW33" s="128">
        <v>0</v>
      </c>
      <c r="CX33" s="128">
        <v>0</v>
      </c>
      <c r="CY33" s="128">
        <v>0</v>
      </c>
      <c r="CZ33" s="128">
        <v>0</v>
      </c>
      <c r="DA33" s="128">
        <v>0</v>
      </c>
      <c r="DB33" s="128">
        <v>0</v>
      </c>
      <c r="DC33" s="128">
        <v>0</v>
      </c>
      <c r="DD33" s="128">
        <v>0</v>
      </c>
      <c r="DE33" s="128">
        <v>0</v>
      </c>
      <c r="DF33" s="128">
        <v>0</v>
      </c>
      <c r="DG33" s="128">
        <v>0</v>
      </c>
      <c r="DH33" s="128">
        <v>0</v>
      </c>
      <c r="DI33" s="128">
        <v>0</v>
      </c>
      <c r="DJ33" s="128"/>
      <c r="DK33" s="128" t="s">
        <v>472</v>
      </c>
      <c r="DL33" s="128">
        <v>0</v>
      </c>
      <c r="DM33" s="128">
        <v>0</v>
      </c>
      <c r="DN33" s="128">
        <v>0</v>
      </c>
      <c r="DO33" s="128">
        <v>0</v>
      </c>
      <c r="DP33" s="128">
        <v>0</v>
      </c>
      <c r="DQ33" s="128">
        <v>0</v>
      </c>
      <c r="DR33" s="128">
        <v>0</v>
      </c>
      <c r="DS33" s="128">
        <v>0</v>
      </c>
      <c r="DT33" s="128">
        <v>0</v>
      </c>
      <c r="DU33" s="128">
        <v>0</v>
      </c>
      <c r="DV33" s="128">
        <v>0</v>
      </c>
      <c r="DW33" s="128">
        <v>0</v>
      </c>
      <c r="DX33" s="128">
        <v>0</v>
      </c>
      <c r="DY33" s="128">
        <v>0</v>
      </c>
      <c r="DZ33" s="128">
        <v>0</v>
      </c>
      <c r="EA33" s="128">
        <v>0</v>
      </c>
      <c r="EB33" s="128">
        <v>0</v>
      </c>
      <c r="EC33" s="128"/>
      <c r="ED33" s="128" t="s">
        <v>472</v>
      </c>
      <c r="EE33" s="128">
        <v>0</v>
      </c>
      <c r="EF33" s="128">
        <v>0</v>
      </c>
      <c r="EG33" s="128">
        <v>0</v>
      </c>
      <c r="EH33" s="128">
        <v>0</v>
      </c>
      <c r="EI33" s="128">
        <v>0</v>
      </c>
      <c r="EJ33" s="128">
        <v>0</v>
      </c>
      <c r="EK33" s="128">
        <v>0</v>
      </c>
      <c r="EL33" s="128">
        <v>0</v>
      </c>
      <c r="EM33" s="128">
        <v>0</v>
      </c>
      <c r="EN33" s="128">
        <v>0</v>
      </c>
      <c r="EO33" s="128">
        <v>0</v>
      </c>
      <c r="EP33" s="128">
        <v>0</v>
      </c>
      <c r="EQ33" s="128">
        <v>0</v>
      </c>
      <c r="ER33" s="128">
        <v>0</v>
      </c>
      <c r="ES33" s="128">
        <v>0</v>
      </c>
      <c r="ET33" s="128">
        <v>0</v>
      </c>
      <c r="EU33" s="128">
        <v>0</v>
      </c>
      <c r="EV33" s="128"/>
      <c r="EW33" s="128" t="s">
        <v>472</v>
      </c>
      <c r="EX33" s="128">
        <v>0</v>
      </c>
      <c r="EY33" s="128">
        <v>0</v>
      </c>
      <c r="EZ33" s="128">
        <v>0</v>
      </c>
      <c r="FA33" s="128">
        <v>0</v>
      </c>
      <c r="FB33" s="128">
        <v>0</v>
      </c>
      <c r="FC33" s="128">
        <v>0</v>
      </c>
      <c r="FD33" s="128">
        <v>0</v>
      </c>
      <c r="FE33" s="128">
        <v>0</v>
      </c>
      <c r="FF33" s="128">
        <v>0</v>
      </c>
      <c r="FG33" s="128">
        <v>0</v>
      </c>
      <c r="FH33" s="128">
        <v>0</v>
      </c>
      <c r="FI33" s="128">
        <v>0</v>
      </c>
      <c r="FJ33" s="128">
        <v>0</v>
      </c>
      <c r="FK33" s="128">
        <v>0</v>
      </c>
      <c r="FL33" s="128">
        <v>0</v>
      </c>
      <c r="FM33" s="128">
        <v>0</v>
      </c>
      <c r="FN33" s="128">
        <v>0</v>
      </c>
    </row>
    <row r="34" spans="2:170">
      <c r="B34" s="128" t="s">
        <v>56</v>
      </c>
      <c r="C34" s="128">
        <v>235.29411764705878</v>
      </c>
      <c r="D34" s="128">
        <v>235.29411764705878</v>
      </c>
      <c r="E34" s="128">
        <v>235.29411764705878</v>
      </c>
      <c r="F34" s="128">
        <v>235.29411764705878</v>
      </c>
      <c r="G34" s="128">
        <v>235.29411764705878</v>
      </c>
      <c r="H34" s="128">
        <v>295.77464788732391</v>
      </c>
      <c r="I34" s="128">
        <v>295.77464788732391</v>
      </c>
      <c r="J34" s="128">
        <v>295.77464788732391</v>
      </c>
      <c r="K34" s="128">
        <v>295.77464788732391</v>
      </c>
      <c r="L34" s="128"/>
      <c r="M34" s="128" t="s">
        <v>56</v>
      </c>
      <c r="N34" s="128">
        <v>233.33333333333331</v>
      </c>
      <c r="O34" s="128">
        <v>233.33333333333331</v>
      </c>
      <c r="P34" s="128">
        <v>233.33333333333331</v>
      </c>
      <c r="Q34" s="128">
        <v>233.33333333333331</v>
      </c>
      <c r="R34" s="128">
        <v>233.33333333333331</v>
      </c>
      <c r="S34" s="128">
        <v>295.77464788732391</v>
      </c>
      <c r="T34" s="128">
        <v>295.77464788732391</v>
      </c>
      <c r="U34" s="128">
        <v>295.77464788732391</v>
      </c>
      <c r="V34" s="128">
        <v>295.77464788732391</v>
      </c>
      <c r="W34" s="128"/>
      <c r="X34" s="128" t="s">
        <v>56</v>
      </c>
      <c r="Y34" s="128">
        <v>235.29411764705878</v>
      </c>
      <c r="Z34" s="128">
        <v>235.29411764705878</v>
      </c>
      <c r="AA34" s="128">
        <v>235.29411764705878</v>
      </c>
      <c r="AB34" s="128">
        <v>235.29411764705878</v>
      </c>
      <c r="AC34" s="128">
        <v>235.29411764705878</v>
      </c>
      <c r="AD34" s="128">
        <v>298.2954545454545</v>
      </c>
      <c r="AE34" s="128">
        <v>298.2954545454545</v>
      </c>
      <c r="AF34" s="128">
        <v>298.2954545454545</v>
      </c>
      <c r="AG34" s="128">
        <v>298.2954545454545</v>
      </c>
      <c r="AH34" s="128">
        <v>294.11764705882348</v>
      </c>
      <c r="AI34" s="128">
        <v>294.11764705882348</v>
      </c>
      <c r="AJ34" s="128">
        <v>294.11764705882348</v>
      </c>
      <c r="AK34" s="128">
        <v>294.11764705882348</v>
      </c>
      <c r="AL34" s="128"/>
      <c r="AM34" s="128" t="s">
        <v>56</v>
      </c>
      <c r="AN34" s="128">
        <v>235.29411764705878</v>
      </c>
      <c r="AO34" s="128">
        <v>235.29411764705878</v>
      </c>
      <c r="AP34" s="128">
        <v>235.29411764705878</v>
      </c>
      <c r="AQ34" s="128">
        <v>235.29411764705878</v>
      </c>
      <c r="AR34" s="128">
        <v>235.29411764705878</v>
      </c>
      <c r="AS34" s="128">
        <v>295.77464788732391</v>
      </c>
      <c r="AT34" s="128">
        <v>295.77464788732391</v>
      </c>
      <c r="AU34" s="128">
        <v>295.77464788732391</v>
      </c>
      <c r="AV34" s="128">
        <v>295.77464788732391</v>
      </c>
      <c r="AW34" s="128">
        <v>294.11764705882348</v>
      </c>
      <c r="AX34" s="128">
        <v>294.11764705882348</v>
      </c>
      <c r="AY34" s="128">
        <v>294.11764705882348</v>
      </c>
      <c r="AZ34" s="128">
        <v>294.11764705882348</v>
      </c>
      <c r="BA34" s="128">
        <v>294.94382022471905</v>
      </c>
      <c r="BB34" s="128">
        <v>294.94382022471905</v>
      </c>
      <c r="BC34" s="128">
        <v>294.94382022471905</v>
      </c>
      <c r="BD34" s="128">
        <v>294.94382022471905</v>
      </c>
      <c r="BE34" s="128"/>
      <c r="BF34" s="128" t="s">
        <v>56</v>
      </c>
      <c r="BG34" s="128">
        <v>235.29411764705878</v>
      </c>
      <c r="BH34" s="128">
        <v>235.29411764705878</v>
      </c>
      <c r="BI34" s="128">
        <v>235.29411764705878</v>
      </c>
      <c r="BJ34" s="128">
        <v>235.29411764705878</v>
      </c>
      <c r="BK34" s="128">
        <v>235.29411764705878</v>
      </c>
      <c r="BL34" s="128">
        <v>314.3712574850299</v>
      </c>
      <c r="BM34" s="128">
        <v>314.3712574850299</v>
      </c>
      <c r="BN34" s="128">
        <v>314.3712574850299</v>
      </c>
      <c r="BO34" s="128">
        <v>314.3712574850299</v>
      </c>
      <c r="BP34" s="128">
        <v>294.11764705882348</v>
      </c>
      <c r="BQ34" s="128">
        <v>294.11764705882348</v>
      </c>
      <c r="BR34" s="128">
        <v>294.11764705882348</v>
      </c>
      <c r="BS34" s="128">
        <v>294.11764705882348</v>
      </c>
      <c r="BT34" s="128">
        <v>294.94382022471905</v>
      </c>
      <c r="BU34" s="128">
        <v>294.94382022471905</v>
      </c>
      <c r="BV34" s="128">
        <v>294.94382022471905</v>
      </c>
      <c r="BW34" s="128">
        <v>294.94382022471905</v>
      </c>
      <c r="BX34" s="128"/>
      <c r="BY34" s="128" t="s">
        <v>56</v>
      </c>
      <c r="BZ34" s="128">
        <v>235.29411764705878</v>
      </c>
      <c r="CA34" s="128">
        <v>235.29411764705878</v>
      </c>
      <c r="CB34" s="128">
        <v>235.29411764705878</v>
      </c>
      <c r="CC34" s="128">
        <v>235.29411764705878</v>
      </c>
      <c r="CD34" s="128">
        <v>235.29411764705878</v>
      </c>
      <c r="CE34" s="128">
        <v>295.77464788732391</v>
      </c>
      <c r="CF34" s="128">
        <v>295.77464788732391</v>
      </c>
      <c r="CG34" s="128">
        <v>295.77464788732391</v>
      </c>
      <c r="CH34" s="128">
        <v>295.77464788732391</v>
      </c>
      <c r="CI34" s="128">
        <v>294.11764705882348</v>
      </c>
      <c r="CJ34" s="128">
        <v>294.11764705882348</v>
      </c>
      <c r="CK34" s="128">
        <v>294.11764705882348</v>
      </c>
      <c r="CL34" s="128">
        <v>294.11764705882348</v>
      </c>
      <c r="CM34" s="128">
        <v>297.45042492917844</v>
      </c>
      <c r="CN34" s="128">
        <v>297.45042492917844</v>
      </c>
      <c r="CO34" s="128">
        <v>297.45042492917844</v>
      </c>
      <c r="CP34" s="128">
        <v>297.45042492917844</v>
      </c>
      <c r="CQ34" s="128"/>
      <c r="CR34" s="128" t="s">
        <v>56</v>
      </c>
      <c r="CS34" s="128">
        <v>249.99999999999997</v>
      </c>
      <c r="CT34" s="128">
        <v>249.99999999999997</v>
      </c>
      <c r="CU34" s="128">
        <v>249.99999999999997</v>
      </c>
      <c r="CV34" s="128">
        <v>249.99999999999997</v>
      </c>
      <c r="CW34" s="128">
        <v>249.99999999999997</v>
      </c>
      <c r="CX34" s="128">
        <v>298.2954545454545</v>
      </c>
      <c r="CY34" s="128">
        <v>298.2954545454545</v>
      </c>
      <c r="CZ34" s="128">
        <v>298.2954545454545</v>
      </c>
      <c r="DA34" s="128">
        <v>298.2954545454545</v>
      </c>
      <c r="DB34" s="128">
        <v>315.31531531531527</v>
      </c>
      <c r="DC34" s="128">
        <v>315.31531531531527</v>
      </c>
      <c r="DD34" s="128">
        <v>315.31531531531527</v>
      </c>
      <c r="DE34" s="128">
        <v>315.31531531531527</v>
      </c>
      <c r="DF34" s="128">
        <v>294.94382022471905</v>
      </c>
      <c r="DG34" s="128">
        <v>294.94382022471905</v>
      </c>
      <c r="DH34" s="128">
        <v>294.94382022471905</v>
      </c>
      <c r="DI34" s="128">
        <v>294.94382022471905</v>
      </c>
      <c r="DJ34" s="128"/>
      <c r="DK34" s="128" t="s">
        <v>56</v>
      </c>
      <c r="DL34" s="128">
        <v>235.29411764705878</v>
      </c>
      <c r="DM34" s="128">
        <v>235.29411764705878</v>
      </c>
      <c r="DN34" s="128">
        <v>235.29411764705878</v>
      </c>
      <c r="DO34" s="128">
        <v>235.29411764705878</v>
      </c>
      <c r="DP34" s="128">
        <v>235.29411764705878</v>
      </c>
      <c r="DQ34" s="128">
        <v>295.77464788732391</v>
      </c>
      <c r="DR34" s="128">
        <v>295.77464788732391</v>
      </c>
      <c r="DS34" s="128">
        <v>295.77464788732391</v>
      </c>
      <c r="DT34" s="128">
        <v>295.77464788732391</v>
      </c>
      <c r="DU34" s="128">
        <v>294.11764705882348</v>
      </c>
      <c r="DV34" s="128">
        <v>294.11764705882348</v>
      </c>
      <c r="DW34" s="128">
        <v>294.11764705882348</v>
      </c>
      <c r="DX34" s="128">
        <v>294.11764705882348</v>
      </c>
      <c r="DY34" s="128">
        <v>313.43283582089549</v>
      </c>
      <c r="DZ34" s="128">
        <v>313.43283582089549</v>
      </c>
      <c r="EA34" s="128">
        <v>313.43283582089549</v>
      </c>
      <c r="EB34" s="128">
        <v>313.43283582089549</v>
      </c>
      <c r="EC34" s="128"/>
      <c r="ED34" s="128" t="s">
        <v>56</v>
      </c>
      <c r="EE34" s="128">
        <v>235.29411764705878</v>
      </c>
      <c r="EF34" s="128">
        <v>235.29411764705878</v>
      </c>
      <c r="EG34" s="128">
        <v>235.29411764705878</v>
      </c>
      <c r="EH34" s="128">
        <v>235.29411764705878</v>
      </c>
      <c r="EI34" s="128">
        <v>235.29411764705878</v>
      </c>
      <c r="EJ34" s="128">
        <v>295.77464788732391</v>
      </c>
      <c r="EK34" s="128">
        <v>295.77464788732391</v>
      </c>
      <c r="EL34" s="128">
        <v>295.77464788732391</v>
      </c>
      <c r="EM34" s="128">
        <v>295.77464788732391</v>
      </c>
      <c r="EN34" s="128">
        <v>294.11764705882348</v>
      </c>
      <c r="EO34" s="128">
        <v>294.11764705882348</v>
      </c>
      <c r="EP34" s="128">
        <v>294.11764705882348</v>
      </c>
      <c r="EQ34" s="128">
        <v>294.11764705882348</v>
      </c>
      <c r="ER34" s="128">
        <v>297.45042492917844</v>
      </c>
      <c r="ES34" s="128">
        <v>297.45042492917844</v>
      </c>
      <c r="ET34" s="128">
        <v>297.45042492917844</v>
      </c>
      <c r="EU34" s="128">
        <v>297.45042492917844</v>
      </c>
      <c r="EV34" s="128"/>
      <c r="EW34" s="128" t="s">
        <v>56</v>
      </c>
      <c r="EX34" s="128">
        <v>235.29411764705878</v>
      </c>
      <c r="EY34" s="128">
        <v>235.29411764705878</v>
      </c>
      <c r="EZ34" s="128">
        <v>235.29411764705878</v>
      </c>
      <c r="FA34" s="128">
        <v>235.29411764705878</v>
      </c>
      <c r="FB34" s="128">
        <v>235.29411764705878</v>
      </c>
      <c r="FC34" s="128">
        <v>298.2954545454545</v>
      </c>
      <c r="FD34" s="128">
        <v>298.2954545454545</v>
      </c>
      <c r="FE34" s="128">
        <v>298.2954545454545</v>
      </c>
      <c r="FF34" s="128">
        <v>298.2954545454545</v>
      </c>
      <c r="FG34" s="128">
        <v>294.11764705882348</v>
      </c>
      <c r="FH34" s="128">
        <v>294.11764705882348</v>
      </c>
      <c r="FI34" s="128">
        <v>294.11764705882348</v>
      </c>
      <c r="FJ34" s="128">
        <v>294.11764705882348</v>
      </c>
      <c r="FK34" s="128">
        <v>294.94382022471905</v>
      </c>
      <c r="FL34" s="128">
        <v>294.94382022471905</v>
      </c>
      <c r="FM34" s="128">
        <v>294.94382022471905</v>
      </c>
      <c r="FN34" s="128">
        <v>294.94382022471905</v>
      </c>
    </row>
    <row r="35" spans="2:170">
      <c r="B35" s="128" t="s">
        <v>50</v>
      </c>
      <c r="C35" s="128">
        <v>895.33653578460894</v>
      </c>
      <c r="D35" s="128">
        <v>895.33653578460894</v>
      </c>
      <c r="E35" s="128">
        <v>895.33653578460894</v>
      </c>
      <c r="F35" s="128">
        <v>895.33653578460894</v>
      </c>
      <c r="G35" s="128">
        <v>895.33653578460894</v>
      </c>
      <c r="H35" s="128">
        <v>820.76235510568733</v>
      </c>
      <c r="I35" s="128">
        <v>820.76235510568733</v>
      </c>
      <c r="J35" s="128">
        <v>820.76235510568733</v>
      </c>
      <c r="K35" s="128">
        <v>820.76235510568733</v>
      </c>
      <c r="L35" s="128"/>
      <c r="M35" s="128" t="s">
        <v>50</v>
      </c>
      <c r="N35" s="128">
        <v>887.87539798640387</v>
      </c>
      <c r="O35" s="128">
        <v>887.87539798640387</v>
      </c>
      <c r="P35" s="128">
        <v>887.87539798640387</v>
      </c>
      <c r="Q35" s="128">
        <v>887.87539798640387</v>
      </c>
      <c r="R35" s="128">
        <v>887.87539798640387</v>
      </c>
      <c r="S35" s="128">
        <v>820.76235510568733</v>
      </c>
      <c r="T35" s="128">
        <v>820.76235510568733</v>
      </c>
      <c r="U35" s="128">
        <v>820.76235510568733</v>
      </c>
      <c r="V35" s="128">
        <v>820.76235510568733</v>
      </c>
      <c r="W35" s="128"/>
      <c r="X35" s="128" t="s">
        <v>50</v>
      </c>
      <c r="Y35" s="128">
        <v>895.33653578460894</v>
      </c>
      <c r="Z35" s="128">
        <v>895.33653578460894</v>
      </c>
      <c r="AA35" s="128">
        <v>895.33653578460894</v>
      </c>
      <c r="AB35" s="128">
        <v>895.33653578460894</v>
      </c>
      <c r="AC35" s="128">
        <v>895.33653578460894</v>
      </c>
      <c r="AD35" s="128">
        <v>827.75748881397442</v>
      </c>
      <c r="AE35" s="128">
        <v>827.75748881397442</v>
      </c>
      <c r="AF35" s="128">
        <v>827.75748881397442</v>
      </c>
      <c r="AG35" s="128">
        <v>827.75748881397442</v>
      </c>
      <c r="AH35" s="128">
        <v>865.32816719502171</v>
      </c>
      <c r="AI35" s="128">
        <v>865.32816719502171</v>
      </c>
      <c r="AJ35" s="128">
        <v>865.32816719502171</v>
      </c>
      <c r="AK35" s="128">
        <v>865.32816719502171</v>
      </c>
      <c r="AL35" s="128"/>
      <c r="AM35" s="128" t="s">
        <v>50</v>
      </c>
      <c r="AN35" s="128">
        <v>895.33653578460894</v>
      </c>
      <c r="AO35" s="128">
        <v>895.33653578460894</v>
      </c>
      <c r="AP35" s="128">
        <v>895.33653578460894</v>
      </c>
      <c r="AQ35" s="128">
        <v>895.33653578460894</v>
      </c>
      <c r="AR35" s="128">
        <v>895.33653578460894</v>
      </c>
      <c r="AS35" s="128">
        <v>820.76235510568733</v>
      </c>
      <c r="AT35" s="128">
        <v>820.76235510568733</v>
      </c>
      <c r="AU35" s="128">
        <v>820.76235510568733</v>
      </c>
      <c r="AV35" s="128">
        <v>820.76235510568733</v>
      </c>
      <c r="AW35" s="128">
        <v>865.32816719502171</v>
      </c>
      <c r="AX35" s="128">
        <v>865.32816719502171</v>
      </c>
      <c r="AY35" s="128">
        <v>865.32816719502171</v>
      </c>
      <c r="AZ35" s="128">
        <v>865.32816719502171</v>
      </c>
      <c r="BA35" s="128">
        <v>788.2079181934356</v>
      </c>
      <c r="BB35" s="128">
        <v>788.2079181934356</v>
      </c>
      <c r="BC35" s="128">
        <v>788.2079181934356</v>
      </c>
      <c r="BD35" s="128">
        <v>788.2079181934356</v>
      </c>
      <c r="BE35" s="128"/>
      <c r="BF35" s="128" t="s">
        <v>50</v>
      </c>
      <c r="BG35" s="128">
        <v>895.33653578460894</v>
      </c>
      <c r="BH35" s="128">
        <v>895.33653578460894</v>
      </c>
      <c r="BI35" s="128">
        <v>895.33653578460894</v>
      </c>
      <c r="BJ35" s="128">
        <v>895.33653578460894</v>
      </c>
      <c r="BK35" s="128">
        <v>895.33653578460894</v>
      </c>
      <c r="BL35" s="128">
        <v>872.36717383987718</v>
      </c>
      <c r="BM35" s="128">
        <v>872.36717383987718</v>
      </c>
      <c r="BN35" s="128">
        <v>872.36717383987718</v>
      </c>
      <c r="BO35" s="128">
        <v>872.36717383987718</v>
      </c>
      <c r="BP35" s="128">
        <v>865.32816719502171</v>
      </c>
      <c r="BQ35" s="128">
        <v>865.32816719502171</v>
      </c>
      <c r="BR35" s="128">
        <v>865.32816719502171</v>
      </c>
      <c r="BS35" s="128">
        <v>865.32816719502171</v>
      </c>
      <c r="BT35" s="128">
        <v>788.2079181934356</v>
      </c>
      <c r="BU35" s="128">
        <v>788.2079181934356</v>
      </c>
      <c r="BV35" s="128">
        <v>788.2079181934356</v>
      </c>
      <c r="BW35" s="128">
        <v>788.2079181934356</v>
      </c>
      <c r="BX35" s="128"/>
      <c r="BY35" s="128" t="s">
        <v>50</v>
      </c>
      <c r="BZ35" s="128">
        <v>895.33653578460894</v>
      </c>
      <c r="CA35" s="128">
        <v>895.33653578460894</v>
      </c>
      <c r="CB35" s="128">
        <v>895.33653578460894</v>
      </c>
      <c r="CC35" s="128">
        <v>895.33653578460894</v>
      </c>
      <c r="CD35" s="128">
        <v>895.33653578460894</v>
      </c>
      <c r="CE35" s="128">
        <v>820.76235510568733</v>
      </c>
      <c r="CF35" s="128">
        <v>820.76235510568733</v>
      </c>
      <c r="CG35" s="128">
        <v>820.76235510568733</v>
      </c>
      <c r="CH35" s="128">
        <v>820.76235510568733</v>
      </c>
      <c r="CI35" s="128">
        <v>865.32816719502171</v>
      </c>
      <c r="CJ35" s="128">
        <v>865.32816719502171</v>
      </c>
      <c r="CK35" s="128">
        <v>865.32816719502171</v>
      </c>
      <c r="CL35" s="128">
        <v>865.32816719502171</v>
      </c>
      <c r="CM35" s="128">
        <v>794.9065690562694</v>
      </c>
      <c r="CN35" s="128">
        <v>794.9065690562694</v>
      </c>
      <c r="CO35" s="128">
        <v>794.9065690562694</v>
      </c>
      <c r="CP35" s="128">
        <v>794.9065690562694</v>
      </c>
      <c r="CQ35" s="128"/>
      <c r="CR35" s="128" t="s">
        <v>50</v>
      </c>
      <c r="CS35" s="128">
        <v>951.2950692711471</v>
      </c>
      <c r="CT35" s="128">
        <v>951.2950692711471</v>
      </c>
      <c r="CU35" s="128">
        <v>951.2950692711471</v>
      </c>
      <c r="CV35" s="128">
        <v>951.2950692711471</v>
      </c>
      <c r="CW35" s="128">
        <v>951.2950692711471</v>
      </c>
      <c r="CX35" s="128">
        <v>827.75748881397442</v>
      </c>
      <c r="CY35" s="128">
        <v>827.75748881397442</v>
      </c>
      <c r="CZ35" s="128">
        <v>827.75748881397442</v>
      </c>
      <c r="DA35" s="128">
        <v>827.75748881397442</v>
      </c>
      <c r="DB35" s="128">
        <v>927.69416122709538</v>
      </c>
      <c r="DC35" s="128">
        <v>927.69416122709538</v>
      </c>
      <c r="DD35" s="128">
        <v>927.69416122709538</v>
      </c>
      <c r="DE35" s="128">
        <v>927.69416122709538</v>
      </c>
      <c r="DF35" s="128">
        <v>788.2079181934356</v>
      </c>
      <c r="DG35" s="128">
        <v>788.2079181934356</v>
      </c>
      <c r="DH35" s="128">
        <v>788.2079181934356</v>
      </c>
      <c r="DI35" s="128">
        <v>788.2079181934356</v>
      </c>
      <c r="DJ35" s="128"/>
      <c r="DK35" s="128" t="s">
        <v>50</v>
      </c>
      <c r="DL35" s="128">
        <v>895.33653578460894</v>
      </c>
      <c r="DM35" s="128">
        <v>895.33653578460894</v>
      </c>
      <c r="DN35" s="128">
        <v>895.33653578460894</v>
      </c>
      <c r="DO35" s="128">
        <v>895.33653578460894</v>
      </c>
      <c r="DP35" s="128">
        <v>895.33653578460894</v>
      </c>
      <c r="DQ35" s="128">
        <v>820.76235510568733</v>
      </c>
      <c r="DR35" s="128">
        <v>820.76235510568733</v>
      </c>
      <c r="DS35" s="128">
        <v>820.76235510568733</v>
      </c>
      <c r="DT35" s="128">
        <v>820.76235510568733</v>
      </c>
      <c r="DU35" s="128">
        <v>865.32816719502171</v>
      </c>
      <c r="DV35" s="128">
        <v>865.32816719502171</v>
      </c>
      <c r="DW35" s="128">
        <v>865.32816719502171</v>
      </c>
      <c r="DX35" s="128">
        <v>865.32816719502171</v>
      </c>
      <c r="DY35" s="128">
        <v>837.6179667966062</v>
      </c>
      <c r="DZ35" s="128">
        <v>837.6179667966062</v>
      </c>
      <c r="EA35" s="128">
        <v>837.6179667966062</v>
      </c>
      <c r="EB35" s="128">
        <v>837.6179667966062</v>
      </c>
      <c r="EC35" s="128"/>
      <c r="ED35" s="128" t="s">
        <v>50</v>
      </c>
      <c r="EE35" s="128">
        <v>895.33653578460894</v>
      </c>
      <c r="EF35" s="128">
        <v>895.33653578460894</v>
      </c>
      <c r="EG35" s="128">
        <v>895.33653578460894</v>
      </c>
      <c r="EH35" s="128">
        <v>895.33653578460894</v>
      </c>
      <c r="EI35" s="128">
        <v>895.33653578460894</v>
      </c>
      <c r="EJ35" s="128">
        <v>820.76235510568733</v>
      </c>
      <c r="EK35" s="128">
        <v>820.76235510568733</v>
      </c>
      <c r="EL35" s="128">
        <v>820.76235510568733</v>
      </c>
      <c r="EM35" s="128">
        <v>820.76235510568733</v>
      </c>
      <c r="EN35" s="128">
        <v>865.32816719502171</v>
      </c>
      <c r="EO35" s="128">
        <v>865.32816719502171</v>
      </c>
      <c r="EP35" s="128">
        <v>865.32816719502171</v>
      </c>
      <c r="EQ35" s="128">
        <v>865.32816719502171</v>
      </c>
      <c r="ER35" s="128">
        <v>794.9065690562694</v>
      </c>
      <c r="ES35" s="128">
        <v>794.9065690562694</v>
      </c>
      <c r="ET35" s="128">
        <v>794.9065690562694</v>
      </c>
      <c r="EU35" s="128">
        <v>794.9065690562694</v>
      </c>
      <c r="EV35" s="128"/>
      <c r="EW35" s="128" t="s">
        <v>50</v>
      </c>
      <c r="EX35" s="128">
        <v>895.33653578460894</v>
      </c>
      <c r="EY35" s="128">
        <v>895.33653578460894</v>
      </c>
      <c r="EZ35" s="128">
        <v>895.33653578460894</v>
      </c>
      <c r="FA35" s="128">
        <v>895.33653578460894</v>
      </c>
      <c r="FB35" s="128">
        <v>895.33653578460894</v>
      </c>
      <c r="FC35" s="128">
        <v>827.75748881397442</v>
      </c>
      <c r="FD35" s="128">
        <v>827.75748881397442</v>
      </c>
      <c r="FE35" s="128">
        <v>827.75748881397442</v>
      </c>
      <c r="FF35" s="128">
        <v>827.75748881397442</v>
      </c>
      <c r="FG35" s="128">
        <v>865.32816719502171</v>
      </c>
      <c r="FH35" s="128">
        <v>865.32816719502171</v>
      </c>
      <c r="FI35" s="128">
        <v>865.32816719502171</v>
      </c>
      <c r="FJ35" s="128">
        <v>865.32816719502171</v>
      </c>
      <c r="FK35" s="128">
        <v>788.2079181934356</v>
      </c>
      <c r="FL35" s="128">
        <v>788.2079181934356</v>
      </c>
      <c r="FM35" s="128">
        <v>788.2079181934356</v>
      </c>
      <c r="FN35" s="128">
        <v>788.2079181934356</v>
      </c>
    </row>
    <row r="36" spans="2:170">
      <c r="B36" s="128" t="s">
        <v>473</v>
      </c>
      <c r="C36" s="128">
        <v>1973.60761704217</v>
      </c>
      <c r="D36" s="128">
        <v>1503.059876390105</v>
      </c>
      <c r="E36" s="128">
        <v>1821.9551825549083</v>
      </c>
      <c r="F36" s="128">
        <v>1821.9551825549083</v>
      </c>
      <c r="G36" s="128">
        <v>1114.7162591049669</v>
      </c>
      <c r="H36" s="128">
        <v>2328.4462931902654</v>
      </c>
      <c r="I36" s="128">
        <v>1809.8896320979527</v>
      </c>
      <c r="J36" s="128">
        <v>1953.7472864654976</v>
      </c>
      <c r="K36" s="128">
        <v>2189.6069290913556</v>
      </c>
      <c r="L36" s="128"/>
      <c r="M36" s="128" t="s">
        <v>473</v>
      </c>
      <c r="N36" s="128">
        <v>1957.1608869001518</v>
      </c>
      <c r="O36" s="128">
        <v>1490.5343774201874</v>
      </c>
      <c r="P36" s="128">
        <v>1806.7722227002839</v>
      </c>
      <c r="Q36" s="128">
        <v>1806.7722227002839</v>
      </c>
      <c r="R36" s="128">
        <v>1105.4269569457588</v>
      </c>
      <c r="S36" s="128">
        <v>2328.4462931902654</v>
      </c>
      <c r="T36" s="128">
        <v>1809.8896320979527</v>
      </c>
      <c r="U36" s="128">
        <v>1953.7472864654976</v>
      </c>
      <c r="V36" s="128">
        <v>2189.6069290913556</v>
      </c>
      <c r="W36" s="128"/>
      <c r="X36" s="128" t="s">
        <v>473</v>
      </c>
      <c r="Y36" s="128">
        <v>1973.60761704217</v>
      </c>
      <c r="Z36" s="128">
        <v>1503.059876390105</v>
      </c>
      <c r="AA36" s="128">
        <v>1821.9551825549083</v>
      </c>
      <c r="AB36" s="128">
        <v>1821.9551825549083</v>
      </c>
      <c r="AC36" s="128">
        <v>1114.7162591049669</v>
      </c>
      <c r="AD36" s="128">
        <v>2348.2910059163182</v>
      </c>
      <c r="AE36" s="128">
        <v>1825.3148278260601</v>
      </c>
      <c r="AF36" s="128">
        <v>1970.3985417478739</v>
      </c>
      <c r="AG36" s="128">
        <v>2208.2683517824753</v>
      </c>
      <c r="AH36" s="128">
        <v>3894.0941646119522</v>
      </c>
      <c r="AI36" s="128">
        <v>900.23873820985466</v>
      </c>
      <c r="AJ36" s="128">
        <v>1566.5140307620054</v>
      </c>
      <c r="AK36" s="128">
        <v>1874.4471840632459</v>
      </c>
      <c r="AL36" s="128"/>
      <c r="AM36" s="128" t="s">
        <v>473</v>
      </c>
      <c r="AN36" s="128">
        <v>1973.60761704217</v>
      </c>
      <c r="AO36" s="128">
        <v>1503.059876390105</v>
      </c>
      <c r="AP36" s="128">
        <v>1821.9551825549083</v>
      </c>
      <c r="AQ36" s="128">
        <v>1821.9551825549083</v>
      </c>
      <c r="AR36" s="128">
        <v>1114.7162591049669</v>
      </c>
      <c r="AS36" s="128">
        <v>2328.4462931902654</v>
      </c>
      <c r="AT36" s="128">
        <v>1809.8896320979527</v>
      </c>
      <c r="AU36" s="128">
        <v>1953.7472864654976</v>
      </c>
      <c r="AV36" s="128">
        <v>2189.6069290913556</v>
      </c>
      <c r="AW36" s="128">
        <v>3894.0941646119522</v>
      </c>
      <c r="AX36" s="128">
        <v>900.23873820985466</v>
      </c>
      <c r="AY36" s="128">
        <v>1566.5140307620054</v>
      </c>
      <c r="AZ36" s="128">
        <v>1874.4471840632459</v>
      </c>
      <c r="BA36" s="128">
        <v>2689.1007700961968</v>
      </c>
      <c r="BB36" s="128">
        <v>1347.7438213712032</v>
      </c>
      <c r="BC36" s="128">
        <v>2754.9638059018557</v>
      </c>
      <c r="BD36" s="128">
        <v>1466.6185689228794</v>
      </c>
      <c r="BE36" s="128"/>
      <c r="BF36" s="128" t="s">
        <v>473</v>
      </c>
      <c r="BG36" s="128">
        <v>1973.60761704217</v>
      </c>
      <c r="BH36" s="128">
        <v>1503.059876390105</v>
      </c>
      <c r="BI36" s="128">
        <v>1821.9551825549083</v>
      </c>
      <c r="BJ36" s="128">
        <v>1821.9551825549083</v>
      </c>
      <c r="BK36" s="128">
        <v>1114.7162591049669</v>
      </c>
      <c r="BL36" s="128">
        <v>2474.8456110255811</v>
      </c>
      <c r="BM36" s="128">
        <v>1923.685088008303</v>
      </c>
      <c r="BN36" s="128">
        <v>2076.5876847163222</v>
      </c>
      <c r="BO36" s="128">
        <v>2327.2768258306323</v>
      </c>
      <c r="BP36" s="128">
        <v>3894.0941646119522</v>
      </c>
      <c r="BQ36" s="128">
        <v>900.23873820985466</v>
      </c>
      <c r="BR36" s="128">
        <v>1566.5140307620054</v>
      </c>
      <c r="BS36" s="128">
        <v>1874.4471840632459</v>
      </c>
      <c r="BT36" s="128">
        <v>2689.1007700961968</v>
      </c>
      <c r="BU36" s="128">
        <v>1347.7438213712032</v>
      </c>
      <c r="BV36" s="128">
        <v>2754.9638059018557</v>
      </c>
      <c r="BW36" s="128">
        <v>1466.6185689228794</v>
      </c>
      <c r="BX36" s="128"/>
      <c r="BY36" s="128" t="s">
        <v>473</v>
      </c>
      <c r="BZ36" s="128">
        <v>1973.60761704217</v>
      </c>
      <c r="CA36" s="128">
        <v>1503.059876390105</v>
      </c>
      <c r="CB36" s="128">
        <v>1821.9551825549083</v>
      </c>
      <c r="CC36" s="128">
        <v>1821.9551825549083</v>
      </c>
      <c r="CD36" s="128">
        <v>1114.7162591049669</v>
      </c>
      <c r="CE36" s="128">
        <v>2328.4462931902654</v>
      </c>
      <c r="CF36" s="128">
        <v>1809.8896320979527</v>
      </c>
      <c r="CG36" s="128">
        <v>1953.7472864654976</v>
      </c>
      <c r="CH36" s="128">
        <v>2189.6069290913556</v>
      </c>
      <c r="CI36" s="128">
        <v>3894.0941646119522</v>
      </c>
      <c r="CJ36" s="128">
        <v>900.23873820985466</v>
      </c>
      <c r="CK36" s="128">
        <v>1566.5140307620054</v>
      </c>
      <c r="CL36" s="128">
        <v>1874.4471840632459</v>
      </c>
      <c r="CM36" s="128">
        <v>2711.954317717411</v>
      </c>
      <c r="CN36" s="128">
        <v>1359.1977348672758</v>
      </c>
      <c r="CO36" s="128">
        <v>2778.3770960369989</v>
      </c>
      <c r="CP36" s="128">
        <v>1479.0827493953118</v>
      </c>
      <c r="CQ36" s="128"/>
      <c r="CR36" s="128" t="s">
        <v>473</v>
      </c>
      <c r="CS36" s="128">
        <v>2096.9580931073056</v>
      </c>
      <c r="CT36" s="128">
        <v>1597.0011186644865</v>
      </c>
      <c r="CU36" s="128">
        <v>1935.82738146459</v>
      </c>
      <c r="CV36" s="128">
        <v>1935.82738146459</v>
      </c>
      <c r="CW36" s="128">
        <v>1184.3860252990273</v>
      </c>
      <c r="CX36" s="128">
        <v>2348.2910059163182</v>
      </c>
      <c r="CY36" s="128">
        <v>1825.3148278260601</v>
      </c>
      <c r="CZ36" s="128">
        <v>1970.3985417478739</v>
      </c>
      <c r="DA36" s="128">
        <v>2208.2683517824753</v>
      </c>
      <c r="DB36" s="128">
        <v>4174.7495998992999</v>
      </c>
      <c r="DC36" s="128">
        <v>965.12080943218655</v>
      </c>
      <c r="DD36" s="128">
        <v>1679.4159428889968</v>
      </c>
      <c r="DE36" s="128">
        <v>2009.5424766083449</v>
      </c>
      <c r="DF36" s="128">
        <v>2689.1007700961968</v>
      </c>
      <c r="DG36" s="128">
        <v>1347.7438213712032</v>
      </c>
      <c r="DH36" s="128">
        <v>2754.9638059018557</v>
      </c>
      <c r="DI36" s="128">
        <v>1466.6185689228794</v>
      </c>
      <c r="DJ36" s="128"/>
      <c r="DK36" s="128" t="s">
        <v>473</v>
      </c>
      <c r="DL36" s="128">
        <v>1973.60761704217</v>
      </c>
      <c r="DM36" s="128">
        <v>1503.059876390105</v>
      </c>
      <c r="DN36" s="128">
        <v>1821.9551825549083</v>
      </c>
      <c r="DO36" s="128">
        <v>1821.9551825549083</v>
      </c>
      <c r="DP36" s="128">
        <v>1114.7162591049669</v>
      </c>
      <c r="DQ36" s="128">
        <v>2328.4462931902654</v>
      </c>
      <c r="DR36" s="128">
        <v>1809.8896320979527</v>
      </c>
      <c r="DS36" s="128">
        <v>1953.7472864654976</v>
      </c>
      <c r="DT36" s="128">
        <v>2189.6069290913556</v>
      </c>
      <c r="DU36" s="128">
        <v>3894.0941646119522</v>
      </c>
      <c r="DV36" s="128">
        <v>900.23873820985466</v>
      </c>
      <c r="DW36" s="128">
        <v>1566.5140307620054</v>
      </c>
      <c r="DX36" s="128">
        <v>1874.4471840632459</v>
      </c>
      <c r="DY36" s="128">
        <v>2857.671266132078</v>
      </c>
      <c r="DZ36" s="128">
        <v>1432.2292549496967</v>
      </c>
      <c r="EA36" s="128">
        <v>2927.663029555405</v>
      </c>
      <c r="EB36" s="128">
        <v>1558.5558523478958</v>
      </c>
      <c r="EC36" s="128"/>
      <c r="ED36" s="128" t="s">
        <v>473</v>
      </c>
      <c r="EE36" s="128">
        <v>1973.60761704217</v>
      </c>
      <c r="EF36" s="128">
        <v>1503.059876390105</v>
      </c>
      <c r="EG36" s="128">
        <v>1821.9551825549083</v>
      </c>
      <c r="EH36" s="128">
        <v>1821.9551825549083</v>
      </c>
      <c r="EI36" s="128">
        <v>1114.7162591049669</v>
      </c>
      <c r="EJ36" s="128">
        <v>2328.4462931902654</v>
      </c>
      <c r="EK36" s="128">
        <v>1809.8896320979527</v>
      </c>
      <c r="EL36" s="128">
        <v>1953.7472864654976</v>
      </c>
      <c r="EM36" s="128">
        <v>2189.6069290913556</v>
      </c>
      <c r="EN36" s="128">
        <v>3894.0941646119522</v>
      </c>
      <c r="EO36" s="128">
        <v>900.23873820985466</v>
      </c>
      <c r="EP36" s="128">
        <v>1566.5140307620054</v>
      </c>
      <c r="EQ36" s="128">
        <v>1874.4471840632459</v>
      </c>
      <c r="ER36" s="128">
        <v>2711.954317717411</v>
      </c>
      <c r="ES36" s="128">
        <v>1359.1977348672758</v>
      </c>
      <c r="ET36" s="128">
        <v>2778.3770960369989</v>
      </c>
      <c r="EU36" s="128">
        <v>1479.0827493953118</v>
      </c>
      <c r="EV36" s="128"/>
      <c r="EW36" s="128" t="s">
        <v>473</v>
      </c>
      <c r="EX36" s="128">
        <v>1973.60761704217</v>
      </c>
      <c r="EY36" s="128">
        <v>1503.059876390105</v>
      </c>
      <c r="EZ36" s="128">
        <v>1821.9551825549083</v>
      </c>
      <c r="FA36" s="128">
        <v>1821.9551825549083</v>
      </c>
      <c r="FB36" s="128">
        <v>1114.7162591049669</v>
      </c>
      <c r="FC36" s="128">
        <v>2348.2910059163182</v>
      </c>
      <c r="FD36" s="128">
        <v>1825.3148278260601</v>
      </c>
      <c r="FE36" s="128">
        <v>1970.3985417478739</v>
      </c>
      <c r="FF36" s="128">
        <v>2208.2683517824753</v>
      </c>
      <c r="FG36" s="128">
        <v>3894.0941646119522</v>
      </c>
      <c r="FH36" s="128">
        <v>900.23873820985466</v>
      </c>
      <c r="FI36" s="128">
        <v>1566.5140307620054</v>
      </c>
      <c r="FJ36" s="128">
        <v>1874.4471840632459</v>
      </c>
      <c r="FK36" s="128">
        <v>2689.1007700961968</v>
      </c>
      <c r="FL36" s="128">
        <v>1347.7438213712032</v>
      </c>
      <c r="FM36" s="128">
        <v>2754.9638059018557</v>
      </c>
      <c r="FN36" s="128">
        <v>1466.6185689228794</v>
      </c>
    </row>
    <row r="37" spans="2:170">
      <c r="B37" s="128" t="s">
        <v>475</v>
      </c>
      <c r="C37" s="128"/>
      <c r="D37" s="128"/>
      <c r="E37" s="128"/>
      <c r="F37" s="128"/>
      <c r="G37" s="128"/>
      <c r="H37" s="128"/>
      <c r="I37" s="128"/>
      <c r="J37" s="128"/>
      <c r="K37" s="128"/>
      <c r="L37" s="128"/>
      <c r="M37" s="128" t="s">
        <v>475</v>
      </c>
      <c r="N37" s="128"/>
      <c r="O37" s="128"/>
      <c r="P37" s="128"/>
      <c r="Q37" s="128"/>
      <c r="R37" s="128"/>
      <c r="S37" s="128"/>
      <c r="T37" s="128"/>
      <c r="U37" s="128"/>
      <c r="V37" s="128"/>
      <c r="W37" s="128"/>
      <c r="X37" s="128" t="s">
        <v>475</v>
      </c>
      <c r="Y37" s="128"/>
      <c r="Z37" s="128"/>
      <c r="AA37" s="128"/>
      <c r="AB37" s="128"/>
      <c r="AC37" s="128"/>
      <c r="AD37" s="128"/>
      <c r="AE37" s="128"/>
      <c r="AF37" s="128"/>
      <c r="AG37" s="128"/>
      <c r="AH37" s="128"/>
      <c r="AI37" s="128"/>
      <c r="AJ37" s="128"/>
      <c r="AK37" s="128"/>
      <c r="AL37" s="128"/>
      <c r="AM37" s="128" t="s">
        <v>475</v>
      </c>
      <c r="AN37" s="128"/>
      <c r="AO37" s="128"/>
      <c r="AP37" s="128"/>
      <c r="AQ37" s="128"/>
      <c r="AR37" s="128"/>
      <c r="AS37" s="128"/>
      <c r="AT37" s="128"/>
      <c r="AU37" s="128"/>
      <c r="AV37" s="128"/>
      <c r="AW37" s="128"/>
      <c r="AX37" s="128"/>
      <c r="AY37" s="128"/>
      <c r="AZ37" s="128"/>
      <c r="BA37" s="128"/>
      <c r="BB37" s="128"/>
      <c r="BC37" s="128"/>
      <c r="BD37" s="128"/>
      <c r="BE37" s="128"/>
      <c r="BF37" s="128" t="s">
        <v>475</v>
      </c>
      <c r="BG37" s="128"/>
      <c r="BH37" s="128"/>
      <c r="BI37" s="128"/>
      <c r="BJ37" s="128"/>
      <c r="BK37" s="128"/>
      <c r="BL37" s="128"/>
      <c r="BM37" s="128"/>
      <c r="BN37" s="128"/>
      <c r="BO37" s="128"/>
      <c r="BP37" s="128"/>
      <c r="BQ37" s="128"/>
      <c r="BR37" s="128"/>
      <c r="BS37" s="128"/>
      <c r="BT37" s="128"/>
      <c r="BU37" s="128"/>
      <c r="BV37" s="128"/>
      <c r="BW37" s="128"/>
      <c r="BX37" s="128"/>
      <c r="BY37" s="128" t="s">
        <v>475</v>
      </c>
      <c r="BZ37" s="128"/>
      <c r="CA37" s="128"/>
      <c r="CB37" s="128"/>
      <c r="CC37" s="128"/>
      <c r="CD37" s="128"/>
      <c r="CE37" s="128"/>
      <c r="CF37" s="128"/>
      <c r="CG37" s="128"/>
      <c r="CH37" s="128"/>
      <c r="CI37" s="128"/>
      <c r="CJ37" s="128"/>
      <c r="CK37" s="128"/>
      <c r="CL37" s="128"/>
      <c r="CM37" s="128"/>
      <c r="CN37" s="128"/>
      <c r="CO37" s="128"/>
      <c r="CP37" s="128"/>
      <c r="CQ37" s="128"/>
      <c r="CR37" s="128" t="s">
        <v>475</v>
      </c>
      <c r="CS37" s="128"/>
      <c r="CT37" s="128"/>
      <c r="CU37" s="128"/>
      <c r="CV37" s="128"/>
      <c r="CW37" s="128"/>
      <c r="CX37" s="128"/>
      <c r="CY37" s="128"/>
      <c r="CZ37" s="128"/>
      <c r="DA37" s="128"/>
      <c r="DB37" s="128"/>
      <c r="DC37" s="128"/>
      <c r="DD37" s="128"/>
      <c r="DE37" s="128"/>
      <c r="DF37" s="128"/>
      <c r="DG37" s="128"/>
      <c r="DH37" s="128"/>
      <c r="DI37" s="128"/>
      <c r="DJ37" s="128"/>
      <c r="DK37" s="128" t="s">
        <v>475</v>
      </c>
      <c r="DL37" s="128"/>
      <c r="DM37" s="128"/>
      <c r="DN37" s="128"/>
      <c r="DO37" s="128"/>
      <c r="DP37" s="128"/>
      <c r="DQ37" s="128"/>
      <c r="DR37" s="128"/>
      <c r="DS37" s="128"/>
      <c r="DT37" s="128"/>
      <c r="DU37" s="128"/>
      <c r="DV37" s="128"/>
      <c r="DW37" s="128"/>
      <c r="DX37" s="128"/>
      <c r="DY37" s="128"/>
      <c r="DZ37" s="128"/>
      <c r="EA37" s="128"/>
      <c r="EB37" s="128"/>
      <c r="EC37" s="128"/>
      <c r="ED37" s="128" t="s">
        <v>475</v>
      </c>
      <c r="EE37" s="128"/>
      <c r="EF37" s="128"/>
      <c r="EG37" s="128"/>
      <c r="EH37" s="128"/>
      <c r="EI37" s="128"/>
      <c r="EJ37" s="128"/>
      <c r="EK37" s="128"/>
      <c r="EL37" s="128"/>
      <c r="EM37" s="128"/>
      <c r="EN37" s="128"/>
      <c r="EO37" s="128"/>
      <c r="EP37" s="128"/>
      <c r="EQ37" s="128"/>
      <c r="ER37" s="128"/>
      <c r="ES37" s="128"/>
      <c r="ET37" s="128"/>
      <c r="EU37" s="128"/>
      <c r="EV37" s="128"/>
      <c r="EW37" s="128" t="s">
        <v>475</v>
      </c>
      <c r="EX37" s="128"/>
      <c r="EY37" s="128"/>
      <c r="EZ37" s="128"/>
      <c r="FA37" s="128"/>
      <c r="FB37" s="128"/>
      <c r="FC37" s="128"/>
      <c r="FD37" s="128"/>
      <c r="FE37" s="128"/>
      <c r="FF37" s="128"/>
      <c r="FG37" s="128"/>
      <c r="FH37" s="128"/>
      <c r="FI37" s="128"/>
      <c r="FJ37" s="128"/>
      <c r="FK37" s="128"/>
      <c r="FL37" s="128"/>
      <c r="FM37" s="128"/>
      <c r="FN37" s="128"/>
    </row>
    <row r="38" spans="2:170">
      <c r="B38" s="128" t="s">
        <v>479</v>
      </c>
      <c r="C38" s="128">
        <v>10933.807904344059</v>
      </c>
      <c r="D38" s="128">
        <v>8287.7198333541673</v>
      </c>
      <c r="E38" s="128">
        <v>9310.2108068235211</v>
      </c>
      <c r="F38" s="128">
        <v>9897.6778368235209</v>
      </c>
      <c r="G38" s="128">
        <v>6172.6516319997872</v>
      </c>
      <c r="H38" s="128">
        <v>14199.036841595806</v>
      </c>
      <c r="I38" s="128">
        <v>11491.438240958831</v>
      </c>
      <c r="J38" s="128">
        <v>12165.986898084404</v>
      </c>
      <c r="K38" s="128">
        <v>13336.885935307262</v>
      </c>
      <c r="L38" s="128"/>
      <c r="M38" s="128" t="s">
        <v>479</v>
      </c>
      <c r="N38" s="128">
        <v>11138.964342557236</v>
      </c>
      <c r="O38" s="128">
        <v>8388.3716500724622</v>
      </c>
      <c r="P38" s="128">
        <v>9369.4359929351849</v>
      </c>
      <c r="Q38" s="128">
        <v>10042.819062986797</v>
      </c>
      <c r="R38" s="128">
        <v>6202.3885686733411</v>
      </c>
      <c r="S38" s="128">
        <v>14278.394491280016</v>
      </c>
      <c r="T38" s="128">
        <v>11574.720970114811</v>
      </c>
      <c r="U38" s="128">
        <v>12240.39177286335</v>
      </c>
      <c r="V38" s="128">
        <v>13406.586312907264</v>
      </c>
      <c r="W38" s="128"/>
      <c r="X38" s="128" t="s">
        <v>479</v>
      </c>
      <c r="Y38" s="128">
        <v>11321.219104344058</v>
      </c>
      <c r="Z38" s="128">
        <v>8476.485433354168</v>
      </c>
      <c r="AA38" s="128">
        <v>9484.928925367034</v>
      </c>
      <c r="AB38" s="128">
        <v>10249.806924605709</v>
      </c>
      <c r="AC38" s="128">
        <v>6284.1540552243687</v>
      </c>
      <c r="AD38" s="128">
        <v>14394.587025155619</v>
      </c>
      <c r="AE38" s="128">
        <v>11690.689868290285</v>
      </c>
      <c r="AF38" s="128">
        <v>12348.034773396594</v>
      </c>
      <c r="AG38" s="128">
        <v>13511.310368071572</v>
      </c>
      <c r="AH38" s="128">
        <v>21683.702490069103</v>
      </c>
      <c r="AI38" s="128">
        <v>7062.6726797359988</v>
      </c>
      <c r="AJ38" s="128">
        <v>10518.245442549496</v>
      </c>
      <c r="AK38" s="128">
        <v>11450.680385157882</v>
      </c>
      <c r="AL38" s="128"/>
      <c r="AM38" s="128" t="s">
        <v>479</v>
      </c>
      <c r="AN38" s="128">
        <v>11321.219104344058</v>
      </c>
      <c r="AO38" s="128">
        <v>8476.485433354168</v>
      </c>
      <c r="AP38" s="128">
        <v>9583.5382444729712</v>
      </c>
      <c r="AQ38" s="128">
        <v>10448.545383290224</v>
      </c>
      <c r="AR38" s="128">
        <v>6352.7993411336429</v>
      </c>
      <c r="AS38" s="128">
        <v>14456.368215573311</v>
      </c>
      <c r="AT38" s="128">
        <v>11761.803734453679</v>
      </c>
      <c r="AU38" s="128">
        <v>12407.531704455436</v>
      </c>
      <c r="AV38" s="128">
        <v>13563.437612586507</v>
      </c>
      <c r="AW38" s="128">
        <v>21771.354863968867</v>
      </c>
      <c r="AX38" s="128">
        <v>7182.2539990840833</v>
      </c>
      <c r="AY38" s="128">
        <v>10649.184561565631</v>
      </c>
      <c r="AZ38" s="128">
        <v>11539.607757197527</v>
      </c>
      <c r="BA38" s="128">
        <v>16687.992812567907</v>
      </c>
      <c r="BB38" s="128">
        <v>9301.1903875295648</v>
      </c>
      <c r="BC38" s="128">
        <v>16851.981432055709</v>
      </c>
      <c r="BD38" s="128">
        <v>9335.6967363783479</v>
      </c>
      <c r="BE38" s="128"/>
      <c r="BF38" s="128" t="s">
        <v>479</v>
      </c>
      <c r="BG38" s="128">
        <v>11321.219104344058</v>
      </c>
      <c r="BH38" s="128">
        <v>8476.485433354168</v>
      </c>
      <c r="BI38" s="128">
        <v>9690.3678428340536</v>
      </c>
      <c r="BJ38" s="128">
        <v>10656.933683708732</v>
      </c>
      <c r="BK38" s="128">
        <v>6427.4049027461351</v>
      </c>
      <c r="BL38" s="128">
        <v>14781.335775974983</v>
      </c>
      <c r="BM38" s="128">
        <v>12058.396935133071</v>
      </c>
      <c r="BN38" s="128">
        <v>12680.628195189398</v>
      </c>
      <c r="BO38" s="128">
        <v>13867.864876569494</v>
      </c>
      <c r="BP38" s="128">
        <v>21865.937404436401</v>
      </c>
      <c r="BQ38" s="128">
        <v>7310.9268755753201</v>
      </c>
      <c r="BR38" s="128">
        <v>10790.078751234096</v>
      </c>
      <c r="BS38" s="128">
        <v>11635.786392676891</v>
      </c>
      <c r="BT38" s="128">
        <v>16781.020855385075</v>
      </c>
      <c r="BU38" s="128">
        <v>9385.3261518753425</v>
      </c>
      <c r="BV38" s="128">
        <v>17067.519753092696</v>
      </c>
      <c r="BW38" s="128">
        <v>9398.2012002796691</v>
      </c>
      <c r="BX38" s="128"/>
      <c r="BY38" s="128" t="s">
        <v>479</v>
      </c>
      <c r="BZ38" s="128">
        <v>11321.219104344058</v>
      </c>
      <c r="CA38" s="128">
        <v>8476.485433354168</v>
      </c>
      <c r="CB38" s="128">
        <v>9721.2622468235204</v>
      </c>
      <c r="CC38" s="128">
        <v>10685.34823682352</v>
      </c>
      <c r="CD38" s="128">
        <v>6473.5322732900631</v>
      </c>
      <c r="CE38" s="128">
        <v>14625.004931045947</v>
      </c>
      <c r="CF38" s="128">
        <v>11893.968844111467</v>
      </c>
      <c r="CG38" s="128">
        <v>12485.502520955084</v>
      </c>
      <c r="CH38" s="128">
        <v>13674.902161701562</v>
      </c>
      <c r="CI38" s="128">
        <v>21890.814476530184</v>
      </c>
      <c r="CJ38" s="128">
        <v>7342.9346215255628</v>
      </c>
      <c r="CK38" s="128">
        <v>10825.126583782399</v>
      </c>
      <c r="CL38" s="128">
        <v>11662.197173130984</v>
      </c>
      <c r="CM38" s="128">
        <v>16839.344782405933</v>
      </c>
      <c r="CN38" s="128">
        <v>9429.8526279910729</v>
      </c>
      <c r="CO38" s="128">
        <v>17176.092433092232</v>
      </c>
      <c r="CP38" s="128">
        <v>9442.5172881844428</v>
      </c>
      <c r="CQ38" s="128"/>
      <c r="CR38" s="128" t="s">
        <v>479</v>
      </c>
      <c r="CS38" s="128">
        <v>11521.394266901909</v>
      </c>
      <c r="CT38" s="128">
        <v>8646.3327702444258</v>
      </c>
      <c r="CU38" s="128">
        <v>9911.6630103068564</v>
      </c>
      <c r="CV38" s="128">
        <v>10875.749000306856</v>
      </c>
      <c r="CW38" s="128">
        <v>6647.7175173843398</v>
      </c>
      <c r="CX38" s="128">
        <v>14708.421843119726</v>
      </c>
      <c r="CY38" s="128">
        <v>11936.037160764932</v>
      </c>
      <c r="CZ38" s="128">
        <v>12526.544086752634</v>
      </c>
      <c r="DA38" s="128">
        <v>13717.212709692943</v>
      </c>
      <c r="DB38" s="128">
        <v>22281.932077368125</v>
      </c>
      <c r="DC38" s="128">
        <v>7518.702387773008</v>
      </c>
      <c r="DD38" s="128">
        <v>11052.458545342011</v>
      </c>
      <c r="DE38" s="128">
        <v>11902.22097863122</v>
      </c>
      <c r="DF38" s="128">
        <v>16821.255624948724</v>
      </c>
      <c r="DG38" s="128">
        <v>9421.6282392625126</v>
      </c>
      <c r="DH38" s="128">
        <v>17156.943241360328</v>
      </c>
      <c r="DI38" s="128">
        <v>9424.0764716757822</v>
      </c>
      <c r="DJ38" s="128"/>
      <c r="DK38" s="128" t="s">
        <v>479</v>
      </c>
      <c r="DL38" s="128">
        <v>11321.219104344058</v>
      </c>
      <c r="DM38" s="128">
        <v>8476.485433354168</v>
      </c>
      <c r="DN38" s="128">
        <v>9721.2622468235204</v>
      </c>
      <c r="DO38" s="128">
        <v>10685.34823682352</v>
      </c>
      <c r="DP38" s="128">
        <v>6533.6906608276522</v>
      </c>
      <c r="DQ38" s="128">
        <v>14733.170224111662</v>
      </c>
      <c r="DR38" s="128">
        <v>11935.502996011546</v>
      </c>
      <c r="DS38" s="128">
        <v>12521.113376498171</v>
      </c>
      <c r="DT38" s="128">
        <v>13708.43425437899</v>
      </c>
      <c r="DU38" s="128">
        <v>21927.91825303348</v>
      </c>
      <c r="DV38" s="128">
        <v>7398.5923244936639</v>
      </c>
      <c r="DW38" s="128">
        <v>10886.070639533209</v>
      </c>
      <c r="DX38" s="128">
        <v>11696.783567602377</v>
      </c>
      <c r="DY38" s="128">
        <v>17088.691984971738</v>
      </c>
      <c r="DZ38" s="128">
        <v>9599.3604071602349</v>
      </c>
      <c r="EA38" s="128">
        <v>17427.875003179415</v>
      </c>
      <c r="EB38" s="128">
        <v>9594.9986086152749</v>
      </c>
      <c r="EC38" s="128"/>
      <c r="ED38" s="128" t="s">
        <v>479</v>
      </c>
      <c r="EE38" s="128">
        <v>11321.219104344058</v>
      </c>
      <c r="EF38" s="128">
        <v>8476.485433354168</v>
      </c>
      <c r="EG38" s="128">
        <v>9721.2622468235204</v>
      </c>
      <c r="EH38" s="128">
        <v>10685.34823682352</v>
      </c>
      <c r="EI38" s="128">
        <v>6565.9753375366245</v>
      </c>
      <c r="EJ38" s="128">
        <v>14791.045472260397</v>
      </c>
      <c r="EK38" s="128">
        <v>11969.202182461628</v>
      </c>
      <c r="EL38" s="128">
        <v>12550.006631944445</v>
      </c>
      <c r="EM38" s="128">
        <v>13735.640882936532</v>
      </c>
      <c r="EN38" s="128">
        <v>21958.022806158697</v>
      </c>
      <c r="EO38" s="128">
        <v>7443.7508079079253</v>
      </c>
      <c r="EP38" s="128">
        <v>10935.518262845979</v>
      </c>
      <c r="EQ38" s="128">
        <v>11724.845615401773</v>
      </c>
      <c r="ER38" s="128">
        <v>16909.659524062525</v>
      </c>
      <c r="ES38" s="128">
        <v>9491.2786438011008</v>
      </c>
      <c r="ET38" s="128">
        <v>17244.138600301296</v>
      </c>
      <c r="EU38" s="128">
        <v>9460.829681338997</v>
      </c>
      <c r="EV38" s="128"/>
      <c r="EW38" s="128" t="s">
        <v>479</v>
      </c>
      <c r="EX38" s="128">
        <v>11321.219104344058</v>
      </c>
      <c r="EY38" s="128">
        <v>8476.485433354168</v>
      </c>
      <c r="EZ38" s="128">
        <v>9721.2622468235204</v>
      </c>
      <c r="FA38" s="128">
        <v>10685.34823682352</v>
      </c>
      <c r="FB38" s="128">
        <v>6599.254057367235</v>
      </c>
      <c r="FC38" s="128">
        <v>14882.166665446526</v>
      </c>
      <c r="FD38" s="128">
        <v>12019.744682132621</v>
      </c>
      <c r="FE38" s="128">
        <v>12598.31385488142</v>
      </c>
      <c r="FF38" s="128">
        <v>13784.792959581075</v>
      </c>
      <c r="FG38" s="128">
        <v>21979.944941012262</v>
      </c>
      <c r="FH38" s="128">
        <v>7476.6352144318407</v>
      </c>
      <c r="FI38" s="128">
        <v>10971.526020939666</v>
      </c>
      <c r="FJ38" s="128">
        <v>11745.280397926765</v>
      </c>
      <c r="FK38" s="128">
        <v>16899.901309897785</v>
      </c>
      <c r="FL38" s="128">
        <v>9496.0583195879753</v>
      </c>
      <c r="FM38" s="128">
        <v>17243.824380507416</v>
      </c>
      <c r="FN38" s="128">
        <v>9447.4576795091161</v>
      </c>
    </row>
    <row r="39" spans="2:170">
      <c r="B39" s="128" t="s">
        <v>481</v>
      </c>
      <c r="C39" s="128">
        <v>5786.8699644535527</v>
      </c>
      <c r="D39" s="128">
        <v>5759.5940756077525</v>
      </c>
      <c r="E39" s="128">
        <v>5337.7093462691055</v>
      </c>
      <c r="F39" s="128">
        <v>5674.5146369030999</v>
      </c>
      <c r="G39" s="128">
        <v>5784.1630677480534</v>
      </c>
      <c r="H39" s="128">
        <v>4671.3979570535375</v>
      </c>
      <c r="I39" s="128">
        <v>4863.808873831802</v>
      </c>
      <c r="J39" s="128">
        <v>4770.1623708661564</v>
      </c>
      <c r="K39" s="128">
        <v>4665.97581829105</v>
      </c>
      <c r="L39" s="128"/>
      <c r="M39" s="128" t="s">
        <v>481</v>
      </c>
      <c r="N39" s="128">
        <v>5895.451863888462</v>
      </c>
      <c r="O39" s="128">
        <v>5829.5425800126404</v>
      </c>
      <c r="P39" s="128">
        <v>5371.6641982055471</v>
      </c>
      <c r="Q39" s="128">
        <v>5757.7266817746167</v>
      </c>
      <c r="R39" s="128">
        <v>5812.0284489666283</v>
      </c>
      <c r="S39" s="128">
        <v>4697.5061478235912</v>
      </c>
      <c r="T39" s="128">
        <v>4899.0587066736125</v>
      </c>
      <c r="U39" s="128">
        <v>4799.3357816919906</v>
      </c>
      <c r="V39" s="128">
        <v>4690.3608417504165</v>
      </c>
      <c r="W39" s="128"/>
      <c r="X39" s="128" t="s">
        <v>481</v>
      </c>
      <c r="Y39" s="128">
        <v>5991.9127324248266</v>
      </c>
      <c r="Z39" s="128">
        <v>5890.7777127600393</v>
      </c>
      <c r="AA39" s="128">
        <v>5437.878349276938</v>
      </c>
      <c r="AB39" s="128">
        <v>5876.3965020882206</v>
      </c>
      <c r="AC39" s="128">
        <v>5888.647855944514</v>
      </c>
      <c r="AD39" s="128">
        <v>4735.7327945621428</v>
      </c>
      <c r="AE39" s="128">
        <v>4948.1431244990445</v>
      </c>
      <c r="AF39" s="128">
        <v>4841.5415307966241</v>
      </c>
      <c r="AG39" s="128">
        <v>4726.9990728457615</v>
      </c>
      <c r="AH39" s="128">
        <v>4497.2249149235768</v>
      </c>
      <c r="AI39" s="128">
        <v>6336.2017832811089</v>
      </c>
      <c r="AJ39" s="128">
        <v>5422.8379791248535</v>
      </c>
      <c r="AK39" s="128">
        <v>4933.7336707754221</v>
      </c>
      <c r="AL39" s="128"/>
      <c r="AM39" s="128" t="s">
        <v>481</v>
      </c>
      <c r="AN39" s="128">
        <v>5991.9127324248266</v>
      </c>
      <c r="AO39" s="128">
        <v>5890.7777127600393</v>
      </c>
      <c r="AP39" s="128">
        <v>5494.4128247192375</v>
      </c>
      <c r="AQ39" s="128">
        <v>5990.3367930648737</v>
      </c>
      <c r="AR39" s="128">
        <v>5952.9728091741836</v>
      </c>
      <c r="AS39" s="128">
        <v>4756.0584356546487</v>
      </c>
      <c r="AT39" s="128">
        <v>4978.2424250430931</v>
      </c>
      <c r="AU39" s="128">
        <v>4864.8696852732328</v>
      </c>
      <c r="AV39" s="128">
        <v>4745.2360483706798</v>
      </c>
      <c r="AW39" s="128">
        <v>4515.4041184029984</v>
      </c>
      <c r="AX39" s="128">
        <v>6443.4828938831033</v>
      </c>
      <c r="AY39" s="128">
        <v>5490.345590677769</v>
      </c>
      <c r="AZ39" s="128">
        <v>4972.0496445802855</v>
      </c>
      <c r="BA39" s="128">
        <v>4565.3554545945544</v>
      </c>
      <c r="BB39" s="128">
        <v>5077.0186015832123</v>
      </c>
      <c r="BC39" s="128">
        <v>4500.0013534250556</v>
      </c>
      <c r="BD39" s="128">
        <v>4682.8163520927728</v>
      </c>
      <c r="BE39" s="128"/>
      <c r="BF39" s="128" t="s">
        <v>481</v>
      </c>
      <c r="BG39" s="128">
        <v>5991.9127324248266</v>
      </c>
      <c r="BH39" s="128">
        <v>5890.7777127600393</v>
      </c>
      <c r="BI39" s="128">
        <v>5555.660132375494</v>
      </c>
      <c r="BJ39" s="128">
        <v>6109.8095098353451</v>
      </c>
      <c r="BK39" s="128">
        <v>6022.8829158600156</v>
      </c>
      <c r="BL39" s="128">
        <v>4862.9708139169497</v>
      </c>
      <c r="BM39" s="128">
        <v>5103.776984872241</v>
      </c>
      <c r="BN39" s="128">
        <v>4971.9481010752306</v>
      </c>
      <c r="BO39" s="128">
        <v>4851.7414394389734</v>
      </c>
      <c r="BP39" s="128">
        <v>4535.0206464245466</v>
      </c>
      <c r="BQ39" s="128">
        <v>6558.920398416325</v>
      </c>
      <c r="BR39" s="128">
        <v>5562.9856870650774</v>
      </c>
      <c r="BS39" s="128">
        <v>5013.4899569733234</v>
      </c>
      <c r="BT39" s="128">
        <v>4590.8052547877669</v>
      </c>
      <c r="BU39" s="128">
        <v>5122.9437813553241</v>
      </c>
      <c r="BV39" s="128">
        <v>4557.5567655462928</v>
      </c>
      <c r="BW39" s="128">
        <v>4714.168797860998</v>
      </c>
      <c r="BX39" s="128"/>
      <c r="BY39" s="128" t="s">
        <v>481</v>
      </c>
      <c r="BZ39" s="128">
        <v>5991.9127324248266</v>
      </c>
      <c r="CA39" s="128">
        <v>5890.7777127600393</v>
      </c>
      <c r="CB39" s="128">
        <v>5573.3724433363941</v>
      </c>
      <c r="CC39" s="128">
        <v>6126.1000782099836</v>
      </c>
      <c r="CD39" s="128">
        <v>6066.1071651808988</v>
      </c>
      <c r="CE39" s="128">
        <v>4811.5389035857779</v>
      </c>
      <c r="CF39" s="128">
        <v>5034.1819706147944</v>
      </c>
      <c r="CG39" s="128">
        <v>4895.441266354821</v>
      </c>
      <c r="CH39" s="128">
        <v>4784.2324747696421</v>
      </c>
      <c r="CI39" s="128">
        <v>4540.1801798797651</v>
      </c>
      <c r="CJ39" s="128">
        <v>6587.6358077472187</v>
      </c>
      <c r="CK39" s="128">
        <v>5581.0551187461551</v>
      </c>
      <c r="CL39" s="128">
        <v>5024.8695215419675</v>
      </c>
      <c r="CM39" s="128">
        <v>4606.7610058087957</v>
      </c>
      <c r="CN39" s="128">
        <v>5147.2483851838415</v>
      </c>
      <c r="CO39" s="128">
        <v>4586.5490362126684</v>
      </c>
      <c r="CP39" s="128">
        <v>4736.3978940882344</v>
      </c>
      <c r="CQ39" s="128"/>
      <c r="CR39" s="128" t="s">
        <v>481</v>
      </c>
      <c r="CS39" s="128">
        <v>6097.8582224105621</v>
      </c>
      <c r="CT39" s="128">
        <v>6008.8140044037173</v>
      </c>
      <c r="CU39" s="128">
        <v>5682.5325854501389</v>
      </c>
      <c r="CV39" s="128">
        <v>6235.2602203237284</v>
      </c>
      <c r="CW39" s="128">
        <v>6229.3297016049064</v>
      </c>
      <c r="CX39" s="128">
        <v>4838.9825673351124</v>
      </c>
      <c r="CY39" s="128">
        <v>5051.9875966431355</v>
      </c>
      <c r="CZ39" s="128">
        <v>4911.5332558045002</v>
      </c>
      <c r="DA39" s="128">
        <v>4799.0350302345423</v>
      </c>
      <c r="DB39" s="128">
        <v>4621.2984215619272</v>
      </c>
      <c r="DC39" s="128">
        <v>6745.3239924390837</v>
      </c>
      <c r="DD39" s="128">
        <v>5698.2594948702781</v>
      </c>
      <c r="DE39" s="128">
        <v>5128.288138702841</v>
      </c>
      <c r="DF39" s="128">
        <v>4601.8123319572533</v>
      </c>
      <c r="DG39" s="128">
        <v>5142.7591345802266</v>
      </c>
      <c r="DH39" s="128">
        <v>4581.4356085093459</v>
      </c>
      <c r="DI39" s="128">
        <v>4727.1479195516586</v>
      </c>
      <c r="DJ39" s="128"/>
      <c r="DK39" s="128" t="s">
        <v>481</v>
      </c>
      <c r="DL39" s="128">
        <v>5991.9127324248266</v>
      </c>
      <c r="DM39" s="128">
        <v>5890.7777127600393</v>
      </c>
      <c r="DN39" s="128">
        <v>5573.3724433363941</v>
      </c>
      <c r="DO39" s="128">
        <v>6126.1000782099836</v>
      </c>
      <c r="DP39" s="128">
        <v>6122.4793604958431</v>
      </c>
      <c r="DQ39" s="128">
        <v>4847.1246362441416</v>
      </c>
      <c r="DR39" s="128">
        <v>5051.76150873202</v>
      </c>
      <c r="DS39" s="128">
        <v>4909.4039283672828</v>
      </c>
      <c r="DT39" s="128">
        <v>4795.9638440209428</v>
      </c>
      <c r="DU39" s="128">
        <v>4547.8755459365902</v>
      </c>
      <c r="DV39" s="128">
        <v>6637.5685248348518</v>
      </c>
      <c r="DW39" s="128">
        <v>5612.4757337082719</v>
      </c>
      <c r="DX39" s="128">
        <v>5039.771697938002</v>
      </c>
      <c r="DY39" s="128">
        <v>4674.9752376884007</v>
      </c>
      <c r="DZ39" s="128">
        <v>5239.7735472436052</v>
      </c>
      <c r="EA39" s="128">
        <v>4653.7827861861842</v>
      </c>
      <c r="EB39" s="128">
        <v>4812.8830286063467</v>
      </c>
      <c r="EC39" s="128"/>
      <c r="ED39" s="128" t="s">
        <v>481</v>
      </c>
      <c r="EE39" s="128">
        <v>5991.9127324248266</v>
      </c>
      <c r="EF39" s="128">
        <v>5890.7777127600393</v>
      </c>
      <c r="EG39" s="128">
        <v>5573.3724433363941</v>
      </c>
      <c r="EH39" s="128">
        <v>6126.1000782099836</v>
      </c>
      <c r="EI39" s="128">
        <v>6152.7321344748798</v>
      </c>
      <c r="EJ39" s="128">
        <v>4866.1652457574546</v>
      </c>
      <c r="EK39" s="128">
        <v>5066.0248584241945</v>
      </c>
      <c r="EL39" s="128">
        <v>4920.7326862441587</v>
      </c>
      <c r="EM39" s="128">
        <v>4805.4822182173248</v>
      </c>
      <c r="EN39" s="128">
        <v>4554.1192649891545</v>
      </c>
      <c r="EO39" s="128">
        <v>6678.0819786100319</v>
      </c>
      <c r="EP39" s="128">
        <v>5637.969191827553</v>
      </c>
      <c r="EQ39" s="128">
        <v>5051.8627410412782</v>
      </c>
      <c r="ER39" s="128">
        <v>4625.9970992662766</v>
      </c>
      <c r="ES39" s="128">
        <v>5180.7775370337786</v>
      </c>
      <c r="ET39" s="128">
        <v>4604.7194718834389</v>
      </c>
      <c r="EU39" s="128">
        <v>4745.5834510457507</v>
      </c>
      <c r="EV39" s="128"/>
      <c r="EW39" s="128" t="s">
        <v>481</v>
      </c>
      <c r="EX39" s="128">
        <v>5991.9127324248266</v>
      </c>
      <c r="EY39" s="128">
        <v>5890.7777127600393</v>
      </c>
      <c r="EZ39" s="128">
        <v>5573.3724433363941</v>
      </c>
      <c r="FA39" s="128">
        <v>6126.1000782099836</v>
      </c>
      <c r="FB39" s="128">
        <v>6183.916389421046</v>
      </c>
      <c r="FC39" s="128">
        <v>4896.1435717835539</v>
      </c>
      <c r="FD39" s="128">
        <v>5087.4172249192097</v>
      </c>
      <c r="FE39" s="128">
        <v>4939.673467540847</v>
      </c>
      <c r="FF39" s="128">
        <v>4822.6783164785447</v>
      </c>
      <c r="FG39" s="128">
        <v>4558.6659410513685</v>
      </c>
      <c r="FH39" s="128">
        <v>6707.5838746637455</v>
      </c>
      <c r="FI39" s="128">
        <v>5656.5335274099571</v>
      </c>
      <c r="FJ39" s="128">
        <v>5060.6674383350046</v>
      </c>
      <c r="FK39" s="128">
        <v>4623.3275321850551</v>
      </c>
      <c r="FL39" s="128">
        <v>5183.386504474337</v>
      </c>
      <c r="FM39" s="128">
        <v>4604.63556545953</v>
      </c>
      <c r="FN39" s="128">
        <v>4738.8760107124353</v>
      </c>
    </row>
    <row r="43" spans="2:170">
      <c r="B43" t="s">
        <v>589</v>
      </c>
      <c r="C43" s="135">
        <f>SUM(C15:G15)*C8+SUM(H15:K15)*H8</f>
        <v>4482162.2836189531</v>
      </c>
      <c r="M43" t="s">
        <v>589</v>
      </c>
      <c r="N43" s="135">
        <f>SUM(N15:R15)*N8+SUM(S15:V15)*S8</f>
        <v>4498097.9895886062</v>
      </c>
      <c r="X43" t="s">
        <v>589</v>
      </c>
      <c r="Y43" s="135">
        <f>SUM(Y15:AC15)*Y8+SUM(AD15:AG15)*AD8+SUM(AH15:AK15)*AH8</f>
        <v>6912950.0122781917</v>
      </c>
      <c r="AM43" t="s">
        <v>589</v>
      </c>
      <c r="AN43" s="135">
        <f>SUM(AN15:AR15)*AN8+SUM(AS15:AV15)*AS8+SUM(AW15:AZ15)*AW8+SUM(BA15:BD15)*BA8</f>
        <v>9627414.0733926687</v>
      </c>
      <c r="BF43" t="s">
        <v>589</v>
      </c>
      <c r="BG43" s="135">
        <f>SUM(BG15:BK15)*BG8+SUM(BL15:BO15)*BL8+SUM(BP15:BS15)*BP8+SUM(BT15:BW15)*BT8</f>
        <v>9474450.4713142607</v>
      </c>
      <c r="BY43" t="s">
        <v>589</v>
      </c>
      <c r="BZ43" s="135">
        <f>SUM(BZ15:CD15)*BZ8+SUM(CE15:CH15)*CE8+SUM(CI15:CL15)*CI8+SUM(CM15:CP15)*CM8</f>
        <v>9604723.5218368229</v>
      </c>
      <c r="CR43" t="s">
        <v>589</v>
      </c>
      <c r="CS43" s="135">
        <f>SUM(CS15:CW15)*CS8+SUM(CX15:DA15)*CX8+SUM(DB15:DE15)*DB8+SUM(DF15:DI15)*DF8</f>
        <v>9329128.8491694741</v>
      </c>
      <c r="DK43" t="s">
        <v>589</v>
      </c>
      <c r="DL43" s="135">
        <f>SUM(DL15:DP15)*DL8+SUM(DQ15:DT15)*DQ8+SUM(DU15:DX15)*DU8+SUM(DY15:EB15)*DY8</f>
        <v>9468580.2125017457</v>
      </c>
      <c r="ED43" t="s">
        <v>589</v>
      </c>
      <c r="EE43" s="135">
        <f>SUM(EE15:EI15)*EE8+SUM(EJ15:EM15)*EJ8+SUM(EN15:EQ15)*EN8+SUM(ER15:EU15)*ER8</f>
        <v>9604723.5218368229</v>
      </c>
      <c r="EW43" t="s">
        <v>589</v>
      </c>
      <c r="EX43" s="135">
        <f>SUM(EX15:FB15)*EX8+SUM(FC15:FF15)*FC8+SUM(FG15:FJ15)*FG8+SUM(FK15:FN15)*FK8</f>
        <v>9605562.1302386113</v>
      </c>
    </row>
    <row r="44" spans="2:170">
      <c r="B44" t="s">
        <v>590</v>
      </c>
      <c r="C44" s="135">
        <f>SUM(C17:G17)*C8+SUM(H17:K17)*H8</f>
        <v>7593554.5939440634</v>
      </c>
      <c r="M44" t="s">
        <v>590</v>
      </c>
      <c r="N44" s="135">
        <f>SUM(N17:R17)*N8+SUM(S17:V17)*S8</f>
        <v>7618551.3281430947</v>
      </c>
      <c r="X44" t="s">
        <v>590</v>
      </c>
      <c r="Y44" s="135">
        <f>SUM(Y17:AC17)*Y8+SUM(AD17:AG17)*AD8+SUM(AH17:AK17)*AH8</f>
        <v>11890546.580724755</v>
      </c>
      <c r="AM44" t="s">
        <v>590</v>
      </c>
      <c r="AN44" s="135">
        <f>SUM(AN17:AR17)*AN8+SUM(AS17:AV17)*AS8+SUM(AW17:AZ17)*AW8+SUM(BA17:BD17)*BA8</f>
        <v>16769628.249104664</v>
      </c>
      <c r="BF44" t="s">
        <v>590</v>
      </c>
      <c r="BG44" s="135">
        <f>SUM(BG17:BK17)*BG8+SUM(BL17:BO17)*BL8+SUM(BP17:BS17)*BP8+SUM(BT17:BW17)*BT8</f>
        <v>16496394.987951292</v>
      </c>
      <c r="BY44" t="s">
        <v>590</v>
      </c>
      <c r="BZ44" s="135">
        <f>SUM(BZ17:CD17)*BZ8+SUM(CE17:CH17)*CE8+SUM(CI17:CL17)*CI8+SUM(CM17:CP17)*CM8</f>
        <v>16728841.324846029</v>
      </c>
      <c r="CR44" t="s">
        <v>590</v>
      </c>
      <c r="CS44" s="135">
        <f>SUM(CS17:CW17)*CS8+SUM(CX17:DA17)*CX8+SUM(DB17:DE17)*DB8+SUM(DF17:DI17)*DF8</f>
        <v>16264120.286870876</v>
      </c>
      <c r="DK44" t="s">
        <v>590</v>
      </c>
      <c r="DL44" s="135">
        <f>SUM(DL17:DP17)*DL8+SUM(DQ17:DT17)*DQ8+SUM(DU17:DX17)*DU8+SUM(DY17:EB17)*DY8</f>
        <v>16484119.779294219</v>
      </c>
      <c r="ED44" t="s">
        <v>590</v>
      </c>
      <c r="EE44" s="135">
        <f>SUM(EE17:EI17)*EE8+SUM(EJ17:EM17)*EJ8+SUM(EN17:EQ17)*EN8+SUM(ER17:EU17)*ER8</f>
        <v>16728841.324846029</v>
      </c>
      <c r="EW44" t="s">
        <v>590</v>
      </c>
      <c r="EX44" s="135">
        <f>SUM(EX17:FB17)*EX8+SUM(FC17:FF17)*FC8+SUM(FG17:FJ17)*FG8+SUM(FK17:FN17)*FK8</f>
        <v>16730594.926082755</v>
      </c>
    </row>
    <row r="45" spans="2:170">
      <c r="B45" t="s">
        <v>591</v>
      </c>
      <c r="C45" t="s">
        <v>116</v>
      </c>
      <c r="M45" t="s">
        <v>591</v>
      </c>
      <c r="N45" t="s">
        <v>116</v>
      </c>
      <c r="X45" t="s">
        <v>591</v>
      </c>
      <c r="Y45" t="s">
        <v>116</v>
      </c>
      <c r="AM45" t="s">
        <v>591</v>
      </c>
      <c r="AN45" t="s">
        <v>116</v>
      </c>
      <c r="BF45" t="s">
        <v>591</v>
      </c>
      <c r="BG45" t="s">
        <v>116</v>
      </c>
      <c r="BY45" t="s">
        <v>591</v>
      </c>
      <c r="BZ45" t="s">
        <v>116</v>
      </c>
      <c r="CR45" t="s">
        <v>591</v>
      </c>
      <c r="CS45" t="s">
        <v>116</v>
      </c>
      <c r="DK45" t="s">
        <v>591</v>
      </c>
      <c r="DL45" t="s">
        <v>116</v>
      </c>
      <c r="ED45" t="s">
        <v>591</v>
      </c>
      <c r="EE45" t="s">
        <v>116</v>
      </c>
      <c r="EW45" t="s">
        <v>591</v>
      </c>
      <c r="EX45" t="s">
        <v>116</v>
      </c>
    </row>
    <row r="46" spans="2:170">
      <c r="B46" t="s">
        <v>592</v>
      </c>
      <c r="C46" s="135">
        <f>SUM(C18:G23)*C8+SUM(H18:K23)*H8</f>
        <v>2989220.8878809987</v>
      </c>
      <c r="M46" t="s">
        <v>592</v>
      </c>
      <c r="N46" s="135">
        <f>SUM(N18:R23)*N8+SUM(S18:V23)*S8</f>
        <v>3166108.513004832</v>
      </c>
      <c r="X46" t="s">
        <v>592</v>
      </c>
      <c r="Y46" s="135">
        <f>SUM(Y18:AC23)*Y8+SUM(AD18:AG23)*AD8+SUM(AH18:AK23)*AH8</f>
        <v>4744850.2944383584</v>
      </c>
      <c r="AM46" t="s">
        <v>592</v>
      </c>
      <c r="AN46" s="135">
        <f>SUM(AN18:AR23)*AN8+SUM(AS18:AV23)*AS8+SUM(AW18:AZ23)*AW8+SUM(BA18:BD23)*BA8</f>
        <v>6235402.9069154263</v>
      </c>
      <c r="BF46" t="s">
        <v>592</v>
      </c>
      <c r="BG46" s="135">
        <f>SUM(BG18:BK23)*BG8+SUM(BL18:BO23)*BL8+SUM(BP18:BS23)*BP8+SUM(BT18:BW23)*BT8</f>
        <v>6398631.8869718127</v>
      </c>
      <c r="BY46" t="s">
        <v>592</v>
      </c>
      <c r="BZ46" s="135">
        <f>SUM(BZ18:CD23)*BZ8+SUM(CE18:CH23)*CE8+SUM(CI18:CL23)*CI8+SUM(CM18:CP23)*CM8</f>
        <v>6556530.2648131875</v>
      </c>
      <c r="CR46" t="s">
        <v>592</v>
      </c>
      <c r="CS46" s="135">
        <f>SUM(CS18:CW23)*CS8+SUM(CX18:DA23)*CX8+SUM(DB18:DE23)*DB8+SUM(DF18:DI23)*DF8</f>
        <v>6364441.1173623577</v>
      </c>
      <c r="DK46" t="s">
        <v>592</v>
      </c>
      <c r="DL46" s="135">
        <f>SUM(DL18:DP23)*DL8+SUM(DQ18:DT23)*DQ8+SUM(DU18:DX23)*DU8+SUM(DY18:EB23)*DY8</f>
        <v>6575235.8323879587</v>
      </c>
      <c r="ED46" t="s">
        <v>592</v>
      </c>
      <c r="EE46" s="135">
        <f>SUM(EE18:EI23)*EE8+SUM(EJ18:EM23)*EJ8+SUM(EN18:EQ23)*EN8+SUM(ER18:EU23)*ER8</f>
        <v>6709912.8953186115</v>
      </c>
      <c r="EW46" t="s">
        <v>592</v>
      </c>
      <c r="EX46" s="135">
        <f>SUM(EX18:FB23)*EX8+SUM(FC18:FF23)*FC8+SUM(FG18:FJ23)*FG8+SUM(FK18:FN23)*FK8</f>
        <v>6763073.5891001252</v>
      </c>
    </row>
    <row r="47" spans="2:170">
      <c r="B47" t="s">
        <v>593</v>
      </c>
      <c r="C47" s="135">
        <f>SUM(C35:G35)*C8+SUM(H35:K35)*H8</f>
        <v>2763658.2606256027</v>
      </c>
      <c r="M47" t="s">
        <v>593</v>
      </c>
      <c r="N47" s="135">
        <f>SUM(N35:R35)*N8+SUM(S35:V35)*S8</f>
        <v>2763658.2606256027</v>
      </c>
      <c r="X47" t="s">
        <v>593</v>
      </c>
      <c r="Y47" s="135">
        <f>SUM(Y35:AC35)*Y8+SUM(AD35:AG35)*AD8+SUM(AH35:AK35)*AH8</f>
        <v>3999346.8833800936</v>
      </c>
      <c r="AM47" t="s">
        <v>593</v>
      </c>
      <c r="AN47" s="135">
        <f>SUM(AN35:AR35)*AN8+SUM(AS35:AV35)*AS8+SUM(AW35:AZ35)*AW8+SUM(BA35:BD35)*BA8</f>
        <v>5121754.9588875454</v>
      </c>
      <c r="BF47" t="s">
        <v>593</v>
      </c>
      <c r="BG47" s="135">
        <f>SUM(BG35:BK35)*BG8+SUM(BL35:BO35)*BL8+SUM(BP35:BS35)*BP8+SUM(BT35:BW35)*BT8</f>
        <v>5121754.9588875454</v>
      </c>
      <c r="BY47" t="s">
        <v>593</v>
      </c>
      <c r="BZ47" s="135">
        <f>SUM(BZ35:CD35)*BZ8+SUM(CE35:CH35)*CE8+SUM(CI35:CL35)*CI8+SUM(CM35:CP35)*CM8</f>
        <v>5121754.9588875463</v>
      </c>
      <c r="CR47" t="s">
        <v>593</v>
      </c>
      <c r="CS47" s="135">
        <f>SUM(CS35:CW35)*CS8+SUM(CX35:DA35)*CX8+SUM(DB35:DE35)*DB8+SUM(DF35:DI35)*DF8</f>
        <v>5121754.9588875454</v>
      </c>
      <c r="DK47" t="s">
        <v>593</v>
      </c>
      <c r="DL47" s="135">
        <f>SUM(DL35:DP35)*DL8+SUM(DQ35:DT35)*DQ8+SUM(DU35:DX35)*DU8+SUM(DY35:EB35)*DY8</f>
        <v>5121754.9588875454</v>
      </c>
      <c r="ED47" t="s">
        <v>593</v>
      </c>
      <c r="EE47" s="135">
        <f>SUM(EE35:EI35)*EE8+SUM(EJ35:EM35)*EJ8+SUM(EN35:EQ35)*EN8+SUM(ER35:EU35)*ER8</f>
        <v>5121754.9588875463</v>
      </c>
      <c r="EW47" t="s">
        <v>593</v>
      </c>
      <c r="EX47" s="135">
        <f>SUM(EX35:FB35)*EX8+SUM(FC35:FF35)*FC8+SUM(FG35:FJ35)*FG8+SUM(FK35:FN35)*FK8</f>
        <v>5121754.9588875454</v>
      </c>
    </row>
    <row r="48" spans="2:170">
      <c r="B48" t="s">
        <v>594</v>
      </c>
      <c r="C48" s="135">
        <f>SUM(C25:G31)*C8+SUM(H25:K31)*H8</f>
        <v>6512857.9673531931</v>
      </c>
      <c r="M48" t="s">
        <v>594</v>
      </c>
      <c r="N48" s="135">
        <f>SUM(N25:R31)*N8+SUM(S25:V31)*S8</f>
        <v>6721316.0246849153</v>
      </c>
      <c r="X48" t="s">
        <v>594</v>
      </c>
      <c r="Y48" s="135">
        <f>SUM(Y25:AC31)*Y8+SUM(AD25:AG31)*AD8+SUM(AH25:AK31)*AH8</f>
        <v>10437554.720013082</v>
      </c>
      <c r="AM48" t="s">
        <v>594</v>
      </c>
      <c r="AN48" s="135">
        <f>SUM(AN25:AR31)*AN8+SUM(AS25:AV31)*AS8+SUM(AW25:AZ31)*AW8+SUM(BA25:BD31)*BA8</f>
        <v>14133667.980119519</v>
      </c>
      <c r="BF48" t="s">
        <v>594</v>
      </c>
      <c r="BG48" s="135">
        <f>SUM(BG25:BK31)*BG8+SUM(BL25:BO31)*BL8+SUM(BP25:BS31)*BP8+SUM(BT25:BW31)*BT8</f>
        <v>14270296.040717715</v>
      </c>
      <c r="BY48" t="s">
        <v>594</v>
      </c>
      <c r="BZ48" s="135">
        <f>SUM(BZ25:CD31)*BZ8+SUM(CE25:CH31)*CE8+SUM(CI25:CL31)*CI8+SUM(CM25:CP31)*CM8</f>
        <v>14543244.14436274</v>
      </c>
      <c r="CR48" t="s">
        <v>594</v>
      </c>
      <c r="CS48" s="135">
        <f>SUM(CS25:CW31)*CS8+SUM(CX25:DA31)*CX8+SUM(DB25:DE31)*DB8+SUM(DF25:DI31)*DF8</f>
        <v>14147320.807112649</v>
      </c>
      <c r="DK48" t="s">
        <v>594</v>
      </c>
      <c r="DL48" s="135">
        <f>SUM(DL25:DP31)*DL8+SUM(DQ25:DT31)*DQ8+SUM(DU25:DX31)*DU8+SUM(DY25:EB31)*DY8</f>
        <v>14487743.788436502</v>
      </c>
      <c r="ED48" t="s">
        <v>594</v>
      </c>
      <c r="EE48" s="135">
        <f>SUM(EE25:EI31)*EE8+SUM(EJ25:EM31)*EJ8+SUM(EN25:EQ31)*EN8+SUM(ER25:EU31)*ER8</f>
        <v>14751726.255204737</v>
      </c>
      <c r="EW48" t="s">
        <v>594</v>
      </c>
      <c r="EX48" s="135">
        <f>SUM(EX25:FB31)*EX8+SUM(FC25:FF31)*FC8+SUM(FG25:FJ31)*FG8+SUM(FK25:FN31)*FK8</f>
        <v>14824708.580996949</v>
      </c>
    </row>
    <row r="50" spans="2:154">
      <c r="B50" t="s">
        <v>582</v>
      </c>
      <c r="C50" s="92">
        <f>SUM(C15:K23)</f>
        <v>50862.658120659944</v>
      </c>
      <c r="M50" t="s">
        <v>582</v>
      </c>
      <c r="N50" s="92">
        <f>SUM(N15:V23)</f>
        <v>51316.871316454744</v>
      </c>
      <c r="X50" t="s">
        <v>582</v>
      </c>
      <c r="Y50" s="92">
        <f>SUM(Y15:AK23)</f>
        <v>79483.405694573346</v>
      </c>
      <c r="AM50" t="s">
        <v>582</v>
      </c>
      <c r="AN50" s="92">
        <f>SUM(AN15:BD23)</f>
        <v>109916.9953604972</v>
      </c>
      <c r="BF50" t="s">
        <v>582</v>
      </c>
      <c r="BG50" s="92">
        <f>SUM(BG15:BW23)</f>
        <v>110627.76712778403</v>
      </c>
      <c r="BY50" t="s">
        <v>582</v>
      </c>
      <c r="BZ50" s="92">
        <f>SUM(BZ15:CP23)</f>
        <v>110851.04104267459</v>
      </c>
      <c r="CR50" t="s">
        <v>582</v>
      </c>
      <c r="CS50" s="92">
        <f>SUM(CS15:DI23)</f>
        <v>110957.91500746721</v>
      </c>
      <c r="DK50" t="s">
        <v>582</v>
      </c>
      <c r="DL50" s="92">
        <f>SUM(DL15:EB23)</f>
        <v>111103.00670531816</v>
      </c>
      <c r="ED50" t="s">
        <v>582</v>
      </c>
      <c r="EE50" s="92">
        <f>SUM(EE15:EU23)</f>
        <v>111282.48042404783</v>
      </c>
      <c r="EW50" t="s">
        <v>582</v>
      </c>
      <c r="EX50" s="92">
        <f>SUM(EX15:FN23)</f>
        <v>111436.62363698181</v>
      </c>
    </row>
    <row r="51" spans="2:154">
      <c r="B51" t="s">
        <v>573</v>
      </c>
      <c r="C51" s="92">
        <f>SUM(C25:K31)</f>
        <v>18296.472271008883</v>
      </c>
      <c r="M51" t="s">
        <v>573</v>
      </c>
      <c r="N51" s="92">
        <f>SUM(N25:V31)</f>
        <v>18804.653371853237</v>
      </c>
      <c r="X51" t="s">
        <v>573</v>
      </c>
      <c r="Y51" s="92">
        <f>SUM(Y25:AK31)</f>
        <v>29375.102520570268</v>
      </c>
      <c r="AM51" t="s">
        <v>573</v>
      </c>
      <c r="AN51" s="92">
        <f>SUM(AN25:BD31)</f>
        <v>39673.599131264738</v>
      </c>
      <c r="BF51" t="s">
        <v>573</v>
      </c>
      <c r="BG51" s="92">
        <f>SUM(BG25:BW31)</f>
        <v>40665.75939231251</v>
      </c>
      <c r="BY51" t="s">
        <v>573</v>
      </c>
      <c r="BZ51" s="92">
        <f>SUM(BZ25:CP31)</f>
        <v>40907.661910173825</v>
      </c>
      <c r="CR51" t="s">
        <v>573</v>
      </c>
      <c r="CS51" s="92">
        <f>SUM(CS25:DI31)</f>
        <v>41107.514422339678</v>
      </c>
      <c r="DK51" t="s">
        <v>573</v>
      </c>
      <c r="DL51" s="92">
        <f>SUM(DL25:EB31)</f>
        <v>41263.825090704457</v>
      </c>
      <c r="ED51" t="s">
        <v>573</v>
      </c>
      <c r="EE51" s="92">
        <f>SUM(EE25:EU31)</f>
        <v>41494.346260011567</v>
      </c>
      <c r="EW51" t="s">
        <v>573</v>
      </c>
      <c r="EX51" s="92">
        <f>SUM(EX25:FN31)</f>
        <v>41703.548687442089</v>
      </c>
    </row>
    <row r="52" spans="2:154">
      <c r="B52" t="s">
        <v>595</v>
      </c>
      <c r="C52" s="92">
        <f>SUM(C34:K36)</f>
        <v>26636.285537622512</v>
      </c>
      <c r="M52" t="s">
        <v>595</v>
      </c>
      <c r="N52" s="92">
        <f>SUM(N34:V36)</f>
        <v>26520.548476082469</v>
      </c>
      <c r="X52" t="s">
        <v>595</v>
      </c>
      <c r="Y52" s="92">
        <f>SUM(Y34:AK36)</f>
        <v>39618.009260178274</v>
      </c>
      <c r="AM52" t="s">
        <v>595</v>
      </c>
      <c r="AN52" s="92">
        <f>SUM(AN34:BD36)</f>
        <v>52100.396832249702</v>
      </c>
      <c r="BF52" t="s">
        <v>595</v>
      </c>
      <c r="BG52" s="92">
        <f>SUM(BG34:BW36)</f>
        <v>52901.907614313051</v>
      </c>
      <c r="BY52" t="s">
        <v>595</v>
      </c>
      <c r="BZ52" s="92">
        <f>SUM(BZ34:CP36)</f>
        <v>52207.402786243743</v>
      </c>
      <c r="CR52" t="s">
        <v>595</v>
      </c>
      <c r="CS52" s="92">
        <f>SUM(CS34:DI36)</f>
        <v>54004.860502029405</v>
      </c>
      <c r="DK52" t="s">
        <v>595</v>
      </c>
      <c r="DL52" s="92">
        <f>SUM(DL34:EB36)</f>
        <v>52889.685525740038</v>
      </c>
      <c r="ED52" t="s">
        <v>595</v>
      </c>
      <c r="EE52" s="92">
        <f>SUM(EE34:EU36)</f>
        <v>52207.402786243743</v>
      </c>
      <c r="EW52" t="s">
        <v>595</v>
      </c>
      <c r="EX52" s="92">
        <f>SUM(EX34:FN36)</f>
        <v>52209.043180143031</v>
      </c>
    </row>
    <row r="56" spans="2:154">
      <c r="B56" t="s">
        <v>596</v>
      </c>
    </row>
    <row r="59" spans="2:154" ht="15" thickBot="1"/>
    <row r="60" spans="2:154" ht="15" thickBot="1">
      <c r="B60" s="1219"/>
      <c r="C60" s="104">
        <v>2023</v>
      </c>
      <c r="D60" s="104">
        <v>2024</v>
      </c>
      <c r="E60" s="104">
        <v>2025</v>
      </c>
      <c r="F60" s="104">
        <v>2026</v>
      </c>
      <c r="G60" s="104">
        <v>2027</v>
      </c>
      <c r="H60" s="104">
        <v>2028</v>
      </c>
      <c r="I60" s="104">
        <v>2029</v>
      </c>
      <c r="J60" s="104">
        <v>2030</v>
      </c>
      <c r="K60" s="104">
        <v>2031</v>
      </c>
      <c r="L60" s="105">
        <v>2032</v>
      </c>
    </row>
    <row r="61" spans="2:154">
      <c r="B61" s="1218" t="s">
        <v>589</v>
      </c>
      <c r="C61" s="1117" cm="1">
        <f t="array" ref="C61:C66">C43:C48</f>
        <v>4482162.2836189531</v>
      </c>
      <c r="D61" s="1117" cm="1">
        <f t="array" ref="D61:D66">N43:N48</f>
        <v>4498097.9895886062</v>
      </c>
      <c r="E61" s="1117" cm="1">
        <f t="array" ref="E61:E66">Y43:Y48</f>
        <v>6912950.0122781917</v>
      </c>
      <c r="F61" s="1117" cm="1">
        <f t="array" ref="F61:F66">AN43:AN48</f>
        <v>9627414.0733926687</v>
      </c>
      <c r="G61" s="1117" cm="1">
        <f t="array" ref="G61:G66">BG43:BG48</f>
        <v>9474450.4713142607</v>
      </c>
      <c r="H61" s="1117" cm="1">
        <f t="array" ref="H61:H66">BZ43:BZ48</f>
        <v>9604723.5218368229</v>
      </c>
      <c r="I61" s="1117" cm="1">
        <f t="array" ref="I61:I66">CS43:CS48</f>
        <v>9329128.8491694741</v>
      </c>
      <c r="J61" s="1117" cm="1">
        <f t="array" ref="J61:J66">DL43:DL48</f>
        <v>9468580.2125017457</v>
      </c>
      <c r="K61" s="1117" cm="1">
        <f t="array" ref="K61:K66">EE43:EE48</f>
        <v>9604723.5218368229</v>
      </c>
      <c r="L61" s="1118" cm="1">
        <f t="array" ref="L61:L66">EX43:EX48</f>
        <v>9605562.1302386113</v>
      </c>
    </row>
    <row r="62" spans="2:154">
      <c r="B62" s="1048" t="s">
        <v>590</v>
      </c>
      <c r="C62" s="1107">
        <v>7593554.5939440634</v>
      </c>
      <c r="D62" s="1107">
        <v>7618551.3281430947</v>
      </c>
      <c r="E62" s="1107">
        <v>11890546.580724755</v>
      </c>
      <c r="F62" s="1107">
        <v>16769628.249104664</v>
      </c>
      <c r="G62" s="1107">
        <v>16496394.987951292</v>
      </c>
      <c r="H62" s="1107">
        <v>16728841.324846029</v>
      </c>
      <c r="I62" s="1107">
        <v>16264120.286870876</v>
      </c>
      <c r="J62" s="1107">
        <v>16484119.779294219</v>
      </c>
      <c r="K62" s="1107">
        <v>16728841.324846029</v>
      </c>
      <c r="L62" s="1110">
        <v>16730594.926082755</v>
      </c>
    </row>
    <row r="63" spans="2:154">
      <c r="B63" s="1048" t="s">
        <v>591</v>
      </c>
      <c r="C63" s="1107" t="str">
        <v>-</v>
      </c>
      <c r="D63" s="1107" t="str">
        <v>-</v>
      </c>
      <c r="E63" s="1107" t="str">
        <v>-</v>
      </c>
      <c r="F63" s="1107" t="str">
        <v>-</v>
      </c>
      <c r="G63" s="1107" t="str">
        <v>-</v>
      </c>
      <c r="H63" s="1107" t="str">
        <v>-</v>
      </c>
      <c r="I63" s="1107" t="str">
        <v>-</v>
      </c>
      <c r="J63" s="1107" t="str">
        <v>-</v>
      </c>
      <c r="K63" s="1107" t="str">
        <v>-</v>
      </c>
      <c r="L63" s="1110" t="str">
        <v>-</v>
      </c>
    </row>
    <row r="64" spans="2:154">
      <c r="B64" s="1048" t="s">
        <v>592</v>
      </c>
      <c r="C64" s="1107">
        <v>2989220.8878809987</v>
      </c>
      <c r="D64" s="1107">
        <v>3166108.513004832</v>
      </c>
      <c r="E64" s="1107">
        <v>4744850.2944383584</v>
      </c>
      <c r="F64" s="1107">
        <v>6235402.9069154263</v>
      </c>
      <c r="G64" s="1107">
        <v>6398631.8869718127</v>
      </c>
      <c r="H64" s="1107">
        <v>6556530.2648131875</v>
      </c>
      <c r="I64" s="1107">
        <v>6364441.1173623577</v>
      </c>
      <c r="J64" s="1107">
        <v>6575235.8323879587</v>
      </c>
      <c r="K64" s="1107">
        <v>6709912.8953186115</v>
      </c>
      <c r="L64" s="1110">
        <v>6763073.5891001252</v>
      </c>
    </row>
    <row r="65" spans="2:14">
      <c r="B65" s="1048" t="s">
        <v>593</v>
      </c>
      <c r="C65" s="1107">
        <v>2763658.2606256027</v>
      </c>
      <c r="D65" s="1107">
        <v>2763658.2606256027</v>
      </c>
      <c r="E65" s="1107">
        <v>3999346.8833800936</v>
      </c>
      <c r="F65" s="1107">
        <v>5121754.9588875454</v>
      </c>
      <c r="G65" s="1107">
        <v>5121754.9588875454</v>
      </c>
      <c r="H65" s="1107">
        <v>5121754.9588875463</v>
      </c>
      <c r="I65" s="1107">
        <v>5121754.9588875454</v>
      </c>
      <c r="J65" s="1107">
        <v>5121754.9588875454</v>
      </c>
      <c r="K65" s="1107">
        <v>5121754.9588875463</v>
      </c>
      <c r="L65" s="1110">
        <v>5121754.9588875454</v>
      </c>
    </row>
    <row r="66" spans="2:14" ht="15" thickBot="1">
      <c r="B66" s="1050" t="s">
        <v>594</v>
      </c>
      <c r="C66" s="1114">
        <v>6512857.9673531931</v>
      </c>
      <c r="D66" s="1114">
        <v>6721316.0246849153</v>
      </c>
      <c r="E66" s="1114">
        <v>10437554.720013082</v>
      </c>
      <c r="F66" s="1114">
        <v>14133667.980119519</v>
      </c>
      <c r="G66" s="1114">
        <v>14270296.040717715</v>
      </c>
      <c r="H66" s="1114">
        <v>14543244.14436274</v>
      </c>
      <c r="I66" s="1114">
        <v>14147320.807112649</v>
      </c>
      <c r="J66" s="1114">
        <v>14487743.788436502</v>
      </c>
      <c r="K66" s="1114">
        <v>14751726.255204737</v>
      </c>
      <c r="L66" s="1115">
        <v>14824708.580996949</v>
      </c>
    </row>
    <row r="67" spans="2:14">
      <c r="C67" s="1117" cm="1">
        <f t="array" ref="C67:C72">C49:C54</f>
        <v>0</v>
      </c>
      <c r="D67" s="1117" cm="1">
        <f t="array" ref="D67:D72">N49:N54</f>
        <v>0</v>
      </c>
      <c r="E67" s="1117" cm="1">
        <f t="array" ref="E67:E72">Y49:Y54</f>
        <v>0</v>
      </c>
      <c r="F67" s="1117" cm="1">
        <f t="array" ref="F67:F72">AN49:AN54</f>
        <v>0</v>
      </c>
      <c r="G67" s="1117" cm="1">
        <f t="array" ref="G67:G72">BG49:BG54</f>
        <v>0</v>
      </c>
      <c r="H67" s="1117" cm="1">
        <f t="array" ref="H67:H72">BZ49:BZ54</f>
        <v>0</v>
      </c>
      <c r="I67" s="1117" cm="1">
        <f t="array" ref="I67:I72">CS49:CS54</f>
        <v>0</v>
      </c>
      <c r="J67" s="1117" cm="1">
        <f t="array" ref="J67:J72">DL49:DL54</f>
        <v>0</v>
      </c>
      <c r="K67" s="1117" cm="1">
        <f t="array" ref="K67:K72">EE49:EE54</f>
        <v>0</v>
      </c>
      <c r="L67" s="1118" cm="1">
        <f t="array" ref="L67:L72">EX49:EX54</f>
        <v>0</v>
      </c>
    </row>
    <row r="68" spans="2:14">
      <c r="B68" t="s">
        <v>582</v>
      </c>
      <c r="C68" s="1107">
        <v>50862.658120659944</v>
      </c>
      <c r="D68" s="1107">
        <v>51316.871316454744</v>
      </c>
      <c r="E68" s="1107">
        <v>79483.405694573346</v>
      </c>
      <c r="F68" s="1107">
        <v>109916.9953604972</v>
      </c>
      <c r="G68" s="1107">
        <v>110627.76712778403</v>
      </c>
      <c r="H68" s="1107">
        <v>110851.04104267459</v>
      </c>
      <c r="I68" s="1107">
        <v>110957.91500746721</v>
      </c>
      <c r="J68" s="1107">
        <v>111103.00670531816</v>
      </c>
      <c r="K68" s="1107">
        <v>111282.48042404783</v>
      </c>
      <c r="L68" s="1110">
        <v>111436.62363698181</v>
      </c>
    </row>
    <row r="69" spans="2:14">
      <c r="B69" t="s">
        <v>573</v>
      </c>
      <c r="C69" s="1107">
        <v>18296.472271008883</v>
      </c>
      <c r="D69" s="1107">
        <v>18804.653371853237</v>
      </c>
      <c r="E69" s="1107">
        <v>29375.102520570268</v>
      </c>
      <c r="F69" s="1107">
        <v>39673.599131264738</v>
      </c>
      <c r="G69" s="1107">
        <v>40665.75939231251</v>
      </c>
      <c r="H69" s="1107">
        <v>40907.661910173825</v>
      </c>
      <c r="I69" s="1107">
        <v>41107.514422339678</v>
      </c>
      <c r="J69" s="1107">
        <v>41263.825090704457</v>
      </c>
      <c r="K69" s="1107">
        <v>41494.346260011567</v>
      </c>
      <c r="L69" s="1110">
        <v>41703.548687442089</v>
      </c>
    </row>
    <row r="70" spans="2:14">
      <c r="B70" t="s">
        <v>595</v>
      </c>
      <c r="C70" s="1107">
        <v>26636.285537622512</v>
      </c>
      <c r="D70" s="1107">
        <v>26520.548476082469</v>
      </c>
      <c r="E70" s="1107">
        <v>39618.009260178274</v>
      </c>
      <c r="F70" s="1107">
        <v>52100.396832249702</v>
      </c>
      <c r="G70" s="1107">
        <v>52901.907614313051</v>
      </c>
      <c r="H70" s="1107">
        <v>52207.402786243743</v>
      </c>
      <c r="I70" s="1107">
        <v>54004.860502029405</v>
      </c>
      <c r="J70" s="1107">
        <v>52889.685525740038</v>
      </c>
      <c r="K70" s="1107">
        <v>52207.402786243743</v>
      </c>
      <c r="L70" s="1110">
        <v>52209.043180143031</v>
      </c>
    </row>
    <row r="71" spans="2:14">
      <c r="C71">
        <v>0</v>
      </c>
      <c r="D71">
        <v>0</v>
      </c>
      <c r="E71">
        <v>0</v>
      </c>
      <c r="F71">
        <v>0</v>
      </c>
      <c r="G71">
        <v>0</v>
      </c>
      <c r="H71">
        <v>0</v>
      </c>
      <c r="I71">
        <v>0</v>
      </c>
      <c r="J71">
        <v>0</v>
      </c>
      <c r="K71">
        <v>0</v>
      </c>
      <c r="L71">
        <v>0</v>
      </c>
    </row>
    <row r="72" spans="2:14">
      <c r="C72">
        <v>0</v>
      </c>
      <c r="D72">
        <v>0</v>
      </c>
      <c r="E72">
        <v>0</v>
      </c>
      <c r="F72">
        <v>0</v>
      </c>
      <c r="G72">
        <v>0</v>
      </c>
      <c r="H72">
        <v>0</v>
      </c>
      <c r="I72">
        <v>0</v>
      </c>
      <c r="J72">
        <v>0</v>
      </c>
      <c r="K72">
        <v>0</v>
      </c>
      <c r="L72">
        <v>0</v>
      </c>
    </row>
    <row r="74" spans="2:14">
      <c r="B74" t="s">
        <v>582</v>
      </c>
      <c r="C74" s="733">
        <f>C68/SUM(C68:C70)</f>
        <v>0.53095085633536754</v>
      </c>
      <c r="D74" s="733">
        <f t="shared" ref="D74:L74" si="0">D68/SUM(D68:D70)</f>
        <v>0.53099928050139744</v>
      </c>
      <c r="E74" s="733">
        <f t="shared" si="0"/>
        <v>0.53532644115110117</v>
      </c>
      <c r="F74" s="733">
        <f t="shared" si="0"/>
        <v>0.54497721806482791</v>
      </c>
      <c r="G74" s="733">
        <f t="shared" si="0"/>
        <v>0.54177395100305925</v>
      </c>
      <c r="H74" s="733">
        <f t="shared" si="0"/>
        <v>0.54347775401699439</v>
      </c>
      <c r="I74" s="733">
        <f t="shared" si="0"/>
        <v>0.53844693014296108</v>
      </c>
      <c r="J74" s="733">
        <f t="shared" si="0"/>
        <v>0.5412885698101938</v>
      </c>
      <c r="K74" s="733">
        <f t="shared" si="0"/>
        <v>0.54288313160291068</v>
      </c>
      <c r="L74" s="733">
        <f t="shared" si="0"/>
        <v>0.54266885492193895</v>
      </c>
      <c r="N74" s="733"/>
    </row>
    <row r="75" spans="2:14">
      <c r="B75" t="s">
        <v>573</v>
      </c>
      <c r="C75" s="733">
        <f>C69/SUM(C68:C70)</f>
        <v>0.19099527982125891</v>
      </c>
      <c r="D75" s="733">
        <f t="shared" ref="D75:L75" si="1">D69/SUM(D68:D70)</f>
        <v>0.19458040122821119</v>
      </c>
      <c r="E75" s="733">
        <f t="shared" si="1"/>
        <v>0.19784342345888245</v>
      </c>
      <c r="F75" s="733">
        <f t="shared" si="1"/>
        <v>0.19670486455951852</v>
      </c>
      <c r="G75" s="733">
        <f t="shared" si="1"/>
        <v>0.19915116890196813</v>
      </c>
      <c r="H75" s="733">
        <f t="shared" si="1"/>
        <v>0.20056107735126238</v>
      </c>
      <c r="I75" s="733">
        <f t="shared" si="1"/>
        <v>0.19948297464878209</v>
      </c>
      <c r="J75" s="733">
        <f t="shared" si="1"/>
        <v>0.20103539526600647</v>
      </c>
      <c r="K75" s="733">
        <f t="shared" si="1"/>
        <v>0.20242701776247141</v>
      </c>
      <c r="L75" s="733">
        <f t="shared" si="1"/>
        <v>0.20308598980995185</v>
      </c>
      <c r="N75" s="733"/>
    </row>
    <row r="76" spans="2:14">
      <c r="B76" t="s">
        <v>595</v>
      </c>
      <c r="C76" s="733">
        <f>C70/SUM(C68:C70)</f>
        <v>0.27805386384337355</v>
      </c>
      <c r="D76" s="733">
        <f t="shared" ref="D76:L76" si="2">D70/SUM(D68:D70)</f>
        <v>0.27442031827039126</v>
      </c>
      <c r="E76" s="733">
        <f t="shared" si="2"/>
        <v>0.26683013539001638</v>
      </c>
      <c r="F76" s="733">
        <f t="shared" si="2"/>
        <v>0.25831791737565357</v>
      </c>
      <c r="G76" s="733">
        <f t="shared" si="2"/>
        <v>0.25907488009497265</v>
      </c>
      <c r="H76" s="733">
        <f t="shared" si="2"/>
        <v>0.25596116863174323</v>
      </c>
      <c r="I76" s="733">
        <f t="shared" si="2"/>
        <v>0.26207009520825669</v>
      </c>
      <c r="J76" s="733">
        <f t="shared" si="2"/>
        <v>0.25767603492379987</v>
      </c>
      <c r="K76" s="733">
        <f t="shared" si="2"/>
        <v>0.25468985063461791</v>
      </c>
      <c r="L76" s="733">
        <f t="shared" si="2"/>
        <v>0.25424515526810915</v>
      </c>
      <c r="N76" s="733"/>
    </row>
    <row r="78" spans="2:14">
      <c r="C78" t="s">
        <v>597</v>
      </c>
    </row>
    <row r="79" spans="2:14">
      <c r="B79" t="s">
        <v>582</v>
      </c>
      <c r="C79" s="992">
        <f>AVERAGE(C74:L74)</f>
        <v>0.53927929875507519</v>
      </c>
    </row>
    <row r="80" spans="2:14">
      <c r="B80" t="s">
        <v>581</v>
      </c>
      <c r="C80" s="992">
        <f>AVERAGE(C76:L76)</f>
        <v>0.2621339419640934</v>
      </c>
    </row>
    <row r="81" spans="2:3">
      <c r="B81" t="s">
        <v>573</v>
      </c>
      <c r="C81" s="992">
        <f>AVERAGE(C75:L75)</f>
        <v>0.19858675928083133</v>
      </c>
    </row>
  </sheetData>
  <autoFilter ref="B78:C81" xr:uid="{C2C2C250-2C1E-49B0-93BE-D69FA1A07CE8}">
    <sortState xmlns:xlrd2="http://schemas.microsoft.com/office/spreadsheetml/2017/richdata2" ref="B79:C81">
      <sortCondition ref="B78:B81"/>
    </sortState>
  </autoFilter>
  <mergeCells count="10">
    <mergeCell ref="B2:K2"/>
    <mergeCell ref="M2:V2"/>
    <mergeCell ref="ED2:EU2"/>
    <mergeCell ref="EW2:FN2"/>
    <mergeCell ref="X2:AK2"/>
    <mergeCell ref="AM2:BD2"/>
    <mergeCell ref="BF2:BW2"/>
    <mergeCell ref="BY2:CP2"/>
    <mergeCell ref="CR2:DI2"/>
    <mergeCell ref="DK2:EB2"/>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77E9C-AC2C-4852-9F02-D55BA920E837}">
  <sheetPr codeName="Sheet6"/>
  <dimension ref="A1:HO235"/>
  <sheetViews>
    <sheetView topLeftCell="BG1" zoomScale="82" zoomScaleNormal="54" workbookViewId="0">
      <selection activeCell="BL4" sqref="BL4:BL20"/>
    </sheetView>
  </sheetViews>
  <sheetFormatPr defaultColWidth="16.42578125" defaultRowHeight="14.45"/>
  <cols>
    <col min="32" max="33" width="16.42578125" customWidth="1"/>
    <col min="43" max="43" width="18.7109375" bestFit="1" customWidth="1"/>
    <col min="44" max="44" width="26.5703125" customWidth="1"/>
    <col min="45" max="45" width="18.28515625" bestFit="1" customWidth="1"/>
    <col min="46" max="46" width="18.7109375" bestFit="1" customWidth="1"/>
    <col min="47" max="47" width="18.28515625" bestFit="1" customWidth="1"/>
    <col min="48" max="58" width="18.28515625" customWidth="1"/>
    <col min="59" max="59" width="23.28515625" bestFit="1" customWidth="1"/>
    <col min="60" max="60" width="42.28515625" bestFit="1" customWidth="1"/>
    <col min="61" max="61" width="36.7109375" customWidth="1"/>
    <col min="62" max="62" width="17.42578125" customWidth="1"/>
    <col min="63" max="64" width="16.5703125" bestFit="1" customWidth="1"/>
    <col min="65" max="65" width="20.42578125" bestFit="1" customWidth="1"/>
    <col min="66" max="66" width="42.28515625" customWidth="1"/>
    <col min="109" max="109" width="20" bestFit="1" customWidth="1"/>
    <col min="110" max="110" width="21.5703125" customWidth="1"/>
    <col min="111" max="111" width="19.42578125" bestFit="1" customWidth="1"/>
    <col min="112" max="112" width="20" bestFit="1" customWidth="1"/>
    <col min="119" max="119" width="22.28515625" bestFit="1" customWidth="1"/>
    <col min="120" max="121" width="21.85546875" bestFit="1" customWidth="1"/>
    <col min="122" max="122" width="22.140625" bestFit="1" customWidth="1"/>
    <col min="123" max="129" width="19.42578125" customWidth="1"/>
    <col min="131" max="135" width="26.42578125" bestFit="1" customWidth="1"/>
    <col min="136" max="136" width="24.42578125" bestFit="1" customWidth="1"/>
    <col min="138" max="138" width="13.5703125" bestFit="1" customWidth="1"/>
  </cols>
  <sheetData>
    <row r="1" spans="1:223" ht="15" customHeight="1" thickBot="1">
      <c r="A1" s="631"/>
      <c r="B1" s="632"/>
      <c r="C1" s="1675" t="s">
        <v>598</v>
      </c>
      <c r="D1" s="1676"/>
      <c r="E1" s="1676"/>
      <c r="F1" s="1676"/>
      <c r="G1" s="1676"/>
      <c r="H1" s="1676"/>
      <c r="I1" s="1676"/>
      <c r="J1" s="1676"/>
      <c r="K1" s="1676"/>
      <c r="L1" s="1676"/>
      <c r="M1" s="1676"/>
      <c r="N1" s="1676"/>
      <c r="O1" s="1676"/>
      <c r="P1" s="1676"/>
      <c r="Q1" s="1676"/>
      <c r="R1" s="1676"/>
      <c r="S1" s="1676"/>
      <c r="T1" s="1676"/>
      <c r="U1" s="1676"/>
      <c r="V1" s="1677"/>
      <c r="W1" s="125"/>
      <c r="X1" s="125"/>
      <c r="Y1" s="125"/>
      <c r="Z1" s="125"/>
      <c r="AA1" s="125"/>
      <c r="AB1" s="125"/>
      <c r="AC1" s="125"/>
      <c r="AD1" s="125"/>
      <c r="AE1" s="125"/>
      <c r="AF1" s="125"/>
      <c r="AG1" s="125"/>
      <c r="AH1" s="125"/>
      <c r="AI1" s="125"/>
      <c r="AJ1" s="125"/>
      <c r="AK1" s="125"/>
      <c r="AL1" s="125"/>
      <c r="AM1" s="125"/>
      <c r="AN1" s="125"/>
      <c r="AO1" s="125"/>
      <c r="AP1" s="125"/>
      <c r="AQ1" s="57"/>
      <c r="AR1" s="690"/>
      <c r="AS1" s="57"/>
      <c r="AY1" t="s">
        <v>599</v>
      </c>
      <c r="AZ1" s="1230">
        <v>14361.5</v>
      </c>
      <c r="BG1" s="91"/>
      <c r="BH1" t="s">
        <v>600</v>
      </c>
      <c r="BI1" s="992">
        <v>0.32279999999999998</v>
      </c>
      <c r="BO1" s="1556" t="s">
        <v>601</v>
      </c>
      <c r="BP1" s="1556"/>
      <c r="BQ1" s="1556"/>
      <c r="BR1" s="1556"/>
      <c r="BS1" s="1556"/>
      <c r="BT1" s="1556"/>
      <c r="BU1" s="1556"/>
      <c r="BV1" s="1556"/>
      <c r="BW1" s="1556"/>
      <c r="BX1" s="1556"/>
      <c r="BY1" s="1556"/>
      <c r="BZ1" s="1556"/>
      <c r="CA1" s="1556"/>
      <c r="CB1" s="1556"/>
      <c r="CC1" s="1556"/>
      <c r="CD1" s="1556"/>
      <c r="CE1" s="1556"/>
      <c r="CF1" s="1556"/>
      <c r="CG1" s="1556"/>
      <c r="CH1" s="1556"/>
      <c r="CI1" s="1556"/>
      <c r="CJ1" s="1556"/>
      <c r="CK1" s="58"/>
      <c r="CL1" s="58"/>
      <c r="CM1" s="58"/>
      <c r="CN1" s="58"/>
      <c r="CO1" s="58"/>
      <c r="CP1" s="58"/>
      <c r="CQ1" s="58"/>
      <c r="CR1" s="58"/>
      <c r="CS1" s="58"/>
      <c r="CT1" s="58"/>
      <c r="CU1" s="58"/>
      <c r="CV1" s="58"/>
      <c r="CW1" s="58"/>
      <c r="CX1" s="58"/>
      <c r="CY1" s="58"/>
      <c r="CZ1" s="58"/>
      <c r="DA1" s="58"/>
      <c r="DB1" s="58"/>
      <c r="DC1" s="58"/>
      <c r="DD1" s="58"/>
      <c r="DH1" s="1317" t="s">
        <v>313</v>
      </c>
      <c r="DI1" s="1318"/>
      <c r="DJ1" s="1360"/>
      <c r="DK1" s="1360"/>
      <c r="DL1" s="1360"/>
      <c r="DM1" s="1360"/>
      <c r="DN1" s="1360"/>
      <c r="DO1" s="1360"/>
      <c r="DP1" s="1360"/>
      <c r="DQ1" s="1360"/>
      <c r="DR1" s="1360"/>
      <c r="DS1" s="200"/>
      <c r="DZ1" s="1135"/>
      <c r="EA1" s="1135"/>
      <c r="EB1" s="1135"/>
      <c r="EC1" s="1135"/>
      <c r="ED1" s="1135"/>
      <c r="EE1" s="1135"/>
      <c r="EF1" s="1135"/>
      <c r="EG1" s="1135"/>
      <c r="EH1" s="1135"/>
      <c r="EI1" s="1135"/>
      <c r="EJ1" s="1135"/>
      <c r="EK1" s="1135"/>
      <c r="EL1" s="1135"/>
      <c r="EM1" s="1135"/>
      <c r="EN1" s="1135"/>
      <c r="EO1" s="1135"/>
      <c r="EP1" s="1135"/>
      <c r="EQ1" s="1135"/>
      <c r="ER1" s="1135"/>
      <c r="ES1" s="1135"/>
      <c r="ET1" s="1135"/>
      <c r="EU1" s="1135"/>
      <c r="GT1" s="1556" t="s">
        <v>602</v>
      </c>
      <c r="GU1" s="1556"/>
      <c r="GV1" s="1556"/>
      <c r="GW1" s="1556"/>
      <c r="GX1" s="1556"/>
      <c r="GY1" s="1556"/>
      <c r="GZ1" s="1556"/>
      <c r="HA1" s="1556"/>
      <c r="HB1" s="1556"/>
      <c r="HC1" s="1556"/>
      <c r="HD1" s="1556"/>
      <c r="HE1" s="1556"/>
      <c r="HF1" s="1556"/>
      <c r="HG1" s="1556"/>
      <c r="HH1" s="1556"/>
      <c r="HI1" s="1556"/>
      <c r="HJ1" s="1556"/>
      <c r="HK1" s="1556"/>
      <c r="HL1" s="1556"/>
      <c r="HM1" s="1556"/>
      <c r="HN1" s="1556"/>
      <c r="HO1" s="1556"/>
    </row>
    <row r="2" spans="1:223" ht="15" thickBot="1">
      <c r="A2" s="113"/>
      <c r="B2" s="57"/>
      <c r="C2" s="1368">
        <v>2023</v>
      </c>
      <c r="D2" s="1369"/>
      <c r="E2" s="1369"/>
      <c r="F2" s="1370"/>
      <c r="G2" s="1371">
        <v>2024</v>
      </c>
      <c r="H2" s="1372"/>
      <c r="I2" s="1372"/>
      <c r="J2" s="1373"/>
      <c r="K2" s="1374">
        <v>2025</v>
      </c>
      <c r="L2" s="1375"/>
      <c r="M2" s="1375"/>
      <c r="N2" s="1376"/>
      <c r="O2" s="1371">
        <v>2026</v>
      </c>
      <c r="P2" s="1372"/>
      <c r="Q2" s="1372"/>
      <c r="R2" s="1373"/>
      <c r="S2" s="1377">
        <v>2027</v>
      </c>
      <c r="T2" s="1378"/>
      <c r="U2" s="1378"/>
      <c r="V2" s="1379"/>
      <c r="W2" s="1368">
        <v>2028</v>
      </c>
      <c r="X2" s="1369"/>
      <c r="Y2" s="1369"/>
      <c r="Z2" s="1370"/>
      <c r="AA2" s="1371">
        <v>2029</v>
      </c>
      <c r="AB2" s="1372"/>
      <c r="AC2" s="1372"/>
      <c r="AD2" s="1373"/>
      <c r="AE2" s="1374">
        <v>2030</v>
      </c>
      <c r="AF2" s="1375"/>
      <c r="AG2" s="1375"/>
      <c r="AH2" s="1376"/>
      <c r="AI2" s="1371">
        <v>2031</v>
      </c>
      <c r="AJ2" s="1372"/>
      <c r="AK2" s="1372"/>
      <c r="AL2" s="1373"/>
      <c r="AM2" s="1377">
        <v>2032</v>
      </c>
      <c r="AN2" s="1378"/>
      <c r="AO2" s="1378"/>
      <c r="AP2" s="1379"/>
      <c r="AQ2" s="1393"/>
      <c r="AR2" s="690"/>
      <c r="AS2" s="1346" t="s">
        <v>291</v>
      </c>
      <c r="AT2" s="1344" t="s">
        <v>206</v>
      </c>
      <c r="AU2" s="1348" t="s">
        <v>292</v>
      </c>
      <c r="AV2" s="1349"/>
      <c r="AW2" s="1349"/>
      <c r="AX2" s="1349"/>
      <c r="AY2" s="1349"/>
      <c r="AZ2" s="1349"/>
      <c r="BA2" s="1349"/>
      <c r="BB2" s="1349"/>
      <c r="BC2" s="1349"/>
      <c r="BD2" s="1350"/>
      <c r="BE2" s="135"/>
      <c r="BG2" s="1317" t="s">
        <v>603</v>
      </c>
      <c r="BH2" s="1318"/>
      <c r="BI2" s="1318"/>
      <c r="BJ2" s="1319"/>
      <c r="BL2" s="718"/>
      <c r="BO2" s="300"/>
      <c r="BP2" s="300"/>
      <c r="BQ2" s="1556">
        <v>2022</v>
      </c>
      <c r="BR2" s="1556"/>
      <c r="BS2" s="1556"/>
      <c r="BT2" s="1556"/>
      <c r="BU2" s="1556">
        <v>2023</v>
      </c>
      <c r="BV2" s="1556"/>
      <c r="BW2" s="1556"/>
      <c r="BX2" s="1556"/>
      <c r="BY2" s="1556">
        <v>2024</v>
      </c>
      <c r="BZ2" s="1556"/>
      <c r="CA2" s="1556"/>
      <c r="CB2" s="1556"/>
      <c r="CC2" s="1556">
        <v>2025</v>
      </c>
      <c r="CD2" s="1556"/>
      <c r="CE2" s="1556"/>
      <c r="CF2" s="1556"/>
      <c r="CG2" s="1556">
        <v>2026</v>
      </c>
      <c r="CH2" s="1556"/>
      <c r="CI2" s="1556"/>
      <c r="CJ2" s="1556"/>
      <c r="CK2" s="1368">
        <v>2028</v>
      </c>
      <c r="CL2" s="1369"/>
      <c r="CM2" s="1369"/>
      <c r="CN2" s="1370"/>
      <c r="CO2" s="1371">
        <v>2029</v>
      </c>
      <c r="CP2" s="1372"/>
      <c r="CQ2" s="1372"/>
      <c r="CR2" s="1373"/>
      <c r="CS2" s="1374">
        <v>2030</v>
      </c>
      <c r="CT2" s="1375"/>
      <c r="CU2" s="1375"/>
      <c r="CV2" s="1376"/>
      <c r="CW2" s="1371">
        <v>2031</v>
      </c>
      <c r="CX2" s="1372"/>
      <c r="CY2" s="1372"/>
      <c r="CZ2" s="1373"/>
      <c r="DA2" s="1377">
        <v>2032</v>
      </c>
      <c r="DB2" s="1378"/>
      <c r="DC2" s="1378"/>
      <c r="DD2" s="1379"/>
      <c r="DF2" s="1674" t="s">
        <v>604</v>
      </c>
      <c r="DH2" s="1346" t="s">
        <v>291</v>
      </c>
      <c r="DI2" s="1673" t="s">
        <v>206</v>
      </c>
      <c r="DJ2" s="1348" t="s">
        <v>605</v>
      </c>
      <c r="DK2" s="1349"/>
      <c r="DL2" s="1349"/>
      <c r="DM2" s="1349"/>
      <c r="DN2" s="1349"/>
      <c r="DO2" s="1349"/>
      <c r="DP2" s="1349"/>
      <c r="DQ2" s="1349"/>
      <c r="DR2" s="1349"/>
      <c r="DS2" s="1350"/>
      <c r="DT2" s="1103"/>
      <c r="GT2" s="300"/>
      <c r="GU2" s="300"/>
      <c r="GV2" s="1556">
        <v>2022</v>
      </c>
      <c r="GW2" s="1556"/>
      <c r="GX2" s="1556"/>
      <c r="GY2" s="1556"/>
      <c r="GZ2" s="1556">
        <v>2023</v>
      </c>
      <c r="HA2" s="1556"/>
      <c r="HB2" s="1556"/>
      <c r="HC2" s="1556"/>
      <c r="HD2" s="1556">
        <v>2024</v>
      </c>
      <c r="HE2" s="1556"/>
      <c r="HF2" s="1556"/>
      <c r="HG2" s="1556"/>
      <c r="HH2" s="1556">
        <v>2025</v>
      </c>
      <c r="HI2" s="1556"/>
      <c r="HJ2" s="1556"/>
      <c r="HK2" s="1556"/>
      <c r="HL2" s="1556">
        <v>2026</v>
      </c>
      <c r="HM2" s="1556"/>
      <c r="HN2" s="1556"/>
      <c r="HO2" s="1556"/>
    </row>
    <row r="3" spans="1:223" ht="15" thickBot="1">
      <c r="A3" s="113"/>
      <c r="B3" s="57"/>
      <c r="C3" s="325">
        <v>1</v>
      </c>
      <c r="D3" s="265">
        <v>2</v>
      </c>
      <c r="E3" s="265">
        <v>3</v>
      </c>
      <c r="F3" s="326">
        <v>4</v>
      </c>
      <c r="G3" s="325">
        <v>1</v>
      </c>
      <c r="H3" s="265">
        <v>2</v>
      </c>
      <c r="I3" s="265">
        <v>3</v>
      </c>
      <c r="J3" s="326">
        <v>4</v>
      </c>
      <c r="K3" s="325">
        <v>1</v>
      </c>
      <c r="L3" s="265">
        <v>2</v>
      </c>
      <c r="M3" s="265">
        <v>3</v>
      </c>
      <c r="N3" s="326">
        <v>4</v>
      </c>
      <c r="O3" s="325">
        <v>1</v>
      </c>
      <c r="P3" s="265">
        <v>2</v>
      </c>
      <c r="Q3" s="265">
        <v>3</v>
      </c>
      <c r="R3" s="326">
        <v>4</v>
      </c>
      <c r="S3" s="325">
        <v>1</v>
      </c>
      <c r="T3" s="265">
        <v>2</v>
      </c>
      <c r="U3" s="265">
        <v>3</v>
      </c>
      <c r="V3" s="326">
        <v>4</v>
      </c>
      <c r="W3" s="325">
        <v>1</v>
      </c>
      <c r="X3" s="265">
        <v>2</v>
      </c>
      <c r="Y3" s="265">
        <v>3</v>
      </c>
      <c r="Z3" s="326">
        <v>4</v>
      </c>
      <c r="AA3" s="325">
        <v>1</v>
      </c>
      <c r="AB3" s="265">
        <v>2</v>
      </c>
      <c r="AC3" s="265">
        <v>3</v>
      </c>
      <c r="AD3" s="326">
        <v>4</v>
      </c>
      <c r="AE3" s="325">
        <v>1</v>
      </c>
      <c r="AF3" s="265">
        <v>2</v>
      </c>
      <c r="AG3" s="265">
        <v>3</v>
      </c>
      <c r="AH3" s="326">
        <v>4</v>
      </c>
      <c r="AI3" s="325">
        <v>1</v>
      </c>
      <c r="AJ3" s="265">
        <v>2</v>
      </c>
      <c r="AK3" s="265">
        <v>3</v>
      </c>
      <c r="AL3" s="326">
        <v>4</v>
      </c>
      <c r="AM3" s="325">
        <v>1</v>
      </c>
      <c r="AN3" s="265">
        <v>2</v>
      </c>
      <c r="AO3" s="265">
        <v>3</v>
      </c>
      <c r="AP3" s="326">
        <v>4</v>
      </c>
      <c r="AQ3" s="1393"/>
      <c r="AS3" s="1347"/>
      <c r="AT3" s="1345"/>
      <c r="AU3" s="103">
        <v>2023</v>
      </c>
      <c r="AV3" s="201">
        <v>2024</v>
      </c>
      <c r="AW3" s="104">
        <v>2025</v>
      </c>
      <c r="AX3" s="201">
        <v>2026</v>
      </c>
      <c r="AY3" s="104">
        <v>2027</v>
      </c>
      <c r="AZ3" s="201">
        <v>2028</v>
      </c>
      <c r="BA3" s="104">
        <v>2029</v>
      </c>
      <c r="BB3" s="201">
        <v>2030</v>
      </c>
      <c r="BC3" s="104">
        <v>2031</v>
      </c>
      <c r="BD3" s="734">
        <v>2032</v>
      </c>
      <c r="BE3" s="58"/>
      <c r="BG3" s="321" t="s">
        <v>291</v>
      </c>
      <c r="BH3" s="321" t="s">
        <v>206</v>
      </c>
      <c r="BI3" s="336" t="s">
        <v>606</v>
      </c>
      <c r="BJ3" s="321" t="s">
        <v>607</v>
      </c>
      <c r="BM3" s="58" t="s">
        <v>608</v>
      </c>
      <c r="BO3" s="300"/>
      <c r="BP3" s="300"/>
      <c r="BQ3" s="300">
        <v>1</v>
      </c>
      <c r="BR3" s="300">
        <v>2</v>
      </c>
      <c r="BS3" s="300">
        <v>3</v>
      </c>
      <c r="BT3" s="300">
        <v>4</v>
      </c>
      <c r="BU3" s="300">
        <v>1</v>
      </c>
      <c r="BV3" s="300">
        <v>2</v>
      </c>
      <c r="BW3" s="300">
        <v>3</v>
      </c>
      <c r="BX3" s="300">
        <v>4</v>
      </c>
      <c r="BY3" s="300">
        <v>1</v>
      </c>
      <c r="BZ3" s="300">
        <v>2</v>
      </c>
      <c r="CA3" s="300">
        <v>3</v>
      </c>
      <c r="CB3" s="300">
        <v>4</v>
      </c>
      <c r="CC3" s="300">
        <v>1</v>
      </c>
      <c r="CD3" s="300">
        <v>2</v>
      </c>
      <c r="CE3" s="300">
        <v>3</v>
      </c>
      <c r="CF3" s="300">
        <v>4</v>
      </c>
      <c r="CG3" s="300">
        <v>1</v>
      </c>
      <c r="CH3" s="300">
        <v>2</v>
      </c>
      <c r="CI3" s="300">
        <v>3</v>
      </c>
      <c r="CJ3" s="300">
        <v>4</v>
      </c>
      <c r="CK3" s="325">
        <v>1</v>
      </c>
      <c r="CL3" s="265">
        <v>2</v>
      </c>
      <c r="CM3" s="265">
        <v>3</v>
      </c>
      <c r="CN3" s="326">
        <v>4</v>
      </c>
      <c r="CO3" s="325">
        <v>1</v>
      </c>
      <c r="CP3" s="265">
        <v>2</v>
      </c>
      <c r="CQ3" s="265">
        <v>3</v>
      </c>
      <c r="CR3" s="326">
        <v>4</v>
      </c>
      <c r="CS3" s="325">
        <v>1</v>
      </c>
      <c r="CT3" s="265">
        <v>2</v>
      </c>
      <c r="CU3" s="265">
        <v>3</v>
      </c>
      <c r="CV3" s="326">
        <v>4</v>
      </c>
      <c r="CW3" s="325">
        <v>1</v>
      </c>
      <c r="CX3" s="265">
        <v>2</v>
      </c>
      <c r="CY3" s="265">
        <v>3</v>
      </c>
      <c r="CZ3" s="326">
        <v>4</v>
      </c>
      <c r="DA3" s="325">
        <v>1</v>
      </c>
      <c r="DB3" s="265">
        <v>2</v>
      </c>
      <c r="DC3" s="265">
        <v>3</v>
      </c>
      <c r="DD3" s="326">
        <v>4</v>
      </c>
      <c r="DF3" s="1674"/>
      <c r="DH3" s="1347"/>
      <c r="DI3" s="1345"/>
      <c r="DJ3" s="103">
        <v>2023</v>
      </c>
      <c r="DK3" s="1090">
        <v>2024</v>
      </c>
      <c r="DL3" s="1091">
        <v>2025</v>
      </c>
      <c r="DM3" s="1090">
        <v>2026</v>
      </c>
      <c r="DN3" s="1091">
        <v>2027</v>
      </c>
      <c r="DO3" s="1090">
        <v>2028</v>
      </c>
      <c r="DP3" s="1091">
        <v>2029</v>
      </c>
      <c r="DQ3" s="1090">
        <v>2030</v>
      </c>
      <c r="DR3" s="1091">
        <v>2031</v>
      </c>
      <c r="DS3" s="1134">
        <v>2032</v>
      </c>
      <c r="DT3" s="338"/>
      <c r="GT3" s="300"/>
      <c r="GU3" s="300"/>
      <c r="GV3" s="300">
        <v>1</v>
      </c>
      <c r="GW3" s="300">
        <v>2</v>
      </c>
      <c r="GX3" s="300">
        <v>3</v>
      </c>
      <c r="GY3" s="300">
        <v>4</v>
      </c>
      <c r="GZ3" s="300">
        <v>1</v>
      </c>
      <c r="HA3" s="300">
        <v>2</v>
      </c>
      <c r="HB3" s="300">
        <v>3</v>
      </c>
      <c r="HC3" s="300">
        <v>4</v>
      </c>
      <c r="HD3" s="300">
        <v>1</v>
      </c>
      <c r="HE3" s="300">
        <v>2</v>
      </c>
      <c r="HF3" s="300">
        <v>3</v>
      </c>
      <c r="HG3" s="300">
        <v>4</v>
      </c>
      <c r="HH3" s="300">
        <v>1</v>
      </c>
      <c r="HI3" s="300">
        <v>2</v>
      </c>
      <c r="HJ3" s="300">
        <v>3</v>
      </c>
      <c r="HK3" s="300">
        <v>4</v>
      </c>
      <c r="HL3" s="300">
        <v>1</v>
      </c>
      <c r="HM3" s="300">
        <v>2</v>
      </c>
      <c r="HN3" s="300">
        <v>3</v>
      </c>
      <c r="HO3" s="300">
        <v>4</v>
      </c>
    </row>
    <row r="4" spans="1:223">
      <c r="A4" s="1333">
        <v>1</v>
      </c>
      <c r="B4" s="1095" t="s">
        <v>209</v>
      </c>
      <c r="C4" s="313" cm="1">
        <f t="array" ref="C4:AP4">'[4]Aglis Total Tonnage'!$C$7:$AP$7</f>
        <v>8.9519999999999964</v>
      </c>
      <c r="D4" s="313">
        <v>9.1011999999999968</v>
      </c>
      <c r="E4" s="313">
        <v>9.2563679999999966</v>
      </c>
      <c r="F4" s="313">
        <v>9.3876639999999956</v>
      </c>
      <c r="G4" s="313">
        <v>9.8128243199999972</v>
      </c>
      <c r="H4" s="313">
        <v>9.9041347199999983</v>
      </c>
      <c r="I4" s="313">
        <v>9.9041347199999983</v>
      </c>
      <c r="J4" s="313">
        <v>9.9589209599999968</v>
      </c>
      <c r="K4" s="313">
        <v>10.276072415999998</v>
      </c>
      <c r="L4" s="313">
        <v>10.375418131199998</v>
      </c>
      <c r="M4" s="313">
        <v>10.412672774399997</v>
      </c>
      <c r="N4" s="313">
        <v>10.487182060799997</v>
      </c>
      <c r="O4" s="313">
        <v>10.829924778239999</v>
      </c>
      <c r="P4" s="313">
        <v>10.994590301183997</v>
      </c>
      <c r="Q4" s="313">
        <v>11.190922270847997</v>
      </c>
      <c r="R4" s="313">
        <v>11.463253712639998</v>
      </c>
      <c r="S4" s="313">
        <v>11.841097754903037</v>
      </c>
      <c r="T4" s="313">
        <v>12.164095511447037</v>
      </c>
      <c r="U4" s="313">
        <v>12.487093267991037</v>
      </c>
      <c r="V4" s="313">
        <v>12.810091024535039</v>
      </c>
      <c r="W4" s="313">
        <v>13.222288814023656</v>
      </c>
      <c r="X4" s="313">
        <v>13.547480373640569</v>
      </c>
      <c r="Y4" s="313">
        <v>13.872671933257481</v>
      </c>
      <c r="Z4" s="313">
        <v>14.197863492874394</v>
      </c>
      <c r="AA4" s="313">
        <v>14.523055052491307</v>
      </c>
      <c r="AB4" s="313">
        <v>14.523055052491307</v>
      </c>
      <c r="AC4" s="313">
        <v>14.523055052491307</v>
      </c>
      <c r="AD4" s="313">
        <v>14.523055052491307</v>
      </c>
      <c r="AE4" s="313">
        <v>14.523055052491307</v>
      </c>
      <c r="AF4" s="313">
        <v>14.523055052491307</v>
      </c>
      <c r="AG4" s="313">
        <v>14.523055052491307</v>
      </c>
      <c r="AH4" s="313">
        <v>14.523055052491307</v>
      </c>
      <c r="AI4" s="313">
        <v>14.523055052491307</v>
      </c>
      <c r="AJ4" s="313">
        <v>14.445009078183247</v>
      </c>
      <c r="AK4" s="313">
        <v>14.445009078183247</v>
      </c>
      <c r="AL4" s="313">
        <v>14.445009078183247</v>
      </c>
      <c r="AM4" s="313">
        <v>14.386474597452203</v>
      </c>
      <c r="AN4" s="313">
        <v>14.386474597452203</v>
      </c>
      <c r="AO4" s="313">
        <v>14.386474597452203</v>
      </c>
      <c r="AP4" s="313">
        <v>14.386474597452203</v>
      </c>
      <c r="AQ4" s="106"/>
      <c r="AS4" s="1333">
        <v>1</v>
      </c>
      <c r="AT4" s="1095" t="s">
        <v>209</v>
      </c>
      <c r="AU4" s="738">
        <f>AVERAGE(C4:F4)</f>
        <v>9.1743079999999964</v>
      </c>
      <c r="AV4" s="738">
        <f>AVERAGE(G4:J4)</f>
        <v>9.8950036799999985</v>
      </c>
      <c r="AW4" s="738">
        <f>AVERAGE(K4:N4)</f>
        <v>10.387836345599998</v>
      </c>
      <c r="AX4" s="738">
        <f>AVERAGE(O4:R4)</f>
        <v>11.119672765727998</v>
      </c>
      <c r="AY4" s="738">
        <f>AVERAGE(S4:V4)</f>
        <v>12.325594389719038</v>
      </c>
      <c r="AZ4" s="738">
        <f>AVERAGE(W4:Z4)</f>
        <v>13.710076153449023</v>
      </c>
      <c r="BA4" s="738">
        <f>AVERAGE(AA4:AD4)</f>
        <v>14.523055052491307</v>
      </c>
      <c r="BB4" s="738">
        <f>AVERAGE(AE4:AH4)</f>
        <v>14.523055052491307</v>
      </c>
      <c r="BC4" s="738">
        <f>AVERAGE(AI4:AL4)</f>
        <v>14.464520571760263</v>
      </c>
      <c r="BD4" s="736">
        <f>AVERAGE(AM4:AP4)</f>
        <v>14.386474597452203</v>
      </c>
      <c r="BE4" s="296"/>
      <c r="BF4" s="967">
        <f>1.05*BJ4</f>
        <v>0.82816506384251987</v>
      </c>
      <c r="BG4" s="1333">
        <v>1</v>
      </c>
      <c r="BH4" s="665" t="s">
        <v>209</v>
      </c>
      <c r="BI4" s="732">
        <f>0.953*BJ4</f>
        <v>0.7516583865161155</v>
      </c>
      <c r="BJ4" s="983">
        <v>0.78872863223097123</v>
      </c>
      <c r="BK4" s="1678">
        <v>1</v>
      </c>
      <c r="BL4" s="665" t="s">
        <v>211</v>
      </c>
      <c r="BM4" s="717">
        <f>14316.75*BI4</f>
        <v>10761.305205154596</v>
      </c>
      <c r="BO4" s="1333">
        <v>1</v>
      </c>
      <c r="BP4" s="87" t="s">
        <v>209</v>
      </c>
      <c r="BQ4" s="335">
        <f>'No. of aircraft'!AF34</f>
        <v>1</v>
      </c>
      <c r="BR4" s="335">
        <f>'No. of aircraft'!AG34</f>
        <v>1</v>
      </c>
      <c r="BS4" s="335">
        <f>'No. of aircraft'!AH34</f>
        <v>1</v>
      </c>
      <c r="BT4" s="335">
        <f>'No. of aircraft'!AI34</f>
        <v>1</v>
      </c>
      <c r="BU4" s="335">
        <f>'No. of aircraft'!AJ34</f>
        <v>1</v>
      </c>
      <c r="BV4" s="335">
        <f>'No. of aircraft'!AK34</f>
        <v>1</v>
      </c>
      <c r="BW4" s="335">
        <f>'No. of aircraft'!AL34</f>
        <v>1</v>
      </c>
      <c r="BX4" s="335">
        <f>'No. of aircraft'!AM34</f>
        <v>1</v>
      </c>
      <c r="BY4" s="335">
        <f>'No. of aircraft'!AN34</f>
        <v>1</v>
      </c>
      <c r="BZ4" s="335">
        <f>'No. of aircraft'!AO34</f>
        <v>1</v>
      </c>
      <c r="CA4" s="335">
        <f>'No. of aircraft'!AP34</f>
        <v>1</v>
      </c>
      <c r="CB4" s="335">
        <f>'No. of aircraft'!AQ34</f>
        <v>1</v>
      </c>
      <c r="CC4" s="335">
        <f>'No. of aircraft'!AR34</f>
        <v>1</v>
      </c>
      <c r="CD4" s="335">
        <f>'No. of aircraft'!AS34</f>
        <v>1</v>
      </c>
      <c r="CE4" s="335">
        <f>'No. of aircraft'!AT34</f>
        <v>1</v>
      </c>
      <c r="CF4" s="335">
        <f>'No. of aircraft'!AU34</f>
        <v>1</v>
      </c>
      <c r="CG4" s="335">
        <f>'No. of aircraft'!AV34</f>
        <v>1</v>
      </c>
      <c r="CH4" s="335">
        <f>'No. of aircraft'!AW34</f>
        <v>1</v>
      </c>
      <c r="CI4" s="335">
        <f>'No. of aircraft'!AX34</f>
        <v>1</v>
      </c>
      <c r="CJ4" s="335">
        <f>'No. of aircraft'!AY34</f>
        <v>1</v>
      </c>
      <c r="CK4" s="335">
        <v>1</v>
      </c>
      <c r="CL4" s="335">
        <v>1</v>
      </c>
      <c r="CM4" s="335">
        <v>1</v>
      </c>
      <c r="CN4" s="335">
        <v>1</v>
      </c>
      <c r="CO4" s="335">
        <v>1</v>
      </c>
      <c r="CP4" s="335">
        <v>1</v>
      </c>
      <c r="CQ4" s="335">
        <v>1</v>
      </c>
      <c r="CR4" s="335">
        <v>1</v>
      </c>
      <c r="CS4" s="335">
        <v>1</v>
      </c>
      <c r="CT4" s="335">
        <v>1</v>
      </c>
      <c r="CU4" s="335">
        <v>1</v>
      </c>
      <c r="CV4" s="335">
        <v>1</v>
      </c>
      <c r="CW4" s="335">
        <v>1</v>
      </c>
      <c r="CX4" s="335">
        <v>1</v>
      </c>
      <c r="CY4" s="335">
        <v>1</v>
      </c>
      <c r="CZ4" s="335">
        <v>1</v>
      </c>
      <c r="DA4" s="335">
        <v>1</v>
      </c>
      <c r="DB4" s="335">
        <v>1</v>
      </c>
      <c r="DC4" s="335">
        <v>1</v>
      </c>
      <c r="DD4" s="335">
        <v>1</v>
      </c>
      <c r="DF4" s="1674"/>
      <c r="DH4" s="1333">
        <v>1</v>
      </c>
      <c r="DI4" s="508" t="str" cm="1">
        <f t="array" ref="DI4:DI20">TRANSPOSE('Cost Structure'!AD8:AT8)</f>
        <v>PLM-SUB</v>
      </c>
      <c r="DJ4" s="1124" cm="1">
        <f t="array" ref="DJ4:DJ12">TRANSPOSE([5]Year1!$E$43:$M$43)</f>
        <v>9243.3882590484409</v>
      </c>
      <c r="DK4" s="1107" cm="1">
        <f t="array" ref="DK4:DK12">TRANSPOSE([5]Year2!$E$43:$M$43)</f>
        <v>9216.7056800882347</v>
      </c>
      <c r="DL4" s="1107" cm="1">
        <f t="array" ref="DL4:DL16">TRANSPOSE([5]Year3!$E$43:$Q$43)</f>
        <v>9243.3882590484409</v>
      </c>
      <c r="DM4" s="1107" cm="1">
        <f t="array" ref="DM4:DM20">TRANSPOSE([5]Year4!$E$43:$U$43)</f>
        <v>9243.3882590484409</v>
      </c>
      <c r="DN4" s="1107" cm="1">
        <f t="array" ref="DN4:DN20">TRANSPOSE([5]Year5!$E$43:$U$43)</f>
        <v>9243.3882590484409</v>
      </c>
      <c r="DO4" s="1107" cm="1">
        <f t="array" ref="DO4:DO20">TRANSPOSE([5]Year6!$E$43:$U$43)</f>
        <v>9243.3882590484409</v>
      </c>
      <c r="DP4" s="1107" cm="1">
        <f t="array" ref="DP4:DP20">TRANSPOSE([5]Year7!$E$43:$U$43)</f>
        <v>9443.5076012499849</v>
      </c>
      <c r="DQ4" s="1107" cm="1">
        <f t="array" ref="DQ4:DQ20">TRANSPOSE([5]Year8!$E$43:$U$43)</f>
        <v>9243.3882590484409</v>
      </c>
      <c r="DR4" s="1107" cm="1">
        <f t="array" ref="DR4:DR20">TRANSPOSE([5]Year9!$E$43:$U$43)</f>
        <v>9243.3882590484409</v>
      </c>
      <c r="DS4" s="1107" cm="1">
        <f t="array" ref="DS4:DS20">TRANSPOSE([5]Year10!$E$42:$U$42)</f>
        <v>4892.1918469793191</v>
      </c>
      <c r="GT4" s="1392">
        <v>1</v>
      </c>
      <c r="GU4" s="77" t="s">
        <v>209</v>
      </c>
      <c r="GV4" s="345">
        <f>'No. of aircraft'!AF122</f>
        <v>1</v>
      </c>
      <c r="GW4" s="345">
        <f>'No. of aircraft'!AG122</f>
        <v>1</v>
      </c>
      <c r="GX4" s="345">
        <f>'No. of aircraft'!AH122</f>
        <v>1</v>
      </c>
      <c r="GY4" s="345">
        <f>'No. of aircraft'!AI122</f>
        <v>1</v>
      </c>
      <c r="GZ4" s="345">
        <f>'No. of aircraft'!AJ122</f>
        <v>1</v>
      </c>
      <c r="HA4" s="345">
        <f>'No. of aircraft'!AK122</f>
        <v>1</v>
      </c>
      <c r="HB4" s="345">
        <f>'No. of aircraft'!AL122</f>
        <v>1</v>
      </c>
      <c r="HC4" s="345">
        <f>'No. of aircraft'!AM122</f>
        <v>1</v>
      </c>
      <c r="HD4" s="345">
        <f>'No. of aircraft'!AN122</f>
        <v>1</v>
      </c>
      <c r="HE4" s="345">
        <f>'No. of aircraft'!AO122</f>
        <v>1</v>
      </c>
      <c r="HF4" s="345">
        <f>'No. of aircraft'!AP122</f>
        <v>1</v>
      </c>
      <c r="HG4" s="345">
        <f>'No. of aircraft'!AQ122</f>
        <v>1</v>
      </c>
      <c r="HH4" s="345">
        <f>'No. of aircraft'!AR122</f>
        <v>1</v>
      </c>
      <c r="HI4" s="345">
        <f>'No. of aircraft'!AS122</f>
        <v>1</v>
      </c>
      <c r="HJ4" s="345">
        <f>'No. of aircraft'!AT122</f>
        <v>1</v>
      </c>
      <c r="HK4" s="345">
        <f>'No. of aircraft'!AU122</f>
        <v>1</v>
      </c>
      <c r="HL4" s="345">
        <f>'No. of aircraft'!AV122</f>
        <v>1</v>
      </c>
      <c r="HM4" s="345">
        <f>'No. of aircraft'!AW122</f>
        <v>1</v>
      </c>
      <c r="HN4" s="345">
        <f>'No. of aircraft'!AX122</f>
        <v>1</v>
      </c>
      <c r="HO4" s="345">
        <f>'No. of aircraft'!AY122</f>
        <v>1</v>
      </c>
    </row>
    <row r="5" spans="1:223">
      <c r="A5" s="1333"/>
      <c r="B5" s="1095" t="s">
        <v>210</v>
      </c>
      <c r="C5" s="313" cm="1">
        <f t="array" ref="C5:AP5">'[4]Aglis Total Tonnage'!$C$8:$AP$8</f>
        <v>12.041999999999998</v>
      </c>
      <c r="D5" s="313">
        <v>12.041999999999998</v>
      </c>
      <c r="E5" s="313">
        <v>12.041999999999998</v>
      </c>
      <c r="F5" s="313">
        <v>12.041999999999998</v>
      </c>
      <c r="G5" s="313">
        <v>12.772681538215602</v>
      </c>
      <c r="H5" s="313">
        <v>13.274254476872771</v>
      </c>
      <c r="I5" s="313">
        <v>13.583185975768073</v>
      </c>
      <c r="J5" s="313">
        <v>13.988438194544331</v>
      </c>
      <c r="K5" s="313">
        <v>15.144819680785233</v>
      </c>
      <c r="L5" s="313">
        <v>15.571006581079363</v>
      </c>
      <c r="M5" s="313">
        <v>15.997193481373555</v>
      </c>
      <c r="N5" s="313">
        <v>16.423380381667737</v>
      </c>
      <c r="O5" s="313">
        <v>17.727832371896294</v>
      </c>
      <c r="P5" s="313">
        <v>18.176033277328763</v>
      </c>
      <c r="Q5" s="313">
        <v>18.624234182761285</v>
      </c>
      <c r="R5" s="313">
        <v>19.072435088193753</v>
      </c>
      <c r="S5" s="313">
        <v>20.537145090133379</v>
      </c>
      <c r="T5" s="313">
        <v>21.008494905495336</v>
      </c>
      <c r="U5" s="313">
        <v>21.479844720857301</v>
      </c>
      <c r="V5" s="313">
        <v>21.6</v>
      </c>
      <c r="W5" s="313">
        <v>21.6</v>
      </c>
      <c r="X5" s="313">
        <v>21.6</v>
      </c>
      <c r="Y5" s="313">
        <v>21.6</v>
      </c>
      <c r="Z5" s="313">
        <v>21.6</v>
      </c>
      <c r="AA5" s="313">
        <v>21.6</v>
      </c>
      <c r="AB5" s="313">
        <v>21.6</v>
      </c>
      <c r="AC5" s="313">
        <v>21.6</v>
      </c>
      <c r="AD5" s="313">
        <v>21.6</v>
      </c>
      <c r="AE5" s="313">
        <v>21.6</v>
      </c>
      <c r="AF5" s="313">
        <v>21.6</v>
      </c>
      <c r="AG5" s="313">
        <v>21.6</v>
      </c>
      <c r="AH5" s="313">
        <v>21.6</v>
      </c>
      <c r="AI5" s="313">
        <v>21.6</v>
      </c>
      <c r="AJ5" s="313">
        <v>21.6</v>
      </c>
      <c r="AK5" s="313">
        <v>21.6</v>
      </c>
      <c r="AL5" s="313">
        <v>21.6</v>
      </c>
      <c r="AM5" s="313">
        <v>21.6</v>
      </c>
      <c r="AN5" s="313">
        <v>21.6</v>
      </c>
      <c r="AO5" s="313">
        <v>21.6</v>
      </c>
      <c r="AP5" s="313">
        <v>21.6</v>
      </c>
      <c r="AQ5" s="106"/>
      <c r="AS5" s="1333"/>
      <c r="AT5" s="1095" t="s">
        <v>210</v>
      </c>
      <c r="AU5" s="738">
        <f t="shared" ref="AU5:AU12" si="0">AVERAGE(C5:F5)</f>
        <v>12.041999999999998</v>
      </c>
      <c r="AV5" s="738">
        <f t="shared" ref="AV5:AV12" si="1">AVERAGE(G5:J5)</f>
        <v>13.404640046350194</v>
      </c>
      <c r="AW5" s="738">
        <f t="shared" ref="AW5:AW16" si="2">AVERAGE(K5:N5)</f>
        <v>15.784100031226473</v>
      </c>
      <c r="AX5" s="738">
        <f t="shared" ref="AX5:AX20" si="3">AVERAGE(O5:R5)</f>
        <v>18.400133730045024</v>
      </c>
      <c r="AY5" s="738">
        <f t="shared" ref="AY5:AY20" si="4">AVERAGE(S5:V5)</f>
        <v>21.156371179121507</v>
      </c>
      <c r="AZ5" s="738">
        <f t="shared" ref="AZ5:AZ20" si="5">AVERAGE(W5:Z5)</f>
        <v>21.6</v>
      </c>
      <c r="BA5" s="738">
        <f t="shared" ref="BA5:BA16" si="6">AVERAGE(AA5:AD5)</f>
        <v>21.6</v>
      </c>
      <c r="BB5" s="738">
        <f t="shared" ref="BB5:BB16" si="7">AVERAGE(AE5:AH5)</f>
        <v>21.6</v>
      </c>
      <c r="BC5" s="738">
        <f t="shared" ref="BC5:BC16" si="8">AVERAGE(AI5:AL5)</f>
        <v>21.6</v>
      </c>
      <c r="BD5" s="736">
        <f t="shared" ref="BD5:BD16" si="9">AVERAGE(AM5:AP5)</f>
        <v>21.6</v>
      </c>
      <c r="BE5" s="296"/>
      <c r="BF5" s="967">
        <f t="shared" ref="BF5:BF20" si="10">1.05*BJ5</f>
        <v>0.36125499241068681</v>
      </c>
      <c r="BG5" s="1333"/>
      <c r="BH5" s="665" t="s">
        <v>210</v>
      </c>
      <c r="BI5" s="732">
        <f t="shared" ref="BI5:BI8" si="11">0.953*BJ5</f>
        <v>0.32788191215941381</v>
      </c>
      <c r="BJ5" s="983">
        <v>0.34405237372446362</v>
      </c>
      <c r="BK5" s="1357"/>
      <c r="BL5" s="665" t="s">
        <v>212</v>
      </c>
      <c r="BM5" s="717">
        <f t="shared" ref="BM5:BM20" si="12">14316.75*BI5</f>
        <v>4694.2033659082881</v>
      </c>
      <c r="BO5" s="1333"/>
      <c r="BP5" s="87" t="s">
        <v>210</v>
      </c>
      <c r="BQ5" s="335">
        <f>'No. of aircraft'!AF35</f>
        <v>1</v>
      </c>
      <c r="BR5" s="335">
        <f>'No. of aircraft'!AG35</f>
        <v>1</v>
      </c>
      <c r="BS5" s="335">
        <f>'No. of aircraft'!AH35</f>
        <v>1</v>
      </c>
      <c r="BT5" s="335">
        <f>'No. of aircraft'!AI35</f>
        <v>1</v>
      </c>
      <c r="BU5" s="335">
        <f>'No. of aircraft'!AJ35</f>
        <v>1</v>
      </c>
      <c r="BV5" s="335">
        <f>'No. of aircraft'!AK35</f>
        <v>1</v>
      </c>
      <c r="BW5" s="335">
        <f>'No. of aircraft'!AL35</f>
        <v>1</v>
      </c>
      <c r="BX5" s="335">
        <f>'No. of aircraft'!AM35</f>
        <v>1</v>
      </c>
      <c r="BY5" s="335">
        <f>'No. of aircraft'!AN35</f>
        <v>1</v>
      </c>
      <c r="BZ5" s="335">
        <f>'No. of aircraft'!AO35</f>
        <v>1</v>
      </c>
      <c r="CA5" s="335">
        <f>'No. of aircraft'!AP35</f>
        <v>1</v>
      </c>
      <c r="CB5" s="335">
        <f>'No. of aircraft'!AQ35</f>
        <v>1</v>
      </c>
      <c r="CC5" s="335">
        <f>'No. of aircraft'!AR35</f>
        <v>1</v>
      </c>
      <c r="CD5" s="335">
        <f>'No. of aircraft'!AS35</f>
        <v>1</v>
      </c>
      <c r="CE5" s="335">
        <f>'No. of aircraft'!AT35</f>
        <v>1</v>
      </c>
      <c r="CF5" s="335">
        <f>'No. of aircraft'!AU35</f>
        <v>1</v>
      </c>
      <c r="CG5" s="335">
        <f>'No. of aircraft'!AV35</f>
        <v>1</v>
      </c>
      <c r="CH5" s="335">
        <f>'No. of aircraft'!AW35</f>
        <v>1</v>
      </c>
      <c r="CI5" s="335">
        <f>'No. of aircraft'!AX35</f>
        <v>1</v>
      </c>
      <c r="CJ5" s="335">
        <f>'No. of aircraft'!AY35</f>
        <v>1</v>
      </c>
      <c r="CK5" s="335">
        <v>1</v>
      </c>
      <c r="CL5" s="335">
        <v>1</v>
      </c>
      <c r="CM5" s="335">
        <v>1</v>
      </c>
      <c r="CN5" s="335">
        <v>1</v>
      </c>
      <c r="CO5" s="335">
        <v>1</v>
      </c>
      <c r="CP5" s="335">
        <v>1</v>
      </c>
      <c r="CQ5" s="335">
        <v>1</v>
      </c>
      <c r="CR5" s="335">
        <v>1</v>
      </c>
      <c r="CS5" s="335">
        <v>1</v>
      </c>
      <c r="CT5" s="335">
        <v>1</v>
      </c>
      <c r="CU5" s="335">
        <v>1</v>
      </c>
      <c r="CV5" s="335">
        <v>1</v>
      </c>
      <c r="CW5" s="335">
        <v>1</v>
      </c>
      <c r="CX5" s="335">
        <v>1</v>
      </c>
      <c r="CY5" s="335">
        <v>1</v>
      </c>
      <c r="CZ5" s="335">
        <v>1</v>
      </c>
      <c r="DA5" s="335">
        <v>1</v>
      </c>
      <c r="DB5" s="335">
        <v>1</v>
      </c>
      <c r="DC5" s="335">
        <v>1</v>
      </c>
      <c r="DD5" s="335">
        <v>1</v>
      </c>
      <c r="DF5" s="1674"/>
      <c r="DH5" s="1333"/>
      <c r="DI5" s="496" t="str">
        <v>SUB-CGK</v>
      </c>
      <c r="DJ5" s="1125">
        <v>7688.4429693628999</v>
      </c>
      <c r="DK5" s="1107">
        <v>7665.8041004917068</v>
      </c>
      <c r="DL5" s="1107">
        <v>7688.4429693628999</v>
      </c>
      <c r="DM5" s="1107">
        <v>7688.4429693628999</v>
      </c>
      <c r="DN5" s="1107">
        <v>7688.4429693628999</v>
      </c>
      <c r="DO5" s="1107">
        <v>7688.4429693628999</v>
      </c>
      <c r="DP5" s="1107">
        <v>7858.2344858968518</v>
      </c>
      <c r="DQ5" s="1107">
        <v>7688.4429693628999</v>
      </c>
      <c r="DR5" s="1107">
        <v>7688.4429693628999</v>
      </c>
      <c r="DS5" s="1107">
        <v>5343.1234968604031</v>
      </c>
      <c r="GT5" s="1392"/>
      <c r="GU5" s="164" t="s">
        <v>210</v>
      </c>
      <c r="GV5" s="345">
        <f>'No. of aircraft'!AF123</f>
        <v>1</v>
      </c>
      <c r="GW5" s="345">
        <f>'No. of aircraft'!AG123</f>
        <v>1</v>
      </c>
      <c r="GX5" s="345">
        <f>'No. of aircraft'!AH123</f>
        <v>1</v>
      </c>
      <c r="GY5" s="345">
        <f>'No. of aircraft'!AI123</f>
        <v>1</v>
      </c>
      <c r="GZ5" s="345">
        <f>'No. of aircraft'!AJ123</f>
        <v>1</v>
      </c>
      <c r="HA5" s="345">
        <f>'No. of aircraft'!AK123</f>
        <v>1</v>
      </c>
      <c r="HB5" s="345">
        <f>'No. of aircraft'!AL123</f>
        <v>1</v>
      </c>
      <c r="HC5" s="345">
        <f>'No. of aircraft'!AM123</f>
        <v>1</v>
      </c>
      <c r="HD5" s="345">
        <f>'No. of aircraft'!AN123</f>
        <v>1</v>
      </c>
      <c r="HE5" s="345">
        <f>'No. of aircraft'!AO123</f>
        <v>1</v>
      </c>
      <c r="HF5" s="345">
        <f>'No. of aircraft'!AP123</f>
        <v>1</v>
      </c>
      <c r="HG5" s="345">
        <f>'No. of aircraft'!AQ123</f>
        <v>1</v>
      </c>
      <c r="HH5" s="345">
        <f>'No. of aircraft'!AR123</f>
        <v>1</v>
      </c>
      <c r="HI5" s="345">
        <f>'No. of aircraft'!AS123</f>
        <v>1</v>
      </c>
      <c r="HJ5" s="345">
        <f>'No. of aircraft'!AT123</f>
        <v>1</v>
      </c>
      <c r="HK5" s="345">
        <f>'No. of aircraft'!AU123</f>
        <v>1</v>
      </c>
      <c r="HL5" s="345">
        <f>'No. of aircraft'!AV123</f>
        <v>1</v>
      </c>
      <c r="HM5" s="345">
        <f>'No. of aircraft'!AW123</f>
        <v>1</v>
      </c>
      <c r="HN5" s="345">
        <f>'No. of aircraft'!AX123</f>
        <v>1</v>
      </c>
      <c r="HO5" s="345">
        <f>'No. of aircraft'!AY123</f>
        <v>1</v>
      </c>
    </row>
    <row r="6" spans="1:223">
      <c r="A6" s="1333"/>
      <c r="B6" s="1095" t="s">
        <v>211</v>
      </c>
      <c r="C6" s="313" cm="1">
        <f t="array" ref="C6:AP8">'[4]Aglis Total Tonnage'!$C$4:$AP$6</f>
        <v>7.1000000000000005</v>
      </c>
      <c r="D6" s="313">
        <v>6.6370799999999983</v>
      </c>
      <c r="E6" s="313">
        <v>7.037519999999998</v>
      </c>
      <c r="F6" s="313">
        <v>7.4493199999999993</v>
      </c>
      <c r="G6" s="313">
        <v>8.2037102870813428</v>
      </c>
      <c r="H6" s="313">
        <v>8.4346921037089668</v>
      </c>
      <c r="I6" s="313">
        <v>8.5769596650717741</v>
      </c>
      <c r="J6" s="313">
        <v>8.7635843540669924</v>
      </c>
      <c r="K6" s="313">
        <v>8.9873220000000007</v>
      </c>
      <c r="L6" s="313">
        <v>9.0907377599999997</v>
      </c>
      <c r="M6" s="313">
        <v>9.2519305019305058</v>
      </c>
      <c r="N6" s="313">
        <v>9.2519305019305058</v>
      </c>
      <c r="O6" s="313">
        <v>9.4369691119691161</v>
      </c>
      <c r="P6" s="313">
        <v>9.4369691119691161</v>
      </c>
      <c r="Q6" s="313">
        <v>9.4369691119691161</v>
      </c>
      <c r="R6" s="313">
        <v>9.4282671024000013</v>
      </c>
      <c r="S6" s="313">
        <v>9.6219559566720001</v>
      </c>
      <c r="T6" s="313">
        <v>9.6257084942084976</v>
      </c>
      <c r="U6" s="313">
        <v>9.6257084942084976</v>
      </c>
      <c r="V6" s="313">
        <v>9.6257084942084976</v>
      </c>
      <c r="W6" s="313">
        <v>9.8300730232108808</v>
      </c>
      <c r="X6" s="313">
        <v>9.8300730232108791</v>
      </c>
      <c r="Y6" s="313">
        <v>9.8300730232108791</v>
      </c>
      <c r="Z6" s="313">
        <v>9.8300730232108791</v>
      </c>
      <c r="AA6" s="313">
        <v>10.026674483675098</v>
      </c>
      <c r="AB6" s="313">
        <v>10.0266744836751</v>
      </c>
      <c r="AC6" s="313">
        <v>10.053326994264348</v>
      </c>
      <c r="AD6" s="313">
        <v>10.014587117374521</v>
      </c>
      <c r="AE6" s="313">
        <v>10.214878859722013</v>
      </c>
      <c r="AF6" s="313">
        <v>10.214878859722013</v>
      </c>
      <c r="AG6" s="313">
        <v>10.2272079733486</v>
      </c>
      <c r="AH6" s="313">
        <v>10.2272079733486</v>
      </c>
      <c r="AI6" s="313">
        <v>10.392931151991696</v>
      </c>
      <c r="AJ6" s="313">
        <v>10.392931151991698</v>
      </c>
      <c r="AK6" s="313">
        <v>10.392931151991698</v>
      </c>
      <c r="AL6" s="313">
        <v>10.392931151991698</v>
      </c>
      <c r="AM6" s="313">
        <v>10.549878831608222</v>
      </c>
      <c r="AN6" s="313">
        <v>10.549878831608222</v>
      </c>
      <c r="AO6" s="313">
        <v>10.549878831608222</v>
      </c>
      <c r="AP6" s="313">
        <v>10.549878831608222</v>
      </c>
      <c r="AQ6" s="106"/>
      <c r="AS6" s="1333"/>
      <c r="AT6" s="1095" t="s">
        <v>211</v>
      </c>
      <c r="AU6" s="738">
        <f t="shared" si="0"/>
        <v>7.055979999999999</v>
      </c>
      <c r="AV6" s="738">
        <f t="shared" si="1"/>
        <v>8.4947366024822699</v>
      </c>
      <c r="AW6" s="738">
        <f t="shared" si="2"/>
        <v>9.1454801909652534</v>
      </c>
      <c r="AX6" s="738">
        <f t="shared" si="3"/>
        <v>9.4347936095768379</v>
      </c>
      <c r="AY6" s="738">
        <f t="shared" si="4"/>
        <v>9.6247703598243728</v>
      </c>
      <c r="AZ6" s="738">
        <f t="shared" si="5"/>
        <v>9.8300730232108791</v>
      </c>
      <c r="BA6" s="738">
        <f t="shared" si="6"/>
        <v>10.030315769747265</v>
      </c>
      <c r="BB6" s="738">
        <f t="shared" si="7"/>
        <v>10.221043416535306</v>
      </c>
      <c r="BC6" s="738">
        <f t="shared" si="8"/>
        <v>10.392931151991696</v>
      </c>
      <c r="BD6" s="736">
        <f t="shared" si="9"/>
        <v>10.549878831608222</v>
      </c>
      <c r="BE6" s="296"/>
      <c r="BF6" s="967">
        <f t="shared" si="10"/>
        <v>1.3217557107847435</v>
      </c>
      <c r="BG6" s="1333"/>
      <c r="BH6" s="665" t="s">
        <v>211</v>
      </c>
      <c r="BI6" s="732">
        <f t="shared" si="11"/>
        <v>1.1996506594074861</v>
      </c>
      <c r="BJ6" s="983">
        <v>1.2588149626521365</v>
      </c>
      <c r="BK6" s="1357"/>
      <c r="BL6" s="665" t="s">
        <v>213</v>
      </c>
      <c r="BM6" s="717">
        <f t="shared" si="12"/>
        <v>17175.098578072128</v>
      </c>
      <c r="BO6" s="1333"/>
      <c r="BP6" s="87" t="s">
        <v>211</v>
      </c>
      <c r="BQ6" s="335">
        <f>'No. of aircraft'!AF36</f>
        <v>1</v>
      </c>
      <c r="BR6" s="335">
        <f>'No. of aircraft'!AG36</f>
        <v>1</v>
      </c>
      <c r="BS6" s="335">
        <f>'No. of aircraft'!AH36</f>
        <v>1</v>
      </c>
      <c r="BT6" s="335">
        <f>'No. of aircraft'!AI36</f>
        <v>1</v>
      </c>
      <c r="BU6" s="335">
        <f>'No. of aircraft'!AJ36</f>
        <v>1</v>
      </c>
      <c r="BV6" s="335">
        <f>'No. of aircraft'!AK36</f>
        <v>1</v>
      </c>
      <c r="BW6" s="335">
        <f>'No. of aircraft'!AL36</f>
        <v>1</v>
      </c>
      <c r="BX6" s="335">
        <f>'No. of aircraft'!AM36</f>
        <v>1</v>
      </c>
      <c r="BY6" s="335">
        <f>'No. of aircraft'!AN36</f>
        <v>1</v>
      </c>
      <c r="BZ6" s="335">
        <f>'No. of aircraft'!AO36</f>
        <v>1</v>
      </c>
      <c r="CA6" s="335">
        <f>'No. of aircraft'!AP36</f>
        <v>1</v>
      </c>
      <c r="CB6" s="335">
        <f>'No. of aircraft'!AQ36</f>
        <v>1</v>
      </c>
      <c r="CC6" s="335">
        <f>'No. of aircraft'!AR36</f>
        <v>1</v>
      </c>
      <c r="CD6" s="335">
        <f>'No. of aircraft'!AS36</f>
        <v>1</v>
      </c>
      <c r="CE6" s="335">
        <f>'No. of aircraft'!AT36</f>
        <v>1</v>
      </c>
      <c r="CF6" s="335">
        <f>'No. of aircraft'!AU36</f>
        <v>1</v>
      </c>
      <c r="CG6" s="335">
        <f>'No. of aircraft'!AV36</f>
        <v>1</v>
      </c>
      <c r="CH6" s="335">
        <f>'No. of aircraft'!AW36</f>
        <v>1</v>
      </c>
      <c r="CI6" s="335">
        <f>'No. of aircraft'!AX36</f>
        <v>1</v>
      </c>
      <c r="CJ6" s="335">
        <f>'No. of aircraft'!AY36</f>
        <v>1</v>
      </c>
      <c r="CK6" s="335">
        <v>1</v>
      </c>
      <c r="CL6" s="335">
        <v>1</v>
      </c>
      <c r="CM6" s="335">
        <v>1</v>
      </c>
      <c r="CN6" s="335">
        <v>1</v>
      </c>
      <c r="CO6" s="335">
        <v>1</v>
      </c>
      <c r="CP6" s="335">
        <v>1</v>
      </c>
      <c r="CQ6" s="335">
        <v>1</v>
      </c>
      <c r="CR6" s="335">
        <v>1</v>
      </c>
      <c r="CS6" s="335">
        <v>1</v>
      </c>
      <c r="CT6" s="335">
        <v>1</v>
      </c>
      <c r="CU6" s="335">
        <v>1</v>
      </c>
      <c r="CV6" s="335">
        <v>1</v>
      </c>
      <c r="CW6" s="335">
        <v>1</v>
      </c>
      <c r="CX6" s="335">
        <v>1</v>
      </c>
      <c r="CY6" s="335">
        <v>1</v>
      </c>
      <c r="CZ6" s="335">
        <v>1</v>
      </c>
      <c r="DA6" s="335">
        <v>1</v>
      </c>
      <c r="DB6" s="335">
        <v>1</v>
      </c>
      <c r="DC6" s="335">
        <v>1</v>
      </c>
      <c r="DD6" s="335">
        <v>1</v>
      </c>
      <c r="DF6" s="1674"/>
      <c r="DH6" s="1333"/>
      <c r="DI6" s="496" t="str">
        <v>CGK-PKY</v>
      </c>
      <c r="DJ6" s="1125">
        <v>8507.0095111812625</v>
      </c>
      <c r="DK6" s="1107">
        <v>8481.6301854309913</v>
      </c>
      <c r="DL6" s="1107">
        <v>8507.0095111812625</v>
      </c>
      <c r="DM6" s="1107">
        <v>8507.0095111812625</v>
      </c>
      <c r="DN6" s="1107">
        <v>8507.0095111812625</v>
      </c>
      <c r="DO6" s="1107">
        <v>8507.0095111812625</v>
      </c>
      <c r="DP6" s="1107">
        <v>8697.3544543082917</v>
      </c>
      <c r="DQ6" s="1107">
        <v>8507.0095111812625</v>
      </c>
      <c r="DR6" s="1107">
        <v>8507.0095111812625</v>
      </c>
      <c r="DS6" s="1107">
        <v>4877.2197664259747</v>
      </c>
      <c r="GT6" s="1392"/>
      <c r="GU6" s="164" t="s">
        <v>211</v>
      </c>
      <c r="GV6" s="345">
        <f>'No. of aircraft'!AF124</f>
        <v>1</v>
      </c>
      <c r="GW6" s="345">
        <f>'No. of aircraft'!AG124</f>
        <v>1</v>
      </c>
      <c r="GX6" s="345">
        <f>'No. of aircraft'!AH124</f>
        <v>1</v>
      </c>
      <c r="GY6" s="345">
        <f>'No. of aircraft'!AI124</f>
        <v>1</v>
      </c>
      <c r="GZ6" s="345">
        <f>'No. of aircraft'!AJ124</f>
        <v>1</v>
      </c>
      <c r="HA6" s="345">
        <f>'No. of aircraft'!AK124</f>
        <v>1</v>
      </c>
      <c r="HB6" s="345">
        <f>'No. of aircraft'!AL124</f>
        <v>1</v>
      </c>
      <c r="HC6" s="345">
        <f>'No. of aircraft'!AM124</f>
        <v>1</v>
      </c>
      <c r="HD6" s="345">
        <f>'No. of aircraft'!AN124</f>
        <v>1</v>
      </c>
      <c r="HE6" s="345">
        <f>'No. of aircraft'!AO124</f>
        <v>1</v>
      </c>
      <c r="HF6" s="345">
        <f>'No. of aircraft'!AP124</f>
        <v>1</v>
      </c>
      <c r="HG6" s="345">
        <f>'No. of aircraft'!AQ124</f>
        <v>1</v>
      </c>
      <c r="HH6" s="345">
        <f>'No. of aircraft'!AR124</f>
        <v>1</v>
      </c>
      <c r="HI6" s="345">
        <f>'No. of aircraft'!AS124</f>
        <v>1</v>
      </c>
      <c r="HJ6" s="345">
        <f>'No. of aircraft'!AT124</f>
        <v>1</v>
      </c>
      <c r="HK6" s="345">
        <f>'No. of aircraft'!AU124</f>
        <v>1</v>
      </c>
      <c r="HL6" s="345">
        <f>'No. of aircraft'!AV124</f>
        <v>1</v>
      </c>
      <c r="HM6" s="345">
        <f>'No. of aircraft'!AW124</f>
        <v>1</v>
      </c>
      <c r="HN6" s="345">
        <f>'No. of aircraft'!AX124</f>
        <v>1</v>
      </c>
      <c r="HO6" s="345">
        <f>'No. of aircraft'!AY124</f>
        <v>1</v>
      </c>
    </row>
    <row r="7" spans="1:223">
      <c r="A7" s="1333"/>
      <c r="B7" s="1095" t="s">
        <v>212</v>
      </c>
      <c r="C7" s="313">
        <v>12</v>
      </c>
      <c r="D7" s="313">
        <v>12.403866666666666</v>
      </c>
      <c r="E7" s="313">
        <v>12.706400000000002</v>
      </c>
      <c r="F7" s="313">
        <v>13.008933333333333</v>
      </c>
      <c r="G7" s="313">
        <v>14.209070901210247</v>
      </c>
      <c r="H7" s="313">
        <v>14.609138296876401</v>
      </c>
      <c r="I7" s="313">
        <v>14.855549956431187</v>
      </c>
      <c r="J7" s="313">
        <v>15.17878948404166</v>
      </c>
      <c r="K7" s="313">
        <v>15.860825768244529</v>
      </c>
      <c r="L7" s="313">
        <v>15.997265153844529</v>
      </c>
      <c r="M7" s="313">
        <v>16.133704539444526</v>
      </c>
      <c r="N7" s="313">
        <v>16.270143925044525</v>
      </c>
      <c r="O7" s="313">
        <v>16.270143925044525</v>
      </c>
      <c r="P7" s="313">
        <v>16.270143925044525</v>
      </c>
      <c r="Q7" s="313">
        <v>16.270143925044525</v>
      </c>
      <c r="R7" s="313">
        <v>16.270143925044525</v>
      </c>
      <c r="S7" s="313">
        <v>16.270143925044525</v>
      </c>
      <c r="T7" s="313">
        <v>16.270143925044525</v>
      </c>
      <c r="U7" s="313">
        <v>16.374097742644526</v>
      </c>
      <c r="V7" s="313">
        <v>16.374097742644526</v>
      </c>
      <c r="W7" s="313">
        <v>16.374097742644526</v>
      </c>
      <c r="X7" s="313">
        <v>16.478051560244527</v>
      </c>
      <c r="Y7" s="313">
        <v>16.478051560244527</v>
      </c>
      <c r="Z7" s="313">
        <v>16.478051560244527</v>
      </c>
      <c r="AA7" s="313">
        <v>16.478051560244527</v>
      </c>
      <c r="AB7" s="313">
        <v>16.478051560244527</v>
      </c>
      <c r="AC7" s="313">
        <v>15.997174054352177</v>
      </c>
      <c r="AD7" s="313">
        <v>15.997174054352177</v>
      </c>
      <c r="AE7" s="313">
        <v>15.997174054352177</v>
      </c>
      <c r="AF7" s="313">
        <v>15.997174054352177</v>
      </c>
      <c r="AG7" s="313">
        <v>16.517034241844524</v>
      </c>
      <c r="AH7" s="313">
        <v>16.588502491444526</v>
      </c>
      <c r="AI7" s="313">
        <v>16.471554446644525</v>
      </c>
      <c r="AJ7" s="313">
        <v>16.471554446644525</v>
      </c>
      <c r="AK7" s="313">
        <v>16.471554446644525</v>
      </c>
      <c r="AL7" s="313">
        <v>16.543022696244524</v>
      </c>
      <c r="AM7" s="313">
        <v>16.413080424244527</v>
      </c>
      <c r="AN7" s="313">
        <v>16.413080424244527</v>
      </c>
      <c r="AO7" s="313">
        <v>16.413080424244527</v>
      </c>
      <c r="AP7" s="313">
        <v>16.484548673844525</v>
      </c>
      <c r="AQ7" s="106"/>
      <c r="AS7" s="1333"/>
      <c r="AT7" s="1095" t="s">
        <v>212</v>
      </c>
      <c r="AU7" s="738">
        <f t="shared" si="0"/>
        <v>12.5298</v>
      </c>
      <c r="AV7" s="738">
        <f t="shared" si="1"/>
        <v>14.713137159639874</v>
      </c>
      <c r="AW7" s="738">
        <f t="shared" si="2"/>
        <v>16.065484846644527</v>
      </c>
      <c r="AX7" s="738">
        <f t="shared" si="3"/>
        <v>16.270143925044525</v>
      </c>
      <c r="AY7" s="738">
        <f t="shared" si="4"/>
        <v>16.322120833844526</v>
      </c>
      <c r="AZ7" s="738">
        <f t="shared" si="5"/>
        <v>16.452063105844527</v>
      </c>
      <c r="BA7" s="738">
        <f t="shared" si="6"/>
        <v>16.237612807298351</v>
      </c>
      <c r="BB7" s="738">
        <f t="shared" si="7"/>
        <v>16.27497121049835</v>
      </c>
      <c r="BC7" s="738">
        <f t="shared" si="8"/>
        <v>16.489421509044526</v>
      </c>
      <c r="BD7" s="736">
        <f t="shared" si="9"/>
        <v>16.430947486644527</v>
      </c>
      <c r="BE7" s="296"/>
      <c r="BF7" s="967">
        <f t="shared" si="10"/>
        <v>0.37459528016588201</v>
      </c>
      <c r="BG7" s="1333"/>
      <c r="BH7" s="665" t="s">
        <v>212</v>
      </c>
      <c r="BI7" s="732">
        <f t="shared" si="11"/>
        <v>0.33998981142674811</v>
      </c>
      <c r="BJ7" s="983">
        <v>0.35675740968179237</v>
      </c>
      <c r="BK7" s="1357"/>
      <c r="BL7" s="665" t="s">
        <v>209</v>
      </c>
      <c r="BM7" s="717">
        <f t="shared" si="12"/>
        <v>4867.5491327438958</v>
      </c>
      <c r="BO7" s="1333"/>
      <c r="BP7" s="87" t="s">
        <v>212</v>
      </c>
      <c r="BQ7" s="335">
        <f>'No. of aircraft'!AF37</f>
        <v>1</v>
      </c>
      <c r="BR7" s="335">
        <f>'No. of aircraft'!AG37</f>
        <v>1</v>
      </c>
      <c r="BS7" s="335">
        <f>'No. of aircraft'!AH37</f>
        <v>1</v>
      </c>
      <c r="BT7" s="335">
        <f>'No. of aircraft'!AI37</f>
        <v>1</v>
      </c>
      <c r="BU7" s="335">
        <f>'No. of aircraft'!AJ37</f>
        <v>1</v>
      </c>
      <c r="BV7" s="335">
        <f>'No. of aircraft'!AK37</f>
        <v>1</v>
      </c>
      <c r="BW7" s="335">
        <f>'No. of aircraft'!AL37</f>
        <v>1</v>
      </c>
      <c r="BX7" s="335">
        <f>'No. of aircraft'!AM37</f>
        <v>1</v>
      </c>
      <c r="BY7" s="335">
        <f>'No. of aircraft'!AN37</f>
        <v>1</v>
      </c>
      <c r="BZ7" s="335">
        <f>'No. of aircraft'!AO37</f>
        <v>1</v>
      </c>
      <c r="CA7" s="335">
        <f>'No. of aircraft'!AP37</f>
        <v>1</v>
      </c>
      <c r="CB7" s="335">
        <f>'No. of aircraft'!AQ37</f>
        <v>1</v>
      </c>
      <c r="CC7" s="335">
        <f>'No. of aircraft'!AR37</f>
        <v>1</v>
      </c>
      <c r="CD7" s="335">
        <f>'No. of aircraft'!AS37</f>
        <v>1</v>
      </c>
      <c r="CE7" s="335">
        <f>'No. of aircraft'!AT37</f>
        <v>1</v>
      </c>
      <c r="CF7" s="335">
        <f>'No. of aircraft'!AU37</f>
        <v>1</v>
      </c>
      <c r="CG7" s="335">
        <f>'No. of aircraft'!AV37</f>
        <v>1</v>
      </c>
      <c r="CH7" s="335">
        <f>'No. of aircraft'!AW37</f>
        <v>1</v>
      </c>
      <c r="CI7" s="335">
        <f>'No. of aircraft'!AX37</f>
        <v>1</v>
      </c>
      <c r="CJ7" s="335">
        <f>'No. of aircraft'!AY37</f>
        <v>1</v>
      </c>
      <c r="CK7" s="335">
        <v>1</v>
      </c>
      <c r="CL7" s="335">
        <v>1</v>
      </c>
      <c r="CM7" s="335">
        <v>1</v>
      </c>
      <c r="CN7" s="335">
        <v>1</v>
      </c>
      <c r="CO7" s="335">
        <v>1</v>
      </c>
      <c r="CP7" s="335">
        <v>1</v>
      </c>
      <c r="CQ7" s="335">
        <v>1</v>
      </c>
      <c r="CR7" s="335">
        <v>1</v>
      </c>
      <c r="CS7" s="335">
        <v>1</v>
      </c>
      <c r="CT7" s="335">
        <v>1</v>
      </c>
      <c r="CU7" s="335">
        <v>1</v>
      </c>
      <c r="CV7" s="335">
        <v>1</v>
      </c>
      <c r="CW7" s="335">
        <v>1</v>
      </c>
      <c r="CX7" s="335">
        <v>1</v>
      </c>
      <c r="CY7" s="335">
        <v>1</v>
      </c>
      <c r="CZ7" s="335">
        <v>1</v>
      </c>
      <c r="DA7" s="335">
        <v>1</v>
      </c>
      <c r="DB7" s="335">
        <v>1</v>
      </c>
      <c r="DC7" s="335">
        <v>1</v>
      </c>
      <c r="DD7" s="335">
        <v>1</v>
      </c>
      <c r="DF7" s="1674"/>
      <c r="DH7" s="1333"/>
      <c r="DI7" s="496" t="str">
        <v>PKY-CGK</v>
      </c>
      <c r="DJ7" s="1125">
        <v>8721.849698142425</v>
      </c>
      <c r="DK7" s="1107">
        <v>8696.4703723921539</v>
      </c>
      <c r="DL7" s="1107">
        <v>8721.849698142425</v>
      </c>
      <c r="DM7" s="1107">
        <v>8721.849698142425</v>
      </c>
      <c r="DN7" s="1107">
        <v>8721.849698142425</v>
      </c>
      <c r="DO7" s="1107">
        <v>8721.849698142425</v>
      </c>
      <c r="DP7" s="1107">
        <v>8912.1946412694542</v>
      </c>
      <c r="DQ7" s="1107">
        <v>8721.849698142425</v>
      </c>
      <c r="DR7" s="1107">
        <v>8721.849698142425</v>
      </c>
      <c r="DS7" s="1107">
        <v>5000.3914644348251</v>
      </c>
      <c r="GT7" s="1392"/>
      <c r="GU7" s="77" t="s">
        <v>212</v>
      </c>
      <c r="GV7" s="345">
        <f>'No. of aircraft'!AF125</f>
        <v>1</v>
      </c>
      <c r="GW7" s="345">
        <f>'No. of aircraft'!AG125</f>
        <v>1</v>
      </c>
      <c r="GX7" s="345">
        <f>'No. of aircraft'!AH125</f>
        <v>1</v>
      </c>
      <c r="GY7" s="345">
        <f>'No. of aircraft'!AI125</f>
        <v>1</v>
      </c>
      <c r="GZ7" s="345">
        <f>'No. of aircraft'!AJ125</f>
        <v>1</v>
      </c>
      <c r="HA7" s="345">
        <f>'No. of aircraft'!AK125</f>
        <v>1</v>
      </c>
      <c r="HB7" s="345">
        <f>'No. of aircraft'!AL125</f>
        <v>1</v>
      </c>
      <c r="HC7" s="345">
        <f>'No. of aircraft'!AM125</f>
        <v>1</v>
      </c>
      <c r="HD7" s="345">
        <f>'No. of aircraft'!AN125</f>
        <v>1</v>
      </c>
      <c r="HE7" s="345">
        <f>'No. of aircraft'!AO125</f>
        <v>1</v>
      </c>
      <c r="HF7" s="345">
        <f>'No. of aircraft'!AP125</f>
        <v>1</v>
      </c>
      <c r="HG7" s="345">
        <f>'No. of aircraft'!AQ125</f>
        <v>1</v>
      </c>
      <c r="HH7" s="345">
        <f>'No. of aircraft'!AR125</f>
        <v>1</v>
      </c>
      <c r="HI7" s="345">
        <f>'No. of aircraft'!AS125</f>
        <v>1</v>
      </c>
      <c r="HJ7" s="345">
        <f>'No. of aircraft'!AT125</f>
        <v>1</v>
      </c>
      <c r="HK7" s="345">
        <f>'No. of aircraft'!AU125</f>
        <v>1</v>
      </c>
      <c r="HL7" s="345">
        <f>'No. of aircraft'!AV125</f>
        <v>1</v>
      </c>
      <c r="HM7" s="345">
        <f>'No. of aircraft'!AW125</f>
        <v>1</v>
      </c>
      <c r="HN7" s="345">
        <f>'No. of aircraft'!AX125</f>
        <v>1</v>
      </c>
      <c r="HO7" s="345">
        <f>'No. of aircraft'!AY125</f>
        <v>1</v>
      </c>
    </row>
    <row r="8" spans="1:223" ht="15" thickBot="1">
      <c r="A8" s="1333"/>
      <c r="B8" s="1095" t="s">
        <v>213</v>
      </c>
      <c r="C8" s="313">
        <v>16.243999999999996</v>
      </c>
      <c r="D8" s="313">
        <v>16.650099999999998</v>
      </c>
      <c r="E8" s="313">
        <v>17.0562</v>
      </c>
      <c r="F8" s="313">
        <v>17.462299999999999</v>
      </c>
      <c r="G8" s="313">
        <v>18.783211448353505</v>
      </c>
      <c r="H8" s="313">
        <v>19.312067313640906</v>
      </c>
      <c r="I8" s="313">
        <v>19.637803059273857</v>
      </c>
      <c r="J8" s="313">
        <v>20.06509886473404</v>
      </c>
      <c r="K8" s="313">
        <v>21.542993989442756</v>
      </c>
      <c r="L8" s="313">
        <v>21.6</v>
      </c>
      <c r="M8" s="313">
        <v>21.6</v>
      </c>
      <c r="N8" s="313">
        <v>21.6</v>
      </c>
      <c r="O8" s="313">
        <v>21.6</v>
      </c>
      <c r="P8" s="313">
        <v>21.6</v>
      </c>
      <c r="Q8" s="313">
        <v>21.6</v>
      </c>
      <c r="R8" s="313">
        <v>21.6</v>
      </c>
      <c r="S8" s="313">
        <v>21.6</v>
      </c>
      <c r="T8" s="313">
        <v>21.6</v>
      </c>
      <c r="U8" s="313">
        <v>21.6</v>
      </c>
      <c r="V8" s="313">
        <v>21.6</v>
      </c>
      <c r="W8" s="313">
        <v>21.6</v>
      </c>
      <c r="X8" s="313">
        <v>21.6</v>
      </c>
      <c r="Y8" s="313">
        <v>21.6</v>
      </c>
      <c r="Z8" s="313">
        <v>21.6</v>
      </c>
      <c r="AA8" s="313">
        <v>21.6</v>
      </c>
      <c r="AB8" s="313">
        <v>21.6</v>
      </c>
      <c r="AC8" s="313">
        <v>21.6</v>
      </c>
      <c r="AD8" s="313">
        <v>21.6</v>
      </c>
      <c r="AE8" s="313">
        <v>21.6</v>
      </c>
      <c r="AF8" s="313">
        <v>21.6</v>
      </c>
      <c r="AG8" s="313">
        <v>21.6</v>
      </c>
      <c r="AH8" s="313">
        <v>21.6</v>
      </c>
      <c r="AI8" s="313">
        <v>21.6</v>
      </c>
      <c r="AJ8" s="313">
        <v>21.6</v>
      </c>
      <c r="AK8" s="313">
        <v>21.6</v>
      </c>
      <c r="AL8" s="313">
        <v>21.6</v>
      </c>
      <c r="AM8" s="313">
        <v>21.6</v>
      </c>
      <c r="AN8" s="313">
        <v>21.6</v>
      </c>
      <c r="AO8" s="313">
        <v>21.6</v>
      </c>
      <c r="AP8" s="313">
        <v>21.6</v>
      </c>
      <c r="AQ8" s="106"/>
      <c r="AS8" s="1333"/>
      <c r="AT8" s="1095" t="s">
        <v>213</v>
      </c>
      <c r="AU8" s="738">
        <f t="shared" si="0"/>
        <v>16.853149999999999</v>
      </c>
      <c r="AV8" s="738">
        <f t="shared" si="1"/>
        <v>19.449545171500574</v>
      </c>
      <c r="AW8" s="738">
        <f t="shared" si="2"/>
        <v>21.58574849736069</v>
      </c>
      <c r="AX8" s="738">
        <f t="shared" si="3"/>
        <v>21.6</v>
      </c>
      <c r="AY8" s="738">
        <f t="shared" si="4"/>
        <v>21.6</v>
      </c>
      <c r="AZ8" s="738">
        <f t="shared" si="5"/>
        <v>21.6</v>
      </c>
      <c r="BA8" s="738">
        <f t="shared" si="6"/>
        <v>21.6</v>
      </c>
      <c r="BB8" s="738">
        <f t="shared" si="7"/>
        <v>21.6</v>
      </c>
      <c r="BC8" s="738">
        <f t="shared" si="8"/>
        <v>21.6</v>
      </c>
      <c r="BD8" s="736">
        <f t="shared" si="9"/>
        <v>21.6</v>
      </c>
      <c r="BE8" s="296"/>
      <c r="BF8" s="967">
        <f t="shared" si="10"/>
        <v>0.73478304955615326</v>
      </c>
      <c r="BG8" s="1333"/>
      <c r="BH8" s="665" t="s">
        <v>213</v>
      </c>
      <c r="BI8" s="732">
        <f t="shared" si="11"/>
        <v>0.66690309164477524</v>
      </c>
      <c r="BJ8" s="983">
        <v>0.69979338052966977</v>
      </c>
      <c r="BK8" s="1358"/>
      <c r="BL8" s="665" t="s">
        <v>210</v>
      </c>
      <c r="BM8" s="717">
        <f t="shared" si="12"/>
        <v>9547.8848373053352</v>
      </c>
      <c r="BO8" s="1333"/>
      <c r="BP8" s="87" t="s">
        <v>213</v>
      </c>
      <c r="BQ8" s="335">
        <f>'No. of aircraft'!AF38</f>
        <v>1</v>
      </c>
      <c r="BR8" s="335">
        <f>'No. of aircraft'!AG38</f>
        <v>1</v>
      </c>
      <c r="BS8" s="335">
        <f>'No. of aircraft'!AH38</f>
        <v>1</v>
      </c>
      <c r="BT8" s="335">
        <f>'No. of aircraft'!AI38</f>
        <v>1</v>
      </c>
      <c r="BU8" s="335">
        <f>'No. of aircraft'!AJ38</f>
        <v>1</v>
      </c>
      <c r="BV8" s="335">
        <f>'No. of aircraft'!AK38</f>
        <v>1</v>
      </c>
      <c r="BW8" s="335">
        <f>'No. of aircraft'!AL38</f>
        <v>1</v>
      </c>
      <c r="BX8" s="335">
        <f>'No. of aircraft'!AM38</f>
        <v>1</v>
      </c>
      <c r="BY8" s="335">
        <f>'No. of aircraft'!AN38</f>
        <v>1</v>
      </c>
      <c r="BZ8" s="335">
        <f>'No. of aircraft'!AO38</f>
        <v>1</v>
      </c>
      <c r="CA8" s="335">
        <f>'No. of aircraft'!AP38</f>
        <v>1</v>
      </c>
      <c r="CB8" s="335">
        <f>'No. of aircraft'!AQ38</f>
        <v>1</v>
      </c>
      <c r="CC8" s="335">
        <f>'No. of aircraft'!AR38</f>
        <v>1</v>
      </c>
      <c r="CD8" s="335">
        <f>'No. of aircraft'!AS38</f>
        <v>1</v>
      </c>
      <c r="CE8" s="335">
        <f>'No. of aircraft'!AT38</f>
        <v>1</v>
      </c>
      <c r="CF8" s="335">
        <f>'No. of aircraft'!AU38</f>
        <v>1</v>
      </c>
      <c r="CG8" s="335">
        <f>'No. of aircraft'!AV38</f>
        <v>1</v>
      </c>
      <c r="CH8" s="335">
        <f>'No. of aircraft'!AW38</f>
        <v>1</v>
      </c>
      <c r="CI8" s="335">
        <f>'No. of aircraft'!AX38</f>
        <v>1</v>
      </c>
      <c r="CJ8" s="335">
        <f>'No. of aircraft'!AY38</f>
        <v>1</v>
      </c>
      <c r="CK8" s="335">
        <v>1</v>
      </c>
      <c r="CL8" s="335">
        <v>1</v>
      </c>
      <c r="CM8" s="335">
        <v>1</v>
      </c>
      <c r="CN8" s="335">
        <v>1</v>
      </c>
      <c r="CO8" s="335">
        <v>1</v>
      </c>
      <c r="CP8" s="335">
        <v>1</v>
      </c>
      <c r="CQ8" s="335">
        <v>1</v>
      </c>
      <c r="CR8" s="335">
        <v>1</v>
      </c>
      <c r="CS8" s="335">
        <v>1</v>
      </c>
      <c r="CT8" s="335">
        <v>1</v>
      </c>
      <c r="CU8" s="335">
        <v>1</v>
      </c>
      <c r="CV8" s="335">
        <v>1</v>
      </c>
      <c r="CW8" s="335">
        <v>1</v>
      </c>
      <c r="CX8" s="335">
        <v>1</v>
      </c>
      <c r="CY8" s="335">
        <v>1</v>
      </c>
      <c r="CZ8" s="335">
        <v>1</v>
      </c>
      <c r="DA8" s="335">
        <v>1</v>
      </c>
      <c r="DB8" s="335">
        <v>1</v>
      </c>
      <c r="DC8" s="335">
        <v>1</v>
      </c>
      <c r="DD8" s="335">
        <v>1</v>
      </c>
      <c r="DF8" s="1674"/>
      <c r="DH8" s="1333"/>
      <c r="DI8" s="509" t="str">
        <v>CGK-PLM</v>
      </c>
      <c r="DJ8" s="1126">
        <v>6200.0929414659076</v>
      </c>
      <c r="DK8" s="1107">
        <v>6180.7912872911284</v>
      </c>
      <c r="DL8" s="1107">
        <v>6200.0929414659076</v>
      </c>
      <c r="DM8" s="1107">
        <v>6200.0929414659076</v>
      </c>
      <c r="DN8" s="1107">
        <v>6200.0929414659076</v>
      </c>
      <c r="DO8" s="1107">
        <v>6200.0929414659076</v>
      </c>
      <c r="DP8" s="1107">
        <v>6344.8553477767528</v>
      </c>
      <c r="DQ8" s="1107">
        <v>6200.0929414659076</v>
      </c>
      <c r="DR8" s="1107">
        <v>6200.0929414659076</v>
      </c>
      <c r="DS8" s="1107">
        <v>5809.877301793229</v>
      </c>
      <c r="GT8" s="1392"/>
      <c r="GU8" s="77" t="s">
        <v>213</v>
      </c>
      <c r="GV8" s="345">
        <f>'No. of aircraft'!AF126</f>
        <v>1</v>
      </c>
      <c r="GW8" s="345">
        <f>'No. of aircraft'!AG126</f>
        <v>1</v>
      </c>
      <c r="GX8" s="345">
        <f>'No. of aircraft'!AH126</f>
        <v>1</v>
      </c>
      <c r="GY8" s="345">
        <f>'No. of aircraft'!AI126</f>
        <v>1</v>
      </c>
      <c r="GZ8" s="345">
        <f>'No. of aircraft'!AJ126</f>
        <v>1</v>
      </c>
      <c r="HA8" s="345">
        <f>'No. of aircraft'!AK126</f>
        <v>1</v>
      </c>
      <c r="HB8" s="345">
        <f>'No. of aircraft'!AL126</f>
        <v>1</v>
      </c>
      <c r="HC8" s="345">
        <f>'No. of aircraft'!AM126</f>
        <v>1</v>
      </c>
      <c r="HD8" s="345">
        <f>'No. of aircraft'!AN126</f>
        <v>1</v>
      </c>
      <c r="HE8" s="345">
        <f>'No. of aircraft'!AO126</f>
        <v>1</v>
      </c>
      <c r="HF8" s="345">
        <f>'No. of aircraft'!AP126</f>
        <v>1</v>
      </c>
      <c r="HG8" s="345">
        <f>'No. of aircraft'!AQ126</f>
        <v>1</v>
      </c>
      <c r="HH8" s="345">
        <f>'No. of aircraft'!AR126</f>
        <v>1</v>
      </c>
      <c r="HI8" s="345">
        <f>'No. of aircraft'!AS126</f>
        <v>1</v>
      </c>
      <c r="HJ8" s="345">
        <f>'No. of aircraft'!AT126</f>
        <v>1</v>
      </c>
      <c r="HK8" s="345">
        <f>'No. of aircraft'!AU126</f>
        <v>1</v>
      </c>
      <c r="HL8" s="345">
        <f>'No. of aircraft'!AV126</f>
        <v>1</v>
      </c>
      <c r="HM8" s="345">
        <f>'No. of aircraft'!AW126</f>
        <v>1</v>
      </c>
      <c r="HN8" s="345">
        <f>'No. of aircraft'!AX126</f>
        <v>1</v>
      </c>
      <c r="HO8" s="345">
        <f>'No. of aircraft'!AY126</f>
        <v>1</v>
      </c>
    </row>
    <row r="9" spans="1:223" ht="15" customHeight="1">
      <c r="A9" s="1333">
        <v>2</v>
      </c>
      <c r="B9" s="1096" t="s">
        <v>214</v>
      </c>
      <c r="C9" s="313" cm="1">
        <f t="array" ref="C9:AP9">'[4]Aglis Total Tonnage'!$C$12:$AP$12</f>
        <v>3.24</v>
      </c>
      <c r="D9" s="313">
        <v>3.2976000000000001</v>
      </c>
      <c r="E9" s="313">
        <v>3.3552000000000004</v>
      </c>
      <c r="F9" s="313">
        <v>3.4128000000000007</v>
      </c>
      <c r="G9" s="313">
        <v>3.6642590886199464</v>
      </c>
      <c r="H9" s="313">
        <v>3.7250766668543034</v>
      </c>
      <c r="I9" s="313">
        <v>3.7858942450886599</v>
      </c>
      <c r="J9" s="313">
        <v>3.8467118233230138</v>
      </c>
      <c r="K9" s="313">
        <v>4.1253936203696773</v>
      </c>
      <c r="L9" s="313">
        <v>4.1896020813871049</v>
      </c>
      <c r="M9" s="313">
        <v>4.2538105424045307</v>
      </c>
      <c r="N9" s="313">
        <v>4.3180190034219583</v>
      </c>
      <c r="O9" s="313">
        <v>4.6261078906552671</v>
      </c>
      <c r="P9" s="313">
        <v>4.6938896912509493</v>
      </c>
      <c r="Q9" s="313">
        <v>4.7616714918466307</v>
      </c>
      <c r="R9" s="313">
        <v>4.8294532924423121</v>
      </c>
      <c r="S9" s="313">
        <v>5.1692871645992255</v>
      </c>
      <c r="T9" s="313">
        <v>5.2408343917909104</v>
      </c>
      <c r="U9" s="313">
        <v>5.3123816189825952</v>
      </c>
      <c r="V9" s="313">
        <v>5.38392884617428</v>
      </c>
      <c r="W9" s="313">
        <v>5.4054576839682085</v>
      </c>
      <c r="X9" s="313">
        <v>5.4183830340708772</v>
      </c>
      <c r="Y9" s="313">
        <v>5.4313342348737521</v>
      </c>
      <c r="Z9" s="313">
        <v>5.4443113380782311</v>
      </c>
      <c r="AA9" s="313">
        <v>5.4790624756257262</v>
      </c>
      <c r="AB9" s="313">
        <v>5.5052075949976933</v>
      </c>
      <c r="AC9" s="313">
        <v>5.5314572948471499</v>
      </c>
      <c r="AD9" s="313">
        <v>5.557811993496002</v>
      </c>
      <c r="AE9" s="313">
        <v>5.606417583394995</v>
      </c>
      <c r="AF9" s="313">
        <v>5.6463993930995615</v>
      </c>
      <c r="AG9" s="313">
        <v>5.6677950939747062</v>
      </c>
      <c r="AH9" s="313">
        <v>5.7081241687427493</v>
      </c>
      <c r="AI9" s="313">
        <v>5.7404686979434372</v>
      </c>
      <c r="AJ9" s="313">
        <v>5.7907094148267282</v>
      </c>
      <c r="AK9" s="313">
        <v>5.8413219130149567</v>
      </c>
      <c r="AL9" s="313">
        <v>5.8678903858984652</v>
      </c>
      <c r="AM9" s="313">
        <v>5.8976174946425672</v>
      </c>
      <c r="AN9" s="313">
        <v>5.8976174946425672</v>
      </c>
      <c r="AO9" s="313">
        <v>5.8976174946425672</v>
      </c>
      <c r="AP9" s="313">
        <v>5.8976174946425672</v>
      </c>
      <c r="AQ9" s="106"/>
      <c r="AS9" s="1333">
        <v>2</v>
      </c>
      <c r="AT9" s="1096" t="s">
        <v>214</v>
      </c>
      <c r="AU9" s="738">
        <f t="shared" si="0"/>
        <v>3.3264000000000005</v>
      </c>
      <c r="AV9" s="738">
        <f t="shared" si="1"/>
        <v>3.7554854559714808</v>
      </c>
      <c r="AW9" s="738">
        <f t="shared" si="2"/>
        <v>4.2217063118958178</v>
      </c>
      <c r="AX9" s="738">
        <f t="shared" si="3"/>
        <v>4.7277805915487896</v>
      </c>
      <c r="AY9" s="738">
        <f t="shared" si="4"/>
        <v>5.2766080053867528</v>
      </c>
      <c r="AZ9" s="738">
        <f t="shared" si="5"/>
        <v>5.424871572747767</v>
      </c>
      <c r="BA9" s="738">
        <f t="shared" si="6"/>
        <v>5.5183848397416435</v>
      </c>
      <c r="BB9" s="738">
        <f t="shared" si="7"/>
        <v>5.6571840598030034</v>
      </c>
      <c r="BC9" s="738">
        <f t="shared" si="8"/>
        <v>5.8100976029208971</v>
      </c>
      <c r="BD9" s="736">
        <f t="shared" si="9"/>
        <v>5.8976174946425672</v>
      </c>
      <c r="BE9" s="296"/>
      <c r="BF9" s="967">
        <f t="shared" si="10"/>
        <v>1.1377053553342753</v>
      </c>
      <c r="BG9" s="1333">
        <v>2</v>
      </c>
      <c r="BH9" s="666" t="s">
        <v>214</v>
      </c>
      <c r="BI9" s="732">
        <f>0.944*BJ9</f>
        <v>1.0228512908910057</v>
      </c>
      <c r="BJ9" s="983">
        <v>1.083528909842167</v>
      </c>
      <c r="BK9" s="1678">
        <v>2</v>
      </c>
      <c r="BL9" s="666" t="s">
        <v>215</v>
      </c>
      <c r="BM9" s="717">
        <f t="shared" si="12"/>
        <v>14643.906218863805</v>
      </c>
      <c r="BO9" s="1333">
        <v>2</v>
      </c>
      <c r="BP9" s="303" t="s">
        <v>214</v>
      </c>
      <c r="BQ9" s="335">
        <v>1</v>
      </c>
      <c r="BR9" s="335">
        <v>1</v>
      </c>
      <c r="BS9" s="335">
        <v>1</v>
      </c>
      <c r="BT9" s="335">
        <v>1</v>
      </c>
      <c r="BU9" s="335">
        <f>'No. of aircraft'!AJ39</f>
        <v>1</v>
      </c>
      <c r="BV9" s="335">
        <f>'No. of aircraft'!AK39</f>
        <v>1</v>
      </c>
      <c r="BW9" s="335">
        <f>'No. of aircraft'!AL39</f>
        <v>1</v>
      </c>
      <c r="BX9" s="335">
        <f>'No. of aircraft'!AM39</f>
        <v>1</v>
      </c>
      <c r="BY9" s="335">
        <f>'No. of aircraft'!AN39</f>
        <v>1</v>
      </c>
      <c r="BZ9" s="335">
        <f>'No. of aircraft'!AO39</f>
        <v>1</v>
      </c>
      <c r="CA9" s="335">
        <f>'No. of aircraft'!AP39</f>
        <v>1</v>
      </c>
      <c r="CB9" s="335">
        <f>'No. of aircraft'!AQ39</f>
        <v>1</v>
      </c>
      <c r="CC9" s="335">
        <f>'No. of aircraft'!AR39</f>
        <v>1</v>
      </c>
      <c r="CD9" s="335">
        <f>'No. of aircraft'!AS39</f>
        <v>1</v>
      </c>
      <c r="CE9" s="335">
        <f>'No. of aircraft'!AT39</f>
        <v>1</v>
      </c>
      <c r="CF9" s="335">
        <f>'No. of aircraft'!AU39</f>
        <v>1</v>
      </c>
      <c r="CG9" s="335">
        <f>'No. of aircraft'!AV39</f>
        <v>1</v>
      </c>
      <c r="CH9" s="335">
        <f>'No. of aircraft'!AW39</f>
        <v>1</v>
      </c>
      <c r="CI9" s="335">
        <f>'No. of aircraft'!AX39</f>
        <v>1</v>
      </c>
      <c r="CJ9" s="335">
        <f>'No. of aircraft'!AY39</f>
        <v>1</v>
      </c>
      <c r="CK9" s="335">
        <v>1</v>
      </c>
      <c r="CL9" s="335">
        <v>1</v>
      </c>
      <c r="CM9" s="335">
        <v>1</v>
      </c>
      <c r="CN9" s="335">
        <v>1</v>
      </c>
      <c r="CO9" s="335">
        <v>1</v>
      </c>
      <c r="CP9" s="335">
        <v>1</v>
      </c>
      <c r="CQ9" s="335">
        <v>1</v>
      </c>
      <c r="CR9" s="335">
        <v>1</v>
      </c>
      <c r="CS9" s="335">
        <v>1</v>
      </c>
      <c r="CT9" s="335">
        <v>1</v>
      </c>
      <c r="CU9" s="335">
        <v>1</v>
      </c>
      <c r="CV9" s="335">
        <v>1</v>
      </c>
      <c r="CW9" s="335">
        <v>1</v>
      </c>
      <c r="CX9" s="335">
        <v>1</v>
      </c>
      <c r="CY9" s="335">
        <v>1</v>
      </c>
      <c r="CZ9" s="335">
        <v>1</v>
      </c>
      <c r="DA9" s="335">
        <v>1</v>
      </c>
      <c r="DB9" s="335">
        <v>1</v>
      </c>
      <c r="DC9" s="335">
        <v>1</v>
      </c>
      <c r="DD9" s="335">
        <v>1</v>
      </c>
      <c r="DF9" s="1674"/>
      <c r="DH9" s="1333">
        <v>2</v>
      </c>
      <c r="DI9" s="508" t="str">
        <v>MDC-SRG</v>
      </c>
      <c r="DJ9" s="1127">
        <v>12589.788474876774</v>
      </c>
      <c r="DK9" s="1107">
        <v>12639.470332918296</v>
      </c>
      <c r="DL9" s="1107">
        <v>12669.956927625593</v>
      </c>
      <c r="DM9" s="1107">
        <v>12639.470332918296</v>
      </c>
      <c r="DN9" s="1107">
        <v>12864.377426806863</v>
      </c>
      <c r="DO9" s="1107">
        <v>12639.470332918296</v>
      </c>
      <c r="DP9" s="1107">
        <v>12669.956927625593</v>
      </c>
      <c r="DQ9" s="1107">
        <v>12639.470332918296</v>
      </c>
      <c r="DR9" s="1107">
        <v>12639.470332918296</v>
      </c>
      <c r="DS9" s="1107">
        <v>4169.5727866309726</v>
      </c>
      <c r="GT9" s="1601">
        <v>2</v>
      </c>
      <c r="GU9" s="333" t="s">
        <v>214</v>
      </c>
      <c r="GV9" s="345" t="e">
        <f>'No. of aircraft'!AF127</f>
        <v>#REF!</v>
      </c>
      <c r="GW9" s="345" t="e">
        <f>'No. of aircraft'!AG127</f>
        <v>#REF!</v>
      </c>
      <c r="GX9" s="345" t="e">
        <f>'No. of aircraft'!AH127</f>
        <v>#REF!</v>
      </c>
      <c r="GY9" s="345" t="e">
        <f>'No. of aircraft'!AI127</f>
        <v>#REF!</v>
      </c>
      <c r="GZ9" s="345" t="e">
        <f>'No. of aircraft'!AJ127</f>
        <v>#REF!</v>
      </c>
      <c r="HA9" s="345" t="e">
        <f>'No. of aircraft'!AK127</f>
        <v>#REF!</v>
      </c>
      <c r="HB9" s="345" t="e">
        <f>'No. of aircraft'!AL127</f>
        <v>#REF!</v>
      </c>
      <c r="HC9" s="345" t="e">
        <f>'No. of aircraft'!AM127</f>
        <v>#REF!</v>
      </c>
      <c r="HD9" s="345" t="e">
        <f>'No. of aircraft'!AN127</f>
        <v>#REF!</v>
      </c>
      <c r="HE9" s="345">
        <f>'No. of aircraft'!AO127</f>
        <v>1</v>
      </c>
      <c r="HF9" s="345">
        <f>'No. of aircraft'!AP127</f>
        <v>1</v>
      </c>
      <c r="HG9" s="345">
        <f>'No. of aircraft'!AQ127</f>
        <v>1</v>
      </c>
      <c r="HH9" s="345">
        <f>'No. of aircraft'!AR127</f>
        <v>1</v>
      </c>
      <c r="HI9" s="345">
        <f>'No. of aircraft'!AS127</f>
        <v>1</v>
      </c>
      <c r="HJ9" s="345">
        <f>'No. of aircraft'!AT127</f>
        <v>1</v>
      </c>
      <c r="HK9" s="345">
        <f>'No. of aircraft'!AU127</f>
        <v>1</v>
      </c>
      <c r="HL9" s="345">
        <f>'No. of aircraft'!AV127</f>
        <v>1</v>
      </c>
      <c r="HM9" s="345">
        <f>'No. of aircraft'!AW127</f>
        <v>1</v>
      </c>
      <c r="HN9" s="345">
        <f>'No. of aircraft'!AX127</f>
        <v>1</v>
      </c>
      <c r="HO9" s="345">
        <f>'No. of aircraft'!AY127</f>
        <v>1</v>
      </c>
    </row>
    <row r="10" spans="1:223" ht="15" customHeight="1">
      <c r="A10" s="1333"/>
      <c r="B10" s="1096" t="s">
        <v>215</v>
      </c>
      <c r="C10" s="313" cm="1">
        <f t="array" ref="C10:AP12">'[4]Aglis Total Tonnage'!$C$9:$AP$11</f>
        <v>5.085</v>
      </c>
      <c r="D10" s="313">
        <v>5.1589636363636364</v>
      </c>
      <c r="E10" s="313">
        <v>5.2329272727272729</v>
      </c>
      <c r="F10" s="313">
        <v>5.3068909090909093</v>
      </c>
      <c r="G10" s="313">
        <v>5.6849537701404707</v>
      </c>
      <c r="H10" s="313">
        <v>5.7630974645753916</v>
      </c>
      <c r="I10" s="313">
        <v>5.8412411590103108</v>
      </c>
      <c r="J10" s="313">
        <v>5.9193848534452336</v>
      </c>
      <c r="K10" s="313">
        <v>6.3357331659137133</v>
      </c>
      <c r="L10" s="313">
        <v>6.4182834351764324</v>
      </c>
      <c r="M10" s="313">
        <v>6.5008337044391515</v>
      </c>
      <c r="N10" s="313">
        <v>6.5833839737018716</v>
      </c>
      <c r="O10" s="313">
        <v>7.0410256058324441</v>
      </c>
      <c r="P10" s="313">
        <v>7.1282209693721637</v>
      </c>
      <c r="Q10" s="313">
        <v>7.2154163329118877</v>
      </c>
      <c r="R10" s="313">
        <v>7.3026116964516063</v>
      </c>
      <c r="S10" s="313">
        <v>7.8047637786054445</v>
      </c>
      <c r="T10" s="313">
        <v>7.8968553866125886</v>
      </c>
      <c r="U10" s="313">
        <v>7.9889469946197327</v>
      </c>
      <c r="V10" s="313">
        <v>8.0810386026268759</v>
      </c>
      <c r="W10" s="313">
        <v>8.3241295943440878</v>
      </c>
      <c r="X10" s="313">
        <v>8.3445030981340818</v>
      </c>
      <c r="Y10" s="313">
        <v>8.3649173489316588</v>
      </c>
      <c r="Z10" s="313">
        <v>8.3853724282308288</v>
      </c>
      <c r="AA10" s="313">
        <v>8.6585996029731955</v>
      </c>
      <c r="AB10" s="313">
        <v>8.70087732677883</v>
      </c>
      <c r="AC10" s="313">
        <v>8.7433241614796877</v>
      </c>
      <c r="AD10" s="313">
        <v>8.785940783519349</v>
      </c>
      <c r="AE10" s="313">
        <v>9.0939731050205577</v>
      </c>
      <c r="AF10" s="313">
        <v>9.1602986726095192</v>
      </c>
      <c r="AG10" s="313">
        <v>9.2105477903301693</v>
      </c>
      <c r="AH10" s="313">
        <v>9.2775518060309867</v>
      </c>
      <c r="AI10" s="313">
        <v>9.3523699943812613</v>
      </c>
      <c r="AJ10" s="313">
        <v>9.4360215047222518</v>
      </c>
      <c r="AK10" s="313">
        <v>9.5202920362397645</v>
      </c>
      <c r="AL10" s="313">
        <v>9.5645289226146577</v>
      </c>
      <c r="AM10" s="313">
        <v>9.6421433863397521</v>
      </c>
      <c r="AN10" s="313">
        <v>9.6421433863397521</v>
      </c>
      <c r="AO10" s="313">
        <v>9.6421433863397521</v>
      </c>
      <c r="AP10" s="313">
        <v>9.6421433863397503</v>
      </c>
      <c r="AQ10" s="106"/>
      <c r="AS10" s="1333"/>
      <c r="AT10" s="1096" t="s">
        <v>215</v>
      </c>
      <c r="AU10" s="738">
        <f t="shared" si="0"/>
        <v>5.1959454545454546</v>
      </c>
      <c r="AV10" s="738">
        <f t="shared" si="1"/>
        <v>5.8021693117928512</v>
      </c>
      <c r="AW10" s="738">
        <f t="shared" si="2"/>
        <v>6.4595585698077924</v>
      </c>
      <c r="AX10" s="738">
        <f t="shared" si="3"/>
        <v>7.1718186511420257</v>
      </c>
      <c r="AY10" s="738">
        <f t="shared" si="4"/>
        <v>7.9429011906161602</v>
      </c>
      <c r="AZ10" s="738">
        <f t="shared" si="5"/>
        <v>8.3547306174101639</v>
      </c>
      <c r="BA10" s="738">
        <f t="shared" si="6"/>
        <v>8.7221854686877656</v>
      </c>
      <c r="BB10" s="738">
        <f t="shared" si="7"/>
        <v>9.1855928434978082</v>
      </c>
      <c r="BC10" s="738">
        <f t="shared" si="8"/>
        <v>9.4683031144894834</v>
      </c>
      <c r="BD10" s="736">
        <f t="shared" si="9"/>
        <v>9.6421433863397503</v>
      </c>
      <c r="BE10" s="296"/>
      <c r="BF10" s="967">
        <f t="shared" si="10"/>
        <v>1.3812673962003197</v>
      </c>
      <c r="BG10" s="1333"/>
      <c r="BH10" s="666" t="s">
        <v>215</v>
      </c>
      <c r="BI10" s="732">
        <f t="shared" ref="BI10:BI12" si="13">0.944*BJ10</f>
        <v>1.2418251638220017</v>
      </c>
      <c r="BJ10" s="983">
        <v>1.3154927582860187</v>
      </c>
      <c r="BK10" s="1357"/>
      <c r="BL10" s="666" t="s">
        <v>216</v>
      </c>
      <c r="BM10" s="717">
        <f t="shared" si="12"/>
        <v>17778.900414148644</v>
      </c>
      <c r="BO10" s="1333"/>
      <c r="BP10" s="303" t="s">
        <v>215</v>
      </c>
      <c r="BQ10" s="335">
        <v>1</v>
      </c>
      <c r="BR10" s="335">
        <v>1</v>
      </c>
      <c r="BS10" s="335">
        <v>1</v>
      </c>
      <c r="BT10" s="335">
        <v>1</v>
      </c>
      <c r="BU10" s="335">
        <f>'No. of aircraft'!AJ40</f>
        <v>1</v>
      </c>
      <c r="BV10" s="335">
        <f>'No. of aircraft'!AK40</f>
        <v>1</v>
      </c>
      <c r="BW10" s="335">
        <f>'No. of aircraft'!AL40</f>
        <v>1</v>
      </c>
      <c r="BX10" s="335">
        <f>'No. of aircraft'!AM40</f>
        <v>1</v>
      </c>
      <c r="BY10" s="335">
        <f>'No. of aircraft'!AN40</f>
        <v>1</v>
      </c>
      <c r="BZ10" s="335">
        <f>'No. of aircraft'!AO40</f>
        <v>1</v>
      </c>
      <c r="CA10" s="335">
        <f>'No. of aircraft'!AP40</f>
        <v>1</v>
      </c>
      <c r="CB10" s="335">
        <f>'No. of aircraft'!AQ40</f>
        <v>1</v>
      </c>
      <c r="CC10" s="335">
        <f>'No. of aircraft'!AR40</f>
        <v>1</v>
      </c>
      <c r="CD10" s="335">
        <f>'No. of aircraft'!AS40</f>
        <v>1</v>
      </c>
      <c r="CE10" s="335">
        <f>'No. of aircraft'!AT40</f>
        <v>1</v>
      </c>
      <c r="CF10" s="335">
        <f>'No. of aircraft'!AU40</f>
        <v>1</v>
      </c>
      <c r="CG10" s="335">
        <f>'No. of aircraft'!AV40</f>
        <v>1</v>
      </c>
      <c r="CH10" s="335">
        <f>'No. of aircraft'!AW40</f>
        <v>1</v>
      </c>
      <c r="CI10" s="335">
        <f>'No. of aircraft'!AX40</f>
        <v>1</v>
      </c>
      <c r="CJ10" s="335">
        <f>'No. of aircraft'!AY40</f>
        <v>1</v>
      </c>
      <c r="CK10" s="335">
        <v>1</v>
      </c>
      <c r="CL10" s="335">
        <v>1</v>
      </c>
      <c r="CM10" s="335">
        <v>1</v>
      </c>
      <c r="CN10" s="335">
        <v>1</v>
      </c>
      <c r="CO10" s="335">
        <v>1</v>
      </c>
      <c r="CP10" s="335">
        <v>1</v>
      </c>
      <c r="CQ10" s="335">
        <v>1</v>
      </c>
      <c r="CR10" s="335">
        <v>1</v>
      </c>
      <c r="CS10" s="335">
        <v>1</v>
      </c>
      <c r="CT10" s="335">
        <v>1</v>
      </c>
      <c r="CU10" s="335">
        <v>1</v>
      </c>
      <c r="CV10" s="335">
        <v>1</v>
      </c>
      <c r="CW10" s="335">
        <v>1</v>
      </c>
      <c r="CX10" s="335">
        <v>1</v>
      </c>
      <c r="CY10" s="335">
        <v>1</v>
      </c>
      <c r="CZ10" s="335">
        <v>1</v>
      </c>
      <c r="DA10" s="335">
        <v>1</v>
      </c>
      <c r="DB10" s="335">
        <v>1</v>
      </c>
      <c r="DC10" s="335">
        <v>1</v>
      </c>
      <c r="DD10" s="335">
        <v>1</v>
      </c>
      <c r="DF10" s="1674"/>
      <c r="DH10" s="1333"/>
      <c r="DI10" s="496" t="str">
        <v>SRG-KDI</v>
      </c>
      <c r="DJ10" s="1125">
        <v>10238.96521244623</v>
      </c>
      <c r="DK10" s="1107">
        <v>10281.216527376204</v>
      </c>
      <c r="DL10" s="1107">
        <v>10307.143470628687</v>
      </c>
      <c r="DM10" s="1107">
        <v>10281.216527376204</v>
      </c>
      <c r="DN10" s="1107">
        <v>10472.48595304722</v>
      </c>
      <c r="DO10" s="1107">
        <v>10281.216527376204</v>
      </c>
      <c r="DP10" s="1107">
        <v>10307.143470628687</v>
      </c>
      <c r="DQ10" s="1107">
        <v>10281.216527376204</v>
      </c>
      <c r="DR10" s="1107">
        <v>10281.216527376204</v>
      </c>
      <c r="DS10" s="1107">
        <v>4364.4727020128366</v>
      </c>
      <c r="GT10" s="1601"/>
      <c r="GU10" s="333" t="s">
        <v>234</v>
      </c>
      <c r="GV10" s="345" t="e">
        <f>'No. of aircraft'!AF128</f>
        <v>#REF!</v>
      </c>
      <c r="GW10" s="345" t="e">
        <f>'No. of aircraft'!AG128</f>
        <v>#REF!</v>
      </c>
      <c r="GX10" s="345" t="e">
        <f>'No. of aircraft'!AH128</f>
        <v>#REF!</v>
      </c>
      <c r="GY10" s="345" t="e">
        <f>'No. of aircraft'!AI128</f>
        <v>#REF!</v>
      </c>
      <c r="GZ10" s="345" t="e">
        <f>'No. of aircraft'!AJ128</f>
        <v>#REF!</v>
      </c>
      <c r="HA10" s="345" t="e">
        <f>'No. of aircraft'!AK128</f>
        <v>#REF!</v>
      </c>
      <c r="HB10" s="345" t="e">
        <f>'No. of aircraft'!AL128</f>
        <v>#REF!</v>
      </c>
      <c r="HC10" s="345" t="e">
        <f>'No. of aircraft'!AM128</f>
        <v>#REF!</v>
      </c>
      <c r="HD10" s="345" t="e">
        <f>'No. of aircraft'!AN128</f>
        <v>#REF!</v>
      </c>
      <c r="HE10" s="345" t="e">
        <f>'No. of aircraft'!AO128</f>
        <v>#REF!</v>
      </c>
      <c r="HF10" s="345" t="e">
        <f>'No. of aircraft'!AP128</f>
        <v>#REF!</v>
      </c>
      <c r="HG10" s="345" t="e">
        <f>'No. of aircraft'!AQ128</f>
        <v>#REF!</v>
      </c>
      <c r="HH10" s="345" t="e">
        <f>'No. of aircraft'!AR128</f>
        <v>#REF!</v>
      </c>
      <c r="HI10" s="345" t="e">
        <f>'No. of aircraft'!AS128</f>
        <v>#REF!</v>
      </c>
      <c r="HJ10" s="345" t="e">
        <f>'No. of aircraft'!AT128</f>
        <v>#REF!</v>
      </c>
      <c r="HK10" s="345" t="e">
        <f>'No. of aircraft'!AU128</f>
        <v>#REF!</v>
      </c>
      <c r="HL10" s="345" t="e">
        <f>'No. of aircraft'!AV128</f>
        <v>#REF!</v>
      </c>
      <c r="HM10" s="345" t="e">
        <f>'No. of aircraft'!AW128</f>
        <v>#REF!</v>
      </c>
      <c r="HN10" s="345" t="e">
        <f>'No. of aircraft'!AX128</f>
        <v>#REF!</v>
      </c>
      <c r="HO10" s="345" t="e">
        <f>'No. of aircraft'!AY128</f>
        <v>#REF!</v>
      </c>
    </row>
    <row r="11" spans="1:223">
      <c r="A11" s="1333"/>
      <c r="B11" s="1096" t="s">
        <v>216</v>
      </c>
      <c r="C11" s="313">
        <v>8.2749999999999986</v>
      </c>
      <c r="D11" s="313">
        <v>8.4073999999999991</v>
      </c>
      <c r="E11" s="313">
        <v>8.5398000000000014</v>
      </c>
      <c r="F11" s="313">
        <v>8.6721999999999966</v>
      </c>
      <c r="G11" s="313">
        <v>9.4162458352941201</v>
      </c>
      <c r="H11" s="313">
        <v>9.5578435170278642</v>
      </c>
      <c r="I11" s="313">
        <v>9.6994411987616118</v>
      </c>
      <c r="J11" s="313">
        <v>9.8410388804953559</v>
      </c>
      <c r="K11" s="313">
        <v>10.669598331533283</v>
      </c>
      <c r="L11" s="313">
        <v>10.820940151838718</v>
      </c>
      <c r="M11" s="313">
        <v>10.972281972144156</v>
      </c>
      <c r="N11" s="313">
        <v>11.123623792449594</v>
      </c>
      <c r="O11" s="313">
        <v>12.043876702084022</v>
      </c>
      <c r="P11" s="313">
        <v>12.20553947660864</v>
      </c>
      <c r="Q11" s="313">
        <v>12.367202251133259</v>
      </c>
      <c r="R11" s="313">
        <v>12.528865025657874</v>
      </c>
      <c r="S11" s="313">
        <v>13.548513892166612</v>
      </c>
      <c r="T11" s="313">
        <v>13.721106425824784</v>
      </c>
      <c r="U11" s="313">
        <v>13.893698959482958</v>
      </c>
      <c r="V11" s="313">
        <v>14.066291493141133</v>
      </c>
      <c r="W11" s="313">
        <v>14.14898084476151</v>
      </c>
      <c r="X11" s="313">
        <v>14.198625364808823</v>
      </c>
      <c r="Y11" s="313">
        <v>14.248369173896233</v>
      </c>
      <c r="Z11" s="313">
        <v>14.298212470601813</v>
      </c>
      <c r="AA11" s="313">
        <v>14.431686885680692</v>
      </c>
      <c r="AB11" s="313">
        <v>14.532106749938995</v>
      </c>
      <c r="AC11" s="313">
        <v>14.632928293654333</v>
      </c>
      <c r="AD11" s="313">
        <v>14.73415312354453</v>
      </c>
      <c r="AE11" s="313">
        <v>14.92084061463645</v>
      </c>
      <c r="AF11" s="313">
        <v>15.074405333397644</v>
      </c>
      <c r="AG11" s="313">
        <v>15.208202491725123</v>
      </c>
      <c r="AH11" s="313">
        <v>15.363404381748847</v>
      </c>
      <c r="AI11" s="313">
        <v>15.561395028348171</v>
      </c>
      <c r="AJ11" s="313">
        <v>15.755274097481763</v>
      </c>
      <c r="AK11" s="313">
        <v>15.950587871726944</v>
      </c>
      <c r="AL11" s="313">
        <v>16.053115684037461</v>
      </c>
      <c r="AM11" s="313">
        <v>16.265363421407272</v>
      </c>
      <c r="AN11" s="313">
        <v>16.265363421407272</v>
      </c>
      <c r="AO11" s="313">
        <v>16.265363421407272</v>
      </c>
      <c r="AP11" s="313">
        <v>16.265363421407272</v>
      </c>
      <c r="AQ11" s="106"/>
      <c r="AS11" s="1333"/>
      <c r="AT11" s="1096" t="s">
        <v>216</v>
      </c>
      <c r="AU11" s="738">
        <f t="shared" si="0"/>
        <v>8.4735999999999994</v>
      </c>
      <c r="AV11" s="738">
        <f t="shared" si="1"/>
        <v>9.6286423578947371</v>
      </c>
      <c r="AW11" s="738">
        <f t="shared" si="2"/>
        <v>10.896611061991436</v>
      </c>
      <c r="AX11" s="738">
        <f t="shared" si="3"/>
        <v>12.286370863870948</v>
      </c>
      <c r="AY11" s="738">
        <f t="shared" si="4"/>
        <v>13.807402692653874</v>
      </c>
      <c r="AZ11" s="738">
        <f t="shared" si="5"/>
        <v>14.223546963517094</v>
      </c>
      <c r="BA11" s="738">
        <f t="shared" si="6"/>
        <v>14.582718763204637</v>
      </c>
      <c r="BB11" s="738">
        <f t="shared" si="7"/>
        <v>15.141713205377016</v>
      </c>
      <c r="BC11" s="738">
        <f t="shared" si="8"/>
        <v>15.830093170398584</v>
      </c>
      <c r="BD11" s="736">
        <f t="shared" si="9"/>
        <v>16.265363421407272</v>
      </c>
      <c r="BE11" s="296"/>
      <c r="BF11" s="967">
        <f t="shared" si="10"/>
        <v>1.5165796411258998</v>
      </c>
      <c r="BG11" s="1333"/>
      <c r="BH11" s="666" t="s">
        <v>216</v>
      </c>
      <c r="BI11" s="732">
        <f t="shared" si="13"/>
        <v>1.3634773154503328</v>
      </c>
      <c r="BJ11" s="983">
        <v>1.4443615629770474</v>
      </c>
      <c r="BK11" s="1357"/>
      <c r="BL11" s="667" t="s">
        <v>217</v>
      </c>
      <c r="BM11" s="717">
        <f t="shared" si="12"/>
        <v>19520.563855973553</v>
      </c>
      <c r="BO11" s="1333"/>
      <c r="BP11" s="303" t="s">
        <v>216</v>
      </c>
      <c r="BQ11" s="335">
        <v>1</v>
      </c>
      <c r="BR11" s="335">
        <v>1</v>
      </c>
      <c r="BS11" s="335">
        <v>1</v>
      </c>
      <c r="BT11" s="335">
        <v>1</v>
      </c>
      <c r="BU11" s="335">
        <f>'No. of aircraft'!AJ41</f>
        <v>1</v>
      </c>
      <c r="BV11" s="335">
        <f>'No. of aircraft'!AK41</f>
        <v>1</v>
      </c>
      <c r="BW11" s="335">
        <f>'No. of aircraft'!AL41</f>
        <v>1</v>
      </c>
      <c r="BX11" s="335">
        <f>'No. of aircraft'!AM41</f>
        <v>1</v>
      </c>
      <c r="BY11" s="335">
        <f>'No. of aircraft'!AN41</f>
        <v>1</v>
      </c>
      <c r="BZ11" s="335">
        <f>'No. of aircraft'!AO41</f>
        <v>1</v>
      </c>
      <c r="CA11" s="335">
        <f>'No. of aircraft'!AP41</f>
        <v>1</v>
      </c>
      <c r="CB11" s="335">
        <f>'No. of aircraft'!AQ41</f>
        <v>1</v>
      </c>
      <c r="CC11" s="335">
        <f>'No. of aircraft'!AR41</f>
        <v>1</v>
      </c>
      <c r="CD11" s="335">
        <f>'No. of aircraft'!AS41</f>
        <v>1</v>
      </c>
      <c r="CE11" s="335">
        <f>'No. of aircraft'!AT41</f>
        <v>1</v>
      </c>
      <c r="CF11" s="335">
        <f>'No. of aircraft'!AU41</f>
        <v>1</v>
      </c>
      <c r="CG11" s="335">
        <f>'No. of aircraft'!AV41</f>
        <v>1</v>
      </c>
      <c r="CH11" s="335">
        <f>'No. of aircraft'!AW41</f>
        <v>1</v>
      </c>
      <c r="CI11" s="335">
        <f>'No. of aircraft'!AX41</f>
        <v>1</v>
      </c>
      <c r="CJ11" s="335">
        <f>'No. of aircraft'!AY41</f>
        <v>1</v>
      </c>
      <c r="CK11" s="335">
        <v>1</v>
      </c>
      <c r="CL11" s="335">
        <v>1</v>
      </c>
      <c r="CM11" s="335">
        <v>1</v>
      </c>
      <c r="CN11" s="335">
        <v>1</v>
      </c>
      <c r="CO11" s="335">
        <v>1</v>
      </c>
      <c r="CP11" s="335">
        <v>1</v>
      </c>
      <c r="CQ11" s="335">
        <v>1</v>
      </c>
      <c r="CR11" s="335">
        <v>1</v>
      </c>
      <c r="CS11" s="335">
        <v>1</v>
      </c>
      <c r="CT11" s="335">
        <v>1</v>
      </c>
      <c r="CU11" s="335">
        <v>1</v>
      </c>
      <c r="CV11" s="335">
        <v>1</v>
      </c>
      <c r="CW11" s="335">
        <v>1</v>
      </c>
      <c r="CX11" s="335">
        <v>1</v>
      </c>
      <c r="CY11" s="335">
        <v>1</v>
      </c>
      <c r="CZ11" s="335">
        <v>1</v>
      </c>
      <c r="DA11" s="335">
        <v>1</v>
      </c>
      <c r="DB11" s="335">
        <v>1</v>
      </c>
      <c r="DC11" s="335">
        <v>1</v>
      </c>
      <c r="DD11" s="335">
        <v>1</v>
      </c>
      <c r="DF11" s="1674"/>
      <c r="DH11" s="1333"/>
      <c r="DI11" s="496" t="str">
        <v>KDI-PNK</v>
      </c>
      <c r="DJ11" s="1125">
        <v>11138.819617491958</v>
      </c>
      <c r="DK11" s="1107">
        <v>11183.140739447661</v>
      </c>
      <c r="DL11" s="1107">
        <v>11210.337791556844</v>
      </c>
      <c r="DM11" s="1107">
        <v>11183.140739447661</v>
      </c>
      <c r="DN11" s="1107">
        <v>11383.780069977674</v>
      </c>
      <c r="DO11" s="1107">
        <v>11183.140739447661</v>
      </c>
      <c r="DP11" s="1107">
        <v>11210.337791556844</v>
      </c>
      <c r="DQ11" s="1107">
        <v>11183.140739447661</v>
      </c>
      <c r="DR11" s="1107">
        <v>11183.140739447661</v>
      </c>
      <c r="DS11" s="1107">
        <v>4395.8600438294197</v>
      </c>
      <c r="GT11" s="1601"/>
      <c r="GU11" s="333" t="s">
        <v>224</v>
      </c>
      <c r="GV11" s="345" t="e">
        <f>'No. of aircraft'!AF129</f>
        <v>#REF!</v>
      </c>
      <c r="GW11" s="345" t="e">
        <f>'No. of aircraft'!AG129</f>
        <v>#REF!</v>
      </c>
      <c r="GX11" s="345" t="e">
        <f>'No. of aircraft'!AH129</f>
        <v>#REF!</v>
      </c>
      <c r="GY11" s="345" t="e">
        <f>'No. of aircraft'!AI129</f>
        <v>#REF!</v>
      </c>
      <c r="GZ11" s="345" t="e">
        <f>'No. of aircraft'!AJ129</f>
        <v>#REF!</v>
      </c>
      <c r="HA11" s="345" t="e">
        <f>'No. of aircraft'!AK129</f>
        <v>#REF!</v>
      </c>
      <c r="HB11" s="345" t="e">
        <f>'No. of aircraft'!AL129</f>
        <v>#REF!</v>
      </c>
      <c r="HC11" s="345" t="e">
        <f>'No. of aircraft'!AM129</f>
        <v>#REF!</v>
      </c>
      <c r="HD11" s="345" t="e">
        <f>'No. of aircraft'!AN129</f>
        <v>#REF!</v>
      </c>
      <c r="HE11" s="345" t="e">
        <f>'No. of aircraft'!AO129</f>
        <v>#REF!</v>
      </c>
      <c r="HF11" s="345" t="e">
        <f>'No. of aircraft'!AP129</f>
        <v>#REF!</v>
      </c>
      <c r="HG11" s="345" t="e">
        <f>'No. of aircraft'!AQ129</f>
        <v>#REF!</v>
      </c>
      <c r="HH11" s="345" t="e">
        <f>'No. of aircraft'!AR129</f>
        <v>#REF!</v>
      </c>
      <c r="HI11" s="345" t="e">
        <f>'No. of aircraft'!AS129</f>
        <v>#REF!</v>
      </c>
      <c r="HJ11" s="345" t="e">
        <f>'No. of aircraft'!AT129</f>
        <v>#REF!</v>
      </c>
      <c r="HK11" s="345" t="e">
        <f>'No. of aircraft'!AU129</f>
        <v>#REF!</v>
      </c>
      <c r="HL11" s="345" t="e">
        <f>'No. of aircraft'!AV129</f>
        <v>#REF!</v>
      </c>
      <c r="HM11" s="345" t="e">
        <f>'No. of aircraft'!AW129</f>
        <v>#REF!</v>
      </c>
      <c r="HN11" s="345" t="e">
        <f>'No. of aircraft'!AX129</f>
        <v>#REF!</v>
      </c>
      <c r="HO11" s="345" t="e">
        <f>'No. of aircraft'!AY129</f>
        <v>#REF!</v>
      </c>
    </row>
    <row r="12" spans="1:223" ht="15" thickBot="1">
      <c r="A12" s="1333"/>
      <c r="B12" s="1097" t="s">
        <v>217</v>
      </c>
      <c r="C12" s="313">
        <v>8.92</v>
      </c>
      <c r="D12" s="313">
        <v>9.0627200000000006</v>
      </c>
      <c r="E12" s="313">
        <v>9.2054400000000012</v>
      </c>
      <c r="F12" s="313">
        <v>9.34816</v>
      </c>
      <c r="G12" s="313">
        <v>9.7831125561497352</v>
      </c>
      <c r="H12" s="313">
        <v>9.9302270306783011</v>
      </c>
      <c r="I12" s="313">
        <v>10.077341505206869</v>
      </c>
      <c r="J12" s="313">
        <v>10.224455979735437</v>
      </c>
      <c r="K12" s="313">
        <v>10.690920245340978</v>
      </c>
      <c r="L12" s="313">
        <v>10.842564504140142</v>
      </c>
      <c r="M12" s="313">
        <v>10.994208762939303</v>
      </c>
      <c r="N12" s="313">
        <v>11.145853021738466</v>
      </c>
      <c r="O12" s="313">
        <v>11.645357174286804</v>
      </c>
      <c r="P12" s="313">
        <v>11.801670693404752</v>
      </c>
      <c r="Q12" s="313">
        <v>11.957984212522691</v>
      </c>
      <c r="R12" s="313">
        <v>12.114297731640635</v>
      </c>
      <c r="S12" s="313">
        <v>12.602460248394504</v>
      </c>
      <c r="T12" s="313">
        <v>12.602460248394504</v>
      </c>
      <c r="U12" s="313">
        <v>12.602460248394504</v>
      </c>
      <c r="V12" s="313">
        <v>12.602460248394504</v>
      </c>
      <c r="W12" s="313">
        <v>12.602460248394504</v>
      </c>
      <c r="X12" s="313">
        <v>12.602460248394504</v>
      </c>
      <c r="Y12" s="313">
        <v>12.602460248394504</v>
      </c>
      <c r="Z12" s="313">
        <v>12.602460248394504</v>
      </c>
      <c r="AA12" s="313">
        <v>12.602460248394504</v>
      </c>
      <c r="AB12" s="313">
        <v>12.602460248394504</v>
      </c>
      <c r="AC12" s="313">
        <v>12.602460248394504</v>
      </c>
      <c r="AD12" s="313">
        <v>12.602460248394504</v>
      </c>
      <c r="AE12" s="313">
        <v>12.602460248394504</v>
      </c>
      <c r="AF12" s="313">
        <v>12.602460248394504</v>
      </c>
      <c r="AG12" s="313">
        <v>12.580160248394504</v>
      </c>
      <c r="AH12" s="313">
        <v>12.580160248394504</v>
      </c>
      <c r="AI12" s="313">
        <v>12.548940248394505</v>
      </c>
      <c r="AJ12" s="313">
        <v>12.548940248394505</v>
      </c>
      <c r="AK12" s="313">
        <v>12.548940248394505</v>
      </c>
      <c r="AL12" s="313">
        <v>12.548940248394505</v>
      </c>
      <c r="AM12" s="313">
        <v>12.508800248394504</v>
      </c>
      <c r="AN12" s="313">
        <v>12.508800248394504</v>
      </c>
      <c r="AO12" s="313">
        <v>12.508800248394504</v>
      </c>
      <c r="AP12" s="313">
        <v>12.508800248394504</v>
      </c>
      <c r="AQ12" s="106"/>
      <c r="AS12" s="1333"/>
      <c r="AT12" s="1097" t="s">
        <v>217</v>
      </c>
      <c r="AU12" s="738">
        <f t="shared" si="0"/>
        <v>9.1340800000000009</v>
      </c>
      <c r="AV12" s="738">
        <f t="shared" si="1"/>
        <v>10.003784267942585</v>
      </c>
      <c r="AW12" s="738">
        <f t="shared" si="2"/>
        <v>10.918386633539722</v>
      </c>
      <c r="AX12" s="738">
        <f t="shared" si="3"/>
        <v>11.87982745296372</v>
      </c>
      <c r="AY12" s="738">
        <f t="shared" si="4"/>
        <v>12.602460248394504</v>
      </c>
      <c r="AZ12" s="738">
        <f t="shared" si="5"/>
        <v>12.602460248394504</v>
      </c>
      <c r="BA12" s="738">
        <f t="shared" si="6"/>
        <v>12.602460248394504</v>
      </c>
      <c r="BB12" s="738">
        <f t="shared" si="7"/>
        <v>12.591310248394505</v>
      </c>
      <c r="BC12" s="738">
        <f t="shared" si="8"/>
        <v>12.548940248394505</v>
      </c>
      <c r="BD12" s="736">
        <f t="shared" si="9"/>
        <v>12.508800248394504</v>
      </c>
      <c r="BE12" s="296"/>
      <c r="BF12" s="967">
        <f t="shared" si="10"/>
        <v>1.8548602534398486</v>
      </c>
      <c r="BG12" s="1333"/>
      <c r="BH12" s="667" t="s">
        <v>217</v>
      </c>
      <c r="BI12" s="732">
        <f t="shared" si="13"/>
        <v>1.6676076945211589</v>
      </c>
      <c r="BJ12" s="983">
        <v>1.7665335747046176</v>
      </c>
      <c r="BK12" s="1358"/>
      <c r="BL12" s="666" t="s">
        <v>214</v>
      </c>
      <c r="BM12" s="717">
        <f t="shared" si="12"/>
        <v>23874.722460535802</v>
      </c>
      <c r="BO12" s="1333"/>
      <c r="BP12" s="305" t="s">
        <v>217</v>
      </c>
      <c r="BQ12" s="335">
        <v>1</v>
      </c>
      <c r="BR12" s="335">
        <v>1</v>
      </c>
      <c r="BS12" s="335">
        <v>1</v>
      </c>
      <c r="BT12" s="335">
        <v>1</v>
      </c>
      <c r="BU12" s="335">
        <f>'No. of aircraft'!AJ42</f>
        <v>1</v>
      </c>
      <c r="BV12" s="335">
        <f>'No. of aircraft'!AK42</f>
        <v>1</v>
      </c>
      <c r="BW12" s="335">
        <f>'No. of aircraft'!AL42</f>
        <v>1</v>
      </c>
      <c r="BX12" s="335">
        <f>'No. of aircraft'!AM42</f>
        <v>1</v>
      </c>
      <c r="BY12" s="335">
        <f>'No. of aircraft'!AN42</f>
        <v>1</v>
      </c>
      <c r="BZ12" s="335">
        <f>'No. of aircraft'!AO42</f>
        <v>1</v>
      </c>
      <c r="CA12" s="335">
        <f>'No. of aircraft'!AP42</f>
        <v>1</v>
      </c>
      <c r="CB12" s="335">
        <f>'No. of aircraft'!AQ42</f>
        <v>1</v>
      </c>
      <c r="CC12" s="335">
        <f>'No. of aircraft'!AR42</f>
        <v>1</v>
      </c>
      <c r="CD12" s="335">
        <f>'No. of aircraft'!AS42</f>
        <v>1</v>
      </c>
      <c r="CE12" s="335">
        <f>'No. of aircraft'!AT42</f>
        <v>1</v>
      </c>
      <c r="CF12" s="335">
        <f>'No. of aircraft'!AU42</f>
        <v>1</v>
      </c>
      <c r="CG12" s="335">
        <f>'No. of aircraft'!AV42</f>
        <v>1</v>
      </c>
      <c r="CH12" s="335">
        <f>'No. of aircraft'!AW42</f>
        <v>1</v>
      </c>
      <c r="CI12" s="335">
        <f>'No. of aircraft'!AX42</f>
        <v>1</v>
      </c>
      <c r="CJ12" s="335">
        <f>'No. of aircraft'!AY42</f>
        <v>1</v>
      </c>
      <c r="CK12" s="335">
        <v>1</v>
      </c>
      <c r="CL12" s="335">
        <v>1</v>
      </c>
      <c r="CM12" s="335">
        <v>1</v>
      </c>
      <c r="CN12" s="335">
        <v>1</v>
      </c>
      <c r="CO12" s="335">
        <v>1</v>
      </c>
      <c r="CP12" s="335">
        <v>1</v>
      </c>
      <c r="CQ12" s="335">
        <v>1</v>
      </c>
      <c r="CR12" s="335">
        <v>1</v>
      </c>
      <c r="CS12" s="335">
        <v>1</v>
      </c>
      <c r="CT12" s="335">
        <v>1</v>
      </c>
      <c r="CU12" s="335">
        <v>1</v>
      </c>
      <c r="CV12" s="335">
        <v>1</v>
      </c>
      <c r="CW12" s="335">
        <v>1</v>
      </c>
      <c r="CX12" s="335">
        <v>1</v>
      </c>
      <c r="CY12" s="335">
        <v>1</v>
      </c>
      <c r="CZ12" s="335">
        <v>1</v>
      </c>
      <c r="DA12" s="335">
        <v>1</v>
      </c>
      <c r="DB12" s="335">
        <v>1</v>
      </c>
      <c r="DC12" s="335">
        <v>1</v>
      </c>
      <c r="DD12" s="335">
        <v>1</v>
      </c>
      <c r="DF12" s="1674"/>
      <c r="DH12" s="1333"/>
      <c r="DI12" s="509" t="str">
        <v>PNK-MDC</v>
      </c>
      <c r="DJ12" s="1126">
        <v>12157.507417306875</v>
      </c>
      <c r="DK12" s="1107">
        <v>12205.210065425466</v>
      </c>
      <c r="DL12" s="1107">
        <v>12234.482144952783</v>
      </c>
      <c r="DM12" s="1107">
        <v>12205.210065425466</v>
      </c>
      <c r="DN12" s="1107">
        <v>12421.157382656933</v>
      </c>
      <c r="DO12" s="1107">
        <v>12205.210065425466</v>
      </c>
      <c r="DP12" s="1107">
        <v>12234.482144952783</v>
      </c>
      <c r="DQ12" s="1107">
        <v>12205.210065425466</v>
      </c>
      <c r="DR12" s="1107">
        <v>12205.210065425466</v>
      </c>
      <c r="DS12" s="1107">
        <v>4280.2943741565505</v>
      </c>
      <c r="GT12" s="1601"/>
      <c r="GU12" s="333" t="s">
        <v>235</v>
      </c>
      <c r="GV12" s="345" t="e">
        <f>'No. of aircraft'!AF130</f>
        <v>#REF!</v>
      </c>
      <c r="GW12" s="345" t="e">
        <f>'No. of aircraft'!AG130</f>
        <v>#REF!</v>
      </c>
      <c r="GX12" s="345" t="e">
        <f>'No. of aircraft'!AH130</f>
        <v>#REF!</v>
      </c>
      <c r="GY12" s="345" t="e">
        <f>'No. of aircraft'!AI130</f>
        <v>#REF!</v>
      </c>
      <c r="GZ12" s="345" t="e">
        <f>'No. of aircraft'!AJ130</f>
        <v>#REF!</v>
      </c>
      <c r="HA12" s="345" t="e">
        <f>'No. of aircraft'!AK130</f>
        <v>#REF!</v>
      </c>
      <c r="HB12" s="345" t="e">
        <f>'No. of aircraft'!AL130</f>
        <v>#REF!</v>
      </c>
      <c r="HC12" s="345" t="e">
        <f>'No. of aircraft'!AM130</f>
        <v>#REF!</v>
      </c>
      <c r="HD12" s="345" t="e">
        <f>'No. of aircraft'!AN130</f>
        <v>#REF!</v>
      </c>
      <c r="HE12" s="345" t="e">
        <f>'No. of aircraft'!AO130</f>
        <v>#REF!</v>
      </c>
      <c r="HF12" s="345" t="e">
        <f>'No. of aircraft'!AP130</f>
        <v>#REF!</v>
      </c>
      <c r="HG12" s="345" t="e">
        <f>'No. of aircraft'!AQ130</f>
        <v>#REF!</v>
      </c>
      <c r="HH12" s="345" t="e">
        <f>'No. of aircraft'!AR130</f>
        <v>#REF!</v>
      </c>
      <c r="HI12" s="345" t="e">
        <f>'No. of aircraft'!AS130</f>
        <v>#REF!</v>
      </c>
      <c r="HJ12" s="345" t="e">
        <f>'No. of aircraft'!AT130</f>
        <v>#REF!</v>
      </c>
      <c r="HK12" s="345" t="e">
        <f>'No. of aircraft'!AU130</f>
        <v>#REF!</v>
      </c>
      <c r="HL12" s="345" t="e">
        <f>'No. of aircraft'!AV130</f>
        <v>#REF!</v>
      </c>
      <c r="HM12" s="345" t="e">
        <f>'No. of aircraft'!AW130</f>
        <v>#REF!</v>
      </c>
      <c r="HN12" s="345" t="e">
        <f>'No. of aircraft'!AX130</f>
        <v>#REF!</v>
      </c>
      <c r="HO12" s="345" t="e">
        <f>'No. of aircraft'!AY130</f>
        <v>#REF!</v>
      </c>
    </row>
    <row r="13" spans="1:223" ht="15" customHeight="1">
      <c r="A13" s="1333">
        <v>3</v>
      </c>
      <c r="B13" s="1098" t="s">
        <v>218</v>
      </c>
      <c r="C13" s="328" cm="1">
        <f t="array" ref="C13:AP15">'[4]Aglis Total Tonnage'!$C$14:$AP$16</f>
        <v>0</v>
      </c>
      <c r="D13" s="328">
        <v>0</v>
      </c>
      <c r="E13" s="328">
        <v>0</v>
      </c>
      <c r="F13" s="328">
        <v>0</v>
      </c>
      <c r="G13" s="328">
        <v>0</v>
      </c>
      <c r="H13" s="328">
        <v>0</v>
      </c>
      <c r="I13" s="328">
        <v>0</v>
      </c>
      <c r="J13" s="328">
        <v>0</v>
      </c>
      <c r="K13" s="313">
        <v>16.312080639999998</v>
      </c>
      <c r="L13" s="313">
        <v>16.531005932799999</v>
      </c>
      <c r="M13" s="313">
        <v>16.749931225599997</v>
      </c>
      <c r="N13" s="313">
        <v>16.968856518399999</v>
      </c>
      <c r="O13" s="313">
        <v>17.187781811199997</v>
      </c>
      <c r="P13" s="313">
        <v>17.406707103999999</v>
      </c>
      <c r="Q13" s="313">
        <v>17.625632396799997</v>
      </c>
      <c r="R13" s="313">
        <v>17.844557689599995</v>
      </c>
      <c r="S13" s="313">
        <v>18.059190329599996</v>
      </c>
      <c r="T13" s="313">
        <v>18.273822969599998</v>
      </c>
      <c r="U13" s="313">
        <v>18.488455609599995</v>
      </c>
      <c r="V13" s="313">
        <v>18.703088249599997</v>
      </c>
      <c r="W13" s="313">
        <v>18.917720889599998</v>
      </c>
      <c r="X13" s="313">
        <v>19.132353529599996</v>
      </c>
      <c r="Y13" s="313">
        <v>19.346986169599997</v>
      </c>
      <c r="Z13" s="313">
        <v>19.561618809599999</v>
      </c>
      <c r="AA13" s="313">
        <v>19.308352294399999</v>
      </c>
      <c r="AB13" s="313">
        <v>19.308352294399999</v>
      </c>
      <c r="AC13" s="313">
        <v>19.308352294399999</v>
      </c>
      <c r="AD13" s="313">
        <v>19.679323695479777</v>
      </c>
      <c r="AE13" s="313">
        <v>19.679323695479777</v>
      </c>
      <c r="AF13" s="313">
        <v>19.722250223479779</v>
      </c>
      <c r="AG13" s="313">
        <v>19.765176751479778</v>
      </c>
      <c r="AH13" s="313">
        <v>19.808103279479777</v>
      </c>
      <c r="AI13" s="313">
        <v>19.85102980747978</v>
      </c>
      <c r="AJ13" s="313">
        <v>19.893956335479778</v>
      </c>
      <c r="AK13" s="313">
        <v>19.836348588799996</v>
      </c>
      <c r="AL13" s="313">
        <v>19.836348588799996</v>
      </c>
      <c r="AM13" s="313">
        <v>19.836348588799996</v>
      </c>
      <c r="AN13" s="313">
        <v>19.836348588799996</v>
      </c>
      <c r="AO13" s="313">
        <v>19.836348588799996</v>
      </c>
      <c r="AP13" s="313">
        <v>19.836348588799996</v>
      </c>
      <c r="AQ13" s="106"/>
      <c r="AS13" s="1333">
        <v>3</v>
      </c>
      <c r="AT13" s="1098" t="s">
        <v>218</v>
      </c>
      <c r="AU13" s="1092"/>
      <c r="AV13" s="596"/>
      <c r="AW13" s="738">
        <f t="shared" si="2"/>
        <v>16.6404685792</v>
      </c>
      <c r="AX13" s="738">
        <f t="shared" si="3"/>
        <v>17.516169750399996</v>
      </c>
      <c r="AY13" s="738">
        <f t="shared" si="4"/>
        <v>18.381139289599997</v>
      </c>
      <c r="AZ13" s="738">
        <f t="shared" si="5"/>
        <v>19.239669849599998</v>
      </c>
      <c r="BA13" s="738">
        <f t="shared" si="6"/>
        <v>19.401095144669945</v>
      </c>
      <c r="BB13" s="738">
        <f t="shared" si="7"/>
        <v>19.743713487479777</v>
      </c>
      <c r="BC13" s="738">
        <f t="shared" si="8"/>
        <v>19.854420830139887</v>
      </c>
      <c r="BD13" s="736">
        <f t="shared" si="9"/>
        <v>19.836348588799996</v>
      </c>
      <c r="BE13" s="296"/>
      <c r="BF13" s="967">
        <f t="shared" si="10"/>
        <v>1.787204130977059</v>
      </c>
      <c r="BG13" s="1333">
        <v>3</v>
      </c>
      <c r="BH13" s="668" t="s">
        <v>218</v>
      </c>
      <c r="BI13" s="732">
        <f>0.952*BJ13</f>
        <v>1.6203984120858665</v>
      </c>
      <c r="BJ13" s="983">
        <v>1.7020991723591037</v>
      </c>
      <c r="BK13" s="1678">
        <v>3</v>
      </c>
      <c r="BL13" s="668" t="s">
        <v>609</v>
      </c>
      <c r="BM13" s="717">
        <f t="shared" si="12"/>
        <v>23198.838966230331</v>
      </c>
      <c r="BO13" s="1333">
        <v>3</v>
      </c>
      <c r="BP13" s="203" t="s">
        <v>218</v>
      </c>
      <c r="BQ13" s="335">
        <f>'No. of aircraft'!AF43</f>
        <v>0</v>
      </c>
      <c r="BR13" s="335">
        <f>'No. of aircraft'!AG43</f>
        <v>0</v>
      </c>
      <c r="BS13" s="335">
        <f>'No. of aircraft'!AH43</f>
        <v>0</v>
      </c>
      <c r="BT13" s="335">
        <f>'No. of aircraft'!AI43</f>
        <v>0</v>
      </c>
      <c r="BU13" s="335">
        <f>'No. of aircraft'!AJ43</f>
        <v>0</v>
      </c>
      <c r="BV13" s="335">
        <f>'No. of aircraft'!AK43</f>
        <v>0</v>
      </c>
      <c r="BW13" s="335">
        <f>'No. of aircraft'!AL43</f>
        <v>0</v>
      </c>
      <c r="BX13" s="335">
        <f>'No. of aircraft'!AM43</f>
        <v>0</v>
      </c>
      <c r="BY13" s="335">
        <f>'No. of aircraft'!AN43</f>
        <v>1</v>
      </c>
      <c r="BZ13" s="335">
        <f>'No. of aircraft'!AO43</f>
        <v>1</v>
      </c>
      <c r="CA13" s="335">
        <f>'No. of aircraft'!AP43</f>
        <v>1</v>
      </c>
      <c r="CB13" s="335">
        <f>'No. of aircraft'!AQ43</f>
        <v>1</v>
      </c>
      <c r="CC13" s="335">
        <f>'No. of aircraft'!AR43</f>
        <v>1</v>
      </c>
      <c r="CD13" s="335">
        <f>'No. of aircraft'!AS43</f>
        <v>1</v>
      </c>
      <c r="CE13" s="335">
        <f>'No. of aircraft'!AT43</f>
        <v>1</v>
      </c>
      <c r="CF13" s="335">
        <f>'No. of aircraft'!AU43</f>
        <v>1</v>
      </c>
      <c r="CG13" s="335">
        <f>'No. of aircraft'!AV43</f>
        <v>1</v>
      </c>
      <c r="CH13" s="335">
        <f>'No. of aircraft'!AW43</f>
        <v>1</v>
      </c>
      <c r="CI13" s="335">
        <f>'No. of aircraft'!AX43</f>
        <v>1</v>
      </c>
      <c r="CJ13" s="335">
        <f>'No. of aircraft'!AY43</f>
        <v>1</v>
      </c>
      <c r="CK13" s="335">
        <v>1</v>
      </c>
      <c r="CL13" s="335">
        <v>1</v>
      </c>
      <c r="CM13" s="335">
        <v>1</v>
      </c>
      <c r="CN13" s="335">
        <v>1</v>
      </c>
      <c r="CO13" s="335">
        <v>1</v>
      </c>
      <c r="CP13" s="335">
        <v>1</v>
      </c>
      <c r="CQ13" s="335">
        <v>1</v>
      </c>
      <c r="CR13" s="335">
        <v>1</v>
      </c>
      <c r="CS13" s="335">
        <v>1</v>
      </c>
      <c r="CT13" s="335">
        <v>1</v>
      </c>
      <c r="CU13" s="335">
        <v>1</v>
      </c>
      <c r="CV13" s="335">
        <v>1</v>
      </c>
      <c r="CW13" s="335">
        <v>1</v>
      </c>
      <c r="CX13" s="335">
        <v>1</v>
      </c>
      <c r="CY13" s="335">
        <v>1</v>
      </c>
      <c r="CZ13" s="335">
        <v>1</v>
      </c>
      <c r="DA13" s="335">
        <v>1</v>
      </c>
      <c r="DB13" s="335">
        <v>1</v>
      </c>
      <c r="DC13" s="335">
        <v>1</v>
      </c>
      <c r="DD13" s="335">
        <v>1</v>
      </c>
      <c r="DF13" s="1674"/>
      <c r="DH13" s="1333">
        <v>3</v>
      </c>
      <c r="DI13" s="508" t="str">
        <v>TTE-KNO</v>
      </c>
      <c r="DJ13" s="1128"/>
      <c r="DK13" s="1108"/>
      <c r="DL13" s="1107">
        <v>19402.05069754535</v>
      </c>
      <c r="DM13" s="1107">
        <v>19375.734883368139</v>
      </c>
      <c r="DN13" s="1107">
        <v>19375.734883368139</v>
      </c>
      <c r="DO13" s="1107">
        <v>19375.734883368139</v>
      </c>
      <c r="DP13" s="1107">
        <v>19712.454975936995</v>
      </c>
      <c r="DQ13" s="1107">
        <v>19375.734883368139</v>
      </c>
      <c r="DR13" s="1107">
        <v>19375.734883368139</v>
      </c>
      <c r="DS13" s="1107">
        <v>4018.5497703791525</v>
      </c>
      <c r="GT13" s="1392">
        <v>3</v>
      </c>
      <c r="GU13" s="77" t="s">
        <v>218</v>
      </c>
      <c r="GV13" s="345" t="e">
        <f>'No. of aircraft'!AF131</f>
        <v>#REF!</v>
      </c>
      <c r="GW13" s="345" t="e">
        <f>'No. of aircraft'!AG131</f>
        <v>#REF!</v>
      </c>
      <c r="GX13" s="345" t="e">
        <f>'No. of aircraft'!AH131</f>
        <v>#REF!</v>
      </c>
      <c r="GY13" s="345" t="e">
        <f>'No. of aircraft'!AI131</f>
        <v>#REF!</v>
      </c>
      <c r="GZ13" s="345" t="e">
        <f>'No. of aircraft'!AJ131</f>
        <v>#REF!</v>
      </c>
      <c r="HA13" s="345" t="e">
        <f>'No. of aircraft'!AK131</f>
        <v>#REF!</v>
      </c>
      <c r="HB13" s="345" t="e">
        <f>'No. of aircraft'!AL131</f>
        <v>#REF!</v>
      </c>
      <c r="HC13" s="345" t="e">
        <f>'No. of aircraft'!AM131</f>
        <v>#REF!</v>
      </c>
      <c r="HD13" s="345">
        <f>'No. of aircraft'!AN131</f>
        <v>1</v>
      </c>
      <c r="HE13" s="345">
        <f>'No. of aircraft'!AO131</f>
        <v>1</v>
      </c>
      <c r="HF13" s="345">
        <f>'No. of aircraft'!AP131</f>
        <v>1</v>
      </c>
      <c r="HG13" s="345">
        <f>'No. of aircraft'!AQ131</f>
        <v>1</v>
      </c>
      <c r="HH13" s="345">
        <f>'No. of aircraft'!AR131</f>
        <v>1</v>
      </c>
      <c r="HI13" s="345">
        <f>'No. of aircraft'!AS131</f>
        <v>1</v>
      </c>
      <c r="HJ13" s="345">
        <f>'No. of aircraft'!AT131</f>
        <v>1</v>
      </c>
      <c r="HK13" s="345">
        <f>'No. of aircraft'!AU131</f>
        <v>1</v>
      </c>
      <c r="HL13" s="345">
        <f>'No. of aircraft'!AV131</f>
        <v>1</v>
      </c>
      <c r="HM13" s="345">
        <f>'No. of aircraft'!AW131</f>
        <v>1</v>
      </c>
      <c r="HN13" s="345">
        <f>'No. of aircraft'!AX131</f>
        <v>1</v>
      </c>
      <c r="HO13" s="345">
        <f>'No. of aircraft'!AY131</f>
        <v>1</v>
      </c>
    </row>
    <row r="14" spans="1:223">
      <c r="A14" s="1333"/>
      <c r="B14" s="1098" t="s">
        <v>219</v>
      </c>
      <c r="C14" s="328">
        <v>0</v>
      </c>
      <c r="D14" s="328">
        <v>0</v>
      </c>
      <c r="E14" s="328">
        <v>0</v>
      </c>
      <c r="F14" s="328">
        <v>0</v>
      </c>
      <c r="G14" s="328">
        <v>0</v>
      </c>
      <c r="H14" s="328">
        <v>0</v>
      </c>
      <c r="I14" s="328">
        <v>0</v>
      </c>
      <c r="J14" s="328">
        <v>0</v>
      </c>
      <c r="K14" s="313">
        <v>16.568634605349214</v>
      </c>
      <c r="L14" s="313">
        <v>16.791003122421007</v>
      </c>
      <c r="M14" s="313">
        <v>17.013371639492799</v>
      </c>
      <c r="N14" s="313">
        <v>17.235740156564589</v>
      </c>
      <c r="O14" s="313">
        <v>17.925789247109105</v>
      </c>
      <c r="P14" s="313">
        <v>18.154114734522338</v>
      </c>
      <c r="Q14" s="313">
        <v>18.382440221935568</v>
      </c>
      <c r="R14" s="313">
        <v>18.61076570934879</v>
      </c>
      <c r="S14" s="313">
        <v>19.335833710948997</v>
      </c>
      <c r="T14" s="313">
        <v>19.565639198362224</v>
      </c>
      <c r="U14" s="313">
        <v>19.795444685775447</v>
      </c>
      <c r="V14" s="313">
        <v>20.025250173188681</v>
      </c>
      <c r="W14" s="313">
        <v>20.344556289711342</v>
      </c>
      <c r="X14" s="313">
        <v>20.629720688688433</v>
      </c>
      <c r="Y14" s="313">
        <v>20.916214277596278</v>
      </c>
      <c r="Z14" s="313">
        <v>21.204040936536995</v>
      </c>
      <c r="AA14" s="313">
        <v>21.076961882828414</v>
      </c>
      <c r="AB14" s="313">
        <v>21.187897890359736</v>
      </c>
      <c r="AC14" s="313">
        <v>21.299277641921172</v>
      </c>
      <c r="AD14" s="313">
        <v>21.6</v>
      </c>
      <c r="AE14" s="313">
        <v>21.6</v>
      </c>
      <c r="AF14" s="313">
        <v>21.6</v>
      </c>
      <c r="AG14" s="313">
        <v>21.6</v>
      </c>
      <c r="AH14" s="313">
        <v>21.6</v>
      </c>
      <c r="AI14" s="313">
        <v>21.6</v>
      </c>
      <c r="AJ14" s="313">
        <v>21.6</v>
      </c>
      <c r="AK14" s="313">
        <v>21.6</v>
      </c>
      <c r="AL14" s="313">
        <v>21.6</v>
      </c>
      <c r="AM14" s="313">
        <v>21.6</v>
      </c>
      <c r="AN14" s="313">
        <v>21.6</v>
      </c>
      <c r="AO14" s="313">
        <v>21.6</v>
      </c>
      <c r="AP14" s="313">
        <v>21.6</v>
      </c>
      <c r="AQ14" s="106"/>
      <c r="AS14" s="1333"/>
      <c r="AT14" s="1098" t="s">
        <v>219</v>
      </c>
      <c r="AU14" s="1093"/>
      <c r="AV14" s="596"/>
      <c r="AW14" s="738">
        <f t="shared" si="2"/>
        <v>16.902187380956903</v>
      </c>
      <c r="AX14" s="738">
        <f t="shared" si="3"/>
        <v>18.268277478228953</v>
      </c>
      <c r="AY14" s="738">
        <f t="shared" si="4"/>
        <v>19.680541942068839</v>
      </c>
      <c r="AZ14" s="738">
        <f t="shared" si="5"/>
        <v>20.773633048133263</v>
      </c>
      <c r="BA14" s="738">
        <f t="shared" si="6"/>
        <v>21.291034353777331</v>
      </c>
      <c r="BB14" s="738">
        <f t="shared" si="7"/>
        <v>21.6</v>
      </c>
      <c r="BC14" s="738">
        <f t="shared" si="8"/>
        <v>21.6</v>
      </c>
      <c r="BD14" s="736">
        <f t="shared" si="9"/>
        <v>21.6</v>
      </c>
      <c r="BE14" s="296"/>
      <c r="BF14" s="967">
        <f t="shared" si="10"/>
        <v>0.51153441071666206</v>
      </c>
      <c r="BG14" s="1333"/>
      <c r="BH14" s="668" t="s">
        <v>219</v>
      </c>
      <c r="BI14" s="732">
        <f t="shared" ref="BI14:BI16" si="14">0.952*BJ14</f>
        <v>0.46379119904977356</v>
      </c>
      <c r="BJ14" s="983">
        <v>0.48717562925396385</v>
      </c>
      <c r="BK14" s="1357"/>
      <c r="BL14" s="668" t="s">
        <v>218</v>
      </c>
      <c r="BM14" s="717">
        <f t="shared" si="12"/>
        <v>6639.9826489958459</v>
      </c>
      <c r="BO14" s="1333"/>
      <c r="BP14" s="203" t="s">
        <v>219</v>
      </c>
      <c r="BQ14" s="335">
        <f>'No. of aircraft'!AF44</f>
        <v>0</v>
      </c>
      <c r="BR14" s="335">
        <f>'No. of aircraft'!AG44</f>
        <v>0</v>
      </c>
      <c r="BS14" s="335">
        <f>'No. of aircraft'!AH44</f>
        <v>0</v>
      </c>
      <c r="BT14" s="335">
        <f>'No. of aircraft'!AI44</f>
        <v>0</v>
      </c>
      <c r="BU14" s="335">
        <f>'No. of aircraft'!AJ44</f>
        <v>0</v>
      </c>
      <c r="BV14" s="335">
        <f>'No. of aircraft'!AK44</f>
        <v>0</v>
      </c>
      <c r="BW14" s="335">
        <f>'No. of aircraft'!AL44</f>
        <v>0</v>
      </c>
      <c r="BX14" s="335">
        <f>'No. of aircraft'!AM44</f>
        <v>0</v>
      </c>
      <c r="BY14" s="335">
        <f>'No. of aircraft'!AN44</f>
        <v>1</v>
      </c>
      <c r="BZ14" s="335">
        <f>'No. of aircraft'!AO44</f>
        <v>1</v>
      </c>
      <c r="CA14" s="335">
        <f>'No. of aircraft'!AP44</f>
        <v>1</v>
      </c>
      <c r="CB14" s="335">
        <f>'No. of aircraft'!AQ44</f>
        <v>1</v>
      </c>
      <c r="CC14" s="335">
        <f>'No. of aircraft'!AR44</f>
        <v>1</v>
      </c>
      <c r="CD14" s="335">
        <f>'No. of aircraft'!AS44</f>
        <v>1</v>
      </c>
      <c r="CE14" s="335">
        <f>'No. of aircraft'!AT44</f>
        <v>1</v>
      </c>
      <c r="CF14" s="335">
        <f>'No. of aircraft'!AU44</f>
        <v>1</v>
      </c>
      <c r="CG14" s="335">
        <f>'No. of aircraft'!AV44</f>
        <v>1</v>
      </c>
      <c r="CH14" s="335">
        <f>'No. of aircraft'!AW44</f>
        <v>1</v>
      </c>
      <c r="CI14" s="335">
        <f>'No. of aircraft'!AX44</f>
        <v>1</v>
      </c>
      <c r="CJ14" s="335">
        <f>'No. of aircraft'!AY44</f>
        <v>1</v>
      </c>
      <c r="CK14" s="335">
        <v>1</v>
      </c>
      <c r="CL14" s="335">
        <v>1</v>
      </c>
      <c r="CM14" s="335">
        <v>1</v>
      </c>
      <c r="CN14" s="335">
        <v>1</v>
      </c>
      <c r="CO14" s="335">
        <v>1</v>
      </c>
      <c r="CP14" s="335">
        <v>1</v>
      </c>
      <c r="CQ14" s="335">
        <v>1</v>
      </c>
      <c r="CR14" s="335">
        <v>1</v>
      </c>
      <c r="CS14" s="335">
        <v>1</v>
      </c>
      <c r="CT14" s="335">
        <v>1</v>
      </c>
      <c r="CU14" s="335">
        <v>1</v>
      </c>
      <c r="CV14" s="335">
        <v>1</v>
      </c>
      <c r="CW14" s="335">
        <v>1</v>
      </c>
      <c r="CX14" s="335">
        <v>1</v>
      </c>
      <c r="CY14" s="335">
        <v>1</v>
      </c>
      <c r="CZ14" s="335">
        <v>1</v>
      </c>
      <c r="DA14" s="335">
        <v>1</v>
      </c>
      <c r="DB14" s="335">
        <v>1</v>
      </c>
      <c r="DC14" s="335">
        <v>1</v>
      </c>
      <c r="DD14" s="335">
        <v>1</v>
      </c>
      <c r="DF14" s="1674"/>
      <c r="DH14" s="1333"/>
      <c r="DI14" s="496" t="str">
        <v>KNO-PKU</v>
      </c>
      <c r="DJ14" s="1129"/>
      <c r="DK14" s="1108"/>
      <c r="DL14" s="1107">
        <v>5969.8428366172293</v>
      </c>
      <c r="DM14" s="1107">
        <v>5958.9604386086685</v>
      </c>
      <c r="DN14" s="1107">
        <v>5958.9604386086685</v>
      </c>
      <c r="DO14" s="1107">
        <v>5958.9604386086685</v>
      </c>
      <c r="DP14" s="1107">
        <v>6098.2440360470391</v>
      </c>
      <c r="DQ14" s="1107">
        <v>5958.9604386086685</v>
      </c>
      <c r="DR14" s="1107">
        <v>5958.9604386086685</v>
      </c>
      <c r="DS14" s="1107">
        <v>5346.0180684778925</v>
      </c>
      <c r="GT14" s="1392"/>
      <c r="GU14" s="164" t="s">
        <v>219</v>
      </c>
      <c r="GV14" s="345" t="e">
        <f>'No. of aircraft'!AF132</f>
        <v>#REF!</v>
      </c>
      <c r="GW14" s="345" t="e">
        <f>'No. of aircraft'!AG132</f>
        <v>#REF!</v>
      </c>
      <c r="GX14" s="345" t="e">
        <f>'No. of aircraft'!AH132</f>
        <v>#REF!</v>
      </c>
      <c r="GY14" s="345" t="e">
        <f>'No. of aircraft'!AI132</f>
        <v>#REF!</v>
      </c>
      <c r="GZ14" s="345" t="e">
        <f>'No. of aircraft'!AJ132</f>
        <v>#REF!</v>
      </c>
      <c r="HA14" s="345" t="e">
        <f>'No. of aircraft'!AK132</f>
        <v>#REF!</v>
      </c>
      <c r="HB14" s="345" t="e">
        <f>'No. of aircraft'!AL132</f>
        <v>#REF!</v>
      </c>
      <c r="HC14" s="345" t="e">
        <f>'No. of aircraft'!AM132</f>
        <v>#REF!</v>
      </c>
      <c r="HD14" s="345" t="e">
        <f>'No. of aircraft'!AN132</f>
        <v>#REF!</v>
      </c>
      <c r="HE14" s="345" t="e">
        <f>'No. of aircraft'!AO132</f>
        <v>#REF!</v>
      </c>
      <c r="HF14" s="345" t="e">
        <f>'No. of aircraft'!AP132</f>
        <v>#REF!</v>
      </c>
      <c r="HG14" s="345" t="e">
        <f>'No. of aircraft'!AQ132</f>
        <v>#REF!</v>
      </c>
      <c r="HH14" s="345" t="e">
        <f>'No. of aircraft'!AR132</f>
        <v>#REF!</v>
      </c>
      <c r="HI14" s="345" t="e">
        <f>'No. of aircraft'!AS132</f>
        <v>#REF!</v>
      </c>
      <c r="HJ14" s="345" t="e">
        <f>'No. of aircraft'!AT132</f>
        <v>#REF!</v>
      </c>
      <c r="HK14" s="345" t="e">
        <f>'No. of aircraft'!AU132</f>
        <v>#REF!</v>
      </c>
      <c r="HL14" s="345" t="e">
        <f>'No. of aircraft'!AV132</f>
        <v>#REF!</v>
      </c>
      <c r="HM14" s="345" t="e">
        <f>'No. of aircraft'!AW132</f>
        <v>#REF!</v>
      </c>
      <c r="HN14" s="345" t="e">
        <f>'No. of aircraft'!AX132</f>
        <v>#REF!</v>
      </c>
      <c r="HO14" s="345" t="e">
        <f>'No. of aircraft'!AY132</f>
        <v>#REF!</v>
      </c>
    </row>
    <row r="15" spans="1:223" ht="15" customHeight="1">
      <c r="A15" s="1333"/>
      <c r="B15" s="1098" t="s">
        <v>220</v>
      </c>
      <c r="C15" s="328">
        <v>0</v>
      </c>
      <c r="D15" s="328">
        <v>0</v>
      </c>
      <c r="E15" s="328">
        <v>0</v>
      </c>
      <c r="F15" s="328">
        <v>0</v>
      </c>
      <c r="G15" s="328">
        <v>0</v>
      </c>
      <c r="H15" s="328">
        <v>0</v>
      </c>
      <c r="I15" s="328">
        <v>0</v>
      </c>
      <c r="J15" s="328">
        <v>0</v>
      </c>
      <c r="K15" s="313">
        <v>2.6147443780162396</v>
      </c>
      <c r="L15" s="313">
        <v>2.656063795347853</v>
      </c>
      <c r="M15" s="313">
        <v>2.6973832126794672</v>
      </c>
      <c r="N15" s="313">
        <v>2.7387026300110819</v>
      </c>
      <c r="O15" s="313">
        <v>2.9232487272361638</v>
      </c>
      <c r="P15" s="313">
        <v>2.9668329767143549</v>
      </c>
      <c r="Q15" s="313">
        <v>3.0104172261925464</v>
      </c>
      <c r="R15" s="313">
        <v>3.0540014756707361</v>
      </c>
      <c r="S15" s="313">
        <v>3.2577660367718053</v>
      </c>
      <c r="T15" s="313">
        <v>3.3037358793659397</v>
      </c>
      <c r="U15" s="313">
        <v>3.3497057219600741</v>
      </c>
      <c r="V15" s="313">
        <v>3.3956755645542085</v>
      </c>
      <c r="W15" s="313">
        <v>3.408816099607479</v>
      </c>
      <c r="X15" s="313">
        <v>3.4167053325389389</v>
      </c>
      <c r="Y15" s="313">
        <v>3.4246103439362607</v>
      </c>
      <c r="Z15" s="313">
        <v>3.4325311653563775</v>
      </c>
      <c r="AA15" s="313">
        <v>3.4537421822006134</v>
      </c>
      <c r="AB15" s="313">
        <v>3.4697003523939056</v>
      </c>
      <c r="AC15" s="313">
        <v>3.4857223552679706</v>
      </c>
      <c r="AD15" s="313">
        <v>3.501808446153531</v>
      </c>
      <c r="AE15" s="313">
        <v>3.5314757911336074</v>
      </c>
      <c r="AF15" s="313">
        <v>3.5558794480771416</v>
      </c>
      <c r="AG15" s="313">
        <v>3.5804295269623396</v>
      </c>
      <c r="AH15" s="313">
        <v>3.6051269063208471</v>
      </c>
      <c r="AI15" s="313">
        <v>3.6413584745368901</v>
      </c>
      <c r="AJ15" s="313">
        <v>3.6722694499577671</v>
      </c>
      <c r="AK15" s="313">
        <v>3.7034091665967588</v>
      </c>
      <c r="AL15" s="313">
        <v>3.7317112927109255</v>
      </c>
      <c r="AM15" s="313">
        <v>3.7720579622752899</v>
      </c>
      <c r="AN15" s="313">
        <v>3.7720579622752899</v>
      </c>
      <c r="AO15" s="313">
        <v>3.7720579622752899</v>
      </c>
      <c r="AP15" s="313">
        <v>3.7720579622752899</v>
      </c>
      <c r="AQ15" s="106"/>
      <c r="AS15" s="1333"/>
      <c r="AT15" s="1098" t="s">
        <v>220</v>
      </c>
      <c r="AU15" s="1093"/>
      <c r="AV15" s="596"/>
      <c r="AW15" s="738">
        <f t="shared" si="2"/>
        <v>2.6767235040136605</v>
      </c>
      <c r="AX15" s="738">
        <f t="shared" si="3"/>
        <v>2.9886251014534504</v>
      </c>
      <c r="AY15" s="738">
        <f t="shared" si="4"/>
        <v>3.3267208006630069</v>
      </c>
      <c r="AZ15" s="738">
        <f t="shared" si="5"/>
        <v>3.4206657353597638</v>
      </c>
      <c r="BA15" s="738">
        <f t="shared" si="6"/>
        <v>3.4777433340040051</v>
      </c>
      <c r="BB15" s="738">
        <f t="shared" si="7"/>
        <v>3.5682279181234842</v>
      </c>
      <c r="BC15" s="738">
        <f t="shared" si="8"/>
        <v>3.687187095950585</v>
      </c>
      <c r="BD15" s="736">
        <f t="shared" si="9"/>
        <v>3.7720579622752899</v>
      </c>
      <c r="BE15" s="296"/>
      <c r="BF15" s="967">
        <f t="shared" si="10"/>
        <v>0.54671559439731288</v>
      </c>
      <c r="BG15" s="1333"/>
      <c r="BH15" s="668" t="s">
        <v>220</v>
      </c>
      <c r="BI15" s="732">
        <f t="shared" si="14"/>
        <v>0.49568880558689699</v>
      </c>
      <c r="BJ15" s="983">
        <v>0.52068151847363131</v>
      </c>
      <c r="BK15" s="1357"/>
      <c r="BL15" s="668" t="s">
        <v>219</v>
      </c>
      <c r="BM15" s="717">
        <f t="shared" si="12"/>
        <v>7096.6527073862071</v>
      </c>
      <c r="BO15" s="1333"/>
      <c r="BP15" s="203" t="s">
        <v>220</v>
      </c>
      <c r="BQ15" s="335">
        <f>'No. of aircraft'!AF45</f>
        <v>0</v>
      </c>
      <c r="BR15" s="335">
        <f>'No. of aircraft'!AG45</f>
        <v>0</v>
      </c>
      <c r="BS15" s="335">
        <f>'No. of aircraft'!AH45</f>
        <v>0</v>
      </c>
      <c r="BT15" s="335">
        <f>'No. of aircraft'!AI45</f>
        <v>0</v>
      </c>
      <c r="BU15" s="335">
        <f>'No. of aircraft'!AJ45</f>
        <v>0</v>
      </c>
      <c r="BV15" s="335">
        <f>'No. of aircraft'!AK45</f>
        <v>0</v>
      </c>
      <c r="BW15" s="335">
        <f>'No. of aircraft'!AL45</f>
        <v>0</v>
      </c>
      <c r="BX15" s="335">
        <f>'No. of aircraft'!AM45</f>
        <v>0</v>
      </c>
      <c r="BY15" s="335">
        <f>'No. of aircraft'!AN45</f>
        <v>1</v>
      </c>
      <c r="BZ15" s="335">
        <f>'No. of aircraft'!AO45</f>
        <v>1</v>
      </c>
      <c r="CA15" s="335">
        <f>'No. of aircraft'!AP45</f>
        <v>1</v>
      </c>
      <c r="CB15" s="335">
        <f>'No. of aircraft'!AQ45</f>
        <v>1</v>
      </c>
      <c r="CC15" s="335">
        <f>'No. of aircraft'!AR45</f>
        <v>1</v>
      </c>
      <c r="CD15" s="335">
        <f>'No. of aircraft'!AS45</f>
        <v>1</v>
      </c>
      <c r="CE15" s="335">
        <f>'No. of aircraft'!AT45</f>
        <v>1</v>
      </c>
      <c r="CF15" s="335">
        <f>'No. of aircraft'!AU45</f>
        <v>1</v>
      </c>
      <c r="CG15" s="335">
        <f>'No. of aircraft'!AV45</f>
        <v>1</v>
      </c>
      <c r="CH15" s="335">
        <f>'No. of aircraft'!AW45</f>
        <v>1</v>
      </c>
      <c r="CI15" s="335">
        <f>'No. of aircraft'!AX45</f>
        <v>1</v>
      </c>
      <c r="CJ15" s="335">
        <f>'No. of aircraft'!AY45</f>
        <v>1</v>
      </c>
      <c r="CK15" s="335">
        <v>1</v>
      </c>
      <c r="CL15" s="335">
        <v>1</v>
      </c>
      <c r="CM15" s="335">
        <v>1</v>
      </c>
      <c r="CN15" s="335">
        <v>1</v>
      </c>
      <c r="CO15" s="335">
        <v>1</v>
      </c>
      <c r="CP15" s="335">
        <v>1</v>
      </c>
      <c r="CQ15" s="335">
        <v>1</v>
      </c>
      <c r="CR15" s="335">
        <v>1</v>
      </c>
      <c r="CS15" s="335">
        <v>1</v>
      </c>
      <c r="CT15" s="335">
        <v>1</v>
      </c>
      <c r="CU15" s="335">
        <v>1</v>
      </c>
      <c r="CV15" s="335">
        <v>1</v>
      </c>
      <c r="CW15" s="335">
        <v>1</v>
      </c>
      <c r="CX15" s="335">
        <v>1</v>
      </c>
      <c r="CY15" s="335">
        <v>1</v>
      </c>
      <c r="CZ15" s="335">
        <v>1</v>
      </c>
      <c r="DA15" s="335">
        <v>1</v>
      </c>
      <c r="DB15" s="335">
        <v>1</v>
      </c>
      <c r="DC15" s="335">
        <v>1</v>
      </c>
      <c r="DD15" s="335">
        <v>1</v>
      </c>
      <c r="DF15" s="1674"/>
      <c r="DH15" s="1333"/>
      <c r="DI15" s="496" t="str">
        <v>PKU-BDO</v>
      </c>
      <c r="DJ15" s="1129"/>
      <c r="DK15" s="1108"/>
      <c r="DL15" s="1107">
        <v>7757.048703333443</v>
      </c>
      <c r="DM15" s="1107">
        <v>7743.4718641522641</v>
      </c>
      <c r="DN15" s="1107">
        <v>7743.4718641522641</v>
      </c>
      <c r="DO15" s="1107">
        <v>7743.4718641522641</v>
      </c>
      <c r="DP15" s="1107">
        <v>7917.2248892043117</v>
      </c>
      <c r="DQ15" s="1107">
        <v>7743.4718641522641</v>
      </c>
      <c r="DR15" s="1107">
        <v>7743.4718641522641</v>
      </c>
      <c r="DS15" s="1107">
        <v>4395.0240769196907</v>
      </c>
      <c r="GT15" s="1392"/>
      <c r="GU15" s="164" t="s">
        <v>220</v>
      </c>
      <c r="GV15" s="345" t="e">
        <f>'No. of aircraft'!AF133</f>
        <v>#REF!</v>
      </c>
      <c r="GW15" s="345" t="e">
        <f>'No. of aircraft'!AG133</f>
        <v>#REF!</v>
      </c>
      <c r="GX15" s="345" t="e">
        <f>'No. of aircraft'!AH133</f>
        <v>#REF!</v>
      </c>
      <c r="GY15" s="345" t="e">
        <f>'No. of aircraft'!AI133</f>
        <v>#REF!</v>
      </c>
      <c r="GZ15" s="345" t="e">
        <f>'No. of aircraft'!AJ133</f>
        <v>#REF!</v>
      </c>
      <c r="HA15" s="345" t="e">
        <f>'No. of aircraft'!AK133</f>
        <v>#REF!</v>
      </c>
      <c r="HB15" s="345" t="e">
        <f>'No. of aircraft'!AL133</f>
        <v>#REF!</v>
      </c>
      <c r="HC15" s="345" t="e">
        <f>'No. of aircraft'!AM133</f>
        <v>#REF!</v>
      </c>
      <c r="HD15" s="345" t="e">
        <f>'No. of aircraft'!AN133</f>
        <v>#REF!</v>
      </c>
      <c r="HE15" s="345" t="e">
        <f>'No. of aircraft'!AO133</f>
        <v>#REF!</v>
      </c>
      <c r="HF15" s="345" t="e">
        <f>'No. of aircraft'!AP133</f>
        <v>#REF!</v>
      </c>
      <c r="HG15" s="345" t="e">
        <f>'No. of aircraft'!AQ133</f>
        <v>#REF!</v>
      </c>
      <c r="HH15" s="345" t="e">
        <f>'No. of aircraft'!AR133</f>
        <v>#REF!</v>
      </c>
      <c r="HI15" s="345" t="e">
        <f>'No. of aircraft'!AS133</f>
        <v>#REF!</v>
      </c>
      <c r="HJ15" s="345" t="e">
        <f>'No. of aircraft'!AT133</f>
        <v>#REF!</v>
      </c>
      <c r="HK15" s="345" t="e">
        <f>'No. of aircraft'!AU133</f>
        <v>#REF!</v>
      </c>
      <c r="HL15" s="345" t="e">
        <f>'No. of aircraft'!AV133</f>
        <v>#REF!</v>
      </c>
      <c r="HM15" s="345" t="e">
        <f>'No. of aircraft'!AW133</f>
        <v>#REF!</v>
      </c>
      <c r="HN15" s="345" t="e">
        <f>'No. of aircraft'!AX133</f>
        <v>#REF!</v>
      </c>
      <c r="HO15" s="345" t="e">
        <f>'No. of aircraft'!AY133</f>
        <v>#REF!</v>
      </c>
    </row>
    <row r="16" spans="1:223" ht="15" customHeight="1" thickBot="1">
      <c r="A16" s="1333"/>
      <c r="B16" s="1098" t="s">
        <v>221</v>
      </c>
      <c r="C16" s="328" cm="1">
        <f t="array" ref="C16:AP16">'[4]Aglis Total Tonnage'!$C$13:$AP$13</f>
        <v>0</v>
      </c>
      <c r="D16" s="328">
        <v>0</v>
      </c>
      <c r="E16" s="328">
        <v>0</v>
      </c>
      <c r="F16" s="328">
        <v>0</v>
      </c>
      <c r="G16" s="328">
        <v>0</v>
      </c>
      <c r="H16" s="328">
        <v>0</v>
      </c>
      <c r="I16" s="328">
        <v>0</v>
      </c>
      <c r="J16" s="328">
        <v>0</v>
      </c>
      <c r="K16" s="313">
        <v>4.5075436194132443</v>
      </c>
      <c r="L16" s="313">
        <v>4.6067095790403352</v>
      </c>
      <c r="M16" s="313">
        <v>4.7058755386674269</v>
      </c>
      <c r="N16" s="313">
        <v>4.8050414982945178</v>
      </c>
      <c r="O16" s="313">
        <v>5.017958807080042</v>
      </c>
      <c r="P16" s="313">
        <v>5.1194248858996749</v>
      </c>
      <c r="Q16" s="313">
        <v>5.2208909647193087</v>
      </c>
      <c r="R16" s="313">
        <v>5.3223570435389416</v>
      </c>
      <c r="S16" s="313">
        <v>5.5492339848057455</v>
      </c>
      <c r="T16" s="313">
        <v>5.6530461852017719</v>
      </c>
      <c r="U16" s="313">
        <v>5.7568583855977975</v>
      </c>
      <c r="V16" s="313">
        <v>5.8606705859938231</v>
      </c>
      <c r="W16" s="313">
        <v>5.8832481474242151</v>
      </c>
      <c r="X16" s="313">
        <v>5.8968031237190619</v>
      </c>
      <c r="Y16" s="313">
        <v>5.9103852099665</v>
      </c>
      <c r="Z16" s="313">
        <v>5.9239944603864334</v>
      </c>
      <c r="AA16" s="313">
        <v>5.9604384129241694</v>
      </c>
      <c r="AB16" s="313">
        <v>5.9878571265758662</v>
      </c>
      <c r="AC16" s="313">
        <v>6.0153855150821691</v>
      </c>
      <c r="AD16" s="313">
        <v>6.0430240171424972</v>
      </c>
      <c r="AE16" s="313">
        <v>6.1070815740192899</v>
      </c>
      <c r="AF16" s="313">
        <v>6.1622753159614527</v>
      </c>
      <c r="AG16" s="313">
        <v>6.2179023061102567</v>
      </c>
      <c r="AH16" s="313">
        <v>6.273965687349472</v>
      </c>
      <c r="AI16" s="313">
        <v>6.3502416354482873</v>
      </c>
      <c r="AJ16" s="313">
        <v>6.4175254972023295</v>
      </c>
      <c r="AK16" s="313">
        <v>6.461428910342863</v>
      </c>
      <c r="AL16" s="313">
        <v>6.4898313405736143</v>
      </c>
      <c r="AM16" s="313">
        <v>6.5597102454303506</v>
      </c>
      <c r="AN16" s="313">
        <v>6.5597102454303506</v>
      </c>
      <c r="AO16" s="313">
        <v>6.5318558494837253</v>
      </c>
      <c r="AP16" s="313">
        <v>6.5318558494837253</v>
      </c>
      <c r="AQ16" s="106"/>
      <c r="AS16" s="1333"/>
      <c r="AT16" s="1098" t="s">
        <v>221</v>
      </c>
      <c r="AU16" s="1094"/>
      <c r="AV16" s="596"/>
      <c r="AW16" s="738">
        <f t="shared" si="2"/>
        <v>4.656292558853881</v>
      </c>
      <c r="AX16" s="738">
        <f t="shared" si="3"/>
        <v>5.1701579253094927</v>
      </c>
      <c r="AY16" s="738">
        <f t="shared" si="4"/>
        <v>5.7049522853997843</v>
      </c>
      <c r="AZ16" s="738">
        <f t="shared" si="5"/>
        <v>5.9036077353740524</v>
      </c>
      <c r="BA16" s="738">
        <f t="shared" si="6"/>
        <v>6.0016762679311748</v>
      </c>
      <c r="BB16" s="738">
        <f t="shared" si="7"/>
        <v>6.1903062208601174</v>
      </c>
      <c r="BC16" s="738">
        <f t="shared" si="8"/>
        <v>6.4297568458917738</v>
      </c>
      <c r="BD16" s="736">
        <f t="shared" si="9"/>
        <v>6.5457830474570384</v>
      </c>
      <c r="BE16" s="296"/>
      <c r="BF16" s="967">
        <f t="shared" si="10"/>
        <v>2.0105603995525532</v>
      </c>
      <c r="BG16" s="1333"/>
      <c r="BH16" s="668" t="s">
        <v>221</v>
      </c>
      <c r="BI16" s="732">
        <f t="shared" si="14"/>
        <v>1.8229080955943147</v>
      </c>
      <c r="BJ16" s="983">
        <v>1.9148194281452886</v>
      </c>
      <c r="BK16" s="1358"/>
      <c r="BL16" s="668" t="s">
        <v>610</v>
      </c>
      <c r="BM16" s="717">
        <f t="shared" si="12"/>
        <v>26098.119477599903</v>
      </c>
      <c r="BO16" s="1333"/>
      <c r="BP16" s="203" t="s">
        <v>221</v>
      </c>
      <c r="BQ16" s="335">
        <f>'No. of aircraft'!AF46</f>
        <v>0</v>
      </c>
      <c r="BR16" s="335">
        <f>'No. of aircraft'!AG46</f>
        <v>0</v>
      </c>
      <c r="BS16" s="335">
        <f>'No. of aircraft'!AH46</f>
        <v>0</v>
      </c>
      <c r="BT16" s="335">
        <f>'No. of aircraft'!AI46</f>
        <v>0</v>
      </c>
      <c r="BU16" s="335">
        <f>'No. of aircraft'!AJ46</f>
        <v>0</v>
      </c>
      <c r="BV16" s="335">
        <f>'No. of aircraft'!AK46</f>
        <v>0</v>
      </c>
      <c r="BW16" s="335">
        <f>'No. of aircraft'!AL46</f>
        <v>0</v>
      </c>
      <c r="BX16" s="335">
        <f>'No. of aircraft'!AM46</f>
        <v>0</v>
      </c>
      <c r="BY16" s="335">
        <f>'No. of aircraft'!AN46</f>
        <v>1</v>
      </c>
      <c r="BZ16" s="335">
        <f>'No. of aircraft'!AO46</f>
        <v>1</v>
      </c>
      <c r="CA16" s="335">
        <f>'No. of aircraft'!AP46</f>
        <v>1</v>
      </c>
      <c r="CB16" s="335">
        <f>'No. of aircraft'!AQ46</f>
        <v>1</v>
      </c>
      <c r="CC16" s="335">
        <f>'No. of aircraft'!AR46</f>
        <v>1</v>
      </c>
      <c r="CD16" s="335">
        <f>'No. of aircraft'!AS46</f>
        <v>1</v>
      </c>
      <c r="CE16" s="335">
        <f>'No. of aircraft'!AT46</f>
        <v>1</v>
      </c>
      <c r="CF16" s="335">
        <f>'No. of aircraft'!AU46</f>
        <v>1</v>
      </c>
      <c r="CG16" s="335">
        <f>'No. of aircraft'!AV46</f>
        <v>1</v>
      </c>
      <c r="CH16" s="335">
        <f>'No. of aircraft'!AW46</f>
        <v>1</v>
      </c>
      <c r="CI16" s="335">
        <f>'No. of aircraft'!AX46</f>
        <v>1</v>
      </c>
      <c r="CJ16" s="335">
        <f>'No. of aircraft'!AY46</f>
        <v>1</v>
      </c>
      <c r="CK16" s="335">
        <v>1</v>
      </c>
      <c r="CL16" s="335">
        <v>1</v>
      </c>
      <c r="CM16" s="335">
        <v>1</v>
      </c>
      <c r="CN16" s="335">
        <v>1</v>
      </c>
      <c r="CO16" s="335">
        <v>1</v>
      </c>
      <c r="CP16" s="335">
        <v>1</v>
      </c>
      <c r="CQ16" s="335">
        <v>1</v>
      </c>
      <c r="CR16" s="335">
        <v>1</v>
      </c>
      <c r="CS16" s="335">
        <v>1</v>
      </c>
      <c r="CT16" s="335">
        <v>1</v>
      </c>
      <c r="CU16" s="335">
        <v>1</v>
      </c>
      <c r="CV16" s="335">
        <v>1</v>
      </c>
      <c r="CW16" s="335">
        <v>1</v>
      </c>
      <c r="CX16" s="335">
        <v>1</v>
      </c>
      <c r="CY16" s="335">
        <v>1</v>
      </c>
      <c r="CZ16" s="335">
        <v>1</v>
      </c>
      <c r="DA16" s="335">
        <v>1</v>
      </c>
      <c r="DB16" s="335">
        <v>1</v>
      </c>
      <c r="DC16" s="335">
        <v>1</v>
      </c>
      <c r="DD16" s="335">
        <v>1</v>
      </c>
      <c r="DF16" s="1674"/>
      <c r="DH16" s="1333"/>
      <c r="DI16" s="509" t="str">
        <v>BDO-TTE</v>
      </c>
      <c r="DJ16" s="1130"/>
      <c r="DK16" s="1108"/>
      <c r="DL16" s="1107">
        <v>15206.227353400212</v>
      </c>
      <c r="DM16" s="1107">
        <v>15184.188196422696</v>
      </c>
      <c r="DN16" s="1107">
        <v>15184.188196422696</v>
      </c>
      <c r="DO16" s="1107">
        <v>15184.188196422696</v>
      </c>
      <c r="DP16" s="1107">
        <v>15466.197899590032</v>
      </c>
      <c r="DQ16" s="1107">
        <v>15184.188196422696</v>
      </c>
      <c r="DR16" s="1107">
        <v>15184.188196422696</v>
      </c>
      <c r="DS16" s="1107">
        <v>4001.6973719876728</v>
      </c>
      <c r="GT16" s="1392"/>
      <c r="GU16" s="164" t="s">
        <v>236</v>
      </c>
      <c r="GV16" s="345" t="e">
        <f>'No. of aircraft'!AF134</f>
        <v>#REF!</v>
      </c>
      <c r="GW16" s="345" t="e">
        <f>'No. of aircraft'!AG134</f>
        <v>#REF!</v>
      </c>
      <c r="GX16" s="345" t="e">
        <f>'No. of aircraft'!AH134</f>
        <v>#REF!</v>
      </c>
      <c r="GY16" s="345" t="e">
        <f>'No. of aircraft'!AI134</f>
        <v>#REF!</v>
      </c>
      <c r="GZ16" s="345" t="e">
        <f>'No. of aircraft'!AJ134</f>
        <v>#REF!</v>
      </c>
      <c r="HA16" s="345" t="e">
        <f>'No. of aircraft'!AK134</f>
        <v>#REF!</v>
      </c>
      <c r="HB16" s="345" t="e">
        <f>'No. of aircraft'!AL134</f>
        <v>#REF!</v>
      </c>
      <c r="HC16" s="345" t="e">
        <f>'No. of aircraft'!AM134</f>
        <v>#REF!</v>
      </c>
      <c r="HD16" s="345" t="e">
        <f>'No. of aircraft'!AN134</f>
        <v>#REF!</v>
      </c>
      <c r="HE16" s="345" t="e">
        <f>'No. of aircraft'!AO134</f>
        <v>#REF!</v>
      </c>
      <c r="HF16" s="345" t="e">
        <f>'No. of aircraft'!AP134</f>
        <v>#REF!</v>
      </c>
      <c r="HG16" s="345" t="e">
        <f>'No. of aircraft'!AQ134</f>
        <v>#REF!</v>
      </c>
      <c r="HH16" s="345" t="e">
        <f>'No. of aircraft'!AR134</f>
        <v>#REF!</v>
      </c>
      <c r="HI16" s="345" t="e">
        <f>'No. of aircraft'!AS134</f>
        <v>#REF!</v>
      </c>
      <c r="HJ16" s="345" t="e">
        <f>'No. of aircraft'!AT134</f>
        <v>#REF!</v>
      </c>
      <c r="HK16" s="345" t="e">
        <f>'No. of aircraft'!AU134</f>
        <v>#REF!</v>
      </c>
      <c r="HL16" s="345" t="e">
        <f>'No. of aircraft'!AV134</f>
        <v>#REF!</v>
      </c>
      <c r="HM16" s="345" t="e">
        <f>'No. of aircraft'!AW134</f>
        <v>#REF!</v>
      </c>
      <c r="HN16" s="345" t="e">
        <f>'No. of aircraft'!AX134</f>
        <v>#REF!</v>
      </c>
      <c r="HO16" s="345" t="e">
        <f>'No. of aircraft'!AY134</f>
        <v>#REF!</v>
      </c>
    </row>
    <row r="17" spans="1:223" ht="15" thickBot="1">
      <c r="A17" s="1333">
        <v>4</v>
      </c>
      <c r="B17" s="1099" t="s">
        <v>222</v>
      </c>
      <c r="C17" s="328" cm="1">
        <f t="array" ref="C17:AP19">'[4]Aglis Total Tonnage'!$C$18:$AP$20</f>
        <v>0</v>
      </c>
      <c r="D17" s="328">
        <v>0</v>
      </c>
      <c r="E17" s="328">
        <v>0</v>
      </c>
      <c r="F17" s="328">
        <v>0</v>
      </c>
      <c r="G17" s="328">
        <v>0</v>
      </c>
      <c r="H17" s="328">
        <v>0</v>
      </c>
      <c r="I17" s="328">
        <v>0</v>
      </c>
      <c r="J17" s="328">
        <v>0</v>
      </c>
      <c r="K17" s="328">
        <v>0</v>
      </c>
      <c r="L17" s="328">
        <v>0</v>
      </c>
      <c r="M17" s="328">
        <v>0</v>
      </c>
      <c r="N17" s="328">
        <v>0</v>
      </c>
      <c r="O17" s="313">
        <v>6.4789758503046659</v>
      </c>
      <c r="P17" s="313">
        <v>6.5615998097633765</v>
      </c>
      <c r="Q17" s="313">
        <v>6.6479366493655245</v>
      </c>
      <c r="R17" s="313">
        <v>6.7342734889676752</v>
      </c>
      <c r="S17" s="313">
        <v>6.9932709552257197</v>
      </c>
      <c r="T17" s="313">
        <v>7.0992894411026919</v>
      </c>
      <c r="U17" s="313">
        <v>7.2053079269796649</v>
      </c>
      <c r="V17" s="313">
        <v>7.3113264128566371</v>
      </c>
      <c r="W17" s="313">
        <v>7.5062434836430167</v>
      </c>
      <c r="X17" s="313">
        <v>7.5232383504569702</v>
      </c>
      <c r="Y17" s="313">
        <v>7.5402672070048391</v>
      </c>
      <c r="Z17" s="313">
        <v>7.5573301212656707</v>
      </c>
      <c r="AA17" s="313">
        <v>7.6079504485732716</v>
      </c>
      <c r="AB17" s="313">
        <v>7.6373994244259773</v>
      </c>
      <c r="AC17" s="313">
        <v>7.6719137818173042</v>
      </c>
      <c r="AD17" s="313">
        <v>7.7065661966382084</v>
      </c>
      <c r="AE17" s="313">
        <v>7.7805258062857243</v>
      </c>
      <c r="AF17" s="313">
        <v>7.8230451349811796</v>
      </c>
      <c r="AG17" s="313">
        <v>7.8759305453315127</v>
      </c>
      <c r="AH17" s="313">
        <v>7.929133268143949</v>
      </c>
      <c r="AI17" s="313">
        <v>8.0180528205702686</v>
      </c>
      <c r="AJ17" s="313">
        <v>8.0681313146240736</v>
      </c>
      <c r="AK17" s="313">
        <v>8.1278354863522875</v>
      </c>
      <c r="AL17" s="313">
        <v>8.1278354863522875</v>
      </c>
      <c r="AM17" s="313">
        <v>8.1278354863522875</v>
      </c>
      <c r="AN17" s="313">
        <v>8.1278354863522875</v>
      </c>
      <c r="AO17" s="313">
        <v>8.1278354863522875</v>
      </c>
      <c r="AP17" s="313">
        <v>8.1065787099771889</v>
      </c>
      <c r="AQ17" s="106"/>
      <c r="AS17" s="1333">
        <v>4</v>
      </c>
      <c r="AT17" s="1099" t="s">
        <v>222</v>
      </c>
      <c r="AU17" s="1092"/>
      <c r="AV17" s="596"/>
      <c r="AW17" s="596"/>
      <c r="AX17" s="738">
        <f t="shared" si="3"/>
        <v>6.6056964496003108</v>
      </c>
      <c r="AY17" s="738">
        <f>AVERAGE(S17:V17)</f>
        <v>7.1522986840411784</v>
      </c>
      <c r="AZ17" s="738">
        <f t="shared" si="5"/>
        <v>7.531769790592624</v>
      </c>
      <c r="BA17" s="738">
        <f t="shared" ref="BA17:BA20" si="15">AVERAGE(AA17:AD17)</f>
        <v>7.6559574628636895</v>
      </c>
      <c r="BB17" s="738">
        <f t="shared" ref="BB17:BB20" si="16">AVERAGE(AE17:AH17)</f>
        <v>7.8521586886855914</v>
      </c>
      <c r="BC17" s="738">
        <f t="shared" ref="BC17:BC20" si="17">AVERAGE(AI17:AL17)</f>
        <v>8.0854637769747306</v>
      </c>
      <c r="BD17" s="736">
        <f t="shared" ref="BD17:BD20" si="18">AVERAGE(AM17:AP17)</f>
        <v>8.1225212922585115</v>
      </c>
      <c r="BE17" s="275"/>
      <c r="BF17" s="967">
        <f t="shared" si="10"/>
        <v>2.9925000000000002</v>
      </c>
      <c r="BG17" s="1333">
        <v>4</v>
      </c>
      <c r="BH17" s="669" t="s">
        <v>222</v>
      </c>
      <c r="BI17" s="732">
        <f>0.97*BJ17</f>
        <v>2.7645</v>
      </c>
      <c r="BJ17" s="983">
        <v>2.85</v>
      </c>
      <c r="BK17" s="1678">
        <v>4</v>
      </c>
      <c r="BL17" s="671" t="s">
        <v>225</v>
      </c>
      <c r="BM17" s="717">
        <f t="shared" si="12"/>
        <v>39578.655375000002</v>
      </c>
      <c r="BO17" s="1333">
        <v>4</v>
      </c>
      <c r="BP17" s="307" t="s">
        <v>222</v>
      </c>
      <c r="BQ17" s="335">
        <f>'No. of aircraft'!AF47</f>
        <v>0</v>
      </c>
      <c r="BR17" s="335">
        <f>'No. of aircraft'!AG47</f>
        <v>0</v>
      </c>
      <c r="BS17" s="335">
        <f>'No. of aircraft'!AH47</f>
        <v>0</v>
      </c>
      <c r="BT17" s="335">
        <f>'No. of aircraft'!AI47</f>
        <v>0</v>
      </c>
      <c r="BU17" s="335">
        <f>'No. of aircraft'!AJ47</f>
        <v>0</v>
      </c>
      <c r="BV17" s="335">
        <f>'No. of aircraft'!AK47</f>
        <v>0</v>
      </c>
      <c r="BW17" s="335">
        <f>'No. of aircraft'!AL47</f>
        <v>0</v>
      </c>
      <c r="BX17" s="335">
        <f>'No. of aircraft'!AM47</f>
        <v>0</v>
      </c>
      <c r="BY17" s="335">
        <f>'No. of aircraft'!AN47</f>
        <v>0</v>
      </c>
      <c r="BZ17" s="335">
        <f>'No. of aircraft'!AO47</f>
        <v>0</v>
      </c>
      <c r="CA17" s="335">
        <f>'No. of aircraft'!AP47</f>
        <v>0</v>
      </c>
      <c r="CB17" s="335">
        <f>'No. of aircraft'!AQ47</f>
        <v>0</v>
      </c>
      <c r="CC17" s="335">
        <f>'No. of aircraft'!AR47</f>
        <v>1</v>
      </c>
      <c r="CD17" s="335">
        <f>'No. of aircraft'!AS47</f>
        <v>1</v>
      </c>
      <c r="CE17" s="335">
        <f>'No. of aircraft'!AT47</f>
        <v>1</v>
      </c>
      <c r="CF17" s="335">
        <f>'No. of aircraft'!AU47</f>
        <v>1</v>
      </c>
      <c r="CG17" s="335">
        <f>'No. of aircraft'!AV47</f>
        <v>1</v>
      </c>
      <c r="CH17" s="335">
        <f>'No. of aircraft'!AW47</f>
        <v>1</v>
      </c>
      <c r="CI17" s="335">
        <f>'No. of aircraft'!AX47</f>
        <v>1</v>
      </c>
      <c r="CJ17" s="335">
        <f>'No. of aircraft'!AY47</f>
        <v>1</v>
      </c>
      <c r="CK17" s="335">
        <v>1</v>
      </c>
      <c r="CL17" s="335">
        <v>1</v>
      </c>
      <c r="CM17" s="335">
        <v>1</v>
      </c>
      <c r="CN17" s="335">
        <v>1</v>
      </c>
      <c r="CO17" s="335">
        <v>1</v>
      </c>
      <c r="CP17" s="335">
        <v>1</v>
      </c>
      <c r="CQ17" s="335">
        <v>1</v>
      </c>
      <c r="CR17" s="335">
        <v>1</v>
      </c>
      <c r="CS17" s="335">
        <v>1</v>
      </c>
      <c r="CT17" s="335">
        <v>1</v>
      </c>
      <c r="CU17" s="335">
        <v>1</v>
      </c>
      <c r="CV17" s="335">
        <v>1</v>
      </c>
      <c r="CW17" s="335">
        <v>1</v>
      </c>
      <c r="CX17" s="335">
        <v>1</v>
      </c>
      <c r="CY17" s="335">
        <v>1</v>
      </c>
      <c r="CZ17" s="335">
        <v>1</v>
      </c>
      <c r="DA17" s="335">
        <v>1</v>
      </c>
      <c r="DB17" s="335">
        <v>1</v>
      </c>
      <c r="DC17" s="335">
        <v>1</v>
      </c>
      <c r="DD17" s="335">
        <v>1</v>
      </c>
      <c r="DF17" s="1674"/>
      <c r="DH17" s="1607">
        <v>4</v>
      </c>
      <c r="DI17" s="687" t="str">
        <v>LOP-TIM</v>
      </c>
      <c r="DJ17" s="1131"/>
      <c r="DK17" s="1108"/>
      <c r="DL17" s="1108"/>
      <c r="DM17" s="1107">
        <v>14809.196909257922</v>
      </c>
      <c r="DN17" s="1107">
        <v>14809.196909257922</v>
      </c>
      <c r="DO17" s="1107">
        <v>14842.235016832446</v>
      </c>
      <c r="DP17" s="1107">
        <v>14809.264243884081</v>
      </c>
      <c r="DQ17" s="1107">
        <v>15052.889935576281</v>
      </c>
      <c r="DR17" s="1107">
        <v>14842.235016832446</v>
      </c>
      <c r="DS17" s="1107">
        <v>4050.6135172102759</v>
      </c>
      <c r="GT17" s="1392"/>
      <c r="GU17" s="164" t="s">
        <v>237</v>
      </c>
      <c r="GV17" s="345" t="e">
        <f>'No. of aircraft'!AF135</f>
        <v>#REF!</v>
      </c>
      <c r="GW17" s="345" t="e">
        <f>'No. of aircraft'!AG135</f>
        <v>#REF!</v>
      </c>
      <c r="GX17" s="345" t="e">
        <f>'No. of aircraft'!AH135</f>
        <v>#REF!</v>
      </c>
      <c r="GY17" s="345" t="e">
        <f>'No. of aircraft'!AI135</f>
        <v>#REF!</v>
      </c>
      <c r="GZ17" s="345" t="e">
        <f>'No. of aircraft'!AJ135</f>
        <v>#REF!</v>
      </c>
      <c r="HA17" s="345" t="e">
        <f>'No. of aircraft'!AK135</f>
        <v>#REF!</v>
      </c>
      <c r="HB17" s="345" t="e">
        <f>'No. of aircraft'!AL135</f>
        <v>#REF!</v>
      </c>
      <c r="HC17" s="345" t="e">
        <f>'No. of aircraft'!AM135</f>
        <v>#REF!</v>
      </c>
      <c r="HD17" s="345" t="e">
        <f>'No. of aircraft'!AN135</f>
        <v>#REF!</v>
      </c>
      <c r="HE17" s="345" t="e">
        <f>'No. of aircraft'!AO135</f>
        <v>#REF!</v>
      </c>
      <c r="HF17" s="345" t="e">
        <f>'No. of aircraft'!AP135</f>
        <v>#REF!</v>
      </c>
      <c r="HG17" s="345" t="e">
        <f>'No. of aircraft'!AQ135</f>
        <v>#REF!</v>
      </c>
      <c r="HH17" s="345">
        <f>'No. of aircraft'!AR135</f>
        <v>1</v>
      </c>
      <c r="HI17" s="345">
        <f>'No. of aircraft'!AS135</f>
        <v>1</v>
      </c>
      <c r="HJ17" s="345">
        <f>'No. of aircraft'!AT135</f>
        <v>1</v>
      </c>
      <c r="HK17" s="345">
        <f>'No. of aircraft'!AU135</f>
        <v>1</v>
      </c>
      <c r="HL17" s="345">
        <f>'No. of aircraft'!AV135</f>
        <v>1</v>
      </c>
      <c r="HM17" s="345">
        <f>'No. of aircraft'!AW135</f>
        <v>1</v>
      </c>
      <c r="HN17" s="345">
        <f>'No. of aircraft'!AX135</f>
        <v>1</v>
      </c>
      <c r="HO17" s="345">
        <f>'No. of aircraft'!AY135</f>
        <v>1</v>
      </c>
    </row>
    <row r="18" spans="1:223">
      <c r="A18" s="1333"/>
      <c r="B18" s="1100" t="s">
        <v>223</v>
      </c>
      <c r="C18" s="328">
        <v>0</v>
      </c>
      <c r="D18" s="328">
        <v>0</v>
      </c>
      <c r="E18" s="328">
        <v>0</v>
      </c>
      <c r="F18" s="328">
        <v>0</v>
      </c>
      <c r="G18" s="328">
        <v>0</v>
      </c>
      <c r="H18" s="328">
        <v>0</v>
      </c>
      <c r="I18" s="328">
        <v>0</v>
      </c>
      <c r="J18" s="328">
        <v>0</v>
      </c>
      <c r="K18" s="328">
        <v>0</v>
      </c>
      <c r="L18" s="328">
        <v>0</v>
      </c>
      <c r="M18" s="328">
        <v>0</v>
      </c>
      <c r="N18" s="328">
        <v>0</v>
      </c>
      <c r="O18" s="313">
        <v>2.7384963565692702</v>
      </c>
      <c r="P18" s="313">
        <v>2.9193888188618504</v>
      </c>
      <c r="Q18" s="313">
        <v>3.1018506200407154</v>
      </c>
      <c r="R18" s="313">
        <v>3.2843124212195818</v>
      </c>
      <c r="S18" s="313">
        <v>3.4586249379975658</v>
      </c>
      <c r="T18" s="313">
        <v>3.5566972579270888</v>
      </c>
      <c r="U18" s="313">
        <v>3.6547695778566118</v>
      </c>
      <c r="V18" s="313">
        <v>3.7528418977861349</v>
      </c>
      <c r="W18" s="313">
        <v>3.8735011174708567</v>
      </c>
      <c r="X18" s="313">
        <v>3.9813331565263894</v>
      </c>
      <c r="Y18" s="313">
        <v>4.0896402109439896</v>
      </c>
      <c r="Z18" s="313">
        <v>4.1984236878569501</v>
      </c>
      <c r="AA18" s="313">
        <v>4.3271516914909434</v>
      </c>
      <c r="AB18" s="313">
        <v>4.3442524662172817</v>
      </c>
      <c r="AC18" s="313">
        <v>4.3642946657669643</v>
      </c>
      <c r="AD18" s="313">
        <v>4.3844170341148461</v>
      </c>
      <c r="AE18" s="313">
        <v>4.4273647627474597</v>
      </c>
      <c r="AF18" s="313">
        <v>4.4520553823864288</v>
      </c>
      <c r="AG18" s="313">
        <v>4.4827654992079689</v>
      </c>
      <c r="AH18" s="313">
        <v>4.5036684688374038</v>
      </c>
      <c r="AI18" s="313">
        <v>4.5547673015951693</v>
      </c>
      <c r="AJ18" s="313">
        <v>4.5832150921415415</v>
      </c>
      <c r="AK18" s="313">
        <v>4.6171308838233909</v>
      </c>
      <c r="AL18" s="313">
        <v>4.6171308838233909</v>
      </c>
      <c r="AM18" s="313">
        <v>4.6171308838233909</v>
      </c>
      <c r="AN18" s="313">
        <v>4.6110647763533912</v>
      </c>
      <c r="AO18" s="313">
        <v>4.6110647763533912</v>
      </c>
      <c r="AP18" s="313">
        <v>4.5930853891581318</v>
      </c>
      <c r="AQ18" s="106"/>
      <c r="AS18" s="1333"/>
      <c r="AT18" s="1100" t="s">
        <v>223</v>
      </c>
      <c r="AU18" s="1093"/>
      <c r="AV18" s="596"/>
      <c r="AW18" s="596"/>
      <c r="AX18" s="738">
        <f t="shared" si="3"/>
        <v>3.0110120541728547</v>
      </c>
      <c r="AY18" s="738">
        <f t="shared" si="4"/>
        <v>3.6057334178918503</v>
      </c>
      <c r="AZ18" s="738">
        <f t="shared" si="5"/>
        <v>4.0357245431995459</v>
      </c>
      <c r="BA18" s="738">
        <f t="shared" si="15"/>
        <v>4.3550289643975084</v>
      </c>
      <c r="BB18" s="738">
        <f t="shared" si="16"/>
        <v>4.4664635282948151</v>
      </c>
      <c r="BC18" s="738">
        <f t="shared" si="17"/>
        <v>4.5930610403458729</v>
      </c>
      <c r="BD18" s="736">
        <f t="shared" si="18"/>
        <v>4.6080864564220763</v>
      </c>
      <c r="BE18" s="275"/>
      <c r="BF18" s="967">
        <f t="shared" si="10"/>
        <v>2.0790000000000002</v>
      </c>
      <c r="BG18" s="1333"/>
      <c r="BH18" s="670" t="s">
        <v>223</v>
      </c>
      <c r="BI18" s="732">
        <f t="shared" ref="BI18:BI19" si="19">0.97*BJ18</f>
        <v>1.9205999999999999</v>
      </c>
      <c r="BJ18" s="983">
        <v>1.98</v>
      </c>
      <c r="BK18" s="1357"/>
      <c r="BL18" s="669" t="s">
        <v>222</v>
      </c>
      <c r="BM18" s="717">
        <f t="shared" si="12"/>
        <v>27496.750049999999</v>
      </c>
      <c r="BO18" s="1333"/>
      <c r="BP18" s="308" t="s">
        <v>223</v>
      </c>
      <c r="BQ18" s="335">
        <f>'No. of aircraft'!AF48</f>
        <v>0</v>
      </c>
      <c r="BR18" s="335">
        <f>'No. of aircraft'!AG48</f>
        <v>0</v>
      </c>
      <c r="BS18" s="335">
        <f>'No. of aircraft'!AH48</f>
        <v>0</v>
      </c>
      <c r="BT18" s="335">
        <f>'No. of aircraft'!AI48</f>
        <v>0</v>
      </c>
      <c r="BU18" s="335">
        <f>'No. of aircraft'!AJ48</f>
        <v>0</v>
      </c>
      <c r="BV18" s="335">
        <f>'No. of aircraft'!AK48</f>
        <v>0</v>
      </c>
      <c r="BW18" s="335">
        <f>'No. of aircraft'!AL48</f>
        <v>0</v>
      </c>
      <c r="BX18" s="335">
        <f>'No. of aircraft'!AM48</f>
        <v>0</v>
      </c>
      <c r="BY18" s="335">
        <f>'No. of aircraft'!AN48</f>
        <v>0</v>
      </c>
      <c r="BZ18" s="335">
        <f>'No. of aircraft'!AO48</f>
        <v>0</v>
      </c>
      <c r="CA18" s="335">
        <f>'No. of aircraft'!AP48</f>
        <v>0</v>
      </c>
      <c r="CB18" s="335">
        <f>'No. of aircraft'!AQ48</f>
        <v>0</v>
      </c>
      <c r="CC18" s="335">
        <f>'No. of aircraft'!AR48</f>
        <v>1</v>
      </c>
      <c r="CD18" s="335">
        <f>'No. of aircraft'!AS48</f>
        <v>1</v>
      </c>
      <c r="CE18" s="335">
        <f>'No. of aircraft'!AT48</f>
        <v>1</v>
      </c>
      <c r="CF18" s="335">
        <f>'No. of aircraft'!AU48</f>
        <v>1</v>
      </c>
      <c r="CG18" s="335">
        <f>'No. of aircraft'!AV48</f>
        <v>1</v>
      </c>
      <c r="CH18" s="335">
        <f>'No. of aircraft'!AW48</f>
        <v>1</v>
      </c>
      <c r="CI18" s="335">
        <f>'No. of aircraft'!AX48</f>
        <v>1</v>
      </c>
      <c r="CJ18" s="335">
        <f>'No. of aircraft'!AY48</f>
        <v>1</v>
      </c>
      <c r="CK18" s="335">
        <v>1</v>
      </c>
      <c r="CL18" s="335">
        <v>1</v>
      </c>
      <c r="CM18" s="335">
        <v>1</v>
      </c>
      <c r="CN18" s="335">
        <v>1</v>
      </c>
      <c r="CO18" s="335">
        <v>1</v>
      </c>
      <c r="CP18" s="335">
        <v>1</v>
      </c>
      <c r="CQ18" s="335">
        <v>1</v>
      </c>
      <c r="CR18" s="335">
        <v>1</v>
      </c>
      <c r="CS18" s="335">
        <v>1</v>
      </c>
      <c r="CT18" s="335">
        <v>1</v>
      </c>
      <c r="CU18" s="335">
        <v>1</v>
      </c>
      <c r="CV18" s="335">
        <v>1</v>
      </c>
      <c r="CW18" s="335">
        <v>1</v>
      </c>
      <c r="CX18" s="335">
        <v>1</v>
      </c>
      <c r="CY18" s="335">
        <v>1</v>
      </c>
      <c r="CZ18" s="335">
        <v>1</v>
      </c>
      <c r="DA18" s="335">
        <v>1</v>
      </c>
      <c r="DB18" s="335">
        <v>1</v>
      </c>
      <c r="DC18" s="335">
        <v>1</v>
      </c>
      <c r="DD18" s="335">
        <v>1</v>
      </c>
      <c r="DF18" s="1674"/>
      <c r="DH18" s="1607"/>
      <c r="DI18" s="688" t="str">
        <v>TIM-AMQ</v>
      </c>
      <c r="DJ18" s="1132"/>
      <c r="DK18" s="1108"/>
      <c r="DL18" s="1108"/>
      <c r="DM18" s="1107">
        <v>8037.4335807884272</v>
      </c>
      <c r="DN18" s="1107">
        <v>8037.4335807884272</v>
      </c>
      <c r="DO18" s="1107">
        <v>8058.7056538374609</v>
      </c>
      <c r="DP18" s="1107">
        <v>8037.5009154145864</v>
      </c>
      <c r="DQ18" s="1107">
        <v>8194.3389315471195</v>
      </c>
      <c r="DR18" s="1107">
        <v>8058.7056538374609</v>
      </c>
      <c r="DS18" s="1107">
        <v>4389.4690989559622</v>
      </c>
      <c r="GT18" s="1601">
        <v>4</v>
      </c>
      <c r="GU18" s="333" t="s">
        <v>222</v>
      </c>
      <c r="GV18" s="345" t="e">
        <f>'No. of aircraft'!AF136</f>
        <v>#REF!</v>
      </c>
      <c r="GW18" s="345" t="e">
        <f>'No. of aircraft'!AG136</f>
        <v>#REF!</v>
      </c>
      <c r="GX18" s="345" t="e">
        <f>'No. of aircraft'!AH136</f>
        <v>#REF!</v>
      </c>
      <c r="GY18" s="345" t="e">
        <f>'No. of aircraft'!AI136</f>
        <v>#REF!</v>
      </c>
      <c r="GZ18" s="345" t="e">
        <f>'No. of aircraft'!AJ136</f>
        <v>#REF!</v>
      </c>
      <c r="HA18" s="345" t="e">
        <f>'No. of aircraft'!AK136</f>
        <v>#REF!</v>
      </c>
      <c r="HB18" s="345" t="e">
        <f>'No. of aircraft'!AL136</f>
        <v>#REF!</v>
      </c>
      <c r="HC18" s="345" t="e">
        <f>'No. of aircraft'!AM136</f>
        <v>#REF!</v>
      </c>
      <c r="HD18" s="345" t="e">
        <f>'No. of aircraft'!AN136</f>
        <v>#REF!</v>
      </c>
      <c r="HE18" s="345" t="e">
        <f>'No. of aircraft'!AO136</f>
        <v>#REF!</v>
      </c>
      <c r="HF18" s="345" t="e">
        <f>'No. of aircraft'!AP136</f>
        <v>#REF!</v>
      </c>
      <c r="HG18" s="345" t="e">
        <f>'No. of aircraft'!AQ136</f>
        <v>#REF!</v>
      </c>
      <c r="HH18" s="345">
        <f>'No. of aircraft'!AR136</f>
        <v>1</v>
      </c>
      <c r="HI18" s="345">
        <f>'No. of aircraft'!AS136</f>
        <v>1</v>
      </c>
      <c r="HJ18" s="345">
        <f>'No. of aircraft'!AT136</f>
        <v>1</v>
      </c>
      <c r="HK18" s="345">
        <f>'No. of aircraft'!AU136</f>
        <v>1</v>
      </c>
      <c r="HL18" s="345">
        <f>'No. of aircraft'!AV136</f>
        <v>1</v>
      </c>
      <c r="HM18" s="345">
        <f>'No. of aircraft'!AW136</f>
        <v>1</v>
      </c>
      <c r="HN18" s="345">
        <f>'No. of aircraft'!AX136</f>
        <v>1</v>
      </c>
      <c r="HO18" s="345">
        <f>'No. of aircraft'!AY136</f>
        <v>1</v>
      </c>
    </row>
    <row r="19" spans="1:223" ht="15" customHeight="1">
      <c r="A19" s="1333"/>
      <c r="B19" s="1100" t="s">
        <v>224</v>
      </c>
      <c r="C19" s="328">
        <v>0</v>
      </c>
      <c r="D19" s="328">
        <v>0</v>
      </c>
      <c r="E19" s="328">
        <v>0</v>
      </c>
      <c r="F19" s="328">
        <v>0</v>
      </c>
      <c r="G19" s="328">
        <v>0</v>
      </c>
      <c r="H19" s="328">
        <v>0</v>
      </c>
      <c r="I19" s="328">
        <v>0</v>
      </c>
      <c r="J19" s="328">
        <v>0</v>
      </c>
      <c r="K19" s="328">
        <v>0</v>
      </c>
      <c r="L19" s="328">
        <v>0</v>
      </c>
      <c r="M19" s="328">
        <v>0</v>
      </c>
      <c r="N19" s="328">
        <v>0</v>
      </c>
      <c r="O19" s="313">
        <v>3.9609949552497592</v>
      </c>
      <c r="P19" s="313">
        <v>4.2632423551852821</v>
      </c>
      <c r="Q19" s="313">
        <v>4.5677596662699456</v>
      </c>
      <c r="R19" s="313">
        <v>4.8722769773546091</v>
      </c>
      <c r="S19" s="313">
        <v>5.1222625992903419</v>
      </c>
      <c r="T19" s="313">
        <v>5.2639781191927586</v>
      </c>
      <c r="U19" s="313">
        <v>5.4056936390951744</v>
      </c>
      <c r="V19" s="313">
        <v>5.5474091589975911</v>
      </c>
      <c r="W19" s="313">
        <v>5.7210986382645102</v>
      </c>
      <c r="X19" s="313">
        <v>5.8766051037594549</v>
      </c>
      <c r="Y19" s="313">
        <v>6.0327698378093322</v>
      </c>
      <c r="Z19" s="313">
        <v>6.1895947898624852</v>
      </c>
      <c r="AA19" s="313">
        <v>6.3745831583020669</v>
      </c>
      <c r="AB19" s="313">
        <v>6.398741990293412</v>
      </c>
      <c r="AC19" s="313">
        <v>6.4270562707518275</v>
      </c>
      <c r="AD19" s="313">
        <v>6.4554838083320814</v>
      </c>
      <c r="AE19" s="313">
        <v>6.5161574899078722</v>
      </c>
      <c r="AF19" s="313">
        <v>6.5510387476968113</v>
      </c>
      <c r="AG19" s="313">
        <v>6.5944239489288616</v>
      </c>
      <c r="AH19" s="313">
        <v>6.7366099150829726</v>
      </c>
      <c r="AI19" s="313">
        <v>6.866160219189438</v>
      </c>
      <c r="AJ19" s="313">
        <v>6.9277833650579739</v>
      </c>
      <c r="AK19" s="313">
        <v>6.9790489619594034</v>
      </c>
      <c r="AL19" s="313">
        <v>6.9790489619594034</v>
      </c>
      <c r="AM19" s="313">
        <v>6.9790489619594034</v>
      </c>
      <c r="AN19" s="313">
        <v>6.9790489619594034</v>
      </c>
      <c r="AO19" s="313">
        <v>6.9790489619594034</v>
      </c>
      <c r="AP19" s="313">
        <v>6.9531062911060433</v>
      </c>
      <c r="AQ19" s="106"/>
      <c r="AS19" s="1333"/>
      <c r="AT19" s="1100" t="s">
        <v>224</v>
      </c>
      <c r="AU19" s="1093"/>
      <c r="AV19" s="596"/>
      <c r="AW19" s="596"/>
      <c r="AX19" s="738">
        <f t="shared" si="3"/>
        <v>4.4160684885148989</v>
      </c>
      <c r="AY19" s="738">
        <f t="shared" si="4"/>
        <v>5.3348358791439665</v>
      </c>
      <c r="AZ19" s="738">
        <f t="shared" si="5"/>
        <v>5.9550170924239456</v>
      </c>
      <c r="BA19" s="738">
        <f t="shared" si="15"/>
        <v>6.4139663069198463</v>
      </c>
      <c r="BB19" s="738">
        <f t="shared" si="16"/>
        <v>6.5995575254041299</v>
      </c>
      <c r="BC19" s="738">
        <f t="shared" si="17"/>
        <v>6.9380103770415547</v>
      </c>
      <c r="BD19" s="736">
        <f t="shared" si="18"/>
        <v>6.9725632942460631</v>
      </c>
      <c r="BE19" s="275"/>
      <c r="BF19" s="967">
        <f t="shared" si="10"/>
        <v>0.7596160153988597</v>
      </c>
      <c r="BG19" s="1333"/>
      <c r="BH19" s="670" t="s">
        <v>224</v>
      </c>
      <c r="BI19" s="732">
        <f t="shared" si="19"/>
        <v>0.70174050946370836</v>
      </c>
      <c r="BJ19" s="983">
        <v>0.72344382418939013</v>
      </c>
      <c r="BK19" s="1357"/>
      <c r="BL19" s="670" t="s">
        <v>223</v>
      </c>
      <c r="BM19" s="717">
        <f t="shared" si="12"/>
        <v>10046.643438864547</v>
      </c>
      <c r="BO19" s="1333"/>
      <c r="BP19" s="308" t="s">
        <v>224</v>
      </c>
      <c r="BQ19" s="335">
        <f>'No. of aircraft'!AF49</f>
        <v>0</v>
      </c>
      <c r="BR19" s="335">
        <f>'No. of aircraft'!AG49</f>
        <v>0</v>
      </c>
      <c r="BS19" s="335">
        <f>'No. of aircraft'!AH49</f>
        <v>0</v>
      </c>
      <c r="BT19" s="335">
        <f>'No. of aircraft'!AI49</f>
        <v>0</v>
      </c>
      <c r="BU19" s="335">
        <f>'No. of aircraft'!AJ49</f>
        <v>0</v>
      </c>
      <c r="BV19" s="335">
        <f>'No. of aircraft'!AK49</f>
        <v>0</v>
      </c>
      <c r="BW19" s="335">
        <f>'No. of aircraft'!AL49</f>
        <v>0</v>
      </c>
      <c r="BX19" s="335">
        <f>'No. of aircraft'!AM49</f>
        <v>0</v>
      </c>
      <c r="BY19" s="335">
        <f>'No. of aircraft'!AN49</f>
        <v>0</v>
      </c>
      <c r="BZ19" s="335">
        <f>'No. of aircraft'!AO49</f>
        <v>0</v>
      </c>
      <c r="CA19" s="335">
        <f>'No. of aircraft'!AP49</f>
        <v>0</v>
      </c>
      <c r="CB19" s="335">
        <f>'No. of aircraft'!AQ49</f>
        <v>0</v>
      </c>
      <c r="CC19" s="335">
        <f>'No. of aircraft'!AR49</f>
        <v>1</v>
      </c>
      <c r="CD19" s="335">
        <f>'No. of aircraft'!AS49</f>
        <v>1</v>
      </c>
      <c r="CE19" s="335">
        <f>'No. of aircraft'!AT49</f>
        <v>1</v>
      </c>
      <c r="CF19" s="335">
        <f>'No. of aircraft'!AU49</f>
        <v>1</v>
      </c>
      <c r="CG19" s="335">
        <f>'No. of aircraft'!AV49</f>
        <v>1</v>
      </c>
      <c r="CH19" s="335">
        <f>'No. of aircraft'!AW49</f>
        <v>1</v>
      </c>
      <c r="CI19" s="335">
        <f>'No. of aircraft'!AX49</f>
        <v>1</v>
      </c>
      <c r="CJ19" s="335">
        <f>'No. of aircraft'!AY49</f>
        <v>1</v>
      </c>
      <c r="CK19" s="335">
        <v>1</v>
      </c>
      <c r="CL19" s="335">
        <v>1</v>
      </c>
      <c r="CM19" s="335">
        <v>1</v>
      </c>
      <c r="CN19" s="335">
        <v>1</v>
      </c>
      <c r="CO19" s="335">
        <v>1</v>
      </c>
      <c r="CP19" s="335">
        <v>1</v>
      </c>
      <c r="CQ19" s="335">
        <v>1</v>
      </c>
      <c r="CR19" s="335">
        <v>1</v>
      </c>
      <c r="CS19" s="335">
        <v>1</v>
      </c>
      <c r="CT19" s="335">
        <v>1</v>
      </c>
      <c r="CU19" s="335">
        <v>1</v>
      </c>
      <c r="CV19" s="335">
        <v>1</v>
      </c>
      <c r="CW19" s="335">
        <v>1</v>
      </c>
      <c r="CX19" s="335">
        <v>1</v>
      </c>
      <c r="CY19" s="335">
        <v>1</v>
      </c>
      <c r="CZ19" s="335">
        <v>1</v>
      </c>
      <c r="DA19" s="335">
        <v>1</v>
      </c>
      <c r="DB19" s="335">
        <v>1</v>
      </c>
      <c r="DC19" s="335">
        <v>1</v>
      </c>
      <c r="DD19" s="335">
        <v>1</v>
      </c>
      <c r="DF19" s="1674"/>
      <c r="DH19" s="1607"/>
      <c r="DI19" s="688" t="str">
        <v>AMQ-CGK</v>
      </c>
      <c r="DJ19" s="1132"/>
      <c r="DK19" s="1108"/>
      <c r="DL19" s="1108"/>
      <c r="DM19" s="1107">
        <v>15111.6160981992</v>
      </c>
      <c r="DN19" s="1107">
        <v>15111.6160981992</v>
      </c>
      <c r="DO19" s="1107">
        <v>15145.23159834812</v>
      </c>
      <c r="DP19" s="1107">
        <v>15111.683432825359</v>
      </c>
      <c r="DQ19" s="1107">
        <v>15359.568041088694</v>
      </c>
      <c r="DR19" s="1107">
        <v>15145.23159834812</v>
      </c>
      <c r="DS19" s="1107">
        <v>4034.5086268331138</v>
      </c>
      <c r="GT19" s="1601"/>
      <c r="GU19" s="334" t="s">
        <v>238</v>
      </c>
      <c r="GV19" s="345" t="e">
        <f>'No. of aircraft'!AF137</f>
        <v>#REF!</v>
      </c>
      <c r="GW19" s="345" t="e">
        <f>'No. of aircraft'!AG137</f>
        <v>#REF!</v>
      </c>
      <c r="GX19" s="345" t="e">
        <f>'No. of aircraft'!AH137</f>
        <v>#REF!</v>
      </c>
      <c r="GY19" s="345" t="e">
        <f>'No. of aircraft'!AI137</f>
        <v>#REF!</v>
      </c>
      <c r="GZ19" s="345" t="e">
        <f>'No. of aircraft'!AJ137</f>
        <v>#REF!</v>
      </c>
      <c r="HA19" s="345" t="e">
        <f>'No. of aircraft'!AK137</f>
        <v>#REF!</v>
      </c>
      <c r="HB19" s="345" t="e">
        <f>'No. of aircraft'!AL137</f>
        <v>#REF!</v>
      </c>
      <c r="HC19" s="345" t="e">
        <f>'No. of aircraft'!AM137</f>
        <v>#REF!</v>
      </c>
      <c r="HD19" s="345" t="e">
        <f>'No. of aircraft'!AN137</f>
        <v>#REF!</v>
      </c>
      <c r="HE19" s="345" t="e">
        <f>'No. of aircraft'!AO137</f>
        <v>#REF!</v>
      </c>
      <c r="HF19" s="345" t="e">
        <f>'No. of aircraft'!AP137</f>
        <v>#REF!</v>
      </c>
      <c r="HG19" s="345" t="e">
        <f>'No. of aircraft'!AQ137</f>
        <v>#REF!</v>
      </c>
      <c r="HH19" s="345">
        <f>'No. of aircraft'!AR137</f>
        <v>1</v>
      </c>
      <c r="HI19" s="345">
        <f>'No. of aircraft'!AS137</f>
        <v>1</v>
      </c>
      <c r="HJ19" s="345">
        <f>'No. of aircraft'!AT137</f>
        <v>1</v>
      </c>
      <c r="HK19" s="345">
        <f>'No. of aircraft'!AU137</f>
        <v>1</v>
      </c>
      <c r="HL19" s="345">
        <f>'No. of aircraft'!AV137</f>
        <v>1</v>
      </c>
      <c r="HM19" s="345">
        <f>'No. of aircraft'!AW137</f>
        <v>1</v>
      </c>
      <c r="HN19" s="345">
        <f>'No. of aircraft'!AX137</f>
        <v>1</v>
      </c>
      <c r="HO19" s="345">
        <f>'No. of aircraft'!AY137</f>
        <v>1</v>
      </c>
    </row>
    <row r="20" spans="1:223" ht="15" customHeight="1" thickBot="1">
      <c r="A20" s="1326"/>
      <c r="B20" s="1101" t="s">
        <v>225</v>
      </c>
      <c r="C20" s="328" cm="1">
        <f t="array" ref="C20:AP20">'[4]Aglis Total Tonnage'!$C$17:$AP$17</f>
        <v>0</v>
      </c>
      <c r="D20" s="328">
        <v>0</v>
      </c>
      <c r="E20" s="328">
        <v>0</v>
      </c>
      <c r="F20" s="328">
        <v>0</v>
      </c>
      <c r="G20" s="328">
        <v>0</v>
      </c>
      <c r="H20" s="328">
        <v>0</v>
      </c>
      <c r="I20" s="328">
        <v>0</v>
      </c>
      <c r="J20" s="328">
        <v>0</v>
      </c>
      <c r="K20" s="328">
        <v>0</v>
      </c>
      <c r="L20" s="328">
        <v>0</v>
      </c>
      <c r="M20" s="328">
        <v>0</v>
      </c>
      <c r="N20" s="328">
        <v>0</v>
      </c>
      <c r="O20" s="313">
        <v>14.969999999999997</v>
      </c>
      <c r="P20" s="313">
        <v>15.156995811135893</v>
      </c>
      <c r="Q20" s="313">
        <v>15.341275395465809</v>
      </c>
      <c r="R20" s="313">
        <v>15.525554979795732</v>
      </c>
      <c r="S20" s="313">
        <v>16.073607404854318</v>
      </c>
      <c r="T20" s="313">
        <v>16.196738025093271</v>
      </c>
      <c r="U20" s="313">
        <v>16.319868645332228</v>
      </c>
      <c r="V20" s="313">
        <v>16.442999265571181</v>
      </c>
      <c r="W20" s="313">
        <v>16.680227320734279</v>
      </c>
      <c r="X20" s="313">
        <v>16.849785392357386</v>
      </c>
      <c r="Y20" s="313">
        <v>17.434996496867075</v>
      </c>
      <c r="Z20" s="313">
        <v>17.482219762740453</v>
      </c>
      <c r="AA20" s="313">
        <v>17.622316415545665</v>
      </c>
      <c r="AB20" s="313">
        <v>17.703819305095042</v>
      </c>
      <c r="AC20" s="313">
        <v>17.799341128074705</v>
      </c>
      <c r="AD20" s="313">
        <v>17.89524503834631</v>
      </c>
      <c r="AE20" s="313">
        <v>18.09993541285602</v>
      </c>
      <c r="AF20" s="313">
        <v>18.217611768316168</v>
      </c>
      <c r="AG20" s="313">
        <v>18.363977257564986</v>
      </c>
      <c r="AH20" s="313">
        <v>18.5112209397493</v>
      </c>
      <c r="AI20" s="313">
        <v>18.741319051565682</v>
      </c>
      <c r="AJ20" s="313">
        <v>18.858372038829163</v>
      </c>
      <c r="AK20" s="313">
        <v>18.997923991916497</v>
      </c>
      <c r="AL20" s="313">
        <v>18.997923991916497</v>
      </c>
      <c r="AM20" s="313">
        <v>18.997923991916497</v>
      </c>
      <c r="AN20" s="313">
        <v>18.997923991916497</v>
      </c>
      <c r="AO20" s="313">
        <v>18.997923991916497</v>
      </c>
      <c r="AP20" s="313">
        <v>18.964581455785865</v>
      </c>
      <c r="AQ20" s="106"/>
      <c r="AS20" s="1326"/>
      <c r="AT20" s="1101" t="s">
        <v>225</v>
      </c>
      <c r="AU20" s="1094"/>
      <c r="AV20" s="1102"/>
      <c r="AW20" s="1102"/>
      <c r="AX20" s="739">
        <f t="shared" si="3"/>
        <v>15.248456546599357</v>
      </c>
      <c r="AY20" s="739">
        <f t="shared" si="4"/>
        <v>16.258303335212752</v>
      </c>
      <c r="AZ20" s="739">
        <f t="shared" si="5"/>
        <v>17.111807243174798</v>
      </c>
      <c r="BA20" s="739">
        <f t="shared" si="15"/>
        <v>17.755180471765428</v>
      </c>
      <c r="BB20" s="739">
        <f t="shared" si="16"/>
        <v>18.29818634462162</v>
      </c>
      <c r="BC20" s="739">
        <f t="shared" si="17"/>
        <v>18.898884768556957</v>
      </c>
      <c r="BD20" s="737">
        <f t="shared" si="18"/>
        <v>18.989588357883839</v>
      </c>
      <c r="BE20" s="275"/>
      <c r="BF20" s="967">
        <f t="shared" si="10"/>
        <v>1.0584</v>
      </c>
      <c r="BG20" s="1326"/>
      <c r="BH20" s="671" t="s">
        <v>225</v>
      </c>
      <c r="BI20" s="732">
        <f>0.95*BJ20</f>
        <v>0.95760000000000001</v>
      </c>
      <c r="BJ20" s="983">
        <v>1.008</v>
      </c>
      <c r="BK20" s="1358"/>
      <c r="BL20" s="670" t="s">
        <v>224</v>
      </c>
      <c r="BM20" s="717">
        <f t="shared" si="12"/>
        <v>13709.719800000001</v>
      </c>
      <c r="BO20" s="1403"/>
      <c r="BP20" s="630" t="s">
        <v>225</v>
      </c>
      <c r="BQ20" s="915">
        <f>'No. of aircraft'!AF50</f>
        <v>0</v>
      </c>
      <c r="BR20" s="915">
        <f>'No. of aircraft'!AG50</f>
        <v>0</v>
      </c>
      <c r="BS20" s="915">
        <f>'No. of aircraft'!AH50</f>
        <v>0</v>
      </c>
      <c r="BT20" s="915">
        <f>'No. of aircraft'!AI50</f>
        <v>0</v>
      </c>
      <c r="BU20" s="915">
        <f>'No. of aircraft'!AJ50</f>
        <v>0</v>
      </c>
      <c r="BV20" s="915">
        <f>'No. of aircraft'!AK50</f>
        <v>0</v>
      </c>
      <c r="BW20" s="915">
        <f>'No. of aircraft'!AL50</f>
        <v>0</v>
      </c>
      <c r="BX20" s="915">
        <f>'No. of aircraft'!AM50</f>
        <v>0</v>
      </c>
      <c r="BY20" s="915">
        <f>'No. of aircraft'!AN50</f>
        <v>0</v>
      </c>
      <c r="BZ20" s="915">
        <f>'No. of aircraft'!AO50</f>
        <v>0</v>
      </c>
      <c r="CA20" s="915">
        <f>'No. of aircraft'!AP50</f>
        <v>0</v>
      </c>
      <c r="CB20" s="915">
        <f>'No. of aircraft'!AQ50</f>
        <v>0</v>
      </c>
      <c r="CC20" s="915">
        <f>'No. of aircraft'!AR50</f>
        <v>1</v>
      </c>
      <c r="CD20" s="915">
        <f>'No. of aircraft'!AS50</f>
        <v>1</v>
      </c>
      <c r="CE20" s="915">
        <f>'No. of aircraft'!AT50</f>
        <v>1</v>
      </c>
      <c r="CF20" s="915">
        <f>'No. of aircraft'!AU50</f>
        <v>1</v>
      </c>
      <c r="CG20" s="915">
        <f>'No. of aircraft'!AV50</f>
        <v>1</v>
      </c>
      <c r="CH20" s="915">
        <f>'No. of aircraft'!AW50</f>
        <v>1</v>
      </c>
      <c r="CI20" s="915">
        <f>'No. of aircraft'!AX50</f>
        <v>1</v>
      </c>
      <c r="CJ20" s="915">
        <f>'No. of aircraft'!AY50</f>
        <v>1</v>
      </c>
      <c r="CK20" s="335">
        <v>1</v>
      </c>
      <c r="CL20" s="335">
        <v>1</v>
      </c>
      <c r="CM20" s="335">
        <v>1</v>
      </c>
      <c r="CN20" s="335">
        <v>1</v>
      </c>
      <c r="CO20" s="335">
        <v>1</v>
      </c>
      <c r="CP20" s="335">
        <v>1</v>
      </c>
      <c r="CQ20" s="335">
        <v>1</v>
      </c>
      <c r="CR20" s="335">
        <v>1</v>
      </c>
      <c r="CS20" s="335">
        <v>1</v>
      </c>
      <c r="CT20" s="335">
        <v>1</v>
      </c>
      <c r="CU20" s="335">
        <v>1</v>
      </c>
      <c r="CV20" s="335">
        <v>1</v>
      </c>
      <c r="CW20" s="335">
        <v>1</v>
      </c>
      <c r="CX20" s="335">
        <v>1</v>
      </c>
      <c r="CY20" s="335">
        <v>1</v>
      </c>
      <c r="CZ20" s="335">
        <v>1</v>
      </c>
      <c r="DA20" s="335">
        <v>1</v>
      </c>
      <c r="DB20" s="335">
        <v>1</v>
      </c>
      <c r="DC20" s="335">
        <v>1</v>
      </c>
      <c r="DD20" s="335">
        <v>1</v>
      </c>
      <c r="DF20" s="1674"/>
      <c r="DH20" s="1311"/>
      <c r="DI20" s="689" t="str">
        <v>CGK-LOP</v>
      </c>
      <c r="DJ20" s="1133"/>
      <c r="DK20" s="1113"/>
      <c r="DL20" s="1113"/>
      <c r="DM20" s="1114">
        <v>9088.7935546123663</v>
      </c>
      <c r="DN20" s="1114">
        <v>9088.7935546123663</v>
      </c>
      <c r="DO20" s="1114">
        <v>9111.1153446245262</v>
      </c>
      <c r="DP20" s="1114">
        <v>9088.8608892385255</v>
      </c>
      <c r="DQ20" s="1114">
        <v>9253.4417430304093</v>
      </c>
      <c r="DR20" s="1114">
        <v>9111.1153446245262</v>
      </c>
      <c r="DS20" s="1114">
        <v>4558.3129293972879</v>
      </c>
      <c r="GT20" s="1601"/>
      <c r="GU20" s="334" t="s">
        <v>239</v>
      </c>
      <c r="GV20" s="345">
        <f>'No. of aircraft'!AF138</f>
        <v>0</v>
      </c>
      <c r="GW20" s="345">
        <f>'No. of aircraft'!AG138</f>
        <v>0</v>
      </c>
      <c r="GX20" s="345">
        <f>'No. of aircraft'!AH138</f>
        <v>0</v>
      </c>
      <c r="GY20" s="345">
        <f>'No. of aircraft'!AI138</f>
        <v>0</v>
      </c>
      <c r="GZ20" s="345">
        <f>'No. of aircraft'!AJ138</f>
        <v>0</v>
      </c>
      <c r="HA20" s="345">
        <f>'No. of aircraft'!AK138</f>
        <v>0</v>
      </c>
      <c r="HB20" s="345">
        <f>'No. of aircraft'!AL138</f>
        <v>0</v>
      </c>
      <c r="HC20" s="345">
        <f>'No. of aircraft'!AM138</f>
        <v>0</v>
      </c>
      <c r="HD20" s="345">
        <f>'No. of aircraft'!AN138</f>
        <v>0</v>
      </c>
      <c r="HE20" s="345">
        <f>'No. of aircraft'!AO138</f>
        <v>0</v>
      </c>
      <c r="HF20" s="345">
        <f>'No. of aircraft'!AP138</f>
        <v>0</v>
      </c>
      <c r="HG20" s="345">
        <f>'No. of aircraft'!AQ138</f>
        <v>0</v>
      </c>
      <c r="HH20" s="345">
        <f>'No. of aircraft'!AR138</f>
        <v>1</v>
      </c>
      <c r="HI20" s="345">
        <f>'No. of aircraft'!AS138</f>
        <v>1</v>
      </c>
      <c r="HJ20" s="345">
        <f>'No. of aircraft'!AT138</f>
        <v>1</v>
      </c>
      <c r="HK20" s="345">
        <f>'No. of aircraft'!AU138</f>
        <v>1</v>
      </c>
      <c r="HL20" s="345">
        <f>'No. of aircraft'!AV138</f>
        <v>1</v>
      </c>
      <c r="HM20" s="345">
        <f>'No. of aircraft'!AW138</f>
        <v>1</v>
      </c>
      <c r="HN20" s="345">
        <f>'No. of aircraft'!AX138</f>
        <v>1</v>
      </c>
      <c r="HO20" s="345">
        <f>'No. of aircraft'!AY138</f>
        <v>1</v>
      </c>
    </row>
    <row r="21" spans="1:223" ht="15" customHeight="1" thickBot="1">
      <c r="A21" s="94"/>
      <c r="B21" s="125"/>
      <c r="C21" s="106"/>
      <c r="D21" s="106"/>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125"/>
      <c r="AS21" s="57"/>
      <c r="BG21" s="94"/>
      <c r="BH21" s="125"/>
      <c r="BI21" s="129"/>
      <c r="BJ21" s="129"/>
      <c r="BK21" s="135"/>
      <c r="BM21" s="135"/>
      <c r="BO21" s="94"/>
      <c r="BP21" s="125"/>
      <c r="BQ21" s="636"/>
      <c r="BR21" s="636"/>
      <c r="BS21" s="636"/>
      <c r="BT21" s="636"/>
      <c r="BU21" s="636"/>
      <c r="BV21" s="636"/>
      <c r="BW21" s="636"/>
      <c r="BX21" s="636"/>
      <c r="BY21" s="636"/>
      <c r="BZ21" s="636"/>
      <c r="CA21" s="636"/>
      <c r="CB21" s="636"/>
      <c r="CC21" s="636"/>
      <c r="CD21" s="636"/>
      <c r="CE21" s="636"/>
      <c r="CF21" s="636"/>
      <c r="CG21" s="636"/>
      <c r="CH21" s="636"/>
      <c r="CI21" s="636"/>
      <c r="CJ21" s="636"/>
      <c r="CK21" s="636"/>
      <c r="CL21" s="636"/>
      <c r="CM21" s="636"/>
      <c r="CN21" s="636"/>
      <c r="CO21" s="636"/>
      <c r="CP21" s="636"/>
      <c r="CQ21" s="636"/>
      <c r="CR21" s="636"/>
      <c r="CS21" s="636"/>
      <c r="CT21" s="636"/>
      <c r="CU21" s="636"/>
      <c r="CV21" s="636"/>
      <c r="CW21" s="636"/>
      <c r="CX21" s="636"/>
      <c r="CY21" s="636"/>
      <c r="CZ21" s="636"/>
      <c r="DA21" s="636"/>
      <c r="DB21" s="636"/>
      <c r="DC21" s="636"/>
      <c r="DD21" s="636"/>
      <c r="DF21" s="1674"/>
      <c r="DH21" s="94"/>
      <c r="DI21" s="129"/>
      <c r="DJ21" s="129"/>
      <c r="DK21" s="129"/>
      <c r="DL21" s="129"/>
      <c r="DM21" s="129"/>
      <c r="DN21" s="129"/>
      <c r="DO21" s="129"/>
      <c r="DP21" s="129"/>
      <c r="DQ21" s="129"/>
      <c r="DR21" s="129"/>
      <c r="GT21" s="1601"/>
      <c r="GU21" s="333" t="s">
        <v>216</v>
      </c>
      <c r="GV21" s="345">
        <f>'No. of aircraft'!AF139</f>
        <v>0</v>
      </c>
      <c r="GW21" s="345">
        <f>'No. of aircraft'!AG139</f>
        <v>0</v>
      </c>
      <c r="GX21" s="345">
        <f>'No. of aircraft'!AH139</f>
        <v>0</v>
      </c>
      <c r="GY21" s="345">
        <f>'No. of aircraft'!AI139</f>
        <v>0</v>
      </c>
      <c r="GZ21" s="345">
        <f>'No. of aircraft'!AJ139</f>
        <v>0</v>
      </c>
      <c r="HA21" s="345">
        <f>'No. of aircraft'!AK139</f>
        <v>0</v>
      </c>
      <c r="HB21" s="345">
        <f>'No. of aircraft'!AL139</f>
        <v>0</v>
      </c>
      <c r="HC21" s="345">
        <f>'No. of aircraft'!AM139</f>
        <v>0</v>
      </c>
      <c r="HD21" s="345">
        <f>'No. of aircraft'!AN139</f>
        <v>0</v>
      </c>
      <c r="HE21" s="345">
        <f>'No. of aircraft'!AO139</f>
        <v>0</v>
      </c>
      <c r="HF21" s="345">
        <f>'No. of aircraft'!AP139</f>
        <v>0</v>
      </c>
      <c r="HG21" s="345">
        <f>'No. of aircraft'!AQ139</f>
        <v>0</v>
      </c>
      <c r="HH21" s="345">
        <f>'No. of aircraft'!AR139</f>
        <v>0</v>
      </c>
      <c r="HI21" s="345">
        <f>'No. of aircraft'!AS139</f>
        <v>0</v>
      </c>
      <c r="HJ21" s="345">
        <f>'No. of aircraft'!AT139</f>
        <v>0</v>
      </c>
      <c r="HK21" s="345">
        <f>'No. of aircraft'!AU139</f>
        <v>0</v>
      </c>
      <c r="HL21" s="345">
        <f>'No. of aircraft'!AV139</f>
        <v>0</v>
      </c>
      <c r="HM21" s="345">
        <f>'No. of aircraft'!AW139</f>
        <v>0</v>
      </c>
      <c r="HN21" s="345">
        <f>'No. of aircraft'!AX139</f>
        <v>0</v>
      </c>
      <c r="HO21" s="345">
        <f>'No. of aircraft'!AY139</f>
        <v>0</v>
      </c>
    </row>
    <row r="22" spans="1:223" ht="15" customHeight="1">
      <c r="A22" s="94"/>
      <c r="B22" s="125"/>
      <c r="C22" s="106"/>
      <c r="D22" s="106"/>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25"/>
      <c r="AS22" s="57"/>
      <c r="BG22" s="94"/>
      <c r="BH22" s="125"/>
      <c r="BI22" s="129"/>
      <c r="BJ22" s="129"/>
      <c r="BK22" s="135"/>
      <c r="BM22" s="135"/>
      <c r="BO22" s="94"/>
      <c r="BP22" s="125"/>
      <c r="BQ22" s="636"/>
      <c r="BR22" s="636"/>
      <c r="BS22" s="636"/>
      <c r="BT22" s="636"/>
      <c r="BU22" s="636"/>
      <c r="BV22" s="636"/>
      <c r="BW22" s="636"/>
      <c r="BX22" s="636"/>
      <c r="BY22" s="636"/>
      <c r="BZ22" s="636"/>
      <c r="CA22" s="636"/>
      <c r="CB22" s="636"/>
      <c r="CC22" s="636"/>
      <c r="CD22" s="636"/>
      <c r="CE22" s="636"/>
      <c r="CF22" s="636"/>
      <c r="CG22" s="636"/>
      <c r="CH22" s="636"/>
      <c r="CI22" s="636"/>
      <c r="CJ22" s="636"/>
      <c r="CK22" s="636"/>
      <c r="CL22" s="636"/>
      <c r="CM22" s="636"/>
      <c r="CN22" s="636"/>
      <c r="CO22" s="636"/>
      <c r="CP22" s="636"/>
      <c r="CQ22" s="636"/>
      <c r="CR22" s="636"/>
      <c r="CS22" s="636"/>
      <c r="CT22" s="636"/>
      <c r="CU22" s="636"/>
      <c r="CV22" s="636"/>
      <c r="CW22" s="636"/>
      <c r="CX22" s="636"/>
      <c r="CY22" s="636"/>
      <c r="CZ22" s="636"/>
      <c r="DA22" s="636"/>
      <c r="DB22" s="636"/>
      <c r="DC22" s="636"/>
      <c r="DD22" s="636"/>
      <c r="DF22" s="1674"/>
      <c r="DH22" s="94"/>
      <c r="DI22" s="81"/>
      <c r="DJ22" s="1368">
        <v>2023</v>
      </c>
      <c r="DK22" s="1369"/>
      <c r="DL22" s="1369"/>
      <c r="DM22" s="1370"/>
      <c r="DN22" s="1371">
        <v>2024</v>
      </c>
      <c r="DO22" s="1372"/>
      <c r="DP22" s="1372"/>
      <c r="DQ22" s="1373"/>
      <c r="DR22" s="1374">
        <v>2025</v>
      </c>
      <c r="DS22" s="1375"/>
      <c r="DT22" s="1375"/>
      <c r="DU22" s="1376"/>
      <c r="DV22" s="1371">
        <v>2026</v>
      </c>
      <c r="DW22" s="1372"/>
      <c r="DX22" s="1372"/>
      <c r="DY22" s="1373"/>
      <c r="DZ22" s="1377">
        <v>2027</v>
      </c>
      <c r="EA22" s="1378"/>
      <c r="EB22" s="1378"/>
      <c r="EC22" s="1379"/>
      <c r="ED22" s="1368">
        <v>2028</v>
      </c>
      <c r="EE22" s="1369"/>
      <c r="EF22" s="1369"/>
      <c r="EG22" s="1370"/>
      <c r="EH22" s="1371">
        <v>2029</v>
      </c>
      <c r="EI22" s="1372"/>
      <c r="EJ22" s="1372"/>
      <c r="EK22" s="1373"/>
      <c r="EL22" s="1374">
        <v>2030</v>
      </c>
      <c r="EM22" s="1375"/>
      <c r="EN22" s="1375"/>
      <c r="EO22" s="1376"/>
      <c r="EP22" s="1371">
        <v>2031</v>
      </c>
      <c r="EQ22" s="1372"/>
      <c r="ER22" s="1372"/>
      <c r="ES22" s="1373"/>
      <c r="ET22" s="1377">
        <v>2032</v>
      </c>
      <c r="EU22" s="1378"/>
      <c r="EV22" s="1378"/>
      <c r="EW22" s="1379"/>
      <c r="GT22" s="1601"/>
      <c r="GU22" s="333" t="s">
        <v>226</v>
      </c>
      <c r="GV22" s="345">
        <f>'No. of aircraft'!AF140</f>
        <v>0</v>
      </c>
      <c r="GW22" s="345">
        <f>'No. of aircraft'!AG140</f>
        <v>0</v>
      </c>
      <c r="GX22" s="345">
        <f>'No. of aircraft'!AH140</f>
        <v>0</v>
      </c>
      <c r="GY22" s="345">
        <f>'No. of aircraft'!AI140</f>
        <v>0</v>
      </c>
      <c r="GZ22" s="345">
        <f>'No. of aircraft'!AJ140</f>
        <v>0</v>
      </c>
      <c r="HA22" s="345">
        <f>'No. of aircraft'!AK140</f>
        <v>0</v>
      </c>
      <c r="HB22" s="345">
        <f>'No. of aircraft'!AL140</f>
        <v>0</v>
      </c>
      <c r="HC22" s="345">
        <f>'No. of aircraft'!AM140</f>
        <v>0</v>
      </c>
      <c r="HD22" s="345">
        <f>'No. of aircraft'!AN140</f>
        <v>0</v>
      </c>
      <c r="HE22" s="345">
        <f>'No. of aircraft'!AO140</f>
        <v>0</v>
      </c>
      <c r="HF22" s="345">
        <f>'No. of aircraft'!AP140</f>
        <v>0</v>
      </c>
      <c r="HG22" s="345">
        <f>'No. of aircraft'!AQ140</f>
        <v>0</v>
      </c>
      <c r="HH22" s="345">
        <f>'No. of aircraft'!AR140</f>
        <v>0</v>
      </c>
      <c r="HI22" s="345">
        <f>'No. of aircraft'!AS140</f>
        <v>0</v>
      </c>
      <c r="HJ22" s="345">
        <f>'No. of aircraft'!AT140</f>
        <v>0</v>
      </c>
      <c r="HK22" s="345">
        <f>'No. of aircraft'!AU140</f>
        <v>0</v>
      </c>
      <c r="HL22" s="345">
        <f>'No. of aircraft'!AV140</f>
        <v>0</v>
      </c>
      <c r="HM22" s="345">
        <f>'No. of aircraft'!AW140</f>
        <v>0</v>
      </c>
      <c r="HN22" s="345">
        <f>'No. of aircraft'!AX140</f>
        <v>0</v>
      </c>
      <c r="HO22" s="345">
        <f>'No. of aircraft'!AY140</f>
        <v>0</v>
      </c>
    </row>
    <row r="23" spans="1:223">
      <c r="A23" s="94"/>
      <c r="B23" s="58"/>
      <c r="C23" s="106"/>
      <c r="D23" s="106"/>
      <c r="E23" s="106"/>
      <c r="F23" s="106"/>
      <c r="G23" s="106"/>
      <c r="H23" s="106"/>
      <c r="I23" s="106"/>
      <c r="J23" s="106"/>
      <c r="K23" s="106"/>
      <c r="L23" s="106"/>
      <c r="M23" s="106"/>
      <c r="N23" s="106"/>
      <c r="O23" s="106"/>
      <c r="P23" s="106"/>
      <c r="Q23" s="106"/>
      <c r="R23" s="106"/>
      <c r="S23" s="106"/>
      <c r="T23" s="106"/>
      <c r="U23" s="106"/>
      <c r="V23" s="952"/>
      <c r="W23" s="106"/>
      <c r="X23" s="106"/>
      <c r="Y23" s="106"/>
      <c r="Z23" s="106"/>
      <c r="AA23" s="106"/>
      <c r="AB23" s="106"/>
      <c r="AC23" s="106"/>
      <c r="AD23" s="106"/>
      <c r="AE23" s="106"/>
      <c r="AF23" s="106"/>
      <c r="AG23" s="106"/>
      <c r="AH23" s="106"/>
      <c r="AI23" s="106"/>
      <c r="AJ23" s="106"/>
      <c r="AK23" s="106"/>
      <c r="AL23" s="106"/>
      <c r="AM23" s="106"/>
      <c r="AN23" s="106"/>
      <c r="AO23" s="106"/>
      <c r="AP23" s="106"/>
      <c r="AQ23" s="106"/>
      <c r="AR23" s="58"/>
      <c r="AS23" s="57"/>
      <c r="BG23" s="94"/>
      <c r="BH23" s="58"/>
      <c r="BI23" s="129"/>
      <c r="BJ23" s="129"/>
      <c r="BK23" s="135"/>
      <c r="BM23" s="135"/>
      <c r="BO23" s="94"/>
      <c r="BP23" s="58"/>
      <c r="BQ23" s="636"/>
      <c r="BR23" s="636"/>
      <c r="BS23" s="636"/>
      <c r="BT23" s="636"/>
      <c r="BU23" s="636"/>
      <c r="BV23" s="636"/>
      <c r="BW23" s="636"/>
      <c r="BX23" s="636"/>
      <c r="BY23" s="636"/>
      <c r="BZ23" s="636"/>
      <c r="CA23" s="636"/>
      <c r="CB23" s="636"/>
      <c r="CC23" s="636"/>
      <c r="CD23" s="636"/>
      <c r="CE23" s="636"/>
      <c r="CF23" s="636"/>
      <c r="CG23" s="636"/>
      <c r="CH23" s="636"/>
      <c r="CI23" s="636"/>
      <c r="CJ23" s="636"/>
      <c r="CK23" s="636"/>
      <c r="CL23" s="636"/>
      <c r="CM23" s="636"/>
      <c r="CN23" s="636"/>
      <c r="CO23" s="636"/>
      <c r="CP23" s="636"/>
      <c r="CQ23" s="636"/>
      <c r="CR23" s="636"/>
      <c r="CS23" s="636"/>
      <c r="CT23" s="636"/>
      <c r="CU23" s="636"/>
      <c r="CV23" s="636"/>
      <c r="CW23" s="636"/>
      <c r="CX23" s="636"/>
      <c r="CY23" s="636"/>
      <c r="CZ23" s="636"/>
      <c r="DA23" s="636"/>
      <c r="DB23" s="636"/>
      <c r="DC23" s="636"/>
      <c r="DD23" s="636"/>
      <c r="DF23" s="1674"/>
      <c r="DH23" s="94"/>
      <c r="DI23" s="81"/>
      <c r="DJ23" s="125">
        <v>1</v>
      </c>
      <c r="DK23" s="125">
        <v>2</v>
      </c>
      <c r="DL23" s="125">
        <v>3</v>
      </c>
      <c r="DM23" s="125">
        <v>4</v>
      </c>
      <c r="DN23" s="125">
        <v>1</v>
      </c>
      <c r="DO23" s="125">
        <v>2</v>
      </c>
      <c r="DP23" s="125">
        <v>3</v>
      </c>
      <c r="DQ23" s="125">
        <v>4</v>
      </c>
      <c r="DR23" s="125">
        <v>1</v>
      </c>
      <c r="DS23" s="125">
        <v>2</v>
      </c>
      <c r="DT23" s="125">
        <v>3</v>
      </c>
      <c r="DU23" s="125">
        <v>4</v>
      </c>
      <c r="DV23" s="125">
        <v>1</v>
      </c>
      <c r="DW23" s="125">
        <v>2</v>
      </c>
      <c r="DX23" s="125">
        <v>3</v>
      </c>
      <c r="DY23" s="125">
        <v>4</v>
      </c>
      <c r="DZ23" s="125">
        <v>1</v>
      </c>
      <c r="EA23" s="125">
        <v>2</v>
      </c>
      <c r="EB23" s="125">
        <v>3</v>
      </c>
      <c r="EC23" s="126">
        <v>4</v>
      </c>
      <c r="ED23" s="325">
        <v>1</v>
      </c>
      <c r="EE23" s="265">
        <v>2</v>
      </c>
      <c r="EF23" s="265">
        <v>3</v>
      </c>
      <c r="EG23" s="326">
        <v>4</v>
      </c>
      <c r="EH23" s="325">
        <v>1</v>
      </c>
      <c r="EI23" s="265">
        <v>2</v>
      </c>
      <c r="EJ23" s="265">
        <v>3</v>
      </c>
      <c r="EK23" s="326">
        <v>4</v>
      </c>
      <c r="EL23" s="325">
        <v>1</v>
      </c>
      <c r="EM23" s="265">
        <v>2</v>
      </c>
      <c r="EN23" s="265">
        <v>3</v>
      </c>
      <c r="EO23" s="326">
        <v>4</v>
      </c>
      <c r="EP23" s="325">
        <v>1</v>
      </c>
      <c r="EQ23" s="265">
        <v>2</v>
      </c>
      <c r="ER23" s="265">
        <v>3</v>
      </c>
      <c r="ES23" s="326">
        <v>4</v>
      </c>
      <c r="ET23" s="325">
        <v>1</v>
      </c>
      <c r="EU23" s="265">
        <v>2</v>
      </c>
      <c r="EV23" s="265">
        <v>3</v>
      </c>
      <c r="EW23" s="326">
        <v>4</v>
      </c>
      <c r="GT23" s="1601"/>
      <c r="GU23" s="334" t="s">
        <v>225</v>
      </c>
      <c r="GV23" s="345">
        <f>'No. of aircraft'!AF141</f>
        <v>0</v>
      </c>
      <c r="GW23" s="345">
        <f>'No. of aircraft'!AG141</f>
        <v>0</v>
      </c>
      <c r="GX23" s="345">
        <f>'No. of aircraft'!AH141</f>
        <v>0</v>
      </c>
      <c r="GY23" s="345">
        <f>'No. of aircraft'!AI141</f>
        <v>0</v>
      </c>
      <c r="GZ23" s="345">
        <f>'No. of aircraft'!AJ141</f>
        <v>0</v>
      </c>
      <c r="HA23" s="345">
        <f>'No. of aircraft'!AK141</f>
        <v>0</v>
      </c>
      <c r="HB23" s="345">
        <f>'No. of aircraft'!AL141</f>
        <v>0</v>
      </c>
      <c r="HC23" s="345">
        <f>'No. of aircraft'!AM141</f>
        <v>0</v>
      </c>
      <c r="HD23" s="345">
        <f>'No. of aircraft'!AN141</f>
        <v>0</v>
      </c>
      <c r="HE23" s="345">
        <f>'No. of aircraft'!AO141</f>
        <v>0</v>
      </c>
      <c r="HF23" s="345">
        <f>'No. of aircraft'!AP141</f>
        <v>0</v>
      </c>
      <c r="HG23" s="345">
        <f>'No. of aircraft'!AQ141</f>
        <v>0</v>
      </c>
      <c r="HH23" s="345">
        <f>'No. of aircraft'!AR141</f>
        <v>0</v>
      </c>
      <c r="HI23" s="345">
        <f>'No. of aircraft'!AS141</f>
        <v>0</v>
      </c>
      <c r="HJ23" s="345">
        <f>'No. of aircraft'!AT141</f>
        <v>0</v>
      </c>
      <c r="HK23" s="345">
        <f>'No. of aircraft'!AU141</f>
        <v>0</v>
      </c>
      <c r="HL23" s="345">
        <f>'No. of aircraft'!AV141</f>
        <v>0</v>
      </c>
      <c r="HM23" s="345">
        <f>'No. of aircraft'!AW141</f>
        <v>0</v>
      </c>
      <c r="HN23" s="345">
        <f>'No. of aircraft'!AX141</f>
        <v>0</v>
      </c>
      <c r="HO23" s="345">
        <f>'No. of aircraft'!AY141</f>
        <v>0</v>
      </c>
    </row>
    <row r="24" spans="1:223">
      <c r="A24" s="57"/>
      <c r="B24" s="57"/>
      <c r="C24" s="57"/>
      <c r="D24" s="57"/>
      <c r="E24" s="57"/>
      <c r="F24" s="57"/>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691"/>
      <c r="BK24" s="135"/>
      <c r="DF24" s="1674"/>
      <c r="DH24" s="1333">
        <v>1</v>
      </c>
      <c r="DI24" s="87" t="s">
        <v>209</v>
      </c>
      <c r="DJ24" s="1124" cm="1">
        <f t="array" ref="DJ24:DJ32">_xlfn.ANCHORARRAY(DJ4)</f>
        <v>9243.3882590484409</v>
      </c>
      <c r="DK24" s="1124" cm="1">
        <f t="array" ref="DK24:DK32">_xlfn.ANCHORARRAY(DJ24)</f>
        <v>9243.3882590484409</v>
      </c>
      <c r="DL24" s="1124" cm="1">
        <f t="array" ref="DL24:DL32">_xlfn.ANCHORARRAY(DK24)</f>
        <v>9243.3882590484409</v>
      </c>
      <c r="DM24" s="1124" cm="1">
        <f t="array" ref="DM24:DM32">_xlfn.ANCHORARRAY(DL24)</f>
        <v>9243.3882590484409</v>
      </c>
      <c r="DN24" s="1107" cm="1">
        <f t="array" ref="DN24:DN32">_xlfn.ANCHORARRAY(DK4)</f>
        <v>9216.7056800882347</v>
      </c>
      <c r="DO24" s="1107">
        <f>DN24</f>
        <v>9216.7056800882347</v>
      </c>
      <c r="DP24" s="1107">
        <f t="shared" ref="DP24:DQ24" si="20">DO24</f>
        <v>9216.7056800882347</v>
      </c>
      <c r="DQ24" s="1107">
        <f t="shared" si="20"/>
        <v>9216.7056800882347</v>
      </c>
      <c r="DR24" s="1107" cm="1">
        <f t="array" ref="DR24:DR36">_xlfn.ANCHORARRAY(DL4)</f>
        <v>9243.3882590484409</v>
      </c>
      <c r="DS24" s="1107">
        <f>DR24</f>
        <v>9243.3882590484409</v>
      </c>
      <c r="DT24" s="1107">
        <f t="shared" ref="DT24:DU24" si="21">DS24</f>
        <v>9243.3882590484409</v>
      </c>
      <c r="DU24" s="1107">
        <f t="shared" si="21"/>
        <v>9243.3882590484409</v>
      </c>
      <c r="DV24" s="1107" cm="1">
        <f t="array" ref="DV24:DV40">_xlfn.ANCHORARRAY(DM4)</f>
        <v>9243.3882590484409</v>
      </c>
      <c r="DW24" s="1107" cm="1">
        <f t="array" ref="DW24:DW40">_xlfn.ANCHORARRAY(DV24)</f>
        <v>9243.3882590484409</v>
      </c>
      <c r="DX24" s="1107" cm="1">
        <f t="array" ref="DX24:DX40">_xlfn.ANCHORARRAY(DW24)</f>
        <v>9243.3882590484409</v>
      </c>
      <c r="DY24" s="1107" cm="1">
        <f t="array" ref="DY24:DY40">_xlfn.ANCHORARRAY(DX24)</f>
        <v>9243.3882590484409</v>
      </c>
      <c r="DZ24" s="1107" cm="1">
        <f t="array" ref="DZ24:DZ40">_xlfn.ANCHORARRAY(DN4)</f>
        <v>9243.3882590484409</v>
      </c>
      <c r="EA24" s="1107">
        <f>DZ24</f>
        <v>9243.3882590484409</v>
      </c>
      <c r="EB24" s="1107">
        <f t="shared" ref="EB24:EC24" si="22">EA24</f>
        <v>9243.3882590484409</v>
      </c>
      <c r="EC24" s="1107">
        <f t="shared" si="22"/>
        <v>9243.3882590484409</v>
      </c>
      <c r="ED24" s="1107" cm="1">
        <f t="array" ref="ED24:ED40">_xlfn.ANCHORARRAY(DO4)</f>
        <v>9243.3882590484409</v>
      </c>
      <c r="EE24" s="1107">
        <f>ED24</f>
        <v>9243.3882590484409</v>
      </c>
      <c r="EF24" s="1107">
        <f t="shared" ref="EF24:EG24" si="23">EE24</f>
        <v>9243.3882590484409</v>
      </c>
      <c r="EG24" s="1107">
        <f t="shared" si="23"/>
        <v>9243.3882590484409</v>
      </c>
      <c r="EH24" s="1107" cm="1">
        <f t="array" ref="EH24:EH40">_xlfn.ANCHORARRAY(DP4)</f>
        <v>9443.5076012499849</v>
      </c>
      <c r="EI24" s="1107">
        <f>EH24</f>
        <v>9443.5076012499849</v>
      </c>
      <c r="EJ24" s="1107">
        <f t="shared" ref="EJ24:EK24" si="24">EI24</f>
        <v>9443.5076012499849</v>
      </c>
      <c r="EK24" s="1107">
        <f t="shared" si="24"/>
        <v>9443.5076012499849</v>
      </c>
      <c r="EL24" s="1107" cm="1">
        <f t="array" ref="EL24:EL40">_xlfn.ANCHORARRAY(DQ4)</f>
        <v>9243.3882590484409</v>
      </c>
      <c r="EM24" s="1107" cm="1">
        <f t="array" ref="EM24:EM40">_xlfn.ANCHORARRAY(EL24)</f>
        <v>9243.3882590484409</v>
      </c>
      <c r="EN24" s="1107" cm="1">
        <f t="array" ref="EN24:EN40">_xlfn.ANCHORARRAY(EM24)</f>
        <v>9243.3882590484409</v>
      </c>
      <c r="EO24" s="1107" cm="1">
        <f t="array" ref="EO24:EO40">_xlfn.ANCHORARRAY(EN24)</f>
        <v>9243.3882590484409</v>
      </c>
      <c r="EP24" s="1107" cm="1">
        <f t="array" ref="EP24:EP40">_xlfn.ANCHORARRAY(DR4)</f>
        <v>9243.3882590484409</v>
      </c>
      <c r="EQ24" s="1107">
        <f>EP24</f>
        <v>9243.3882590484409</v>
      </c>
      <c r="ER24" s="1107">
        <f t="shared" ref="ER24:ES24" si="25">EQ24</f>
        <v>9243.3882590484409</v>
      </c>
      <c r="ES24" s="1107">
        <f t="shared" si="25"/>
        <v>9243.3882590484409</v>
      </c>
      <c r="ET24" s="1110" cm="1">
        <f t="array" ref="ET24:ET40">_xlfn.ANCHORARRAY(DS4)</f>
        <v>4892.1918469793191</v>
      </c>
      <c r="EU24" s="1110">
        <f>ET24</f>
        <v>4892.1918469793191</v>
      </c>
      <c r="EV24" s="1110">
        <f t="shared" ref="EV24:EW24" si="26">EU24</f>
        <v>4892.1918469793191</v>
      </c>
      <c r="EW24" s="1110">
        <f t="shared" si="26"/>
        <v>4892.1918469793191</v>
      </c>
    </row>
    <row r="25" spans="1:223" ht="15" thickBot="1">
      <c r="A25" s="57"/>
      <c r="B25" s="57"/>
      <c r="C25" s="57"/>
      <c r="D25" s="57"/>
      <c r="E25" s="57"/>
      <c r="F25" s="57"/>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c r="AO25" s="106"/>
      <c r="AP25" s="106"/>
      <c r="AQ25" s="106"/>
      <c r="AR25" s="691"/>
      <c r="DF25" s="1674"/>
      <c r="DH25" s="1333"/>
      <c r="DI25" s="87" t="s">
        <v>210</v>
      </c>
      <c r="DJ25" s="1125">
        <v>7688.4429693628999</v>
      </c>
      <c r="DK25" s="1125">
        <v>7688.4429693628999</v>
      </c>
      <c r="DL25" s="1125">
        <v>7688.4429693628999</v>
      </c>
      <c r="DM25" s="1125">
        <v>7688.4429693628999</v>
      </c>
      <c r="DN25" s="1107">
        <v>7665.8041004917068</v>
      </c>
      <c r="DO25" s="1107">
        <f t="shared" ref="DO25:DQ32" si="27">DN25</f>
        <v>7665.8041004917068</v>
      </c>
      <c r="DP25" s="1107">
        <f t="shared" si="27"/>
        <v>7665.8041004917068</v>
      </c>
      <c r="DQ25" s="1107">
        <f t="shared" si="27"/>
        <v>7665.8041004917068</v>
      </c>
      <c r="DR25" s="1107">
        <v>7688.4429693628999</v>
      </c>
      <c r="DS25" s="1107">
        <f t="shared" ref="DS25:DU36" si="28">DR25</f>
        <v>7688.4429693628999</v>
      </c>
      <c r="DT25" s="1107">
        <f t="shared" si="28"/>
        <v>7688.4429693628999</v>
      </c>
      <c r="DU25" s="1107">
        <f t="shared" si="28"/>
        <v>7688.4429693628999</v>
      </c>
      <c r="DV25" s="1107">
        <v>7688.4429693628999</v>
      </c>
      <c r="DW25" s="1107">
        <v>7688.4429693628999</v>
      </c>
      <c r="DX25" s="1107">
        <v>7688.4429693628999</v>
      </c>
      <c r="DY25" s="1107">
        <v>7688.4429693628999</v>
      </c>
      <c r="DZ25" s="1107">
        <v>7688.4429693628999</v>
      </c>
      <c r="EA25" s="1107">
        <f t="shared" ref="EA25:EC40" si="29">DZ25</f>
        <v>7688.4429693628999</v>
      </c>
      <c r="EB25" s="1107">
        <f t="shared" si="29"/>
        <v>7688.4429693628999</v>
      </c>
      <c r="EC25" s="1107">
        <f t="shared" si="29"/>
        <v>7688.4429693628999</v>
      </c>
      <c r="ED25" s="1107">
        <v>7688.4429693628999</v>
      </c>
      <c r="EE25" s="1107">
        <f t="shared" ref="EE25:EG40" si="30">ED25</f>
        <v>7688.4429693628999</v>
      </c>
      <c r="EF25" s="1107">
        <f t="shared" si="30"/>
        <v>7688.4429693628999</v>
      </c>
      <c r="EG25" s="1107">
        <f t="shared" si="30"/>
        <v>7688.4429693628999</v>
      </c>
      <c r="EH25" s="1107">
        <v>7858.2344858968518</v>
      </c>
      <c r="EI25" s="1107">
        <f t="shared" ref="EI25:EK40" si="31">EH25</f>
        <v>7858.2344858968518</v>
      </c>
      <c r="EJ25" s="1107">
        <f t="shared" si="31"/>
        <v>7858.2344858968518</v>
      </c>
      <c r="EK25" s="1107">
        <f t="shared" si="31"/>
        <v>7858.2344858968518</v>
      </c>
      <c r="EL25" s="1107">
        <v>7688.4429693628999</v>
      </c>
      <c r="EM25" s="1107">
        <v>7688.4429693628999</v>
      </c>
      <c r="EN25" s="1107">
        <v>7688.4429693628999</v>
      </c>
      <c r="EO25" s="1107">
        <v>7688.4429693628999</v>
      </c>
      <c r="EP25" s="1107">
        <v>7688.4429693628999</v>
      </c>
      <c r="EQ25" s="1107">
        <f t="shared" ref="EQ25:ES40" si="32">EP25</f>
        <v>7688.4429693628999</v>
      </c>
      <c r="ER25" s="1107">
        <f t="shared" si="32"/>
        <v>7688.4429693628999</v>
      </c>
      <c r="ES25" s="1107">
        <f t="shared" si="32"/>
        <v>7688.4429693628999</v>
      </c>
      <c r="ET25" s="1110">
        <v>5343.1234968604031</v>
      </c>
      <c r="EU25" s="1110">
        <f t="shared" ref="EU25:EU40" si="33">ET25</f>
        <v>5343.1234968604031</v>
      </c>
      <c r="EV25" s="1110">
        <f t="shared" ref="EV25:EW25" si="34">EU25</f>
        <v>5343.1234968604031</v>
      </c>
      <c r="EW25" s="1110">
        <f t="shared" si="34"/>
        <v>5343.1234968604031</v>
      </c>
      <c r="GI25" s="135"/>
      <c r="GJ25" s="135"/>
      <c r="GK25" s="135"/>
      <c r="GL25" s="135"/>
      <c r="GM25" s="135"/>
      <c r="GN25" s="135"/>
      <c r="GO25" s="135"/>
      <c r="GP25" s="135"/>
      <c r="GQ25" s="135"/>
      <c r="GR25" s="135"/>
    </row>
    <row r="26" spans="1:223" ht="15" thickBot="1">
      <c r="A26" s="684" t="s">
        <v>611</v>
      </c>
      <c r="B26" s="685"/>
      <c r="C26" s="686">
        <v>1</v>
      </c>
      <c r="D26" s="57"/>
      <c r="E26" s="57"/>
      <c r="F26" s="57"/>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57"/>
      <c r="AR26" s="691"/>
      <c r="DF26" s="1674"/>
      <c r="DH26" s="1333"/>
      <c r="DI26" s="87" t="s">
        <v>211</v>
      </c>
      <c r="DJ26" s="1125">
        <v>8507.0095111812625</v>
      </c>
      <c r="DK26" s="1125">
        <v>8507.0095111812625</v>
      </c>
      <c r="DL26" s="1125">
        <v>8507.0095111812625</v>
      </c>
      <c r="DM26" s="1125">
        <v>8507.0095111812625</v>
      </c>
      <c r="DN26" s="1107">
        <v>8481.6301854309913</v>
      </c>
      <c r="DO26" s="1107">
        <f t="shared" si="27"/>
        <v>8481.6301854309913</v>
      </c>
      <c r="DP26" s="1107">
        <f t="shared" si="27"/>
        <v>8481.6301854309913</v>
      </c>
      <c r="DQ26" s="1107">
        <f t="shared" si="27"/>
        <v>8481.6301854309913</v>
      </c>
      <c r="DR26" s="1107">
        <v>8507.0095111812625</v>
      </c>
      <c r="DS26" s="1107">
        <f t="shared" si="28"/>
        <v>8507.0095111812625</v>
      </c>
      <c r="DT26" s="1107">
        <f t="shared" si="28"/>
        <v>8507.0095111812625</v>
      </c>
      <c r="DU26" s="1107">
        <f t="shared" si="28"/>
        <v>8507.0095111812625</v>
      </c>
      <c r="DV26" s="1107">
        <v>8507.0095111812625</v>
      </c>
      <c r="DW26" s="1107">
        <v>8507.0095111812625</v>
      </c>
      <c r="DX26" s="1107">
        <v>8507.0095111812625</v>
      </c>
      <c r="DY26" s="1107">
        <v>8507.0095111812625</v>
      </c>
      <c r="DZ26" s="1107">
        <v>8507.0095111812625</v>
      </c>
      <c r="EA26" s="1107">
        <f t="shared" si="29"/>
        <v>8507.0095111812625</v>
      </c>
      <c r="EB26" s="1107">
        <f t="shared" si="29"/>
        <v>8507.0095111812625</v>
      </c>
      <c r="EC26" s="1107">
        <f t="shared" si="29"/>
        <v>8507.0095111812625</v>
      </c>
      <c r="ED26" s="1107">
        <v>8507.0095111812625</v>
      </c>
      <c r="EE26" s="1107">
        <f t="shared" si="30"/>
        <v>8507.0095111812625</v>
      </c>
      <c r="EF26" s="1107">
        <f t="shared" si="30"/>
        <v>8507.0095111812625</v>
      </c>
      <c r="EG26" s="1107">
        <f t="shared" si="30"/>
        <v>8507.0095111812625</v>
      </c>
      <c r="EH26" s="1107">
        <v>8697.3544543082917</v>
      </c>
      <c r="EI26" s="1107">
        <f t="shared" si="31"/>
        <v>8697.3544543082917</v>
      </c>
      <c r="EJ26" s="1107">
        <f t="shared" si="31"/>
        <v>8697.3544543082917</v>
      </c>
      <c r="EK26" s="1107">
        <f t="shared" si="31"/>
        <v>8697.3544543082917</v>
      </c>
      <c r="EL26" s="1107">
        <v>8507.0095111812625</v>
      </c>
      <c r="EM26" s="1107">
        <v>8507.0095111812625</v>
      </c>
      <c r="EN26" s="1107">
        <v>8507.0095111812625</v>
      </c>
      <c r="EO26" s="1107">
        <v>8507.0095111812625</v>
      </c>
      <c r="EP26" s="1107">
        <v>8507.0095111812625</v>
      </c>
      <c r="EQ26" s="1107">
        <f t="shared" si="32"/>
        <v>8507.0095111812625</v>
      </c>
      <c r="ER26" s="1107">
        <f t="shared" si="32"/>
        <v>8507.0095111812625</v>
      </c>
      <c r="ES26" s="1107">
        <f t="shared" si="32"/>
        <v>8507.0095111812625</v>
      </c>
      <c r="ET26" s="1110">
        <v>4877.2197664259747</v>
      </c>
      <c r="EU26" s="1110">
        <f t="shared" si="33"/>
        <v>4877.2197664259747</v>
      </c>
      <c r="EV26" s="1110">
        <f t="shared" ref="EV26:EW26" si="35">EU26</f>
        <v>4877.2197664259747</v>
      </c>
      <c r="EW26" s="1110">
        <f t="shared" si="35"/>
        <v>4877.2197664259747</v>
      </c>
      <c r="GI26" s="135"/>
      <c r="GJ26" s="135"/>
      <c r="GK26" s="135"/>
      <c r="GL26" s="135"/>
      <c r="GM26" s="135"/>
      <c r="GN26" s="135"/>
      <c r="GO26" s="135"/>
      <c r="GP26" s="135"/>
      <c r="GQ26" s="135"/>
      <c r="GR26" s="135"/>
    </row>
    <row r="27" spans="1:223">
      <c r="A27" s="57"/>
      <c r="B27" s="57"/>
      <c r="C27" s="1083"/>
      <c r="D27" s="57"/>
      <c r="E27" s="57"/>
      <c r="F27" s="57"/>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c r="AD27" s="106"/>
      <c r="AE27" s="106"/>
      <c r="AF27" s="106"/>
      <c r="AG27" s="106"/>
      <c r="AH27" s="106"/>
      <c r="AI27" s="106"/>
      <c r="AJ27" s="106"/>
      <c r="AK27" s="106"/>
      <c r="AL27" s="106"/>
      <c r="AM27" s="106"/>
      <c r="AN27" s="106"/>
      <c r="AO27" s="106"/>
      <c r="AP27" s="106"/>
      <c r="AQ27" s="57"/>
      <c r="AR27" s="691"/>
      <c r="DF27" s="1674"/>
      <c r="DH27" s="1333"/>
      <c r="DI27" s="87" t="s">
        <v>212</v>
      </c>
      <c r="DJ27" s="1125">
        <v>8721.849698142425</v>
      </c>
      <c r="DK27" s="1125">
        <v>8721.849698142425</v>
      </c>
      <c r="DL27" s="1125">
        <v>8721.849698142425</v>
      </c>
      <c r="DM27" s="1125">
        <v>8721.849698142425</v>
      </c>
      <c r="DN27" s="1107">
        <v>8696.4703723921539</v>
      </c>
      <c r="DO27" s="1107">
        <f t="shared" si="27"/>
        <v>8696.4703723921539</v>
      </c>
      <c r="DP27" s="1107">
        <f t="shared" si="27"/>
        <v>8696.4703723921539</v>
      </c>
      <c r="DQ27" s="1107">
        <f t="shared" si="27"/>
        <v>8696.4703723921539</v>
      </c>
      <c r="DR27" s="1107">
        <v>8721.849698142425</v>
      </c>
      <c r="DS27" s="1107">
        <f t="shared" si="28"/>
        <v>8721.849698142425</v>
      </c>
      <c r="DT27" s="1107">
        <f t="shared" si="28"/>
        <v>8721.849698142425</v>
      </c>
      <c r="DU27" s="1107">
        <f t="shared" si="28"/>
        <v>8721.849698142425</v>
      </c>
      <c r="DV27" s="1107">
        <v>8721.849698142425</v>
      </c>
      <c r="DW27" s="1107">
        <v>8721.849698142425</v>
      </c>
      <c r="DX27" s="1107">
        <v>8721.849698142425</v>
      </c>
      <c r="DY27" s="1107">
        <v>8721.849698142425</v>
      </c>
      <c r="DZ27" s="1107">
        <v>8721.849698142425</v>
      </c>
      <c r="EA27" s="1107">
        <f t="shared" si="29"/>
        <v>8721.849698142425</v>
      </c>
      <c r="EB27" s="1107">
        <f t="shared" si="29"/>
        <v>8721.849698142425</v>
      </c>
      <c r="EC27" s="1107">
        <f t="shared" si="29"/>
        <v>8721.849698142425</v>
      </c>
      <c r="ED27" s="1107">
        <v>8721.849698142425</v>
      </c>
      <c r="EE27" s="1107">
        <f t="shared" si="30"/>
        <v>8721.849698142425</v>
      </c>
      <c r="EF27" s="1107">
        <f t="shared" si="30"/>
        <v>8721.849698142425</v>
      </c>
      <c r="EG27" s="1107">
        <f t="shared" si="30"/>
        <v>8721.849698142425</v>
      </c>
      <c r="EH27" s="1107">
        <v>8912.1946412694542</v>
      </c>
      <c r="EI27" s="1107">
        <f t="shared" si="31"/>
        <v>8912.1946412694542</v>
      </c>
      <c r="EJ27" s="1107">
        <f t="shared" si="31"/>
        <v>8912.1946412694542</v>
      </c>
      <c r="EK27" s="1107">
        <f t="shared" si="31"/>
        <v>8912.1946412694542</v>
      </c>
      <c r="EL27" s="1107">
        <v>8721.849698142425</v>
      </c>
      <c r="EM27" s="1107">
        <v>8721.849698142425</v>
      </c>
      <c r="EN27" s="1107">
        <v>8721.849698142425</v>
      </c>
      <c r="EO27" s="1107">
        <v>8721.849698142425</v>
      </c>
      <c r="EP27" s="1107">
        <v>8721.849698142425</v>
      </c>
      <c r="EQ27" s="1107">
        <f t="shared" si="32"/>
        <v>8721.849698142425</v>
      </c>
      <c r="ER27" s="1107">
        <f t="shared" si="32"/>
        <v>8721.849698142425</v>
      </c>
      <c r="ES27" s="1107">
        <f t="shared" si="32"/>
        <v>8721.849698142425</v>
      </c>
      <c r="ET27" s="1110">
        <v>5000.3914644348251</v>
      </c>
      <c r="EU27" s="1110">
        <f t="shared" si="33"/>
        <v>5000.3914644348251</v>
      </c>
      <c r="EV27" s="1110">
        <f t="shared" ref="EV27:EW27" si="36">EU27</f>
        <v>5000.3914644348251</v>
      </c>
      <c r="EW27" s="1110">
        <f t="shared" si="36"/>
        <v>5000.3914644348251</v>
      </c>
      <c r="GI27" s="135"/>
      <c r="GJ27" s="135"/>
      <c r="GK27" s="135"/>
      <c r="GL27" s="135"/>
      <c r="GM27" s="135"/>
      <c r="GN27" s="135"/>
      <c r="GO27" s="135"/>
      <c r="GP27" s="135"/>
      <c r="GQ27" s="135"/>
      <c r="GR27" s="135"/>
    </row>
    <row r="28" spans="1:223" ht="15" thickBot="1">
      <c r="A28" s="57"/>
      <c r="B28" s="57"/>
      <c r="C28" s="1083"/>
      <c r="D28" s="57"/>
      <c r="E28" s="57"/>
      <c r="F28" s="57"/>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57"/>
      <c r="AR28" s="691"/>
      <c r="DF28" s="1674"/>
      <c r="DH28" s="1333"/>
      <c r="DI28" s="87" t="s">
        <v>213</v>
      </c>
      <c r="DJ28" s="1126">
        <v>6200.0929414659076</v>
      </c>
      <c r="DK28" s="1126">
        <v>6200.0929414659076</v>
      </c>
      <c r="DL28" s="1126">
        <v>6200.0929414659076</v>
      </c>
      <c r="DM28" s="1126">
        <v>6200.0929414659076</v>
      </c>
      <c r="DN28" s="1107">
        <v>6180.7912872911284</v>
      </c>
      <c r="DO28" s="1107">
        <f t="shared" si="27"/>
        <v>6180.7912872911284</v>
      </c>
      <c r="DP28" s="1107">
        <f t="shared" si="27"/>
        <v>6180.7912872911284</v>
      </c>
      <c r="DQ28" s="1107">
        <f t="shared" si="27"/>
        <v>6180.7912872911284</v>
      </c>
      <c r="DR28" s="1107">
        <v>6200.0929414659076</v>
      </c>
      <c r="DS28" s="1107">
        <f t="shared" si="28"/>
        <v>6200.0929414659076</v>
      </c>
      <c r="DT28" s="1107">
        <f t="shared" si="28"/>
        <v>6200.0929414659076</v>
      </c>
      <c r="DU28" s="1107">
        <f t="shared" si="28"/>
        <v>6200.0929414659076</v>
      </c>
      <c r="DV28" s="1107">
        <v>6200.0929414659076</v>
      </c>
      <c r="DW28" s="1107">
        <v>6200.0929414659076</v>
      </c>
      <c r="DX28" s="1107">
        <v>6200.0929414659076</v>
      </c>
      <c r="DY28" s="1107">
        <v>6200.0929414659076</v>
      </c>
      <c r="DZ28" s="1107">
        <v>6200.0929414659076</v>
      </c>
      <c r="EA28" s="1107">
        <f t="shared" si="29"/>
        <v>6200.0929414659076</v>
      </c>
      <c r="EB28" s="1107">
        <f t="shared" si="29"/>
        <v>6200.0929414659076</v>
      </c>
      <c r="EC28" s="1107">
        <f t="shared" si="29"/>
        <v>6200.0929414659076</v>
      </c>
      <c r="ED28" s="1107">
        <v>6200.0929414659076</v>
      </c>
      <c r="EE28" s="1107">
        <f t="shared" si="30"/>
        <v>6200.0929414659076</v>
      </c>
      <c r="EF28" s="1107">
        <f t="shared" si="30"/>
        <v>6200.0929414659076</v>
      </c>
      <c r="EG28" s="1107">
        <f t="shared" si="30"/>
        <v>6200.0929414659076</v>
      </c>
      <c r="EH28" s="1107">
        <v>6344.8553477767528</v>
      </c>
      <c r="EI28" s="1107">
        <f t="shared" si="31"/>
        <v>6344.8553477767528</v>
      </c>
      <c r="EJ28" s="1107">
        <f t="shared" si="31"/>
        <v>6344.8553477767528</v>
      </c>
      <c r="EK28" s="1107">
        <f t="shared" si="31"/>
        <v>6344.8553477767528</v>
      </c>
      <c r="EL28" s="1107">
        <v>6200.0929414659076</v>
      </c>
      <c r="EM28" s="1107">
        <v>6200.0929414659076</v>
      </c>
      <c r="EN28" s="1107">
        <v>6200.0929414659076</v>
      </c>
      <c r="EO28" s="1107">
        <v>6200.0929414659076</v>
      </c>
      <c r="EP28" s="1107">
        <v>6200.0929414659076</v>
      </c>
      <c r="EQ28" s="1107">
        <f t="shared" si="32"/>
        <v>6200.0929414659076</v>
      </c>
      <c r="ER28" s="1107">
        <f t="shared" si="32"/>
        <v>6200.0929414659076</v>
      </c>
      <c r="ES28" s="1107">
        <f t="shared" si="32"/>
        <v>6200.0929414659076</v>
      </c>
      <c r="ET28" s="1110">
        <v>5809.877301793229</v>
      </c>
      <c r="EU28" s="1110">
        <f t="shared" si="33"/>
        <v>5809.877301793229</v>
      </c>
      <c r="EV28" s="1110">
        <f t="shared" ref="EV28:EW28" si="37">EU28</f>
        <v>5809.877301793229</v>
      </c>
      <c r="EW28" s="1110">
        <f t="shared" si="37"/>
        <v>5809.877301793229</v>
      </c>
      <c r="GI28" s="135"/>
      <c r="GJ28" s="135"/>
      <c r="GK28" s="135"/>
      <c r="GL28" s="135"/>
      <c r="GM28" s="135"/>
      <c r="GN28" s="135"/>
      <c r="GO28" s="135"/>
      <c r="GP28" s="135"/>
      <c r="GQ28" s="135"/>
      <c r="GR28" s="135"/>
    </row>
    <row r="29" spans="1:223">
      <c r="A29" s="1556" t="s">
        <v>612</v>
      </c>
      <c r="B29" s="1556"/>
      <c r="C29" s="1556"/>
      <c r="D29" s="1556"/>
      <c r="E29" s="811">
        <v>2023</v>
      </c>
      <c r="F29" s="811">
        <v>2024</v>
      </c>
      <c r="G29" s="811">
        <v>2025</v>
      </c>
      <c r="H29" s="811">
        <v>2026</v>
      </c>
      <c r="I29" s="811">
        <v>2027</v>
      </c>
      <c r="J29" s="811">
        <v>2028</v>
      </c>
      <c r="K29" s="811">
        <v>2029</v>
      </c>
      <c r="L29" s="811">
        <v>2030</v>
      </c>
      <c r="M29" s="811">
        <v>2031</v>
      </c>
      <c r="N29" s="811">
        <v>2032</v>
      </c>
      <c r="O29" s="106"/>
      <c r="P29" s="106"/>
      <c r="Q29" s="106"/>
      <c r="R29" s="106"/>
      <c r="S29" s="106"/>
      <c r="T29" s="106"/>
      <c r="U29" s="106"/>
      <c r="V29" s="106"/>
      <c r="W29" s="106"/>
      <c r="X29" s="106"/>
      <c r="Y29" s="106"/>
      <c r="Z29" s="106"/>
      <c r="AA29" s="106"/>
      <c r="AB29" s="106"/>
      <c r="AC29" s="106"/>
      <c r="AD29" s="106"/>
      <c r="AE29" s="106"/>
      <c r="AF29" s="106"/>
      <c r="AG29" s="106"/>
      <c r="AH29" s="106"/>
      <c r="AI29" s="106"/>
      <c r="AJ29" s="106"/>
      <c r="AK29" s="106"/>
      <c r="AL29" s="106"/>
      <c r="AM29" s="106"/>
      <c r="AN29" s="106"/>
      <c r="AO29" s="106"/>
      <c r="AP29" s="106"/>
      <c r="AQ29" s="57"/>
      <c r="AR29" s="691"/>
      <c r="DF29" s="1674"/>
      <c r="DH29" s="1333">
        <v>2</v>
      </c>
      <c r="DI29" s="303" t="s">
        <v>214</v>
      </c>
      <c r="DJ29" s="1127">
        <v>12589.788474876774</v>
      </c>
      <c r="DK29" s="1127">
        <v>12589.788474876774</v>
      </c>
      <c r="DL29" s="1127">
        <v>12589.788474876774</v>
      </c>
      <c r="DM29" s="1127">
        <v>12589.788474876774</v>
      </c>
      <c r="DN29" s="1107">
        <v>12639.470332918296</v>
      </c>
      <c r="DO29" s="1107">
        <f t="shared" si="27"/>
        <v>12639.470332918296</v>
      </c>
      <c r="DP29" s="1107">
        <f t="shared" si="27"/>
        <v>12639.470332918296</v>
      </c>
      <c r="DQ29" s="1107">
        <f t="shared" si="27"/>
        <v>12639.470332918296</v>
      </c>
      <c r="DR29" s="1107">
        <v>12669.956927625593</v>
      </c>
      <c r="DS29" s="1107">
        <f t="shared" si="28"/>
        <v>12669.956927625593</v>
      </c>
      <c r="DT29" s="1107">
        <f t="shared" si="28"/>
        <v>12669.956927625593</v>
      </c>
      <c r="DU29" s="1107">
        <f t="shared" si="28"/>
        <v>12669.956927625593</v>
      </c>
      <c r="DV29" s="1107">
        <v>12639.470332918296</v>
      </c>
      <c r="DW29" s="1107">
        <v>12639.470332918296</v>
      </c>
      <c r="DX29" s="1107">
        <v>12639.470332918296</v>
      </c>
      <c r="DY29" s="1107">
        <v>12639.470332918296</v>
      </c>
      <c r="DZ29" s="1107">
        <v>12864.377426806863</v>
      </c>
      <c r="EA29" s="1107">
        <f t="shared" si="29"/>
        <v>12864.377426806863</v>
      </c>
      <c r="EB29" s="1107">
        <f t="shared" si="29"/>
        <v>12864.377426806863</v>
      </c>
      <c r="EC29" s="1107">
        <f t="shared" si="29"/>
        <v>12864.377426806863</v>
      </c>
      <c r="ED29" s="1107">
        <v>12639.470332918296</v>
      </c>
      <c r="EE29" s="1107">
        <f t="shared" si="30"/>
        <v>12639.470332918296</v>
      </c>
      <c r="EF29" s="1107">
        <f t="shared" si="30"/>
        <v>12639.470332918296</v>
      </c>
      <c r="EG29" s="1107">
        <f t="shared" si="30"/>
        <v>12639.470332918296</v>
      </c>
      <c r="EH29" s="1107">
        <v>12669.956927625593</v>
      </c>
      <c r="EI29" s="1107">
        <f t="shared" si="31"/>
        <v>12669.956927625593</v>
      </c>
      <c r="EJ29" s="1107">
        <f t="shared" si="31"/>
        <v>12669.956927625593</v>
      </c>
      <c r="EK29" s="1107">
        <f t="shared" si="31"/>
        <v>12669.956927625593</v>
      </c>
      <c r="EL29" s="1107">
        <v>12639.470332918296</v>
      </c>
      <c r="EM29" s="1107">
        <v>12639.470332918296</v>
      </c>
      <c r="EN29" s="1107">
        <v>12639.470332918296</v>
      </c>
      <c r="EO29" s="1107">
        <v>12639.470332918296</v>
      </c>
      <c r="EP29" s="1107">
        <v>12639.470332918296</v>
      </c>
      <c r="EQ29" s="1107">
        <f t="shared" si="32"/>
        <v>12639.470332918296</v>
      </c>
      <c r="ER29" s="1107">
        <f t="shared" si="32"/>
        <v>12639.470332918296</v>
      </c>
      <c r="ES29" s="1107">
        <f t="shared" si="32"/>
        <v>12639.470332918296</v>
      </c>
      <c r="ET29" s="1110">
        <v>4169.5727866309726</v>
      </c>
      <c r="EU29" s="1110">
        <f t="shared" si="33"/>
        <v>4169.5727866309726</v>
      </c>
      <c r="EV29" s="1110">
        <f t="shared" ref="EV29:EW29" si="38">EU29</f>
        <v>4169.5727866309726</v>
      </c>
      <c r="EW29" s="1110">
        <f t="shared" si="38"/>
        <v>4169.5727866309726</v>
      </c>
      <c r="GI29" s="135"/>
      <c r="GJ29" s="135"/>
      <c r="GK29" s="135"/>
      <c r="GL29" s="135"/>
      <c r="GM29" s="135"/>
      <c r="GN29" s="135"/>
      <c r="GO29" s="135"/>
      <c r="GP29" s="135"/>
      <c r="GQ29" s="135"/>
      <c r="GR29" s="135"/>
    </row>
    <row r="30" spans="1:223">
      <c r="A30" s="1556" t="s">
        <v>613</v>
      </c>
      <c r="B30" s="1556"/>
      <c r="C30" s="1556"/>
      <c r="D30" s="1556"/>
      <c r="E30" s="300">
        <v>357</v>
      </c>
      <c r="F30" s="300">
        <v>360</v>
      </c>
      <c r="G30" s="300">
        <v>357</v>
      </c>
      <c r="H30" s="300">
        <v>357</v>
      </c>
      <c r="I30" s="300">
        <v>357</v>
      </c>
      <c r="J30" s="300">
        <v>357</v>
      </c>
      <c r="K30" s="300">
        <v>336</v>
      </c>
      <c r="L30" s="300">
        <v>357</v>
      </c>
      <c r="M30" s="300">
        <v>357</v>
      </c>
      <c r="N30" s="300">
        <v>357</v>
      </c>
      <c r="AQ30" s="57"/>
      <c r="AR30" s="691"/>
      <c r="DF30" s="1674"/>
      <c r="DH30" s="1333"/>
      <c r="DI30" s="303" t="s">
        <v>215</v>
      </c>
      <c r="DJ30" s="1125">
        <v>10238.96521244623</v>
      </c>
      <c r="DK30" s="1125">
        <v>10238.96521244623</v>
      </c>
      <c r="DL30" s="1125">
        <v>10238.96521244623</v>
      </c>
      <c r="DM30" s="1125">
        <v>10238.96521244623</v>
      </c>
      <c r="DN30" s="1107">
        <v>10281.216527376204</v>
      </c>
      <c r="DO30" s="1107">
        <f t="shared" si="27"/>
        <v>10281.216527376204</v>
      </c>
      <c r="DP30" s="1107">
        <f t="shared" si="27"/>
        <v>10281.216527376204</v>
      </c>
      <c r="DQ30" s="1107">
        <f t="shared" si="27"/>
        <v>10281.216527376204</v>
      </c>
      <c r="DR30" s="1107">
        <v>10307.143470628687</v>
      </c>
      <c r="DS30" s="1107">
        <f t="shared" si="28"/>
        <v>10307.143470628687</v>
      </c>
      <c r="DT30" s="1107">
        <f t="shared" si="28"/>
        <v>10307.143470628687</v>
      </c>
      <c r="DU30" s="1107">
        <f t="shared" si="28"/>
        <v>10307.143470628687</v>
      </c>
      <c r="DV30" s="1107">
        <v>10281.216527376204</v>
      </c>
      <c r="DW30" s="1107">
        <v>10281.216527376204</v>
      </c>
      <c r="DX30" s="1107">
        <v>10281.216527376204</v>
      </c>
      <c r="DY30" s="1107">
        <v>10281.216527376204</v>
      </c>
      <c r="DZ30" s="1107">
        <v>10472.48595304722</v>
      </c>
      <c r="EA30" s="1107">
        <f t="shared" si="29"/>
        <v>10472.48595304722</v>
      </c>
      <c r="EB30" s="1107">
        <f t="shared" si="29"/>
        <v>10472.48595304722</v>
      </c>
      <c r="EC30" s="1107">
        <f t="shared" si="29"/>
        <v>10472.48595304722</v>
      </c>
      <c r="ED30" s="1107">
        <v>10281.216527376204</v>
      </c>
      <c r="EE30" s="1107">
        <f t="shared" si="30"/>
        <v>10281.216527376204</v>
      </c>
      <c r="EF30" s="1107">
        <f t="shared" si="30"/>
        <v>10281.216527376204</v>
      </c>
      <c r="EG30" s="1107">
        <f t="shared" si="30"/>
        <v>10281.216527376204</v>
      </c>
      <c r="EH30" s="1107">
        <v>10307.143470628687</v>
      </c>
      <c r="EI30" s="1107">
        <f t="shared" si="31"/>
        <v>10307.143470628687</v>
      </c>
      <c r="EJ30" s="1107">
        <f t="shared" si="31"/>
        <v>10307.143470628687</v>
      </c>
      <c r="EK30" s="1107">
        <f t="shared" si="31"/>
        <v>10307.143470628687</v>
      </c>
      <c r="EL30" s="1107">
        <v>10281.216527376204</v>
      </c>
      <c r="EM30" s="1107">
        <v>10281.216527376204</v>
      </c>
      <c r="EN30" s="1107">
        <v>10281.216527376204</v>
      </c>
      <c r="EO30" s="1107">
        <v>10281.216527376204</v>
      </c>
      <c r="EP30" s="1107">
        <v>10281.216527376204</v>
      </c>
      <c r="EQ30" s="1107">
        <f t="shared" si="32"/>
        <v>10281.216527376204</v>
      </c>
      <c r="ER30" s="1107">
        <f t="shared" si="32"/>
        <v>10281.216527376204</v>
      </c>
      <c r="ES30" s="1107">
        <f t="shared" si="32"/>
        <v>10281.216527376204</v>
      </c>
      <c r="ET30" s="1110">
        <v>4364.4727020128366</v>
      </c>
      <c r="EU30" s="1110">
        <f t="shared" si="33"/>
        <v>4364.4727020128366</v>
      </c>
      <c r="EV30" s="1110">
        <f t="shared" ref="EV30:EW30" si="39">EU30</f>
        <v>4364.4727020128366</v>
      </c>
      <c r="EW30" s="1110">
        <f t="shared" si="39"/>
        <v>4364.4727020128366</v>
      </c>
      <c r="GI30" s="135"/>
      <c r="GJ30" s="135"/>
      <c r="GK30" s="135"/>
      <c r="GL30" s="135"/>
      <c r="GM30" s="135"/>
      <c r="GN30" s="135"/>
      <c r="GO30" s="135"/>
      <c r="GP30" s="135"/>
      <c r="GQ30" s="135"/>
      <c r="GR30" s="135"/>
    </row>
    <row r="31" spans="1:223">
      <c r="A31" s="1556" t="s">
        <v>614</v>
      </c>
      <c r="B31" s="1556"/>
      <c r="C31" s="1556"/>
      <c r="D31" s="1556"/>
      <c r="E31" s="300">
        <v>355</v>
      </c>
      <c r="F31" s="300">
        <v>355</v>
      </c>
      <c r="G31" s="300">
        <v>352</v>
      </c>
      <c r="H31" s="300">
        <v>355</v>
      </c>
      <c r="I31" s="300">
        <v>334</v>
      </c>
      <c r="J31" s="300">
        <v>355</v>
      </c>
      <c r="K31" s="300">
        <v>352</v>
      </c>
      <c r="L31" s="300">
        <v>355</v>
      </c>
      <c r="M31" s="300">
        <v>355</v>
      </c>
      <c r="N31" s="300">
        <v>352</v>
      </c>
      <c r="AQ31" s="57"/>
      <c r="AR31" s="691"/>
      <c r="DF31" s="1674"/>
      <c r="DH31" s="1333"/>
      <c r="DI31" s="303" t="s">
        <v>216</v>
      </c>
      <c r="DJ31" s="1125">
        <v>11138.819617491958</v>
      </c>
      <c r="DK31" s="1125">
        <v>11138.819617491958</v>
      </c>
      <c r="DL31" s="1125">
        <v>11138.819617491958</v>
      </c>
      <c r="DM31" s="1125">
        <v>11138.819617491958</v>
      </c>
      <c r="DN31" s="1107">
        <v>11183.140739447661</v>
      </c>
      <c r="DO31" s="1107">
        <f t="shared" si="27"/>
        <v>11183.140739447661</v>
      </c>
      <c r="DP31" s="1107">
        <f t="shared" si="27"/>
        <v>11183.140739447661</v>
      </c>
      <c r="DQ31" s="1107">
        <f t="shared" si="27"/>
        <v>11183.140739447661</v>
      </c>
      <c r="DR31" s="1107">
        <v>11210.337791556844</v>
      </c>
      <c r="DS31" s="1107">
        <f t="shared" si="28"/>
        <v>11210.337791556844</v>
      </c>
      <c r="DT31" s="1107">
        <f t="shared" si="28"/>
        <v>11210.337791556844</v>
      </c>
      <c r="DU31" s="1107">
        <f t="shared" si="28"/>
        <v>11210.337791556844</v>
      </c>
      <c r="DV31" s="1107">
        <v>11183.140739447661</v>
      </c>
      <c r="DW31" s="1107">
        <v>11183.140739447661</v>
      </c>
      <c r="DX31" s="1107">
        <v>11183.140739447661</v>
      </c>
      <c r="DY31" s="1107">
        <v>11183.140739447661</v>
      </c>
      <c r="DZ31" s="1107">
        <v>11383.780069977674</v>
      </c>
      <c r="EA31" s="1107">
        <f t="shared" si="29"/>
        <v>11383.780069977674</v>
      </c>
      <c r="EB31" s="1107">
        <f t="shared" si="29"/>
        <v>11383.780069977674</v>
      </c>
      <c r="EC31" s="1107">
        <f t="shared" si="29"/>
        <v>11383.780069977674</v>
      </c>
      <c r="ED31" s="1107">
        <v>11183.140739447661</v>
      </c>
      <c r="EE31" s="1107">
        <f t="shared" si="30"/>
        <v>11183.140739447661</v>
      </c>
      <c r="EF31" s="1107">
        <f t="shared" si="30"/>
        <v>11183.140739447661</v>
      </c>
      <c r="EG31" s="1107">
        <f t="shared" si="30"/>
        <v>11183.140739447661</v>
      </c>
      <c r="EH31" s="1107">
        <v>11210.337791556844</v>
      </c>
      <c r="EI31" s="1107">
        <f t="shared" si="31"/>
        <v>11210.337791556844</v>
      </c>
      <c r="EJ31" s="1107">
        <f t="shared" si="31"/>
        <v>11210.337791556844</v>
      </c>
      <c r="EK31" s="1107">
        <f t="shared" si="31"/>
        <v>11210.337791556844</v>
      </c>
      <c r="EL31" s="1107">
        <v>11183.140739447661</v>
      </c>
      <c r="EM31" s="1107">
        <v>11183.140739447661</v>
      </c>
      <c r="EN31" s="1107">
        <v>11183.140739447661</v>
      </c>
      <c r="EO31" s="1107">
        <v>11183.140739447661</v>
      </c>
      <c r="EP31" s="1107">
        <v>11183.140739447661</v>
      </c>
      <c r="EQ31" s="1107">
        <f t="shared" si="32"/>
        <v>11183.140739447661</v>
      </c>
      <c r="ER31" s="1107">
        <f t="shared" si="32"/>
        <v>11183.140739447661</v>
      </c>
      <c r="ES31" s="1107">
        <f t="shared" si="32"/>
        <v>11183.140739447661</v>
      </c>
      <c r="ET31" s="1110">
        <v>4395.8600438294197</v>
      </c>
      <c r="EU31" s="1110">
        <f t="shared" si="33"/>
        <v>4395.8600438294197</v>
      </c>
      <c r="EV31" s="1110">
        <f t="shared" ref="EV31:EW31" si="40">EU31</f>
        <v>4395.8600438294197</v>
      </c>
      <c r="EW31" s="1110">
        <f t="shared" si="40"/>
        <v>4395.8600438294197</v>
      </c>
      <c r="GI31" s="135"/>
      <c r="GJ31" s="135"/>
      <c r="GK31" s="135"/>
      <c r="GL31" s="135"/>
      <c r="GM31" s="135"/>
      <c r="GN31" s="135"/>
      <c r="GO31" s="135"/>
      <c r="GP31" s="135"/>
      <c r="GQ31" s="135"/>
      <c r="GR31" s="135"/>
    </row>
    <row r="32" spans="1:223" ht="15" thickBot="1">
      <c r="A32" s="1556" t="s">
        <v>615</v>
      </c>
      <c r="B32" s="1556"/>
      <c r="C32" s="1556"/>
      <c r="D32" s="1556"/>
      <c r="E32" s="300" t="s">
        <v>116</v>
      </c>
      <c r="F32" s="300" t="s">
        <v>116</v>
      </c>
      <c r="G32" s="300">
        <v>357</v>
      </c>
      <c r="H32" s="300">
        <v>357</v>
      </c>
      <c r="I32" s="300">
        <v>357</v>
      </c>
      <c r="J32" s="300">
        <v>357</v>
      </c>
      <c r="K32" s="300">
        <v>333</v>
      </c>
      <c r="L32" s="300">
        <v>357</v>
      </c>
      <c r="M32" s="300">
        <v>357</v>
      </c>
      <c r="N32" s="300">
        <v>357</v>
      </c>
      <c r="AQ32" s="57"/>
      <c r="AR32" s="691"/>
      <c r="DF32" s="1674"/>
      <c r="DH32" s="1333"/>
      <c r="DI32" s="305" t="s">
        <v>217</v>
      </c>
      <c r="DJ32" s="1126">
        <v>12157.507417306875</v>
      </c>
      <c r="DK32" s="1126">
        <v>12157.507417306875</v>
      </c>
      <c r="DL32" s="1126">
        <v>12157.507417306875</v>
      </c>
      <c r="DM32" s="1126">
        <v>12157.507417306875</v>
      </c>
      <c r="DN32" s="1107">
        <v>12205.210065425466</v>
      </c>
      <c r="DO32" s="1107">
        <f t="shared" si="27"/>
        <v>12205.210065425466</v>
      </c>
      <c r="DP32" s="1107">
        <f t="shared" si="27"/>
        <v>12205.210065425466</v>
      </c>
      <c r="DQ32" s="1107">
        <f t="shared" si="27"/>
        <v>12205.210065425466</v>
      </c>
      <c r="DR32" s="1107">
        <v>12234.482144952783</v>
      </c>
      <c r="DS32" s="1107">
        <f t="shared" si="28"/>
        <v>12234.482144952783</v>
      </c>
      <c r="DT32" s="1107">
        <f t="shared" si="28"/>
        <v>12234.482144952783</v>
      </c>
      <c r="DU32" s="1107">
        <f t="shared" si="28"/>
        <v>12234.482144952783</v>
      </c>
      <c r="DV32" s="1107">
        <v>12205.210065425466</v>
      </c>
      <c r="DW32" s="1107">
        <v>12205.210065425466</v>
      </c>
      <c r="DX32" s="1107">
        <v>12205.210065425466</v>
      </c>
      <c r="DY32" s="1107">
        <v>12205.210065425466</v>
      </c>
      <c r="DZ32" s="1107">
        <v>12421.157382656933</v>
      </c>
      <c r="EA32" s="1107">
        <f t="shared" si="29"/>
        <v>12421.157382656933</v>
      </c>
      <c r="EB32" s="1107">
        <f t="shared" si="29"/>
        <v>12421.157382656933</v>
      </c>
      <c r="EC32" s="1107">
        <f t="shared" si="29"/>
        <v>12421.157382656933</v>
      </c>
      <c r="ED32" s="1107">
        <v>12205.210065425466</v>
      </c>
      <c r="EE32" s="1107">
        <f t="shared" si="30"/>
        <v>12205.210065425466</v>
      </c>
      <c r="EF32" s="1107">
        <f t="shared" si="30"/>
        <v>12205.210065425466</v>
      </c>
      <c r="EG32" s="1107">
        <f t="shared" si="30"/>
        <v>12205.210065425466</v>
      </c>
      <c r="EH32" s="1107">
        <v>12234.482144952783</v>
      </c>
      <c r="EI32" s="1107">
        <f t="shared" si="31"/>
        <v>12234.482144952783</v>
      </c>
      <c r="EJ32" s="1107">
        <f t="shared" si="31"/>
        <v>12234.482144952783</v>
      </c>
      <c r="EK32" s="1107">
        <f t="shared" si="31"/>
        <v>12234.482144952783</v>
      </c>
      <c r="EL32" s="1107">
        <v>12205.210065425466</v>
      </c>
      <c r="EM32" s="1107">
        <v>12205.210065425466</v>
      </c>
      <c r="EN32" s="1107">
        <v>12205.210065425466</v>
      </c>
      <c r="EO32" s="1107">
        <v>12205.210065425466</v>
      </c>
      <c r="EP32" s="1107">
        <v>12205.210065425466</v>
      </c>
      <c r="EQ32" s="1107">
        <f t="shared" si="32"/>
        <v>12205.210065425466</v>
      </c>
      <c r="ER32" s="1107">
        <f t="shared" si="32"/>
        <v>12205.210065425466</v>
      </c>
      <c r="ES32" s="1107">
        <f t="shared" si="32"/>
        <v>12205.210065425466</v>
      </c>
      <c r="ET32" s="1110">
        <v>4280.2943741565505</v>
      </c>
      <c r="EU32" s="1110">
        <f t="shared" si="33"/>
        <v>4280.2943741565505</v>
      </c>
      <c r="EV32" s="1110">
        <f t="shared" ref="EV32:EW32" si="41">EU32</f>
        <v>4280.2943741565505</v>
      </c>
      <c r="EW32" s="1110">
        <f t="shared" si="41"/>
        <v>4280.2943741565505</v>
      </c>
      <c r="GI32" s="135"/>
      <c r="GJ32" s="135"/>
      <c r="GK32" s="135"/>
      <c r="GL32" s="135"/>
      <c r="GM32" s="135"/>
      <c r="GN32" s="135"/>
      <c r="GO32" s="135"/>
      <c r="GP32" s="135"/>
      <c r="GQ32" s="135"/>
      <c r="GR32" s="135"/>
    </row>
    <row r="33" spans="1:205">
      <c r="A33" s="1679" t="s">
        <v>616</v>
      </c>
      <c r="B33" s="1679"/>
      <c r="C33" s="1679"/>
      <c r="D33" s="1679"/>
      <c r="E33" s="735" t="s">
        <v>116</v>
      </c>
      <c r="F33" s="735" t="s">
        <v>116</v>
      </c>
      <c r="G33" s="735" t="s">
        <v>116</v>
      </c>
      <c r="H33" s="735">
        <v>356</v>
      </c>
      <c r="I33" s="735">
        <v>356</v>
      </c>
      <c r="J33" s="735">
        <v>353</v>
      </c>
      <c r="K33" s="735">
        <v>356</v>
      </c>
      <c r="L33" s="735">
        <v>335</v>
      </c>
      <c r="M33" s="735">
        <v>353</v>
      </c>
      <c r="N33" s="735">
        <v>356</v>
      </c>
      <c r="O33" s="1288"/>
      <c r="P33" s="1288"/>
      <c r="Q33" s="1288"/>
      <c r="R33" s="1288"/>
      <c r="S33" s="1288"/>
      <c r="T33" s="1288"/>
      <c r="U33" s="1288"/>
      <c r="V33" s="1288"/>
      <c r="W33" s="58"/>
      <c r="X33" s="58"/>
      <c r="Y33" s="58"/>
      <c r="Z33" s="58"/>
      <c r="AA33" s="58"/>
      <c r="AB33" s="58"/>
      <c r="AC33" s="58"/>
      <c r="AD33" s="58"/>
      <c r="AE33" s="58"/>
      <c r="AF33" s="58"/>
      <c r="AG33" s="58"/>
      <c r="AH33" s="58"/>
      <c r="AI33" s="58"/>
      <c r="AJ33" s="58"/>
      <c r="AK33" s="58"/>
      <c r="AL33" s="58"/>
      <c r="AM33" s="58"/>
      <c r="AN33" s="58"/>
      <c r="AO33" s="58"/>
      <c r="AP33" s="58"/>
      <c r="AQ33" s="57"/>
      <c r="AR33" s="691"/>
      <c r="DF33" s="1674"/>
      <c r="DH33" s="1333">
        <v>3</v>
      </c>
      <c r="DI33" s="203" t="s">
        <v>218</v>
      </c>
      <c r="DJ33" s="93"/>
      <c r="DK33" s="93"/>
      <c r="DL33" s="93"/>
      <c r="DM33" s="93"/>
      <c r="DN33" s="93"/>
      <c r="DO33" s="93"/>
      <c r="DP33" s="93"/>
      <c r="DQ33" s="93"/>
      <c r="DR33" s="1107">
        <v>19402.05069754535</v>
      </c>
      <c r="DS33" s="1107">
        <f t="shared" si="28"/>
        <v>19402.05069754535</v>
      </c>
      <c r="DT33" s="1107">
        <f t="shared" si="28"/>
        <v>19402.05069754535</v>
      </c>
      <c r="DU33" s="1107">
        <f t="shared" si="28"/>
        <v>19402.05069754535</v>
      </c>
      <c r="DV33" s="1107">
        <v>19375.734883368139</v>
      </c>
      <c r="DW33" s="1107">
        <v>19375.734883368139</v>
      </c>
      <c r="DX33" s="1107">
        <v>19375.734883368139</v>
      </c>
      <c r="DY33" s="1107">
        <v>19375.734883368139</v>
      </c>
      <c r="DZ33" s="1107">
        <v>19375.734883368139</v>
      </c>
      <c r="EA33" s="1107">
        <f t="shared" si="29"/>
        <v>19375.734883368139</v>
      </c>
      <c r="EB33" s="1107">
        <f t="shared" si="29"/>
        <v>19375.734883368139</v>
      </c>
      <c r="EC33" s="1107">
        <f t="shared" si="29"/>
        <v>19375.734883368139</v>
      </c>
      <c r="ED33" s="1107">
        <v>19375.734883368139</v>
      </c>
      <c r="EE33" s="1107">
        <f t="shared" si="30"/>
        <v>19375.734883368139</v>
      </c>
      <c r="EF33" s="1107">
        <f t="shared" si="30"/>
        <v>19375.734883368139</v>
      </c>
      <c r="EG33" s="1107">
        <f t="shared" si="30"/>
        <v>19375.734883368139</v>
      </c>
      <c r="EH33" s="1107">
        <v>19712.454975936995</v>
      </c>
      <c r="EI33" s="1107">
        <f t="shared" si="31"/>
        <v>19712.454975936995</v>
      </c>
      <c r="EJ33" s="1107">
        <f t="shared" si="31"/>
        <v>19712.454975936995</v>
      </c>
      <c r="EK33" s="1107">
        <f t="shared" si="31"/>
        <v>19712.454975936995</v>
      </c>
      <c r="EL33" s="1107">
        <v>19375.734883368139</v>
      </c>
      <c r="EM33" s="1107">
        <v>19375.734883368139</v>
      </c>
      <c r="EN33" s="1107">
        <v>19375.734883368139</v>
      </c>
      <c r="EO33" s="1107">
        <v>19375.734883368139</v>
      </c>
      <c r="EP33" s="1107">
        <v>19375.734883368139</v>
      </c>
      <c r="EQ33" s="1107">
        <f t="shared" si="32"/>
        <v>19375.734883368139</v>
      </c>
      <c r="ER33" s="1107">
        <f t="shared" si="32"/>
        <v>19375.734883368139</v>
      </c>
      <c r="ES33" s="1107">
        <f t="shared" si="32"/>
        <v>19375.734883368139</v>
      </c>
      <c r="ET33" s="1110">
        <v>4018.5497703791525</v>
      </c>
      <c r="EU33" s="1110">
        <f t="shared" si="33"/>
        <v>4018.5497703791525</v>
      </c>
      <c r="EV33" s="1110">
        <f t="shared" ref="EV33:EW33" si="42">EU33</f>
        <v>4018.5497703791525</v>
      </c>
      <c r="EW33" s="1110">
        <f t="shared" si="42"/>
        <v>4018.5497703791525</v>
      </c>
      <c r="GI33" s="135"/>
      <c r="GJ33" s="135"/>
      <c r="GK33" s="135"/>
      <c r="GL33" s="135"/>
      <c r="GM33" s="135"/>
      <c r="GN33" s="135"/>
      <c r="GO33" s="135"/>
      <c r="GP33" s="135"/>
      <c r="GQ33" s="135"/>
      <c r="GR33" s="135"/>
    </row>
    <row r="34" spans="1:205">
      <c r="A34" s="1680"/>
      <c r="B34" s="1681"/>
      <c r="C34" s="1542">
        <v>2023</v>
      </c>
      <c r="D34" s="1542"/>
      <c r="E34" s="1542"/>
      <c r="F34" s="1542"/>
      <c r="G34" s="1543">
        <v>2024</v>
      </c>
      <c r="H34" s="1543"/>
      <c r="I34" s="1543"/>
      <c r="J34" s="1543"/>
      <c r="K34" s="1544">
        <v>2025</v>
      </c>
      <c r="L34" s="1544"/>
      <c r="M34" s="1544"/>
      <c r="N34" s="1544"/>
      <c r="O34" s="1543">
        <v>2026</v>
      </c>
      <c r="P34" s="1543"/>
      <c r="Q34" s="1543"/>
      <c r="R34" s="1543"/>
      <c r="S34" s="1545">
        <v>2027</v>
      </c>
      <c r="T34" s="1545"/>
      <c r="U34" s="1545"/>
      <c r="V34" s="1545"/>
      <c r="W34" s="1542">
        <v>2028</v>
      </c>
      <c r="X34" s="1542"/>
      <c r="Y34" s="1542"/>
      <c r="Z34" s="1542"/>
      <c r="AA34" s="1543">
        <v>2029</v>
      </c>
      <c r="AB34" s="1543"/>
      <c r="AC34" s="1543"/>
      <c r="AD34" s="1543"/>
      <c r="AE34" s="1544">
        <v>2030</v>
      </c>
      <c r="AF34" s="1544"/>
      <c r="AG34" s="1544"/>
      <c r="AH34" s="1544"/>
      <c r="AI34" s="1543">
        <v>2031</v>
      </c>
      <c r="AJ34" s="1543"/>
      <c r="AK34" s="1543"/>
      <c r="AL34" s="1543"/>
      <c r="AM34" s="1545">
        <v>2032</v>
      </c>
      <c r="AN34" s="1545"/>
      <c r="AO34" s="1545"/>
      <c r="AP34" s="1545"/>
      <c r="AQ34" s="57"/>
      <c r="AR34" s="691"/>
      <c r="DF34" s="1674"/>
      <c r="DH34" s="1333"/>
      <c r="DI34" s="203" t="s">
        <v>219</v>
      </c>
      <c r="DJ34" s="93"/>
      <c r="DK34" s="93"/>
      <c r="DL34" s="93"/>
      <c r="DM34" s="93"/>
      <c r="DN34" s="93"/>
      <c r="DO34" s="93"/>
      <c r="DP34" s="93"/>
      <c r="DQ34" s="93"/>
      <c r="DR34" s="1107">
        <v>5969.8428366172293</v>
      </c>
      <c r="DS34" s="1107">
        <f t="shared" si="28"/>
        <v>5969.8428366172293</v>
      </c>
      <c r="DT34" s="1107">
        <f t="shared" si="28"/>
        <v>5969.8428366172293</v>
      </c>
      <c r="DU34" s="1107">
        <f t="shared" si="28"/>
        <v>5969.8428366172293</v>
      </c>
      <c r="DV34" s="1107">
        <v>5958.9604386086685</v>
      </c>
      <c r="DW34" s="1107">
        <v>5958.9604386086685</v>
      </c>
      <c r="DX34" s="1107">
        <v>5958.9604386086685</v>
      </c>
      <c r="DY34" s="1107">
        <v>5958.9604386086685</v>
      </c>
      <c r="DZ34" s="1107">
        <v>5958.9604386086685</v>
      </c>
      <c r="EA34" s="1107">
        <f t="shared" si="29"/>
        <v>5958.9604386086685</v>
      </c>
      <c r="EB34" s="1107">
        <f t="shared" si="29"/>
        <v>5958.9604386086685</v>
      </c>
      <c r="EC34" s="1107">
        <f t="shared" si="29"/>
        <v>5958.9604386086685</v>
      </c>
      <c r="ED34" s="1107">
        <v>5958.9604386086685</v>
      </c>
      <c r="EE34" s="1107">
        <f t="shared" si="30"/>
        <v>5958.9604386086685</v>
      </c>
      <c r="EF34" s="1107">
        <f t="shared" si="30"/>
        <v>5958.9604386086685</v>
      </c>
      <c r="EG34" s="1107">
        <f t="shared" si="30"/>
        <v>5958.9604386086685</v>
      </c>
      <c r="EH34" s="1107">
        <v>6098.2440360470391</v>
      </c>
      <c r="EI34" s="1107">
        <f t="shared" si="31"/>
        <v>6098.2440360470391</v>
      </c>
      <c r="EJ34" s="1107">
        <f t="shared" si="31"/>
        <v>6098.2440360470391</v>
      </c>
      <c r="EK34" s="1107">
        <f t="shared" si="31"/>
        <v>6098.2440360470391</v>
      </c>
      <c r="EL34" s="1107">
        <v>5958.9604386086685</v>
      </c>
      <c r="EM34" s="1107">
        <v>5958.9604386086685</v>
      </c>
      <c r="EN34" s="1107">
        <v>5958.9604386086685</v>
      </c>
      <c r="EO34" s="1107">
        <v>5958.9604386086685</v>
      </c>
      <c r="EP34" s="1107">
        <v>5958.9604386086685</v>
      </c>
      <c r="EQ34" s="1107">
        <f t="shared" si="32"/>
        <v>5958.9604386086685</v>
      </c>
      <c r="ER34" s="1107">
        <f t="shared" si="32"/>
        <v>5958.9604386086685</v>
      </c>
      <c r="ES34" s="1107">
        <f t="shared" si="32"/>
        <v>5958.9604386086685</v>
      </c>
      <c r="ET34" s="1110">
        <v>5346.0180684778925</v>
      </c>
      <c r="EU34" s="1110">
        <f t="shared" si="33"/>
        <v>5346.0180684778925</v>
      </c>
      <c r="EV34" s="1110">
        <f t="shared" ref="EV34:EW34" si="43">EU34</f>
        <v>5346.0180684778925</v>
      </c>
      <c r="EW34" s="1110">
        <f t="shared" si="43"/>
        <v>5346.0180684778925</v>
      </c>
      <c r="GI34" s="135"/>
      <c r="GJ34" s="135"/>
      <c r="GK34" s="135"/>
      <c r="GL34" s="135"/>
      <c r="GM34" s="135"/>
      <c r="GN34" s="135"/>
      <c r="GO34" s="135"/>
      <c r="GP34" s="135"/>
      <c r="GQ34" s="135"/>
      <c r="GR34" s="135"/>
    </row>
    <row r="35" spans="1:205">
      <c r="A35" s="1682"/>
      <c r="B35" s="1683"/>
      <c r="C35" s="63">
        <v>1</v>
      </c>
      <c r="D35" s="63">
        <v>2</v>
      </c>
      <c r="E35" s="63">
        <v>3</v>
      </c>
      <c r="F35" s="63">
        <v>4</v>
      </c>
      <c r="G35" s="63">
        <v>1</v>
      </c>
      <c r="H35" s="63">
        <v>2</v>
      </c>
      <c r="I35" s="63">
        <v>3</v>
      </c>
      <c r="J35" s="63">
        <v>4</v>
      </c>
      <c r="K35" s="63">
        <v>1</v>
      </c>
      <c r="L35" s="63">
        <v>2</v>
      </c>
      <c r="M35" s="63">
        <v>3</v>
      </c>
      <c r="N35" s="63">
        <v>4</v>
      </c>
      <c r="O35" s="63">
        <v>1</v>
      </c>
      <c r="P35" s="63">
        <v>2</v>
      </c>
      <c r="Q35" s="63">
        <v>3</v>
      </c>
      <c r="R35" s="63">
        <v>4</v>
      </c>
      <c r="S35" s="63">
        <v>1</v>
      </c>
      <c r="T35" s="63">
        <v>2</v>
      </c>
      <c r="U35" s="63">
        <v>3</v>
      </c>
      <c r="V35" s="63">
        <v>4</v>
      </c>
      <c r="W35" s="63">
        <v>1</v>
      </c>
      <c r="X35" s="63">
        <v>2</v>
      </c>
      <c r="Y35" s="63">
        <v>3</v>
      </c>
      <c r="Z35" s="63">
        <v>4</v>
      </c>
      <c r="AA35" s="63">
        <v>1</v>
      </c>
      <c r="AB35" s="63">
        <v>2</v>
      </c>
      <c r="AC35" s="63">
        <v>3</v>
      </c>
      <c r="AD35" s="63">
        <v>4</v>
      </c>
      <c r="AE35" s="63">
        <v>1</v>
      </c>
      <c r="AF35" s="63">
        <v>2</v>
      </c>
      <c r="AG35" s="63">
        <v>3</v>
      </c>
      <c r="AH35" s="63">
        <v>4</v>
      </c>
      <c r="AI35" s="63">
        <v>1</v>
      </c>
      <c r="AJ35" s="63">
        <v>2</v>
      </c>
      <c r="AK35" s="63">
        <v>3</v>
      </c>
      <c r="AL35" s="63">
        <v>4</v>
      </c>
      <c r="AM35" s="63">
        <v>1</v>
      </c>
      <c r="AN35" s="63">
        <v>2</v>
      </c>
      <c r="AO35" s="63">
        <v>3</v>
      </c>
      <c r="AP35" s="63">
        <v>4</v>
      </c>
      <c r="AQ35" s="57"/>
      <c r="AR35" s="691"/>
      <c r="DF35" s="1674"/>
      <c r="DH35" s="1333"/>
      <c r="DI35" s="203" t="s">
        <v>220</v>
      </c>
      <c r="DJ35" s="93"/>
      <c r="DK35" s="93"/>
      <c r="DL35" s="93"/>
      <c r="DM35" s="93"/>
      <c r="DN35" s="93"/>
      <c r="DO35" s="93"/>
      <c r="DP35" s="93"/>
      <c r="DQ35" s="93"/>
      <c r="DR35" s="1107">
        <v>7757.048703333443</v>
      </c>
      <c r="DS35" s="1107">
        <f t="shared" si="28"/>
        <v>7757.048703333443</v>
      </c>
      <c r="DT35" s="1107">
        <f t="shared" si="28"/>
        <v>7757.048703333443</v>
      </c>
      <c r="DU35" s="1107">
        <f t="shared" si="28"/>
        <v>7757.048703333443</v>
      </c>
      <c r="DV35" s="1107">
        <v>7743.4718641522641</v>
      </c>
      <c r="DW35" s="1107">
        <v>7743.4718641522641</v>
      </c>
      <c r="DX35" s="1107">
        <v>7743.4718641522641</v>
      </c>
      <c r="DY35" s="1107">
        <v>7743.4718641522641</v>
      </c>
      <c r="DZ35" s="1107">
        <v>7743.4718641522641</v>
      </c>
      <c r="EA35" s="1107">
        <f t="shared" si="29"/>
        <v>7743.4718641522641</v>
      </c>
      <c r="EB35" s="1107">
        <f t="shared" si="29"/>
        <v>7743.4718641522641</v>
      </c>
      <c r="EC35" s="1107">
        <f t="shared" si="29"/>
        <v>7743.4718641522641</v>
      </c>
      <c r="ED35" s="1107">
        <v>7743.4718641522641</v>
      </c>
      <c r="EE35" s="1107">
        <f t="shared" si="30"/>
        <v>7743.4718641522641</v>
      </c>
      <c r="EF35" s="1107">
        <f t="shared" si="30"/>
        <v>7743.4718641522641</v>
      </c>
      <c r="EG35" s="1107">
        <f t="shared" si="30"/>
        <v>7743.4718641522641</v>
      </c>
      <c r="EH35" s="1107">
        <v>7917.2248892043117</v>
      </c>
      <c r="EI35" s="1107">
        <f t="shared" si="31"/>
        <v>7917.2248892043117</v>
      </c>
      <c r="EJ35" s="1107">
        <f t="shared" si="31"/>
        <v>7917.2248892043117</v>
      </c>
      <c r="EK35" s="1107">
        <f t="shared" si="31"/>
        <v>7917.2248892043117</v>
      </c>
      <c r="EL35" s="1107">
        <v>7743.4718641522641</v>
      </c>
      <c r="EM35" s="1107">
        <v>7743.4718641522641</v>
      </c>
      <c r="EN35" s="1107">
        <v>7743.4718641522641</v>
      </c>
      <c r="EO35" s="1107">
        <v>7743.4718641522641</v>
      </c>
      <c r="EP35" s="1107">
        <v>7743.4718641522641</v>
      </c>
      <c r="EQ35" s="1107">
        <f t="shared" si="32"/>
        <v>7743.4718641522641</v>
      </c>
      <c r="ER35" s="1107">
        <f t="shared" si="32"/>
        <v>7743.4718641522641</v>
      </c>
      <c r="ES35" s="1107">
        <f t="shared" si="32"/>
        <v>7743.4718641522641</v>
      </c>
      <c r="ET35" s="1110">
        <v>4395.0240769196907</v>
      </c>
      <c r="EU35" s="1110">
        <f t="shared" si="33"/>
        <v>4395.0240769196907</v>
      </c>
      <c r="EV35" s="1110">
        <f t="shared" ref="EV35:EW35" si="44">EU35</f>
        <v>4395.0240769196907</v>
      </c>
      <c r="EW35" s="1110">
        <f t="shared" si="44"/>
        <v>4395.0240769196907</v>
      </c>
      <c r="GI35" s="135"/>
      <c r="GJ35" s="135"/>
      <c r="GK35" s="135"/>
      <c r="GL35" s="135"/>
      <c r="GM35" s="135"/>
      <c r="GN35" s="135"/>
      <c r="GO35" s="135"/>
      <c r="GP35" s="135"/>
      <c r="GQ35" s="135"/>
      <c r="GR35" s="135"/>
    </row>
    <row r="36" spans="1:205">
      <c r="A36" s="1556" t="s">
        <v>613</v>
      </c>
      <c r="B36" s="1556"/>
      <c r="C36" s="300">
        <v>357</v>
      </c>
      <c r="D36" s="300">
        <v>357</v>
      </c>
      <c r="E36" s="300">
        <v>357</v>
      </c>
      <c r="F36" s="300">
        <v>357</v>
      </c>
      <c r="G36" s="300">
        <v>360</v>
      </c>
      <c r="H36" s="300">
        <v>360</v>
      </c>
      <c r="I36" s="300">
        <v>360</v>
      </c>
      <c r="J36" s="300">
        <v>360</v>
      </c>
      <c r="K36" s="300">
        <v>357</v>
      </c>
      <c r="L36" s="300">
        <v>357</v>
      </c>
      <c r="M36" s="300">
        <v>357</v>
      </c>
      <c r="N36" s="300">
        <v>357</v>
      </c>
      <c r="O36" s="300">
        <v>357</v>
      </c>
      <c r="P36" s="300">
        <v>357</v>
      </c>
      <c r="Q36" s="300">
        <v>357</v>
      </c>
      <c r="R36" s="300">
        <v>357</v>
      </c>
      <c r="S36" s="300">
        <v>357</v>
      </c>
      <c r="T36" s="300">
        <v>357</v>
      </c>
      <c r="U36" s="300">
        <v>357</v>
      </c>
      <c r="V36" s="300">
        <v>357</v>
      </c>
      <c r="W36" s="300">
        <v>357</v>
      </c>
      <c r="X36" s="300">
        <v>357</v>
      </c>
      <c r="Y36" s="300">
        <v>357</v>
      </c>
      <c r="Z36" s="300">
        <v>357</v>
      </c>
      <c r="AA36" s="300">
        <v>336</v>
      </c>
      <c r="AB36" s="300">
        <v>336</v>
      </c>
      <c r="AC36" s="300">
        <v>336</v>
      </c>
      <c r="AD36" s="300">
        <v>336</v>
      </c>
      <c r="AE36" s="300">
        <v>357</v>
      </c>
      <c r="AF36" s="300">
        <v>357</v>
      </c>
      <c r="AG36" s="300">
        <v>357</v>
      </c>
      <c r="AH36" s="300">
        <v>357</v>
      </c>
      <c r="AI36" s="300">
        <v>357</v>
      </c>
      <c r="AJ36" s="300">
        <v>357</v>
      </c>
      <c r="AK36" s="300">
        <v>357</v>
      </c>
      <c r="AL36" s="300">
        <v>357</v>
      </c>
      <c r="AM36" s="300">
        <v>357</v>
      </c>
      <c r="AN36" s="300">
        <v>357</v>
      </c>
      <c r="AO36" s="300">
        <v>357</v>
      </c>
      <c r="AP36" s="300">
        <v>357</v>
      </c>
      <c r="AQ36" s="57"/>
      <c r="AR36" s="691"/>
      <c r="DF36" s="1674"/>
      <c r="DH36" s="1333"/>
      <c r="DI36" s="203" t="s">
        <v>221</v>
      </c>
      <c r="DJ36" s="93"/>
      <c r="DK36" s="93"/>
      <c r="DL36" s="93"/>
      <c r="DM36" s="93"/>
      <c r="DN36" s="93"/>
      <c r="DO36" s="93"/>
      <c r="DP36" s="93"/>
      <c r="DQ36" s="93"/>
      <c r="DR36" s="1107">
        <v>15206.227353400212</v>
      </c>
      <c r="DS36" s="1107">
        <f t="shared" si="28"/>
        <v>15206.227353400212</v>
      </c>
      <c r="DT36" s="1107">
        <f t="shared" si="28"/>
        <v>15206.227353400212</v>
      </c>
      <c r="DU36" s="1107">
        <f t="shared" si="28"/>
        <v>15206.227353400212</v>
      </c>
      <c r="DV36" s="1107">
        <v>15184.188196422696</v>
      </c>
      <c r="DW36" s="1107">
        <v>15184.188196422696</v>
      </c>
      <c r="DX36" s="1107">
        <v>15184.188196422696</v>
      </c>
      <c r="DY36" s="1107">
        <v>15184.188196422696</v>
      </c>
      <c r="DZ36" s="1107">
        <v>15184.188196422696</v>
      </c>
      <c r="EA36" s="1107">
        <f t="shared" si="29"/>
        <v>15184.188196422696</v>
      </c>
      <c r="EB36" s="1107">
        <f t="shared" si="29"/>
        <v>15184.188196422696</v>
      </c>
      <c r="EC36" s="1107">
        <f t="shared" si="29"/>
        <v>15184.188196422696</v>
      </c>
      <c r="ED36" s="1107">
        <v>15184.188196422696</v>
      </c>
      <c r="EE36" s="1107">
        <f t="shared" si="30"/>
        <v>15184.188196422696</v>
      </c>
      <c r="EF36" s="1107">
        <f t="shared" si="30"/>
        <v>15184.188196422696</v>
      </c>
      <c r="EG36" s="1107">
        <f t="shared" si="30"/>
        <v>15184.188196422696</v>
      </c>
      <c r="EH36" s="1107">
        <v>15466.197899590032</v>
      </c>
      <c r="EI36" s="1107">
        <f t="shared" si="31"/>
        <v>15466.197899590032</v>
      </c>
      <c r="EJ36" s="1107">
        <f t="shared" si="31"/>
        <v>15466.197899590032</v>
      </c>
      <c r="EK36" s="1107">
        <f t="shared" si="31"/>
        <v>15466.197899590032</v>
      </c>
      <c r="EL36" s="1107">
        <v>15184.188196422696</v>
      </c>
      <c r="EM36" s="1107">
        <v>15184.188196422696</v>
      </c>
      <c r="EN36" s="1107">
        <v>15184.188196422696</v>
      </c>
      <c r="EO36" s="1107">
        <v>15184.188196422696</v>
      </c>
      <c r="EP36" s="1107">
        <v>15184.188196422696</v>
      </c>
      <c r="EQ36" s="1107">
        <f t="shared" si="32"/>
        <v>15184.188196422696</v>
      </c>
      <c r="ER36" s="1107">
        <f t="shared" si="32"/>
        <v>15184.188196422696</v>
      </c>
      <c r="ES36" s="1107">
        <f t="shared" si="32"/>
        <v>15184.188196422696</v>
      </c>
      <c r="ET36" s="1110">
        <v>4001.6973719876728</v>
      </c>
      <c r="EU36" s="1110">
        <f t="shared" si="33"/>
        <v>4001.6973719876728</v>
      </c>
      <c r="EV36" s="1110">
        <f t="shared" ref="EV36:EW36" si="45">EU36</f>
        <v>4001.6973719876728</v>
      </c>
      <c r="EW36" s="1110">
        <f t="shared" si="45"/>
        <v>4001.6973719876728</v>
      </c>
      <c r="GI36" s="135"/>
      <c r="GJ36" s="135"/>
      <c r="GK36" s="135"/>
      <c r="GL36" s="135"/>
      <c r="GM36" s="135"/>
      <c r="GN36" s="135"/>
      <c r="GO36" s="135"/>
      <c r="GP36" s="135"/>
      <c r="GQ36" s="135"/>
      <c r="GR36" s="135"/>
    </row>
    <row r="37" spans="1:205">
      <c r="A37" s="1556" t="s">
        <v>614</v>
      </c>
      <c r="B37" s="1556"/>
      <c r="C37" s="300">
        <v>355</v>
      </c>
      <c r="D37" s="300">
        <v>355</v>
      </c>
      <c r="E37" s="300">
        <v>355</v>
      </c>
      <c r="F37" s="300">
        <v>355</v>
      </c>
      <c r="G37" s="300">
        <v>355</v>
      </c>
      <c r="H37" s="300">
        <v>355</v>
      </c>
      <c r="I37" s="300">
        <v>355</v>
      </c>
      <c r="J37" s="300">
        <v>355</v>
      </c>
      <c r="K37" s="300">
        <v>352</v>
      </c>
      <c r="L37" s="300">
        <v>352</v>
      </c>
      <c r="M37" s="300">
        <v>352</v>
      </c>
      <c r="N37" s="300">
        <v>352</v>
      </c>
      <c r="O37" s="300">
        <v>355</v>
      </c>
      <c r="P37" s="300">
        <v>355</v>
      </c>
      <c r="Q37" s="300">
        <v>355</v>
      </c>
      <c r="R37" s="300">
        <v>355</v>
      </c>
      <c r="S37" s="300">
        <v>334</v>
      </c>
      <c r="T37" s="300">
        <v>334</v>
      </c>
      <c r="U37" s="300">
        <v>334</v>
      </c>
      <c r="V37" s="300">
        <v>334</v>
      </c>
      <c r="W37" s="300">
        <v>355</v>
      </c>
      <c r="X37" s="300">
        <v>355</v>
      </c>
      <c r="Y37" s="300">
        <v>355</v>
      </c>
      <c r="Z37" s="300">
        <v>355</v>
      </c>
      <c r="AA37" s="300">
        <v>352</v>
      </c>
      <c r="AB37" s="300">
        <v>352</v>
      </c>
      <c r="AC37" s="300">
        <v>352</v>
      </c>
      <c r="AD37" s="300">
        <v>352</v>
      </c>
      <c r="AE37" s="300">
        <v>355</v>
      </c>
      <c r="AF37" s="300">
        <v>355</v>
      </c>
      <c r="AG37" s="300">
        <v>355</v>
      </c>
      <c r="AH37" s="300">
        <v>355</v>
      </c>
      <c r="AI37" s="300">
        <v>355</v>
      </c>
      <c r="AJ37" s="300">
        <v>355</v>
      </c>
      <c r="AK37" s="300">
        <v>355</v>
      </c>
      <c r="AL37" s="300">
        <v>355</v>
      </c>
      <c r="AM37" s="300">
        <v>352</v>
      </c>
      <c r="AN37" s="300">
        <v>352</v>
      </c>
      <c r="AO37" s="300">
        <v>352</v>
      </c>
      <c r="AP37" s="300">
        <v>352</v>
      </c>
      <c r="AQ37" s="57"/>
      <c r="AR37" s="691"/>
      <c r="DF37" s="1674"/>
      <c r="DH37" s="1333">
        <v>4</v>
      </c>
      <c r="DI37" s="307" t="s">
        <v>222</v>
      </c>
      <c r="DJ37" s="93"/>
      <c r="DK37" s="93"/>
      <c r="DL37" s="93"/>
      <c r="DM37" s="93"/>
      <c r="DN37" s="93"/>
      <c r="DO37" s="93"/>
      <c r="DP37" s="93"/>
      <c r="DQ37" s="93"/>
      <c r="DR37" s="93"/>
      <c r="DS37" s="93"/>
      <c r="DT37" s="93"/>
      <c r="DU37" s="93"/>
      <c r="DV37" s="1107">
        <v>14809.196909257922</v>
      </c>
      <c r="DW37" s="1107">
        <v>14809.196909257922</v>
      </c>
      <c r="DX37" s="1107">
        <v>14809.196909257922</v>
      </c>
      <c r="DY37" s="1107">
        <v>14809.196909257922</v>
      </c>
      <c r="DZ37" s="1107">
        <v>14809.196909257922</v>
      </c>
      <c r="EA37" s="1107">
        <f t="shared" si="29"/>
        <v>14809.196909257922</v>
      </c>
      <c r="EB37" s="1107">
        <f t="shared" si="29"/>
        <v>14809.196909257922</v>
      </c>
      <c r="EC37" s="1107">
        <f t="shared" si="29"/>
        <v>14809.196909257922</v>
      </c>
      <c r="ED37" s="1107">
        <v>14842.235016832446</v>
      </c>
      <c r="EE37" s="1107">
        <f t="shared" si="30"/>
        <v>14842.235016832446</v>
      </c>
      <c r="EF37" s="1107">
        <f t="shared" si="30"/>
        <v>14842.235016832446</v>
      </c>
      <c r="EG37" s="1107">
        <f t="shared" si="30"/>
        <v>14842.235016832446</v>
      </c>
      <c r="EH37" s="1107">
        <v>14809.264243884081</v>
      </c>
      <c r="EI37" s="1107">
        <f t="shared" si="31"/>
        <v>14809.264243884081</v>
      </c>
      <c r="EJ37" s="1107">
        <f t="shared" si="31"/>
        <v>14809.264243884081</v>
      </c>
      <c r="EK37" s="1107">
        <f t="shared" si="31"/>
        <v>14809.264243884081</v>
      </c>
      <c r="EL37" s="1107">
        <v>15052.889935576281</v>
      </c>
      <c r="EM37" s="1107">
        <v>15052.889935576281</v>
      </c>
      <c r="EN37" s="1107">
        <v>15052.889935576281</v>
      </c>
      <c r="EO37" s="1107">
        <v>15052.889935576281</v>
      </c>
      <c r="EP37" s="1107">
        <v>14842.235016832446</v>
      </c>
      <c r="EQ37" s="1107">
        <f t="shared" si="32"/>
        <v>14842.235016832446</v>
      </c>
      <c r="ER37" s="1107">
        <f t="shared" si="32"/>
        <v>14842.235016832446</v>
      </c>
      <c r="ES37" s="1107">
        <f t="shared" si="32"/>
        <v>14842.235016832446</v>
      </c>
      <c r="ET37" s="1110">
        <v>4050.6135172102759</v>
      </c>
      <c r="EU37" s="1110">
        <f t="shared" si="33"/>
        <v>4050.6135172102759</v>
      </c>
      <c r="EV37" s="1110">
        <f t="shared" ref="EV37:EW37" si="46">EU37</f>
        <v>4050.6135172102759</v>
      </c>
      <c r="EW37" s="1110">
        <f t="shared" si="46"/>
        <v>4050.6135172102759</v>
      </c>
      <c r="GI37" s="135"/>
      <c r="GJ37" s="135"/>
      <c r="GK37" s="135"/>
      <c r="GL37" s="135"/>
      <c r="GM37" s="135"/>
      <c r="GN37" s="135"/>
      <c r="GO37" s="135"/>
      <c r="GP37" s="135"/>
      <c r="GQ37" s="135"/>
      <c r="GR37" s="135"/>
    </row>
    <row r="38" spans="1:205">
      <c r="A38" s="1556" t="s">
        <v>615</v>
      </c>
      <c r="B38" s="1556"/>
      <c r="C38" s="593"/>
      <c r="D38" s="593"/>
      <c r="E38" s="593"/>
      <c r="F38" s="593"/>
      <c r="G38" s="593"/>
      <c r="H38" s="593"/>
      <c r="I38" s="593"/>
      <c r="J38" s="593"/>
      <c r="K38" s="300">
        <v>357</v>
      </c>
      <c r="L38" s="300">
        <v>357</v>
      </c>
      <c r="M38" s="300">
        <v>357</v>
      </c>
      <c r="N38" s="300">
        <v>357</v>
      </c>
      <c r="O38" s="300">
        <v>357</v>
      </c>
      <c r="P38" s="300">
        <v>357</v>
      </c>
      <c r="Q38" s="300">
        <v>357</v>
      </c>
      <c r="R38" s="300">
        <v>357</v>
      </c>
      <c r="S38" s="300">
        <v>357</v>
      </c>
      <c r="T38" s="300">
        <v>357</v>
      </c>
      <c r="U38" s="300">
        <v>357</v>
      </c>
      <c r="V38" s="300">
        <v>357</v>
      </c>
      <c r="W38" s="300">
        <v>357</v>
      </c>
      <c r="X38" s="300">
        <v>357</v>
      </c>
      <c r="Y38" s="300">
        <v>357</v>
      </c>
      <c r="Z38" s="300">
        <v>357</v>
      </c>
      <c r="AA38" s="300">
        <v>333</v>
      </c>
      <c r="AB38" s="300">
        <v>333</v>
      </c>
      <c r="AC38" s="300">
        <v>333</v>
      </c>
      <c r="AD38" s="300">
        <v>333</v>
      </c>
      <c r="AE38" s="300">
        <v>357</v>
      </c>
      <c r="AF38" s="300">
        <v>357</v>
      </c>
      <c r="AG38" s="300">
        <v>357</v>
      </c>
      <c r="AH38" s="300">
        <v>357</v>
      </c>
      <c r="AI38" s="300">
        <v>357</v>
      </c>
      <c r="AJ38" s="300">
        <v>357</v>
      </c>
      <c r="AK38" s="300">
        <v>357</v>
      </c>
      <c r="AL38" s="300">
        <v>357</v>
      </c>
      <c r="AM38" s="300">
        <v>357</v>
      </c>
      <c r="AN38" s="300">
        <v>357</v>
      </c>
      <c r="AO38" s="300">
        <v>357</v>
      </c>
      <c r="AP38" s="300">
        <v>357</v>
      </c>
      <c r="AQ38" s="57"/>
      <c r="AR38" s="691"/>
      <c r="DF38" s="1674"/>
      <c r="DH38" s="1333"/>
      <c r="DI38" s="308" t="s">
        <v>223</v>
      </c>
      <c r="DJ38" s="93"/>
      <c r="DK38" s="93"/>
      <c r="DL38" s="93"/>
      <c r="DM38" s="93"/>
      <c r="DN38" s="93"/>
      <c r="DO38" s="93"/>
      <c r="DP38" s="93"/>
      <c r="DQ38" s="93"/>
      <c r="DR38" s="93"/>
      <c r="DS38" s="93"/>
      <c r="DT38" s="93"/>
      <c r="DU38" s="93"/>
      <c r="DV38" s="1107">
        <v>8037.4335807884272</v>
      </c>
      <c r="DW38" s="1107">
        <v>8037.4335807884272</v>
      </c>
      <c r="DX38" s="1107">
        <v>8037.4335807884272</v>
      </c>
      <c r="DY38" s="1107">
        <v>8037.4335807884272</v>
      </c>
      <c r="DZ38" s="1107">
        <v>8037.4335807884272</v>
      </c>
      <c r="EA38" s="1107">
        <f t="shared" si="29"/>
        <v>8037.4335807884272</v>
      </c>
      <c r="EB38" s="1107">
        <f t="shared" si="29"/>
        <v>8037.4335807884272</v>
      </c>
      <c r="EC38" s="1107">
        <f t="shared" si="29"/>
        <v>8037.4335807884272</v>
      </c>
      <c r="ED38" s="1107">
        <v>8058.7056538374609</v>
      </c>
      <c r="EE38" s="1107">
        <f t="shared" si="30"/>
        <v>8058.7056538374609</v>
      </c>
      <c r="EF38" s="1107">
        <f t="shared" si="30"/>
        <v>8058.7056538374609</v>
      </c>
      <c r="EG38" s="1107">
        <f t="shared" si="30"/>
        <v>8058.7056538374609</v>
      </c>
      <c r="EH38" s="1107">
        <v>8037.5009154145864</v>
      </c>
      <c r="EI38" s="1107">
        <f t="shared" si="31"/>
        <v>8037.5009154145864</v>
      </c>
      <c r="EJ38" s="1107">
        <f t="shared" si="31"/>
        <v>8037.5009154145864</v>
      </c>
      <c r="EK38" s="1107">
        <f t="shared" si="31"/>
        <v>8037.5009154145864</v>
      </c>
      <c r="EL38" s="1107">
        <v>8194.3389315471195</v>
      </c>
      <c r="EM38" s="1107">
        <v>8194.3389315471195</v>
      </c>
      <c r="EN38" s="1107">
        <v>8194.3389315471195</v>
      </c>
      <c r="EO38" s="1107">
        <v>8194.3389315471195</v>
      </c>
      <c r="EP38" s="1107">
        <v>8058.7056538374609</v>
      </c>
      <c r="EQ38" s="1107">
        <f t="shared" si="32"/>
        <v>8058.7056538374609</v>
      </c>
      <c r="ER38" s="1107">
        <f t="shared" si="32"/>
        <v>8058.7056538374609</v>
      </c>
      <c r="ES38" s="1107">
        <f t="shared" si="32"/>
        <v>8058.7056538374609</v>
      </c>
      <c r="ET38" s="1110">
        <v>4389.4690989559622</v>
      </c>
      <c r="EU38" s="1110">
        <f t="shared" si="33"/>
        <v>4389.4690989559622</v>
      </c>
      <c r="EV38" s="1110">
        <f t="shared" ref="EV38:EW38" si="47">EU38</f>
        <v>4389.4690989559622</v>
      </c>
      <c r="EW38" s="1110">
        <f t="shared" si="47"/>
        <v>4389.4690989559622</v>
      </c>
      <c r="GI38" s="135"/>
      <c r="GJ38" s="135"/>
      <c r="GK38" s="135"/>
      <c r="GL38" s="135"/>
      <c r="GM38" s="135"/>
      <c r="GN38" s="135"/>
      <c r="GO38" s="135"/>
      <c r="GP38" s="135"/>
      <c r="GQ38" s="135"/>
      <c r="GR38" s="135"/>
    </row>
    <row r="39" spans="1:205">
      <c r="A39" s="1556" t="s">
        <v>616</v>
      </c>
      <c r="B39" s="1556"/>
      <c r="C39" s="593"/>
      <c r="D39" s="593"/>
      <c r="E39" s="593"/>
      <c r="F39" s="593"/>
      <c r="G39" s="593"/>
      <c r="H39" s="593"/>
      <c r="I39" s="593"/>
      <c r="J39" s="593"/>
      <c r="K39" s="593"/>
      <c r="L39" s="593"/>
      <c r="M39" s="593"/>
      <c r="N39" s="593"/>
      <c r="O39" s="300">
        <v>356</v>
      </c>
      <c r="P39" s="300">
        <v>356</v>
      </c>
      <c r="Q39" s="300">
        <v>356</v>
      </c>
      <c r="R39" s="300">
        <v>356</v>
      </c>
      <c r="S39" s="300">
        <v>356</v>
      </c>
      <c r="T39" s="300">
        <v>356</v>
      </c>
      <c r="U39" s="300">
        <v>356</v>
      </c>
      <c r="V39" s="300">
        <v>356</v>
      </c>
      <c r="W39" s="300">
        <v>353</v>
      </c>
      <c r="X39" s="300">
        <v>353</v>
      </c>
      <c r="Y39" s="300">
        <v>353</v>
      </c>
      <c r="Z39" s="300">
        <v>353</v>
      </c>
      <c r="AA39" s="300">
        <v>356</v>
      </c>
      <c r="AB39" s="300">
        <v>356</v>
      </c>
      <c r="AC39" s="300">
        <v>356</v>
      </c>
      <c r="AD39" s="300">
        <v>356</v>
      </c>
      <c r="AE39" s="300">
        <v>335</v>
      </c>
      <c r="AF39" s="300">
        <v>335</v>
      </c>
      <c r="AG39" s="300">
        <v>335</v>
      </c>
      <c r="AH39" s="300">
        <v>335</v>
      </c>
      <c r="AI39" s="300">
        <v>353</v>
      </c>
      <c r="AJ39" s="300">
        <v>353</v>
      </c>
      <c r="AK39" s="300">
        <v>353</v>
      </c>
      <c r="AL39" s="300">
        <v>353</v>
      </c>
      <c r="AM39" s="300">
        <v>356</v>
      </c>
      <c r="AN39" s="300">
        <v>356</v>
      </c>
      <c r="AO39" s="300">
        <v>356</v>
      </c>
      <c r="AP39" s="300">
        <v>356</v>
      </c>
      <c r="AQ39" s="57"/>
      <c r="AR39" s="691"/>
      <c r="DF39" s="1674"/>
      <c r="DH39" s="1333"/>
      <c r="DI39" s="308" t="s">
        <v>224</v>
      </c>
      <c r="DJ39" s="93"/>
      <c r="DK39" s="93"/>
      <c r="DL39" s="93"/>
      <c r="DM39" s="93"/>
      <c r="DN39" s="93"/>
      <c r="DO39" s="93"/>
      <c r="DP39" s="93"/>
      <c r="DQ39" s="93"/>
      <c r="DR39" s="93"/>
      <c r="DS39" s="93"/>
      <c r="DT39" s="93"/>
      <c r="DU39" s="93"/>
      <c r="DV39" s="1107">
        <v>15111.6160981992</v>
      </c>
      <c r="DW39" s="1107">
        <v>15111.6160981992</v>
      </c>
      <c r="DX39" s="1107">
        <v>15111.6160981992</v>
      </c>
      <c r="DY39" s="1107">
        <v>15111.6160981992</v>
      </c>
      <c r="DZ39" s="1107">
        <v>15111.6160981992</v>
      </c>
      <c r="EA39" s="1107">
        <f t="shared" si="29"/>
        <v>15111.6160981992</v>
      </c>
      <c r="EB39" s="1107">
        <f t="shared" si="29"/>
        <v>15111.6160981992</v>
      </c>
      <c r="EC39" s="1107">
        <f t="shared" si="29"/>
        <v>15111.6160981992</v>
      </c>
      <c r="ED39" s="1107">
        <v>15145.23159834812</v>
      </c>
      <c r="EE39" s="1107">
        <f t="shared" si="30"/>
        <v>15145.23159834812</v>
      </c>
      <c r="EF39" s="1107">
        <f t="shared" si="30"/>
        <v>15145.23159834812</v>
      </c>
      <c r="EG39" s="1107">
        <f t="shared" si="30"/>
        <v>15145.23159834812</v>
      </c>
      <c r="EH39" s="1107">
        <v>15111.683432825359</v>
      </c>
      <c r="EI39" s="1107">
        <f t="shared" si="31"/>
        <v>15111.683432825359</v>
      </c>
      <c r="EJ39" s="1107">
        <f t="shared" si="31"/>
        <v>15111.683432825359</v>
      </c>
      <c r="EK39" s="1107">
        <f t="shared" si="31"/>
        <v>15111.683432825359</v>
      </c>
      <c r="EL39" s="1107">
        <v>15359.568041088694</v>
      </c>
      <c r="EM39" s="1107">
        <v>15359.568041088694</v>
      </c>
      <c r="EN39" s="1107">
        <v>15359.568041088694</v>
      </c>
      <c r="EO39" s="1107">
        <v>15359.568041088694</v>
      </c>
      <c r="EP39" s="1107">
        <v>15145.23159834812</v>
      </c>
      <c r="EQ39" s="1107">
        <f t="shared" si="32"/>
        <v>15145.23159834812</v>
      </c>
      <c r="ER39" s="1107">
        <f t="shared" si="32"/>
        <v>15145.23159834812</v>
      </c>
      <c r="ES39" s="1107">
        <f t="shared" si="32"/>
        <v>15145.23159834812</v>
      </c>
      <c r="ET39" s="1110">
        <v>4034.5086268331138</v>
      </c>
      <c r="EU39" s="1110">
        <f t="shared" si="33"/>
        <v>4034.5086268331138</v>
      </c>
      <c r="EV39" s="1110">
        <f t="shared" ref="EV39:EW39" si="48">EU39</f>
        <v>4034.5086268331138</v>
      </c>
      <c r="EW39" s="1110">
        <f t="shared" si="48"/>
        <v>4034.5086268331138</v>
      </c>
      <c r="GI39" s="135"/>
      <c r="GJ39" s="135"/>
      <c r="GK39" s="135"/>
      <c r="GL39" s="135"/>
      <c r="GM39" s="135"/>
      <c r="GN39" s="135"/>
      <c r="GO39" s="135"/>
      <c r="GP39" s="135"/>
      <c r="GQ39" s="135"/>
      <c r="GR39" s="135"/>
    </row>
    <row r="40" spans="1:205" ht="15" thickBot="1">
      <c r="A40" s="1661"/>
      <c r="B40" s="1661"/>
      <c r="C40" s="1661"/>
      <c r="D40" s="1661"/>
      <c r="E40" s="1661"/>
      <c r="F40" s="1661"/>
      <c r="G40" s="1661"/>
      <c r="H40" s="1661"/>
      <c r="I40" s="1661"/>
      <c r="J40" s="1661"/>
      <c r="K40" s="1661"/>
      <c r="L40" s="1661"/>
      <c r="M40" s="1661"/>
      <c r="N40" s="1661"/>
      <c r="O40" s="1661"/>
      <c r="P40" s="1661"/>
      <c r="Q40" s="1661"/>
      <c r="R40" s="1661"/>
      <c r="S40" s="1661"/>
      <c r="T40" s="1661"/>
      <c r="U40" s="1661"/>
      <c r="V40" s="1661"/>
      <c r="W40" s="58"/>
      <c r="X40" s="58"/>
      <c r="Y40" s="58"/>
      <c r="Z40" s="58"/>
      <c r="AA40" s="58"/>
      <c r="AB40" s="58"/>
      <c r="AC40" s="58"/>
      <c r="AD40" s="58"/>
      <c r="AE40" s="58"/>
      <c r="AF40" s="58"/>
      <c r="AG40" s="58"/>
      <c r="AH40" s="58"/>
      <c r="AI40" s="58"/>
      <c r="AJ40" s="58"/>
      <c r="AK40" s="58"/>
      <c r="AL40" s="58"/>
      <c r="AM40" s="58"/>
      <c r="AN40" s="58"/>
      <c r="AO40" s="58"/>
      <c r="AP40" s="58"/>
      <c r="DF40" s="1674"/>
      <c r="DH40" s="1326"/>
      <c r="DI40" s="633" t="s">
        <v>225</v>
      </c>
      <c r="DJ40" s="93"/>
      <c r="DK40" s="93"/>
      <c r="DL40" s="93"/>
      <c r="DM40" s="93"/>
      <c r="DN40" s="93"/>
      <c r="DO40" s="93"/>
      <c r="DP40" s="93"/>
      <c r="DQ40" s="93"/>
      <c r="DR40" s="93"/>
      <c r="DS40" s="93"/>
      <c r="DT40" s="93"/>
      <c r="DU40" s="93"/>
      <c r="DV40" s="1114">
        <v>9088.7935546123663</v>
      </c>
      <c r="DW40" s="1114">
        <v>9088.7935546123663</v>
      </c>
      <c r="DX40" s="1114">
        <v>9088.7935546123663</v>
      </c>
      <c r="DY40" s="1114">
        <v>9088.7935546123663</v>
      </c>
      <c r="DZ40" s="1114">
        <v>9088.7935546123663</v>
      </c>
      <c r="EA40" s="1107">
        <f t="shared" si="29"/>
        <v>9088.7935546123663</v>
      </c>
      <c r="EB40" s="1107">
        <f t="shared" si="29"/>
        <v>9088.7935546123663</v>
      </c>
      <c r="EC40" s="1107">
        <f t="shared" si="29"/>
        <v>9088.7935546123663</v>
      </c>
      <c r="ED40" s="1114">
        <v>9111.1153446245262</v>
      </c>
      <c r="EE40" s="1107">
        <f t="shared" si="30"/>
        <v>9111.1153446245262</v>
      </c>
      <c r="EF40" s="1107">
        <f t="shared" si="30"/>
        <v>9111.1153446245262</v>
      </c>
      <c r="EG40" s="1107">
        <f t="shared" si="30"/>
        <v>9111.1153446245262</v>
      </c>
      <c r="EH40" s="1114">
        <v>9088.8608892385255</v>
      </c>
      <c r="EI40" s="1107">
        <f t="shared" si="31"/>
        <v>9088.8608892385255</v>
      </c>
      <c r="EJ40" s="1107">
        <f t="shared" si="31"/>
        <v>9088.8608892385255</v>
      </c>
      <c r="EK40" s="1107">
        <f t="shared" si="31"/>
        <v>9088.8608892385255</v>
      </c>
      <c r="EL40" s="1114">
        <v>9253.4417430304093</v>
      </c>
      <c r="EM40" s="1114">
        <v>9253.4417430304093</v>
      </c>
      <c r="EN40" s="1114">
        <v>9253.4417430304093</v>
      </c>
      <c r="EO40" s="1114">
        <v>9253.4417430304093</v>
      </c>
      <c r="EP40" s="1114">
        <v>9111.1153446245262</v>
      </c>
      <c r="EQ40" s="1107">
        <f t="shared" si="32"/>
        <v>9111.1153446245262</v>
      </c>
      <c r="ER40" s="1107">
        <f t="shared" si="32"/>
        <v>9111.1153446245262</v>
      </c>
      <c r="ES40" s="1107">
        <f t="shared" si="32"/>
        <v>9111.1153446245262</v>
      </c>
      <c r="ET40" s="1115">
        <v>4558.3129293972879</v>
      </c>
      <c r="EU40" s="1110">
        <f t="shared" si="33"/>
        <v>4558.3129293972879</v>
      </c>
      <c r="EV40" s="1110">
        <f t="shared" ref="EV40:EW40" si="49">EU40</f>
        <v>4558.3129293972879</v>
      </c>
      <c r="EW40" s="1110">
        <f t="shared" si="49"/>
        <v>4558.3129293972879</v>
      </c>
      <c r="GI40" s="135"/>
      <c r="GK40" s="135"/>
      <c r="GL40" s="135"/>
      <c r="GM40" s="135"/>
      <c r="GN40" s="135"/>
      <c r="GO40" s="135"/>
      <c r="GP40" s="135"/>
      <c r="GQ40" s="135"/>
      <c r="GR40" s="135"/>
    </row>
    <row r="41" spans="1:205" ht="23.65" customHeight="1">
      <c r="A41" s="1696" t="s">
        <v>617</v>
      </c>
      <c r="B41" s="1697"/>
      <c r="C41" s="1697"/>
      <c r="D41" s="1697"/>
      <c r="E41" s="1697"/>
      <c r="F41" s="1697"/>
      <c r="G41" s="1697"/>
      <c r="H41" s="1697"/>
      <c r="I41" s="1697"/>
      <c r="J41" s="1697"/>
      <c r="K41" s="1697"/>
      <c r="L41" s="1697"/>
      <c r="M41" s="1697"/>
      <c r="N41" s="1697"/>
      <c r="O41" s="1697"/>
      <c r="P41" s="1697"/>
      <c r="Q41" s="1697"/>
      <c r="R41" s="1697"/>
      <c r="S41" s="1697"/>
      <c r="T41" s="1697"/>
      <c r="U41" s="1697"/>
      <c r="V41" s="1697"/>
      <c r="W41" s="1697"/>
      <c r="X41" s="1697"/>
      <c r="Y41" s="1697"/>
      <c r="Z41" s="1697"/>
      <c r="AA41" s="1697"/>
      <c r="AB41" s="1697"/>
      <c r="AC41" s="1697"/>
      <c r="AD41" s="1697"/>
      <c r="AE41" s="1697"/>
      <c r="AF41" s="1697"/>
      <c r="AG41" s="1697"/>
      <c r="AH41" s="1697"/>
      <c r="AI41" s="1697"/>
      <c r="AJ41" s="1697"/>
      <c r="AK41" s="1697"/>
      <c r="AL41" s="1697"/>
      <c r="AM41" s="1697"/>
      <c r="AN41" s="1697"/>
      <c r="AO41" s="1697"/>
      <c r="AP41" s="1697"/>
      <c r="AQ41" s="93"/>
      <c r="AR41" s="93"/>
      <c r="AS41" s="93"/>
      <c r="AT41" s="93"/>
      <c r="AU41" s="93"/>
      <c r="AV41" s="93"/>
      <c r="AW41" s="93"/>
      <c r="AX41" s="93"/>
      <c r="AY41" s="93"/>
      <c r="AZ41" s="93"/>
      <c r="BA41" s="93"/>
      <c r="BB41" s="93"/>
      <c r="BC41" s="93"/>
      <c r="BD41" s="93"/>
      <c r="BE41" s="93"/>
      <c r="BF41" s="93"/>
      <c r="BG41" s="93"/>
      <c r="BH41" s="93"/>
      <c r="BI41" s="93"/>
      <c r="BJ41" s="93"/>
      <c r="BK41" s="93"/>
      <c r="BL41" s="93"/>
      <c r="BM41" s="93"/>
      <c r="BN41" s="93"/>
      <c r="BO41" s="1656" t="s">
        <v>618</v>
      </c>
      <c r="BP41" s="1657"/>
      <c r="BQ41" s="1657"/>
      <c r="BR41" s="1657"/>
      <c r="BS41" s="1657"/>
      <c r="BT41" s="1657"/>
      <c r="BU41" s="1657"/>
      <c r="BV41" s="1657"/>
      <c r="BW41" s="1657"/>
      <c r="BX41" s="1657"/>
      <c r="BY41" s="1657"/>
      <c r="BZ41" s="1657"/>
      <c r="CA41" s="1657"/>
      <c r="CB41" s="1657"/>
      <c r="CC41" s="1657"/>
      <c r="CD41" s="1657"/>
      <c r="CE41" s="1657"/>
      <c r="CF41" s="1657"/>
      <c r="CG41" s="1657"/>
      <c r="CH41" s="1657"/>
      <c r="CI41" s="1657"/>
      <c r="CJ41" s="1657"/>
      <c r="CK41" s="1657"/>
      <c r="CL41" s="1657"/>
      <c r="CM41" s="1657"/>
      <c r="CN41" s="1657"/>
      <c r="CO41" s="1657"/>
      <c r="CP41" s="1657"/>
      <c r="CQ41" s="1657"/>
      <c r="CR41" s="1657"/>
      <c r="CS41" s="1657"/>
      <c r="CT41" s="1657"/>
      <c r="CU41" s="1657"/>
      <c r="CV41" s="1657"/>
      <c r="CW41" s="1657"/>
      <c r="CX41" s="1657"/>
      <c r="CY41" s="1657"/>
      <c r="CZ41" s="1657"/>
      <c r="DA41" s="1657"/>
      <c r="DB41" s="1657"/>
      <c r="DC41" s="1657"/>
      <c r="DD41" s="1657"/>
      <c r="DE41" s="147"/>
      <c r="DF41" s="147"/>
      <c r="DG41" s="147"/>
      <c r="DH41" s="147"/>
      <c r="DI41" s="147"/>
      <c r="DJ41" s="147"/>
      <c r="DK41" s="147"/>
      <c r="DL41" s="147"/>
      <c r="DM41" s="147"/>
      <c r="DN41" s="147"/>
      <c r="DO41" s="147"/>
      <c r="DP41" s="147"/>
      <c r="DQ41" s="147"/>
      <c r="DR41" s="147"/>
      <c r="DS41" s="147"/>
      <c r="DT41" s="147"/>
      <c r="DU41" s="147"/>
      <c r="DV41" s="147"/>
      <c r="DW41" s="147"/>
      <c r="DX41" s="147"/>
      <c r="DY41" s="147"/>
      <c r="DZ41" s="147"/>
      <c r="EA41" s="147"/>
      <c r="EB41" s="147"/>
      <c r="EC41" s="147"/>
      <c r="ED41" s="147"/>
      <c r="EE41" s="147"/>
      <c r="EF41" s="147"/>
      <c r="EG41" s="1593" t="s">
        <v>619</v>
      </c>
      <c r="EH41" s="1594"/>
      <c r="EI41" s="1594"/>
      <c r="EJ41" s="1594"/>
      <c r="EK41" s="1594"/>
      <c r="EL41" s="1594"/>
      <c r="EM41" s="1594"/>
      <c r="EN41" s="1594"/>
      <c r="EO41" s="1594"/>
      <c r="EP41" s="1594"/>
      <c r="EQ41" s="1594"/>
      <c r="ER41" s="1594"/>
      <c r="ES41" s="1594"/>
      <c r="ET41" s="1594"/>
      <c r="EU41" s="1594"/>
      <c r="EV41" s="1594"/>
      <c r="EW41" s="1594"/>
      <c r="EX41" s="1594"/>
      <c r="EY41" s="1594"/>
      <c r="EZ41" s="1594"/>
      <c r="FA41" s="1594"/>
      <c r="FB41" s="1594"/>
      <c r="FC41" s="1594"/>
      <c r="FD41" s="1594"/>
      <c r="FE41" s="1594"/>
      <c r="FF41" s="1594"/>
      <c r="FG41" s="1594"/>
      <c r="FH41" s="1594"/>
      <c r="FI41" s="1594"/>
      <c r="FJ41" s="1594"/>
      <c r="FK41" s="1594"/>
      <c r="FL41" s="1594"/>
      <c r="FM41" s="1594"/>
      <c r="FN41" s="1594"/>
      <c r="FO41" s="1594"/>
      <c r="FP41" s="1594"/>
      <c r="FQ41" s="1594"/>
      <c r="FR41" s="1594"/>
      <c r="FS41" s="1594"/>
      <c r="FT41" s="1594"/>
      <c r="FU41" s="1594"/>
      <c r="FV41" s="1594"/>
      <c r="FW41" s="1594"/>
      <c r="FX41" s="1594"/>
      <c r="FY41" s="1594"/>
      <c r="FZ41" s="1594"/>
      <c r="GA41" s="1594"/>
      <c r="GB41" s="1594"/>
      <c r="GC41" s="1594"/>
      <c r="GD41" s="1594"/>
      <c r="GE41" s="1594"/>
      <c r="GF41" s="1594"/>
      <c r="GG41" s="1595"/>
      <c r="GI41" s="135"/>
      <c r="GJ41" s="135"/>
      <c r="GK41" s="135"/>
      <c r="GL41" s="135"/>
      <c r="GM41" s="135"/>
      <c r="GN41" s="135"/>
      <c r="GO41" s="135"/>
      <c r="GP41" s="135"/>
      <c r="GQ41" s="135"/>
      <c r="GR41" s="135"/>
    </row>
    <row r="42" spans="1:205" ht="24" thickBot="1">
      <c r="A42" s="1698"/>
      <c r="B42" s="1699"/>
      <c r="C42" s="1699"/>
      <c r="D42" s="1699"/>
      <c r="E42" s="1699"/>
      <c r="F42" s="1699"/>
      <c r="G42" s="1699"/>
      <c r="H42" s="1699"/>
      <c r="I42" s="1699"/>
      <c r="J42" s="1699"/>
      <c r="K42" s="1699"/>
      <c r="L42" s="1699"/>
      <c r="M42" s="1699"/>
      <c r="N42" s="1699"/>
      <c r="O42" s="1699"/>
      <c r="P42" s="1699"/>
      <c r="Q42" s="1699"/>
      <c r="R42" s="1699"/>
      <c r="S42" s="1699"/>
      <c r="T42" s="1699"/>
      <c r="U42" s="1699"/>
      <c r="V42" s="1699"/>
      <c r="W42" s="1699"/>
      <c r="X42" s="1699"/>
      <c r="Y42" s="1699"/>
      <c r="Z42" s="1699"/>
      <c r="AA42" s="1699"/>
      <c r="AB42" s="1699"/>
      <c r="AC42" s="1699"/>
      <c r="AD42" s="1699"/>
      <c r="AE42" s="1699"/>
      <c r="AF42" s="1699"/>
      <c r="AG42" s="1699"/>
      <c r="AH42" s="1699"/>
      <c r="AI42" s="1699"/>
      <c r="AJ42" s="1699"/>
      <c r="AK42" s="1699"/>
      <c r="AL42" s="1699"/>
      <c r="AM42" s="1699"/>
      <c r="AN42" s="1699"/>
      <c r="AO42" s="1699"/>
      <c r="AP42" s="1699"/>
      <c r="AQ42" s="93"/>
      <c r="AR42" s="93"/>
      <c r="AS42" s="93"/>
      <c r="AT42" s="93"/>
      <c r="AU42" s="93"/>
      <c r="AV42" s="93"/>
      <c r="AW42" s="93"/>
      <c r="AX42" s="93"/>
      <c r="AY42" s="93"/>
      <c r="AZ42" s="93"/>
      <c r="BA42" s="93"/>
      <c r="BB42" s="93"/>
      <c r="BC42" s="93"/>
      <c r="BD42" s="93"/>
      <c r="BE42" s="93"/>
      <c r="BF42" s="93"/>
      <c r="BG42" s="93"/>
      <c r="BH42" s="93"/>
      <c r="BI42" s="93"/>
      <c r="BJ42" s="93"/>
      <c r="BK42" s="93"/>
      <c r="BL42" s="93"/>
      <c r="BM42" s="93"/>
      <c r="BN42" s="93"/>
      <c r="BO42" s="1658"/>
      <c r="BP42" s="1659"/>
      <c r="BQ42" s="1659"/>
      <c r="BR42" s="1659"/>
      <c r="BS42" s="1659"/>
      <c r="BT42" s="1659"/>
      <c r="BU42" s="1659"/>
      <c r="BV42" s="1659"/>
      <c r="BW42" s="1659"/>
      <c r="BX42" s="1659"/>
      <c r="BY42" s="1659"/>
      <c r="BZ42" s="1659"/>
      <c r="CA42" s="1659"/>
      <c r="CB42" s="1659"/>
      <c r="CC42" s="1659"/>
      <c r="CD42" s="1659"/>
      <c r="CE42" s="1659"/>
      <c r="CF42" s="1659"/>
      <c r="CG42" s="1659"/>
      <c r="CH42" s="1659"/>
      <c r="CI42" s="1659"/>
      <c r="CJ42" s="1659"/>
      <c r="CK42" s="1659"/>
      <c r="CL42" s="1659"/>
      <c r="CM42" s="1659"/>
      <c r="CN42" s="1659"/>
      <c r="CO42" s="1659"/>
      <c r="CP42" s="1659"/>
      <c r="CQ42" s="1659"/>
      <c r="CR42" s="1659"/>
      <c r="CS42" s="1659"/>
      <c r="CT42" s="1659"/>
      <c r="CU42" s="1659"/>
      <c r="CV42" s="1659"/>
      <c r="CW42" s="1659"/>
      <c r="CX42" s="1659"/>
      <c r="CY42" s="1659"/>
      <c r="CZ42" s="1659"/>
      <c r="DA42" s="1659"/>
      <c r="DB42" s="1659"/>
      <c r="DC42" s="1659"/>
      <c r="DD42" s="1659"/>
      <c r="DE42" s="147"/>
      <c r="DF42" s="147"/>
      <c r="DG42" s="147"/>
      <c r="DH42" s="147"/>
      <c r="DI42" s="147"/>
      <c r="DJ42" s="147"/>
      <c r="DK42" s="147"/>
      <c r="DL42" s="147"/>
      <c r="DM42" s="147"/>
      <c r="DN42" s="147"/>
      <c r="DO42" s="147"/>
      <c r="DP42" s="147"/>
      <c r="DQ42" s="147"/>
      <c r="DR42" s="147"/>
      <c r="DS42" s="147"/>
      <c r="DT42" s="147"/>
      <c r="DU42" s="147"/>
      <c r="DV42" s="147"/>
      <c r="DW42" s="147"/>
      <c r="DX42" s="147"/>
      <c r="DY42" s="147"/>
      <c r="DZ42" s="147"/>
      <c r="EA42" s="1602" t="s">
        <v>620</v>
      </c>
      <c r="EB42" s="1602"/>
      <c r="EC42" s="1602"/>
      <c r="ED42" s="1602"/>
      <c r="EE42" s="1602"/>
      <c r="EF42" s="147"/>
      <c r="EG42" s="1596"/>
      <c r="EH42" s="1597"/>
      <c r="EI42" s="1597"/>
      <c r="EJ42" s="1597"/>
      <c r="EK42" s="1597"/>
      <c r="EL42" s="1597"/>
      <c r="EM42" s="1597"/>
      <c r="EN42" s="1597"/>
      <c r="EO42" s="1597"/>
      <c r="EP42" s="1597"/>
      <c r="EQ42" s="1597"/>
      <c r="ER42" s="1597"/>
      <c r="ES42" s="1597"/>
      <c r="ET42" s="1597"/>
      <c r="EU42" s="1597"/>
      <c r="EV42" s="1597"/>
      <c r="EW42" s="1597"/>
      <c r="EX42" s="1597"/>
      <c r="EY42" s="1597"/>
      <c r="EZ42" s="1597"/>
      <c r="FA42" s="1597"/>
      <c r="FB42" s="1597"/>
      <c r="FC42" s="1597"/>
      <c r="FD42" s="1597"/>
      <c r="FE42" s="1597"/>
      <c r="FF42" s="1597"/>
      <c r="FG42" s="1597"/>
      <c r="FH42" s="1597"/>
      <c r="FI42" s="1597"/>
      <c r="FJ42" s="1597"/>
      <c r="FK42" s="1597"/>
      <c r="FL42" s="1597"/>
      <c r="FM42" s="1597"/>
      <c r="FN42" s="1597"/>
      <c r="FO42" s="1597"/>
      <c r="FP42" s="1597"/>
      <c r="FQ42" s="1597"/>
      <c r="FR42" s="1597"/>
      <c r="FS42" s="1597"/>
      <c r="FT42" s="1597"/>
      <c r="FU42" s="1597"/>
      <c r="FV42" s="1597"/>
      <c r="FW42" s="1597"/>
      <c r="FX42" s="1597"/>
      <c r="FY42" s="1597"/>
      <c r="FZ42" s="1597"/>
      <c r="GA42" s="1597"/>
      <c r="GB42" s="1597"/>
      <c r="GC42" s="1597"/>
      <c r="GD42" s="1597"/>
      <c r="GE42" s="1597"/>
      <c r="GF42" s="1597"/>
      <c r="GG42" s="1598"/>
      <c r="GI42" s="135"/>
      <c r="GJ42" s="135"/>
      <c r="GK42" s="135"/>
      <c r="GL42" s="135"/>
      <c r="GM42" s="135"/>
      <c r="GN42" s="135"/>
      <c r="GO42" s="135"/>
      <c r="GP42" s="135"/>
      <c r="GQ42" s="135"/>
      <c r="GR42" s="135"/>
    </row>
    <row r="43" spans="1:205" ht="15" customHeight="1" thickBot="1">
      <c r="A43" s="1700" t="s">
        <v>621</v>
      </c>
      <c r="B43" s="1701"/>
      <c r="C43" s="1701"/>
      <c r="D43" s="1701"/>
      <c r="E43" s="1701"/>
      <c r="F43" s="1701"/>
      <c r="G43" s="1701"/>
      <c r="H43" s="1701"/>
      <c r="I43" s="1701"/>
      <c r="J43" s="1701"/>
      <c r="K43" s="1701"/>
      <c r="L43" s="1701"/>
      <c r="M43" s="1701"/>
      <c r="N43" s="1701"/>
      <c r="O43" s="1701"/>
      <c r="P43" s="1701"/>
      <c r="Q43" s="1701"/>
      <c r="R43" s="1701"/>
      <c r="S43" s="1701"/>
      <c r="T43" s="1701"/>
      <c r="U43" s="1701"/>
      <c r="V43" s="1702"/>
      <c r="W43" s="911"/>
      <c r="X43" s="911"/>
      <c r="Y43" s="911"/>
      <c r="Z43" s="911"/>
      <c r="AA43" s="911"/>
      <c r="AB43" s="911"/>
      <c r="AC43" s="911"/>
      <c r="AD43" s="911"/>
      <c r="AE43" s="911"/>
      <c r="AF43" s="911"/>
      <c r="AG43" s="911"/>
      <c r="AH43" s="911"/>
      <c r="AI43" s="911"/>
      <c r="AJ43" s="911"/>
      <c r="AK43" s="911"/>
      <c r="AL43" s="911"/>
      <c r="AM43" s="911"/>
      <c r="AN43" s="911"/>
      <c r="AO43" s="911"/>
      <c r="AP43" s="911"/>
      <c r="AQ43" s="1609" t="s">
        <v>622</v>
      </c>
      <c r="AR43" s="1609"/>
      <c r="AS43" s="1609"/>
      <c r="AT43" s="1609"/>
      <c r="AU43" s="1610"/>
      <c r="AV43" s="923"/>
      <c r="AW43" s="923"/>
      <c r="AX43" s="923"/>
      <c r="AY43" s="923"/>
      <c r="AZ43" s="923"/>
      <c r="BA43" s="923"/>
      <c r="BB43" s="923"/>
      <c r="BC43" s="923"/>
      <c r="BD43" s="923"/>
      <c r="BE43" s="923"/>
      <c r="BF43" s="923"/>
      <c r="BO43" s="1619" t="s">
        <v>623</v>
      </c>
      <c r="BP43" s="1620"/>
      <c r="BQ43" s="1620"/>
      <c r="BR43" s="1620"/>
      <c r="BS43" s="1620"/>
      <c r="BT43" s="1620"/>
      <c r="BU43" s="1620"/>
      <c r="BV43" s="1620"/>
      <c r="BW43" s="1620"/>
      <c r="BX43" s="1620"/>
      <c r="BY43" s="1620"/>
      <c r="BZ43" s="1620"/>
      <c r="CA43" s="1620"/>
      <c r="CB43" s="1620"/>
      <c r="CC43" s="1620"/>
      <c r="CD43" s="1620"/>
      <c r="CE43" s="1620"/>
      <c r="CF43" s="1620"/>
      <c r="CG43" s="1620"/>
      <c r="CH43" s="1620"/>
      <c r="CI43" s="1620"/>
      <c r="CJ43" s="1620"/>
      <c r="CK43" s="912"/>
      <c r="CL43" s="912"/>
      <c r="CM43" s="912"/>
      <c r="CN43" s="912"/>
      <c r="CO43" s="912"/>
      <c r="CP43" s="912"/>
      <c r="CQ43" s="912"/>
      <c r="CR43" s="912"/>
      <c r="CS43" s="912"/>
      <c r="CT43" s="912"/>
      <c r="CU43" s="912"/>
      <c r="CV43" s="912"/>
      <c r="CW43" s="912"/>
      <c r="CX43" s="912"/>
      <c r="CY43" s="912"/>
      <c r="CZ43" s="912"/>
      <c r="DA43" s="912"/>
      <c r="DB43" s="912"/>
      <c r="DC43" s="912"/>
      <c r="DD43" s="912"/>
      <c r="DE43" s="1608" t="s">
        <v>624</v>
      </c>
      <c r="DF43" s="1609"/>
      <c r="DG43" s="1609"/>
      <c r="DH43" s="1609"/>
      <c r="DI43" s="1609"/>
      <c r="DJ43" s="1609"/>
      <c r="DK43" s="1609"/>
      <c r="DL43" s="1609"/>
      <c r="DM43" s="1609"/>
      <c r="DN43" s="1610"/>
      <c r="DO43" s="1608" t="s">
        <v>625</v>
      </c>
      <c r="DP43" s="1609"/>
      <c r="DQ43" s="1609"/>
      <c r="DR43" s="1609"/>
      <c r="DS43" s="1609"/>
      <c r="DT43" s="1609"/>
      <c r="DU43" s="1609"/>
      <c r="DV43" s="1609"/>
      <c r="DW43" s="1609"/>
      <c r="DX43" s="1610"/>
      <c r="DY43" s="923"/>
      <c r="DZ43" s="147"/>
      <c r="EA43" s="1622" t="s">
        <v>626</v>
      </c>
      <c r="EB43" s="1623"/>
      <c r="EC43" s="1623"/>
      <c r="ED43" s="1623"/>
      <c r="EE43" s="1624"/>
      <c r="EF43" s="147"/>
      <c r="EG43" s="1619" t="s">
        <v>627</v>
      </c>
      <c r="EH43" s="1620"/>
      <c r="EI43" s="1620"/>
      <c r="EJ43" s="1620"/>
      <c r="EK43" s="1620"/>
      <c r="EL43" s="1620"/>
      <c r="EM43" s="1620"/>
      <c r="EN43" s="1620"/>
      <c r="EO43" s="1620"/>
      <c r="EP43" s="1620"/>
      <c r="EQ43" s="1620"/>
      <c r="ER43" s="1620"/>
      <c r="ES43" s="1620"/>
      <c r="ET43" s="1620"/>
      <c r="EU43" s="1620"/>
      <c r="EV43" s="1620"/>
      <c r="EW43" s="1620"/>
      <c r="EX43" s="1620"/>
      <c r="EY43" s="1620"/>
      <c r="EZ43" s="1620"/>
      <c r="FA43" s="1620"/>
      <c r="FB43" s="1620"/>
      <c r="FC43" s="1620"/>
      <c r="FD43" s="1620"/>
      <c r="FE43" s="1620"/>
      <c r="FF43" s="1620"/>
      <c r="FG43" s="1620"/>
      <c r="FH43" s="1620"/>
      <c r="FI43" s="1620"/>
      <c r="FJ43" s="1620"/>
      <c r="FK43" s="1620"/>
      <c r="FL43" s="1620"/>
      <c r="FM43" s="1620"/>
      <c r="FN43" s="1620"/>
      <c r="FO43" s="1620"/>
      <c r="FP43" s="1620"/>
      <c r="FQ43" s="1620"/>
      <c r="FR43" s="1620"/>
      <c r="FS43" s="1620"/>
      <c r="FT43" s="1620"/>
      <c r="FU43" s="1620"/>
      <c r="FV43" s="1620"/>
      <c r="FW43" s="1620"/>
      <c r="FX43" s="1620"/>
      <c r="FY43" s="1620"/>
      <c r="FZ43" s="1620"/>
      <c r="GA43" s="1620"/>
      <c r="GB43" s="1620"/>
      <c r="GC43" s="1620"/>
      <c r="GD43" s="1620"/>
      <c r="GE43" s="1620"/>
      <c r="GF43" s="1620"/>
      <c r="GG43" s="1621"/>
      <c r="GI43" s="135"/>
      <c r="GJ43" s="135"/>
      <c r="GK43" s="135"/>
      <c r="GL43" s="135"/>
      <c r="GM43" s="135"/>
      <c r="GN43" s="135"/>
      <c r="GO43" s="135"/>
      <c r="GP43" s="135"/>
      <c r="GQ43" s="135"/>
      <c r="GR43" s="135"/>
    </row>
    <row r="44" spans="1:205" ht="15" customHeight="1" thickBot="1">
      <c r="A44" s="266"/>
      <c r="B44" s="125"/>
      <c r="C44" s="1368">
        <v>2023</v>
      </c>
      <c r="D44" s="1369"/>
      <c r="E44" s="1369"/>
      <c r="F44" s="1370"/>
      <c r="G44" s="1371">
        <v>2024</v>
      </c>
      <c r="H44" s="1372"/>
      <c r="I44" s="1372"/>
      <c r="J44" s="1373"/>
      <c r="K44" s="1374">
        <v>2025</v>
      </c>
      <c r="L44" s="1375"/>
      <c r="M44" s="1375"/>
      <c r="N44" s="1376"/>
      <c r="O44" s="1371">
        <v>2026</v>
      </c>
      <c r="P44" s="1372"/>
      <c r="Q44" s="1372"/>
      <c r="R44" s="1373"/>
      <c r="S44" s="1377">
        <v>2027</v>
      </c>
      <c r="T44" s="1378"/>
      <c r="U44" s="1378"/>
      <c r="V44" s="1379"/>
      <c r="W44" s="1368">
        <v>2028</v>
      </c>
      <c r="X44" s="1369"/>
      <c r="Y44" s="1369"/>
      <c r="Z44" s="1370"/>
      <c r="AA44" s="1371">
        <v>2029</v>
      </c>
      <c r="AB44" s="1372"/>
      <c r="AC44" s="1372"/>
      <c r="AD44" s="1373"/>
      <c r="AE44" s="1374">
        <v>2030</v>
      </c>
      <c r="AF44" s="1375"/>
      <c r="AG44" s="1375"/>
      <c r="AH44" s="1376"/>
      <c r="AI44" s="1371">
        <v>2031</v>
      </c>
      <c r="AJ44" s="1372"/>
      <c r="AK44" s="1372"/>
      <c r="AL44" s="1373"/>
      <c r="AM44" s="1377">
        <v>2032</v>
      </c>
      <c r="AN44" s="1378"/>
      <c r="AO44" s="1378"/>
      <c r="AP44" s="1379"/>
      <c r="AQ44" s="1612"/>
      <c r="AR44" s="1612"/>
      <c r="AS44" s="1612"/>
      <c r="AT44" s="1612"/>
      <c r="AU44" s="1612"/>
      <c r="AV44" s="805"/>
      <c r="AW44" s="805"/>
      <c r="AX44" s="805"/>
      <c r="AY44" s="805"/>
      <c r="AZ44" s="805"/>
      <c r="BA44" s="923"/>
      <c r="BB44" s="923"/>
      <c r="BC44" s="923"/>
      <c r="BD44" s="923"/>
      <c r="BE44" s="923"/>
      <c r="BF44" s="923"/>
      <c r="BG44" s="1703" t="s">
        <v>628</v>
      </c>
      <c r="BH44" s="1704"/>
      <c r="BI44" s="1704"/>
      <c r="BJ44" s="1705"/>
      <c r="BO44" s="113"/>
      <c r="BP44" s="57"/>
      <c r="BQ44" s="1384">
        <v>2022</v>
      </c>
      <c r="BR44" s="1384"/>
      <c r="BS44" s="1384"/>
      <c r="BT44" s="1384"/>
      <c r="BU44" s="1385">
        <v>2023</v>
      </c>
      <c r="BV44" s="1385"/>
      <c r="BW44" s="1385"/>
      <c r="BX44" s="1385"/>
      <c r="BY44" s="1386">
        <v>2024</v>
      </c>
      <c r="BZ44" s="1386"/>
      <c r="CA44" s="1386"/>
      <c r="CB44" s="1386"/>
      <c r="CC44" s="1385">
        <v>2025</v>
      </c>
      <c r="CD44" s="1385"/>
      <c r="CE44" s="1385"/>
      <c r="CF44" s="1385"/>
      <c r="CG44" s="1387">
        <v>2026</v>
      </c>
      <c r="CH44" s="1387"/>
      <c r="CI44" s="1387"/>
      <c r="CJ44" s="1387"/>
      <c r="CK44" s="1368">
        <v>2028</v>
      </c>
      <c r="CL44" s="1369"/>
      <c r="CM44" s="1369"/>
      <c r="CN44" s="1370"/>
      <c r="CO44" s="1371">
        <v>2029</v>
      </c>
      <c r="CP44" s="1372"/>
      <c r="CQ44" s="1372"/>
      <c r="CR44" s="1373"/>
      <c r="CS44" s="1374">
        <v>2030</v>
      </c>
      <c r="CT44" s="1375"/>
      <c r="CU44" s="1375"/>
      <c r="CV44" s="1376"/>
      <c r="CW44" s="1371">
        <v>2031</v>
      </c>
      <c r="CX44" s="1372"/>
      <c r="CY44" s="1372"/>
      <c r="CZ44" s="1373"/>
      <c r="DA44" s="1377">
        <v>2032</v>
      </c>
      <c r="DB44" s="1378"/>
      <c r="DC44" s="1378"/>
      <c r="DD44" s="1379"/>
      <c r="DE44" s="1611"/>
      <c r="DF44" s="1612"/>
      <c r="DG44" s="1612"/>
      <c r="DH44" s="1612"/>
      <c r="DI44" s="1612"/>
      <c r="DJ44" s="1612"/>
      <c r="DK44" s="1612"/>
      <c r="DL44" s="1612"/>
      <c r="DM44" s="1612"/>
      <c r="DN44" s="1613"/>
      <c r="DO44" s="1611"/>
      <c r="DP44" s="1612"/>
      <c r="DQ44" s="1612"/>
      <c r="DR44" s="1612"/>
      <c r="DS44" s="1612"/>
      <c r="DT44" s="1612"/>
      <c r="DU44" s="1612"/>
      <c r="DV44" s="1612"/>
      <c r="DW44" s="1612"/>
      <c r="DX44" s="1613"/>
      <c r="DY44" s="923"/>
      <c r="DZ44" s="147"/>
      <c r="EA44" s="1625"/>
      <c r="EB44" s="1626"/>
      <c r="EC44" s="1626"/>
      <c r="ED44" s="1626"/>
      <c r="EE44" s="1627"/>
      <c r="EF44" s="147"/>
      <c r="EG44" s="113"/>
      <c r="EH44" s="57"/>
      <c r="EI44" s="1615">
        <v>2023</v>
      </c>
      <c r="EJ44" s="1384"/>
      <c r="EK44" s="1384"/>
      <c r="EL44" s="1616"/>
      <c r="EM44" s="1599">
        <v>2024</v>
      </c>
      <c r="EN44" s="1385"/>
      <c r="EO44" s="1385"/>
      <c r="EP44" s="1600"/>
      <c r="EQ44" s="1617">
        <v>2025</v>
      </c>
      <c r="ER44" s="1386"/>
      <c r="ES44" s="1386"/>
      <c r="ET44" s="1618"/>
      <c r="EU44" s="1599">
        <v>2026</v>
      </c>
      <c r="EV44" s="1385"/>
      <c r="EW44" s="1385"/>
      <c r="EX44" s="1600"/>
      <c r="EY44" s="1628">
        <v>2027</v>
      </c>
      <c r="EZ44" s="1387"/>
      <c r="FA44" s="1387"/>
      <c r="FB44" s="1387"/>
      <c r="FC44" s="1368">
        <v>2028</v>
      </c>
      <c r="FD44" s="1369"/>
      <c r="FE44" s="1369"/>
      <c r="FF44" s="1370"/>
      <c r="FG44" s="1371">
        <v>2029</v>
      </c>
      <c r="FH44" s="1372"/>
      <c r="FI44" s="1372"/>
      <c r="FJ44" s="1373"/>
      <c r="FK44" s="1374">
        <v>2030</v>
      </c>
      <c r="FL44" s="1375"/>
      <c r="FM44" s="1375"/>
      <c r="FN44" s="1376"/>
      <c r="FO44" s="1371">
        <v>2031</v>
      </c>
      <c r="FP44" s="1372"/>
      <c r="FQ44" s="1372"/>
      <c r="FR44" s="1373"/>
      <c r="FS44" s="1377">
        <v>2032</v>
      </c>
      <c r="FT44" s="1378"/>
      <c r="FU44" s="1378"/>
      <c r="FV44" s="1379"/>
      <c r="FW44" s="803"/>
      <c r="FX44" s="1310" t="s">
        <v>629</v>
      </c>
      <c r="FY44" s="1603"/>
      <c r="FZ44" s="1310" t="s">
        <v>630</v>
      </c>
      <c r="GA44" s="1325"/>
      <c r="GB44" s="1310" t="s">
        <v>631</v>
      </c>
      <c r="GC44" s="1325"/>
      <c r="GD44" s="1310" t="s">
        <v>632</v>
      </c>
      <c r="GE44" s="1325"/>
      <c r="GF44" s="1310" t="s">
        <v>633</v>
      </c>
      <c r="GG44" s="1325"/>
      <c r="GH44" s="1331" t="s">
        <v>634</v>
      </c>
      <c r="GI44" s="1556" t="s">
        <v>635</v>
      </c>
      <c r="GJ44" s="135"/>
      <c r="GK44" s="135"/>
      <c r="GL44" s="135"/>
      <c r="GM44" s="135"/>
      <c r="GN44" s="135"/>
      <c r="GO44" s="135"/>
      <c r="GP44" s="135"/>
      <c r="GQ44" s="135"/>
      <c r="GR44" s="135"/>
    </row>
    <row r="45" spans="1:205" ht="15" customHeight="1" thickBot="1">
      <c r="A45" s="266"/>
      <c r="B45" s="125"/>
      <c r="C45" s="125">
        <v>1</v>
      </c>
      <c r="D45" s="125">
        <v>2</v>
      </c>
      <c r="E45" s="125">
        <v>3</v>
      </c>
      <c r="F45" s="125">
        <v>4</v>
      </c>
      <c r="G45" s="125">
        <v>1</v>
      </c>
      <c r="H45" s="125">
        <v>2</v>
      </c>
      <c r="I45" s="125">
        <v>3</v>
      </c>
      <c r="J45" s="125">
        <v>4</v>
      </c>
      <c r="K45" s="125">
        <v>1</v>
      </c>
      <c r="L45" s="125">
        <v>2</v>
      </c>
      <c r="M45" s="125">
        <v>3</v>
      </c>
      <c r="N45" s="125">
        <v>4</v>
      </c>
      <c r="O45" s="125">
        <v>1</v>
      </c>
      <c r="P45" s="125">
        <v>2</v>
      </c>
      <c r="Q45" s="125">
        <v>3</v>
      </c>
      <c r="R45" s="125">
        <v>4</v>
      </c>
      <c r="S45" s="125">
        <v>1</v>
      </c>
      <c r="T45" s="125">
        <v>2</v>
      </c>
      <c r="U45" s="125">
        <v>3</v>
      </c>
      <c r="V45" s="126">
        <v>4</v>
      </c>
      <c r="W45" s="325">
        <v>1</v>
      </c>
      <c r="X45" s="265">
        <v>2</v>
      </c>
      <c r="Y45" s="265">
        <v>3</v>
      </c>
      <c r="Z45" s="326">
        <v>4</v>
      </c>
      <c r="AA45" s="325">
        <v>1</v>
      </c>
      <c r="AB45" s="265">
        <v>2</v>
      </c>
      <c r="AC45" s="265">
        <v>3</v>
      </c>
      <c r="AD45" s="326">
        <v>4</v>
      </c>
      <c r="AE45" s="325">
        <v>1</v>
      </c>
      <c r="AF45" s="265">
        <v>2</v>
      </c>
      <c r="AG45" s="265">
        <v>3</v>
      </c>
      <c r="AH45" s="326">
        <v>4</v>
      </c>
      <c r="AI45" s="325">
        <v>1</v>
      </c>
      <c r="AJ45" s="265">
        <v>2</v>
      </c>
      <c r="AK45" s="265">
        <v>3</v>
      </c>
      <c r="AL45" s="326">
        <v>4</v>
      </c>
      <c r="AM45" s="325">
        <v>1</v>
      </c>
      <c r="AN45" s="265">
        <v>2</v>
      </c>
      <c r="AO45" s="265">
        <v>3</v>
      </c>
      <c r="AP45" s="326">
        <v>4</v>
      </c>
      <c r="AQ45" s="574">
        <v>2023</v>
      </c>
      <c r="AR45" s="579">
        <v>2024</v>
      </c>
      <c r="AS45" s="574">
        <v>2025</v>
      </c>
      <c r="AT45" s="579">
        <v>2026</v>
      </c>
      <c r="AU45" s="574">
        <v>2027</v>
      </c>
      <c r="AV45" s="579">
        <v>2028</v>
      </c>
      <c r="AW45" s="574">
        <v>2029</v>
      </c>
      <c r="AX45" s="574">
        <v>2030</v>
      </c>
      <c r="AY45" s="579">
        <v>2031</v>
      </c>
      <c r="AZ45" s="804">
        <v>2032</v>
      </c>
      <c r="BA45" s="923"/>
      <c r="BB45" s="923"/>
      <c r="BC45" s="923"/>
      <c r="BD45" s="923"/>
      <c r="BE45" s="923"/>
      <c r="BF45" s="923"/>
      <c r="BG45" s="1706" t="s">
        <v>177</v>
      </c>
      <c r="BH45" s="1704"/>
      <c r="BI45" s="1704"/>
      <c r="BJ45" s="340" t="s">
        <v>636</v>
      </c>
      <c r="BO45" s="113"/>
      <c r="BP45" s="57"/>
      <c r="BQ45" s="57">
        <v>1</v>
      </c>
      <c r="BR45" s="57">
        <v>2</v>
      </c>
      <c r="BS45" s="57">
        <v>3</v>
      </c>
      <c r="BT45" s="57">
        <v>4</v>
      </c>
      <c r="BU45" s="57">
        <v>1</v>
      </c>
      <c r="BV45" s="57">
        <v>2</v>
      </c>
      <c r="BW45" s="57">
        <v>3</v>
      </c>
      <c r="BX45" s="57">
        <v>4</v>
      </c>
      <c r="BY45" s="57">
        <v>1</v>
      </c>
      <c r="BZ45" s="57">
        <v>2</v>
      </c>
      <c r="CA45" s="57">
        <v>3</v>
      </c>
      <c r="CB45" s="57">
        <v>4</v>
      </c>
      <c r="CC45" s="57">
        <v>1</v>
      </c>
      <c r="CD45" s="57">
        <v>2</v>
      </c>
      <c r="CE45" s="57">
        <v>3</v>
      </c>
      <c r="CF45" s="57">
        <v>4</v>
      </c>
      <c r="CG45" s="57">
        <v>1</v>
      </c>
      <c r="CH45" s="57">
        <v>2</v>
      </c>
      <c r="CI45" s="57">
        <v>3</v>
      </c>
      <c r="CJ45" s="57">
        <v>4</v>
      </c>
      <c r="CK45" s="325">
        <v>1</v>
      </c>
      <c r="CL45" s="265">
        <v>2</v>
      </c>
      <c r="CM45" s="265">
        <v>3</v>
      </c>
      <c r="CN45" s="326">
        <v>4</v>
      </c>
      <c r="CO45" s="325">
        <v>1</v>
      </c>
      <c r="CP45" s="265">
        <v>2</v>
      </c>
      <c r="CQ45" s="265">
        <v>3</v>
      </c>
      <c r="CR45" s="326">
        <v>4</v>
      </c>
      <c r="CS45" s="325">
        <v>1</v>
      </c>
      <c r="CT45" s="265">
        <v>2</v>
      </c>
      <c r="CU45" s="265">
        <v>3</v>
      </c>
      <c r="CV45" s="326">
        <v>4</v>
      </c>
      <c r="CW45" s="325">
        <v>1</v>
      </c>
      <c r="CX45" s="265">
        <v>2</v>
      </c>
      <c r="CY45" s="265">
        <v>3</v>
      </c>
      <c r="CZ45" s="326">
        <v>4</v>
      </c>
      <c r="DA45" s="325">
        <v>1</v>
      </c>
      <c r="DB45" s="265">
        <v>2</v>
      </c>
      <c r="DC45" s="265">
        <v>3</v>
      </c>
      <c r="DD45" s="326">
        <v>4</v>
      </c>
      <c r="DE45" s="579">
        <v>2023</v>
      </c>
      <c r="DF45" s="579">
        <v>2024</v>
      </c>
      <c r="DG45" s="579">
        <v>2025</v>
      </c>
      <c r="DH45" s="579">
        <v>2026</v>
      </c>
      <c r="DI45" s="579">
        <v>2027</v>
      </c>
      <c r="DJ45" s="579">
        <v>2028</v>
      </c>
      <c r="DK45" s="579">
        <v>2029</v>
      </c>
      <c r="DL45" s="579">
        <v>2030</v>
      </c>
      <c r="DM45" s="579">
        <v>2031</v>
      </c>
      <c r="DN45" s="579">
        <v>2032</v>
      </c>
      <c r="DO45" s="579">
        <v>2023</v>
      </c>
      <c r="DP45" s="579">
        <v>2024</v>
      </c>
      <c r="DQ45" s="579">
        <v>2025</v>
      </c>
      <c r="DR45" s="579">
        <v>2026</v>
      </c>
      <c r="DS45" s="579">
        <v>2027</v>
      </c>
      <c r="DT45" s="579">
        <v>2028</v>
      </c>
      <c r="DU45" s="579">
        <v>2029</v>
      </c>
      <c r="DV45" s="579">
        <v>2030</v>
      </c>
      <c r="DW45" s="579">
        <v>2031</v>
      </c>
      <c r="DX45" s="579">
        <v>2032</v>
      </c>
      <c r="DY45" s="923"/>
      <c r="DZ45" s="147"/>
      <c r="EA45" s="856" t="s">
        <v>637</v>
      </c>
      <c r="EB45" s="856" t="s">
        <v>638</v>
      </c>
      <c r="EC45" s="856" t="s">
        <v>639</v>
      </c>
      <c r="ED45" s="856" t="s">
        <v>640</v>
      </c>
      <c r="EE45" s="856" t="s">
        <v>641</v>
      </c>
      <c r="EF45" s="147"/>
      <c r="EG45" s="113"/>
      <c r="EH45" s="57"/>
      <c r="EI45" s="113">
        <v>1</v>
      </c>
      <c r="EJ45" s="57">
        <v>2</v>
      </c>
      <c r="EK45" s="57">
        <v>3</v>
      </c>
      <c r="EL45" s="114">
        <v>4</v>
      </c>
      <c r="EM45" s="113">
        <v>1</v>
      </c>
      <c r="EN45" s="57">
        <v>2</v>
      </c>
      <c r="EO45" s="57">
        <v>3</v>
      </c>
      <c r="EP45" s="114">
        <v>4</v>
      </c>
      <c r="EQ45" s="113">
        <v>1</v>
      </c>
      <c r="ER45" s="57">
        <v>2</v>
      </c>
      <c r="ES45" s="57">
        <v>3</v>
      </c>
      <c r="ET45" s="114">
        <v>4</v>
      </c>
      <c r="EU45" s="113">
        <v>1</v>
      </c>
      <c r="EV45" s="57">
        <v>2</v>
      </c>
      <c r="EW45" s="57">
        <v>3</v>
      </c>
      <c r="EX45" s="114">
        <v>4</v>
      </c>
      <c r="EY45" s="113">
        <v>1</v>
      </c>
      <c r="EZ45" s="57">
        <v>2</v>
      </c>
      <c r="FA45" s="57">
        <v>3</v>
      </c>
      <c r="FB45" s="57">
        <v>4</v>
      </c>
      <c r="FC45" s="325">
        <v>1</v>
      </c>
      <c r="FD45" s="265">
        <v>2</v>
      </c>
      <c r="FE45" s="265">
        <v>3</v>
      </c>
      <c r="FF45" s="326">
        <v>4</v>
      </c>
      <c r="FG45" s="325">
        <v>1</v>
      </c>
      <c r="FH45" s="265">
        <v>2</v>
      </c>
      <c r="FI45" s="265">
        <v>3</v>
      </c>
      <c r="FJ45" s="326">
        <v>4</v>
      </c>
      <c r="FK45" s="325">
        <v>1</v>
      </c>
      <c r="FL45" s="265">
        <v>2</v>
      </c>
      <c r="FM45" s="265">
        <v>3</v>
      </c>
      <c r="FN45" s="326">
        <v>4</v>
      </c>
      <c r="FO45" s="325">
        <v>1</v>
      </c>
      <c r="FP45" s="265">
        <v>2</v>
      </c>
      <c r="FQ45" s="265">
        <v>3</v>
      </c>
      <c r="FR45" s="326">
        <v>4</v>
      </c>
      <c r="FS45" s="325">
        <v>1</v>
      </c>
      <c r="FT45" s="265">
        <v>2</v>
      </c>
      <c r="FU45" s="265">
        <v>3</v>
      </c>
      <c r="FV45" s="326">
        <v>4</v>
      </c>
      <c r="FW45" s="57"/>
      <c r="FX45" s="1326"/>
      <c r="FY45" s="1614"/>
      <c r="FZ45" s="1326"/>
      <c r="GA45" s="1328"/>
      <c r="GB45" s="1326"/>
      <c r="GC45" s="1328"/>
      <c r="GD45" s="1326"/>
      <c r="GE45" s="1328"/>
      <c r="GF45" s="1326"/>
      <c r="GG45" s="1328"/>
      <c r="GH45" s="1331"/>
      <c r="GI45" s="1556"/>
      <c r="GJ45" s="135"/>
      <c r="GK45" s="135"/>
      <c r="GL45" s="135"/>
      <c r="GM45" s="135"/>
      <c r="GN45" s="135"/>
      <c r="GO45" s="135"/>
      <c r="GP45" s="135"/>
      <c r="GQ45" s="135"/>
      <c r="GR45" s="135"/>
    </row>
    <row r="46" spans="1:205" ht="14.65" customHeight="1" thickBot="1">
      <c r="A46" s="1333">
        <v>1</v>
      </c>
      <c r="B46" s="87" t="s">
        <v>209</v>
      </c>
      <c r="C46" s="343">
        <f t="shared" ref="C46:AP46" si="50">(IF(BQ4=1,IF(C4&lt;=$BJ$46,C4*1000*$BI4,$BJ$46*1000*$BI4),IF(BQ4*$BJ$46&gt;=C4,C4*1000*$BI4,BQ4*1000*$BJ$46*$BI4)))*C36/4*$C$26</f>
        <v>600549.49444123451</v>
      </c>
      <c r="D46" s="343">
        <f t="shared" si="50"/>
        <v>610558.65268192173</v>
      </c>
      <c r="E46" s="343">
        <f t="shared" si="50"/>
        <v>620968.17725223652</v>
      </c>
      <c r="F46" s="343">
        <f t="shared" si="50"/>
        <v>629776.23650404124</v>
      </c>
      <c r="G46" s="343">
        <f t="shared" si="50"/>
        <v>663830.25259835669</v>
      </c>
      <c r="H46" s="343">
        <f t="shared" si="50"/>
        <v>670007.33311260934</v>
      </c>
      <c r="I46" s="343">
        <f t="shared" si="50"/>
        <v>670007.33311260934</v>
      </c>
      <c r="J46" s="343">
        <f t="shared" si="50"/>
        <v>673713.58142116095</v>
      </c>
      <c r="K46" s="343">
        <f t="shared" si="50"/>
        <v>689375.56906504871</v>
      </c>
      <c r="L46" s="343">
        <f t="shared" si="50"/>
        <v>696040.22713455977</v>
      </c>
      <c r="M46" s="343">
        <f t="shared" si="50"/>
        <v>698539.47391062637</v>
      </c>
      <c r="N46" s="343">
        <f t="shared" si="50"/>
        <v>703537.96746275958</v>
      </c>
      <c r="O46" s="343">
        <f t="shared" si="50"/>
        <v>726531.03780257283</v>
      </c>
      <c r="P46" s="343">
        <f t="shared" si="50"/>
        <v>737577.70855278743</v>
      </c>
      <c r="Q46" s="343">
        <f t="shared" si="50"/>
        <v>750748.73906265863</v>
      </c>
      <c r="R46" s="343">
        <f t="shared" si="50"/>
        <v>769018.23299570568</v>
      </c>
      <c r="S46" s="343">
        <f t="shared" si="50"/>
        <v>794366.09364792891</v>
      </c>
      <c r="T46" s="343">
        <f t="shared" si="50"/>
        <v>816034.56319642672</v>
      </c>
      <c r="U46" s="343">
        <f t="shared" si="50"/>
        <v>837703.03274492431</v>
      </c>
      <c r="V46" s="343">
        <f t="shared" si="50"/>
        <v>859371.50229342224</v>
      </c>
      <c r="W46" s="343">
        <f t="shared" si="50"/>
        <v>887024.00163291988</v>
      </c>
      <c r="X46" s="343">
        <f t="shared" si="50"/>
        <v>908839.64358159003</v>
      </c>
      <c r="Y46" s="343">
        <f t="shared" si="50"/>
        <v>930655.28553025995</v>
      </c>
      <c r="Z46" s="343">
        <f t="shared" si="50"/>
        <v>952470.92747892987</v>
      </c>
      <c r="AA46" s="343">
        <f t="shared" si="50"/>
        <v>916975.5947553881</v>
      </c>
      <c r="AB46" s="343">
        <f t="shared" si="50"/>
        <v>916975.5947553881</v>
      </c>
      <c r="AC46" s="343">
        <f t="shared" si="50"/>
        <v>916975.5947553881</v>
      </c>
      <c r="AD46" s="343">
        <f t="shared" si="50"/>
        <v>916975.5947553881</v>
      </c>
      <c r="AE46" s="343">
        <f t="shared" si="50"/>
        <v>974286.56942759978</v>
      </c>
      <c r="AF46" s="343">
        <f t="shared" si="50"/>
        <v>974286.56942759978</v>
      </c>
      <c r="AG46" s="343">
        <f t="shared" si="50"/>
        <v>974286.56942759978</v>
      </c>
      <c r="AH46" s="343">
        <f t="shared" si="50"/>
        <v>974286.56942759978</v>
      </c>
      <c r="AI46" s="343">
        <f>(IF(CW4=1,IF(AI4&lt;=$BJ$46,AI4*1000*$BI4,$BJ$46*1000*$BI4),IF(CW4*$BJ$46&gt;=AI4,AI4*1000*$BI4,CW4*1000*$BJ$46*$BI4)))*AI36/4*$C$26</f>
        <v>974286.56942759978</v>
      </c>
      <c r="AJ46" s="343">
        <f t="shared" si="50"/>
        <v>969050.81535991898</v>
      </c>
      <c r="AK46" s="343">
        <f t="shared" si="50"/>
        <v>969050.81535991898</v>
      </c>
      <c r="AL46" s="343">
        <f t="shared" si="50"/>
        <v>969050.81535991898</v>
      </c>
      <c r="AM46" s="343">
        <f t="shared" si="50"/>
        <v>965123.99980915838</v>
      </c>
      <c r="AN46" s="343">
        <f t="shared" si="50"/>
        <v>965123.99980915838</v>
      </c>
      <c r="AO46" s="343">
        <f t="shared" si="50"/>
        <v>965123.99980915838</v>
      </c>
      <c r="AP46" s="343">
        <f t="shared" si="50"/>
        <v>965123.99980915838</v>
      </c>
      <c r="AQ46" s="1084">
        <f>SUM(C46:F46)</f>
        <v>2461852.560879434</v>
      </c>
      <c r="AR46" s="1084">
        <f t="shared" ref="AR46:AR54" si="51">SUM(G46:J46)</f>
        <v>2677558.5002447362</v>
      </c>
      <c r="AS46" s="1084">
        <f t="shared" ref="AS46:AS58" si="52">SUM(K46:N46)</f>
        <v>2787493.2375729945</v>
      </c>
      <c r="AT46" s="1084">
        <f t="shared" ref="AT46:AT62" si="53">SUM(O46:R46)</f>
        <v>2983875.7184137246</v>
      </c>
      <c r="AU46" s="1084">
        <f t="shared" ref="AU46:AU62" si="54">SUM(S46:V46)</f>
        <v>3307475.1918827021</v>
      </c>
      <c r="AV46" s="1084">
        <f>SUM(W46:Z46)</f>
        <v>3678989.8582237</v>
      </c>
      <c r="AW46" s="1084">
        <f>SUM(AA46:AD46)</f>
        <v>3667902.3790215524</v>
      </c>
      <c r="AX46" s="1084">
        <f>SUM(AE46:AH46)</f>
        <v>3897146.2777103991</v>
      </c>
      <c r="AY46" s="1084">
        <f>SUM(AI46:AL46)</f>
        <v>3881439.0155073567</v>
      </c>
      <c r="AZ46" s="1084">
        <f>SUM(AM46:AP46)</f>
        <v>3860495.9992366335</v>
      </c>
      <c r="BA46" s="1085"/>
      <c r="BB46" s="1085"/>
      <c r="BC46" s="1085"/>
      <c r="BD46" s="1085"/>
      <c r="BE46" s="1085"/>
      <c r="BF46" s="924"/>
      <c r="BG46" s="1707" t="s">
        <v>642</v>
      </c>
      <c r="BH46" s="1708"/>
      <c r="BI46" s="1708"/>
      <c r="BJ46" s="149">
        <v>26</v>
      </c>
      <c r="BL46" s="148"/>
      <c r="BM46" t="e">
        <f>BN46*4</f>
        <v>#REF!</v>
      </c>
      <c r="BN46" t="e">
        <f>(#REF!/('Cost Structure'!$BA$13+'Cost Structure'!$BF$13))/4</f>
        <v>#REF!</v>
      </c>
      <c r="BO46" s="1310">
        <v>1</v>
      </c>
      <c r="BP46" s="664" t="s">
        <v>209</v>
      </c>
      <c r="BQ46" s="1089">
        <f>(BQ4*DJ24*$C$36/4)</f>
        <v>824972.40212007333</v>
      </c>
      <c r="BR46" s="1089">
        <f t="shared" ref="BR46:DD46" si="55">(BR4*DK24*$C$36/4)</f>
        <v>824972.40212007333</v>
      </c>
      <c r="BS46" s="1089">
        <f t="shared" si="55"/>
        <v>824972.40212007333</v>
      </c>
      <c r="BT46" s="1089">
        <f t="shared" si="55"/>
        <v>824972.40212007333</v>
      </c>
      <c r="BU46" s="1089">
        <f t="shared" si="55"/>
        <v>822590.981947875</v>
      </c>
      <c r="BV46" s="1089">
        <f t="shared" si="55"/>
        <v>822590.981947875</v>
      </c>
      <c r="BW46" s="1089">
        <f t="shared" si="55"/>
        <v>822590.981947875</v>
      </c>
      <c r="BX46" s="1089">
        <f t="shared" si="55"/>
        <v>822590.981947875</v>
      </c>
      <c r="BY46" s="1089">
        <f t="shared" si="55"/>
        <v>824972.40212007333</v>
      </c>
      <c r="BZ46" s="1089">
        <f t="shared" si="55"/>
        <v>824972.40212007333</v>
      </c>
      <c r="CA46" s="1089">
        <f t="shared" si="55"/>
        <v>824972.40212007333</v>
      </c>
      <c r="CB46" s="1089">
        <f t="shared" si="55"/>
        <v>824972.40212007333</v>
      </c>
      <c r="CC46" s="1089">
        <f t="shared" si="55"/>
        <v>824972.40212007333</v>
      </c>
      <c r="CD46" s="1089">
        <f t="shared" si="55"/>
        <v>824972.40212007333</v>
      </c>
      <c r="CE46" s="1089">
        <f t="shared" si="55"/>
        <v>824972.40212007333</v>
      </c>
      <c r="CF46" s="1089">
        <f t="shared" si="55"/>
        <v>824972.40212007333</v>
      </c>
      <c r="CG46" s="1089">
        <f t="shared" si="55"/>
        <v>824972.40212007333</v>
      </c>
      <c r="CH46" s="1089">
        <f t="shared" si="55"/>
        <v>824972.40212007333</v>
      </c>
      <c r="CI46" s="1089">
        <f t="shared" si="55"/>
        <v>824972.40212007333</v>
      </c>
      <c r="CJ46" s="1089">
        <f t="shared" si="55"/>
        <v>824972.40212007333</v>
      </c>
      <c r="CK46" s="1089">
        <f t="shared" si="55"/>
        <v>824972.40212007333</v>
      </c>
      <c r="CL46" s="1089">
        <f t="shared" si="55"/>
        <v>824972.40212007333</v>
      </c>
      <c r="CM46" s="1089">
        <f t="shared" si="55"/>
        <v>824972.40212007333</v>
      </c>
      <c r="CN46" s="1089">
        <f t="shared" si="55"/>
        <v>824972.40212007333</v>
      </c>
      <c r="CO46" s="1089">
        <f t="shared" si="55"/>
        <v>842833.05341156118</v>
      </c>
      <c r="CP46" s="1089">
        <f t="shared" si="55"/>
        <v>842833.05341156118</v>
      </c>
      <c r="CQ46" s="1089">
        <f t="shared" si="55"/>
        <v>842833.05341156118</v>
      </c>
      <c r="CR46" s="1089">
        <f t="shared" si="55"/>
        <v>842833.05341156118</v>
      </c>
      <c r="CS46" s="1089">
        <f t="shared" si="55"/>
        <v>824972.40212007333</v>
      </c>
      <c r="CT46" s="1089">
        <f t="shared" si="55"/>
        <v>824972.40212007333</v>
      </c>
      <c r="CU46" s="1089">
        <f t="shared" si="55"/>
        <v>824972.40212007333</v>
      </c>
      <c r="CV46" s="1089">
        <f t="shared" si="55"/>
        <v>824972.40212007333</v>
      </c>
      <c r="CW46" s="1089">
        <f t="shared" si="55"/>
        <v>824972.40212007333</v>
      </c>
      <c r="CX46" s="1089">
        <f t="shared" si="55"/>
        <v>824972.40212007333</v>
      </c>
      <c r="CY46" s="1089">
        <f t="shared" si="55"/>
        <v>824972.40212007333</v>
      </c>
      <c r="CZ46" s="1089">
        <f t="shared" si="55"/>
        <v>824972.40212007333</v>
      </c>
      <c r="DA46" s="1089">
        <f t="shared" si="55"/>
        <v>436628.12234290421</v>
      </c>
      <c r="DB46" s="1089">
        <f t="shared" si="55"/>
        <v>436628.12234290421</v>
      </c>
      <c r="DC46" s="1089">
        <f t="shared" si="55"/>
        <v>436628.12234290421</v>
      </c>
      <c r="DD46" s="1089">
        <f t="shared" si="55"/>
        <v>436628.12234290421</v>
      </c>
      <c r="DE46" s="582">
        <f>SUM(BQ46:BT46)</f>
        <v>3299889.6084802933</v>
      </c>
      <c r="DF46" s="580">
        <f>SUM(BU46:BX46)</f>
        <v>3290363.9277915</v>
      </c>
      <c r="DG46" s="580">
        <f>SUM(BY46:CB46)</f>
        <v>3299889.6084802933</v>
      </c>
      <c r="DH46" s="580">
        <f>SUM(CC46:CF46)</f>
        <v>3299889.6084802933</v>
      </c>
      <c r="DI46" s="583">
        <f>SUM(CG46:CJ46)</f>
        <v>3299889.6084802933</v>
      </c>
      <c r="DJ46" s="583">
        <f>SUM(CK46:CN46)</f>
        <v>3299889.6084802933</v>
      </c>
      <c r="DK46" s="583">
        <f>SUM(CO46:CR46)</f>
        <v>3371332.2136462447</v>
      </c>
      <c r="DL46" s="583">
        <f>SUM(CS46:CV46)</f>
        <v>3299889.6084802933</v>
      </c>
      <c r="DM46" s="583">
        <f>SUM(CW46:CZ46)</f>
        <v>3299889.6084802933</v>
      </c>
      <c r="DN46" s="583">
        <f>SUM(DA46:DD46)</f>
        <v>1746512.4893716169</v>
      </c>
      <c r="DO46" s="582">
        <f>AQ46-DE46</f>
        <v>-838037.04760085931</v>
      </c>
      <c r="DP46" s="582">
        <f t="shared" ref="DP46:DX58" si="56">AR46-DF46</f>
        <v>-612805.42754676379</v>
      </c>
      <c r="DQ46" s="582">
        <f t="shared" si="56"/>
        <v>-512396.37090729875</v>
      </c>
      <c r="DR46" s="582">
        <f t="shared" si="56"/>
        <v>-316013.89006656874</v>
      </c>
      <c r="DS46" s="582">
        <f t="shared" si="56"/>
        <v>7585.5834024087526</v>
      </c>
      <c r="DT46" s="582">
        <f t="shared" si="56"/>
        <v>379100.24974340666</v>
      </c>
      <c r="DU46" s="582">
        <f t="shared" si="56"/>
        <v>296570.16537530767</v>
      </c>
      <c r="DV46" s="582">
        <f t="shared" si="56"/>
        <v>597256.66923010582</v>
      </c>
      <c r="DW46" s="582">
        <f t="shared" si="56"/>
        <v>581549.40702706343</v>
      </c>
      <c r="DX46" s="582">
        <f t="shared" si="56"/>
        <v>2113983.5098650167</v>
      </c>
      <c r="DY46" s="925"/>
      <c r="DZ46" s="1606">
        <v>1</v>
      </c>
      <c r="EA46" s="857" t="e">
        <f>(DE46+#REF!/5)*1.1</f>
        <v>#REF!</v>
      </c>
      <c r="EB46" s="858" t="e">
        <f>(DF46+#REF!/9)*1.1</f>
        <v>#REF!</v>
      </c>
      <c r="EC46" s="858" t="e">
        <f>(DG46+#REF!/13)*1.1</f>
        <v>#REF!</v>
      </c>
      <c r="ED46" s="858" t="e">
        <f>(DH46+#REF!/17)*1.1</f>
        <v>#REF!</v>
      </c>
      <c r="EE46" s="859">
        <f t="shared" ref="EE46:EE62" si="57">(DI46)*1.1</f>
        <v>3629878.569328323</v>
      </c>
      <c r="EF46" s="147"/>
      <c r="EG46" s="1310">
        <v>1</v>
      </c>
      <c r="EH46" s="672" t="s">
        <v>209</v>
      </c>
      <c r="EI46" s="676">
        <f>C46-BQ46</f>
        <v>-224422.90767883882</v>
      </c>
      <c r="EJ46" s="676">
        <f t="shared" ref="EJ46:FV52" si="58">D46-BR46</f>
        <v>-214413.7494381516</v>
      </c>
      <c r="EK46" s="676">
        <f t="shared" si="58"/>
        <v>-204004.22486783681</v>
      </c>
      <c r="EL46" s="676">
        <f t="shared" si="58"/>
        <v>-195196.16561603209</v>
      </c>
      <c r="EM46" s="676">
        <f t="shared" si="58"/>
        <v>-158760.72934951831</v>
      </c>
      <c r="EN46" s="676">
        <f t="shared" si="58"/>
        <v>-152583.64883526566</v>
      </c>
      <c r="EO46" s="676">
        <f t="shared" si="58"/>
        <v>-152583.64883526566</v>
      </c>
      <c r="EP46" s="676">
        <f t="shared" si="58"/>
        <v>-148877.40052671405</v>
      </c>
      <c r="EQ46" s="676">
        <f t="shared" si="58"/>
        <v>-135596.83305502462</v>
      </c>
      <c r="ER46" s="676">
        <f t="shared" si="58"/>
        <v>-128932.17498551356</v>
      </c>
      <c r="ES46" s="676">
        <f t="shared" si="58"/>
        <v>-126432.92820944695</v>
      </c>
      <c r="ET46" s="676">
        <f t="shared" si="58"/>
        <v>-121434.43465731374</v>
      </c>
      <c r="EU46" s="676">
        <f t="shared" si="58"/>
        <v>-98441.364317500498</v>
      </c>
      <c r="EV46" s="676">
        <f t="shared" si="58"/>
        <v>-87394.693567285896</v>
      </c>
      <c r="EW46" s="676">
        <f t="shared" si="58"/>
        <v>-74223.663057414698</v>
      </c>
      <c r="EX46" s="676">
        <f t="shared" si="58"/>
        <v>-55954.169124367647</v>
      </c>
      <c r="EY46" s="676">
        <f t="shared" si="58"/>
        <v>-30606.308472144417</v>
      </c>
      <c r="EZ46" s="676">
        <f t="shared" si="58"/>
        <v>-8937.8389236466028</v>
      </c>
      <c r="FA46" s="676">
        <f t="shared" si="58"/>
        <v>12730.630624850979</v>
      </c>
      <c r="FB46" s="676">
        <f t="shared" si="58"/>
        <v>34399.10017334891</v>
      </c>
      <c r="FC46" s="676">
        <f>W46-CK46</f>
        <v>62051.599512846558</v>
      </c>
      <c r="FD46" s="676">
        <f t="shared" si="58"/>
        <v>83867.241461516707</v>
      </c>
      <c r="FE46" s="676">
        <f t="shared" si="58"/>
        <v>105682.88341018662</v>
      </c>
      <c r="FF46" s="676">
        <f t="shared" si="58"/>
        <v>127498.52535885654</v>
      </c>
      <c r="FG46" s="676">
        <f t="shared" si="58"/>
        <v>74142.541343826917</v>
      </c>
      <c r="FH46" s="676">
        <f t="shared" si="58"/>
        <v>74142.541343826917</v>
      </c>
      <c r="FI46" s="676">
        <f t="shared" si="58"/>
        <v>74142.541343826917</v>
      </c>
      <c r="FJ46" s="676">
        <f t="shared" si="58"/>
        <v>74142.541343826917</v>
      </c>
      <c r="FK46" s="676">
        <f t="shared" si="58"/>
        <v>149314.16730752646</v>
      </c>
      <c r="FL46" s="676">
        <f t="shared" si="58"/>
        <v>149314.16730752646</v>
      </c>
      <c r="FM46" s="676">
        <f t="shared" si="58"/>
        <v>149314.16730752646</v>
      </c>
      <c r="FN46" s="676">
        <f t="shared" si="58"/>
        <v>149314.16730752646</v>
      </c>
      <c r="FO46" s="676">
        <f t="shared" si="58"/>
        <v>149314.16730752646</v>
      </c>
      <c r="FP46" s="676">
        <f t="shared" si="58"/>
        <v>144078.41323984566</v>
      </c>
      <c r="FQ46" s="676">
        <f t="shared" si="58"/>
        <v>144078.41323984566</v>
      </c>
      <c r="FR46" s="676">
        <f t="shared" si="58"/>
        <v>144078.41323984566</v>
      </c>
      <c r="FS46" s="676">
        <f t="shared" si="58"/>
        <v>528495.87746625417</v>
      </c>
      <c r="FT46" s="676">
        <f t="shared" si="58"/>
        <v>528495.87746625417</v>
      </c>
      <c r="FU46" s="676">
        <f t="shared" si="58"/>
        <v>528495.87746625417</v>
      </c>
      <c r="FV46" s="676">
        <f t="shared" si="58"/>
        <v>528495.87746625417</v>
      </c>
      <c r="FW46" s="676"/>
      <c r="FX46" s="109">
        <f>AVERAGE(EI46:EL46)</f>
        <v>-209509.26190021483</v>
      </c>
      <c r="FY46" s="1574">
        <f>SUM(FX46:FX50)</f>
        <v>-495547.2916177499</v>
      </c>
      <c r="FZ46" s="109">
        <f t="shared" ref="FZ46:FZ54" si="59">AVERAGE(EM46:EP46)</f>
        <v>-153201.35688669092</v>
      </c>
      <c r="GA46" s="1574">
        <f>SUM(FZ46:FZ50)</f>
        <v>-15101.939980798983</v>
      </c>
      <c r="GB46" s="109">
        <f t="shared" ref="GB46:GB58" si="60">AVERAGE(EQ46:ET46)</f>
        <v>-128099.09272682472</v>
      </c>
      <c r="GC46" s="1574">
        <f>SUM(GB46:GB50)</f>
        <v>308066.61165354063</v>
      </c>
      <c r="GD46" s="109">
        <f t="shared" ref="GD46:GD62" si="61">AVERAGE(EU46:EX46)</f>
        <v>-79003.472516642185</v>
      </c>
      <c r="GE46" s="1574">
        <f>SUM(GD46:GD50)</f>
        <v>471751.33658538747</v>
      </c>
      <c r="GF46" s="109">
        <f t="shared" ref="GF46:GF62" si="62">AVERAGE(EY46:FB46)</f>
        <v>1896.3958506022173</v>
      </c>
      <c r="GG46" s="1574">
        <f>SUM(GF46:GF50)</f>
        <v>655226.02988060226</v>
      </c>
      <c r="GH46" s="1562">
        <f>GG46+GE46+GC46+GA46+FY46</f>
        <v>924394.74652098143</v>
      </c>
      <c r="GI46" s="1557">
        <f>SUM(EI46:FB50)</f>
        <v>3697578.9860839229</v>
      </c>
      <c r="GJ46" s="135"/>
      <c r="GK46" s="135"/>
      <c r="GL46" s="135"/>
      <c r="GM46" s="135"/>
      <c r="GN46" s="135"/>
      <c r="GO46" s="135"/>
      <c r="GP46" s="135"/>
      <c r="GQ46" s="135"/>
      <c r="GR46" s="135"/>
      <c r="GS46" s="1310" t="s">
        <v>291</v>
      </c>
      <c r="GT46" s="1603" t="s">
        <v>635</v>
      </c>
      <c r="GU46" s="1604"/>
      <c r="GV46" s="1604"/>
      <c r="GW46" s="1605"/>
    </row>
    <row r="47" spans="1:205" ht="14.65" customHeight="1" thickBot="1">
      <c r="A47" s="1333"/>
      <c r="B47" s="87" t="s">
        <v>210</v>
      </c>
      <c r="C47" s="343">
        <f t="shared" ref="C47:AP47" si="63">(IF(BQ5=1,IF(C5&lt;=$BJ$46,C5*1000*$BI5,$BJ$46*1000*$BI5),IF(BQ5*$BJ$46&gt;=C5,C5*1000*$BI5,BQ5*1000*$BJ$46*$BI5)))*C36/4*$C$26</f>
        <v>352390.59327046172</v>
      </c>
      <c r="D47" s="343">
        <f t="shared" si="63"/>
        <v>352390.59327046172</v>
      </c>
      <c r="E47" s="343">
        <f t="shared" si="63"/>
        <v>352390.59327046172</v>
      </c>
      <c r="F47" s="343">
        <f t="shared" si="63"/>
        <v>352390.59327046172</v>
      </c>
      <c r="G47" s="343">
        <f t="shared" si="63"/>
        <v>376913.81215380371</v>
      </c>
      <c r="H47" s="343">
        <f t="shared" si="63"/>
        <v>391714.91463309334</v>
      </c>
      <c r="I47" s="343">
        <f t="shared" si="63"/>
        <v>400831.2891856592</v>
      </c>
      <c r="J47" s="343">
        <f t="shared" si="63"/>
        <v>412790.02770158765</v>
      </c>
      <c r="K47" s="343">
        <f t="shared" si="63"/>
        <v>443189.83493490063</v>
      </c>
      <c r="L47" s="343">
        <f t="shared" si="63"/>
        <v>455661.53852556227</v>
      </c>
      <c r="M47" s="343">
        <f t="shared" si="63"/>
        <v>468133.24211622571</v>
      </c>
      <c r="N47" s="343">
        <f t="shared" si="63"/>
        <v>480604.94570688892</v>
      </c>
      <c r="O47" s="343">
        <f t="shared" si="63"/>
        <v>518777.72520609794</v>
      </c>
      <c r="P47" s="343">
        <f t="shared" si="63"/>
        <v>531893.63477009942</v>
      </c>
      <c r="Q47" s="343">
        <f t="shared" si="63"/>
        <v>545009.54433410254</v>
      </c>
      <c r="R47" s="343">
        <f t="shared" si="63"/>
        <v>558125.45389810402</v>
      </c>
      <c r="S47" s="343">
        <f t="shared" si="63"/>
        <v>600987.93741850613</v>
      </c>
      <c r="T47" s="343">
        <f t="shared" si="63"/>
        <v>614781.26419755642</v>
      </c>
      <c r="U47" s="343">
        <f t="shared" si="63"/>
        <v>628574.59097660694</v>
      </c>
      <c r="V47" s="343">
        <f t="shared" si="63"/>
        <v>632090.75026091794</v>
      </c>
      <c r="W47" s="343">
        <f t="shared" si="63"/>
        <v>632090.75026091794</v>
      </c>
      <c r="X47" s="343">
        <f t="shared" si="63"/>
        <v>632090.75026091794</v>
      </c>
      <c r="Y47" s="343">
        <f t="shared" si="63"/>
        <v>632090.75026091794</v>
      </c>
      <c r="Z47" s="343">
        <f t="shared" si="63"/>
        <v>632090.75026091794</v>
      </c>
      <c r="AA47" s="343">
        <f t="shared" si="63"/>
        <v>594908.94142204046</v>
      </c>
      <c r="AB47" s="343">
        <f t="shared" si="63"/>
        <v>594908.94142204046</v>
      </c>
      <c r="AC47" s="343">
        <f t="shared" si="63"/>
        <v>594908.94142204046</v>
      </c>
      <c r="AD47" s="343">
        <f t="shared" si="63"/>
        <v>594908.94142204046</v>
      </c>
      <c r="AE47" s="343">
        <f t="shared" si="63"/>
        <v>632090.75026091794</v>
      </c>
      <c r="AF47" s="343">
        <f t="shared" si="63"/>
        <v>632090.75026091794</v>
      </c>
      <c r="AG47" s="343">
        <f t="shared" si="63"/>
        <v>632090.75026091794</v>
      </c>
      <c r="AH47" s="343">
        <f t="shared" si="63"/>
        <v>632090.75026091794</v>
      </c>
      <c r="AI47" s="343">
        <f t="shared" si="63"/>
        <v>632090.75026091794</v>
      </c>
      <c r="AJ47" s="343">
        <f t="shared" si="63"/>
        <v>632090.75026091794</v>
      </c>
      <c r="AK47" s="343">
        <f t="shared" si="63"/>
        <v>632090.75026091794</v>
      </c>
      <c r="AL47" s="343">
        <f t="shared" si="63"/>
        <v>632090.75026091794</v>
      </c>
      <c r="AM47" s="343">
        <f t="shared" si="63"/>
        <v>632090.75026091794</v>
      </c>
      <c r="AN47" s="343">
        <f t="shared" si="63"/>
        <v>632090.75026091794</v>
      </c>
      <c r="AO47" s="343">
        <f t="shared" si="63"/>
        <v>632090.75026091794</v>
      </c>
      <c r="AP47" s="343">
        <f t="shared" si="63"/>
        <v>632090.75026091794</v>
      </c>
      <c r="AQ47" s="1084">
        <f>SUM(C47:F47)</f>
        <v>1409562.3730818469</v>
      </c>
      <c r="AR47" s="1084">
        <f t="shared" si="51"/>
        <v>1582250.043674144</v>
      </c>
      <c r="AS47" s="1084">
        <f t="shared" si="52"/>
        <v>1847589.5612835777</v>
      </c>
      <c r="AT47" s="1084">
        <f t="shared" si="53"/>
        <v>2153806.3582084039</v>
      </c>
      <c r="AU47" s="1084">
        <f t="shared" si="54"/>
        <v>2476434.5428535873</v>
      </c>
      <c r="AV47" s="1084">
        <f t="shared" ref="AV47:AV62" si="64">SUM(W47:Z47)</f>
        <v>2528363.0010436717</v>
      </c>
      <c r="AW47" s="1084">
        <f t="shared" ref="AW47:AW62" si="65">SUM(AA47:AD47)</f>
        <v>2379635.7656881618</v>
      </c>
      <c r="AX47" s="1084">
        <f t="shared" ref="AX47:AX62" si="66">SUM(AE47:AH47)</f>
        <v>2528363.0010436717</v>
      </c>
      <c r="AY47" s="1084">
        <f t="shared" ref="AY47:AY62" si="67">SUM(AI47:AL47)</f>
        <v>2528363.0010436717</v>
      </c>
      <c r="AZ47" s="1084">
        <f t="shared" ref="AZ47:AZ62" si="68">SUM(AM47:AP47)</f>
        <v>2528363.0010436717</v>
      </c>
      <c r="BA47" s="1085"/>
      <c r="BB47" s="1085"/>
      <c r="BC47" s="1085"/>
      <c r="BD47" s="1085"/>
      <c r="BE47" s="1085"/>
      <c r="BF47" s="924"/>
      <c r="BG47" s="1711" t="s">
        <v>643</v>
      </c>
      <c r="BH47" s="1712"/>
      <c r="BI47" s="1712"/>
      <c r="BJ47" s="150">
        <v>18.97</v>
      </c>
      <c r="BL47" s="148"/>
      <c r="BM47" t="e">
        <f>BN46*4</f>
        <v>#REF!</v>
      </c>
      <c r="BN47" t="e">
        <f>(#REF!/('Cost Structure'!$BA$13+'Cost Structure'!$BF$13))/4</f>
        <v>#REF!</v>
      </c>
      <c r="BO47" s="1333"/>
      <c r="BP47" s="665" t="s">
        <v>210</v>
      </c>
      <c r="BQ47" s="1089">
        <f t="shared" ref="BQ47:DD47" si="69">(BQ5*DJ25*C36/4)</f>
        <v>686193.5350156388</v>
      </c>
      <c r="BR47" s="1089">
        <f t="shared" si="69"/>
        <v>686193.5350156388</v>
      </c>
      <c r="BS47" s="1089">
        <f t="shared" si="69"/>
        <v>686193.5350156388</v>
      </c>
      <c r="BT47" s="1089">
        <f t="shared" si="69"/>
        <v>686193.5350156388</v>
      </c>
      <c r="BU47" s="1089">
        <f t="shared" si="69"/>
        <v>689922.3690442536</v>
      </c>
      <c r="BV47" s="1089">
        <f t="shared" si="69"/>
        <v>689922.3690442536</v>
      </c>
      <c r="BW47" s="1089">
        <f t="shared" si="69"/>
        <v>689922.3690442536</v>
      </c>
      <c r="BX47" s="1089">
        <f t="shared" si="69"/>
        <v>689922.3690442536</v>
      </c>
      <c r="BY47" s="1089">
        <f t="shared" si="69"/>
        <v>686193.5350156388</v>
      </c>
      <c r="BZ47" s="1089">
        <f t="shared" si="69"/>
        <v>686193.5350156388</v>
      </c>
      <c r="CA47" s="1089">
        <f t="shared" si="69"/>
        <v>686193.5350156388</v>
      </c>
      <c r="CB47" s="1089">
        <f t="shared" si="69"/>
        <v>686193.5350156388</v>
      </c>
      <c r="CC47" s="1089">
        <f t="shared" si="69"/>
        <v>686193.5350156388</v>
      </c>
      <c r="CD47" s="1089">
        <f t="shared" si="69"/>
        <v>686193.5350156388</v>
      </c>
      <c r="CE47" s="1089">
        <f t="shared" si="69"/>
        <v>686193.5350156388</v>
      </c>
      <c r="CF47" s="1089">
        <f t="shared" si="69"/>
        <v>686193.5350156388</v>
      </c>
      <c r="CG47" s="1089">
        <f t="shared" si="69"/>
        <v>686193.5350156388</v>
      </c>
      <c r="CH47" s="1089">
        <f t="shared" si="69"/>
        <v>686193.5350156388</v>
      </c>
      <c r="CI47" s="1089">
        <f t="shared" si="69"/>
        <v>686193.5350156388</v>
      </c>
      <c r="CJ47" s="1089">
        <f t="shared" si="69"/>
        <v>686193.5350156388</v>
      </c>
      <c r="CK47" s="1089">
        <f t="shared" si="69"/>
        <v>686193.5350156388</v>
      </c>
      <c r="CL47" s="1089">
        <f t="shared" si="69"/>
        <v>686193.5350156388</v>
      </c>
      <c r="CM47" s="1089">
        <f t="shared" si="69"/>
        <v>686193.5350156388</v>
      </c>
      <c r="CN47" s="1089">
        <f t="shared" si="69"/>
        <v>686193.5350156388</v>
      </c>
      <c r="CO47" s="1089">
        <f t="shared" si="69"/>
        <v>660091.69681533554</v>
      </c>
      <c r="CP47" s="1089">
        <f t="shared" si="69"/>
        <v>660091.69681533554</v>
      </c>
      <c r="CQ47" s="1089">
        <f t="shared" si="69"/>
        <v>660091.69681533554</v>
      </c>
      <c r="CR47" s="1089">
        <f t="shared" si="69"/>
        <v>660091.69681533554</v>
      </c>
      <c r="CS47" s="1089">
        <f t="shared" si="69"/>
        <v>686193.5350156388</v>
      </c>
      <c r="CT47" s="1089">
        <f t="shared" si="69"/>
        <v>686193.5350156388</v>
      </c>
      <c r="CU47" s="1089">
        <f t="shared" si="69"/>
        <v>686193.5350156388</v>
      </c>
      <c r="CV47" s="1089">
        <f t="shared" si="69"/>
        <v>686193.5350156388</v>
      </c>
      <c r="CW47" s="1089">
        <f t="shared" si="69"/>
        <v>686193.5350156388</v>
      </c>
      <c r="CX47" s="1089">
        <f t="shared" si="69"/>
        <v>686193.5350156388</v>
      </c>
      <c r="CY47" s="1089">
        <f t="shared" si="69"/>
        <v>686193.5350156388</v>
      </c>
      <c r="CZ47" s="1089">
        <f t="shared" si="69"/>
        <v>686193.5350156388</v>
      </c>
      <c r="DA47" s="1089">
        <f t="shared" si="69"/>
        <v>476873.772094791</v>
      </c>
      <c r="DB47" s="1089">
        <f t="shared" si="69"/>
        <v>476873.772094791</v>
      </c>
      <c r="DC47" s="1089">
        <f t="shared" si="69"/>
        <v>476873.772094791</v>
      </c>
      <c r="DD47" s="1089">
        <f t="shared" si="69"/>
        <v>476873.772094791</v>
      </c>
      <c r="DE47" s="582">
        <f t="shared" ref="DE47:DE54" si="70">SUM(BQ47:BT47)</f>
        <v>2744774.1400625552</v>
      </c>
      <c r="DF47" s="580">
        <f t="shared" ref="DF47:DF54" si="71">SUM(BU47:BX47)</f>
        <v>2759689.4761770144</v>
      </c>
      <c r="DG47" s="580">
        <f t="shared" ref="DG47:DG58" si="72">SUM(BY47:CB47)</f>
        <v>2744774.1400625552</v>
      </c>
      <c r="DH47" s="580">
        <f t="shared" ref="DH47:DH62" si="73">SUM(CC47:CF47)</f>
        <v>2744774.1400625552</v>
      </c>
      <c r="DI47" s="583">
        <f t="shared" ref="DI47:DI62" si="74">SUM(CG47:CJ47)</f>
        <v>2744774.1400625552</v>
      </c>
      <c r="DJ47" s="583">
        <f t="shared" ref="DJ47:DJ62" si="75">SUM(CK47:CN47)</f>
        <v>2744774.1400625552</v>
      </c>
      <c r="DK47" s="583">
        <f t="shared" ref="DK47:DK62" si="76">SUM(CO47:CR47)</f>
        <v>2640366.7872613422</v>
      </c>
      <c r="DL47" s="583">
        <f t="shared" ref="DL47:DL62" si="77">SUM(CS47:CV47)</f>
        <v>2744774.1400625552</v>
      </c>
      <c r="DM47" s="583">
        <f t="shared" ref="DM47:DM62" si="78">SUM(CW47:CZ47)</f>
        <v>2744774.1400625552</v>
      </c>
      <c r="DN47" s="583">
        <f t="shared" ref="DN47:DN62" si="79">SUM(DA47:DD47)</f>
        <v>1907495.088379164</v>
      </c>
      <c r="DO47" s="582">
        <f t="shared" ref="DO47:DO54" si="80">AQ47-DE47</f>
        <v>-1335211.7669807083</v>
      </c>
      <c r="DP47" s="582">
        <f t="shared" si="56"/>
        <v>-1177439.4325028704</v>
      </c>
      <c r="DQ47" s="582">
        <f t="shared" si="56"/>
        <v>-897184.57877897751</v>
      </c>
      <c r="DR47" s="582">
        <f t="shared" si="56"/>
        <v>-590967.78185415128</v>
      </c>
      <c r="DS47" s="582">
        <f t="shared" si="56"/>
        <v>-268339.5972089679</v>
      </c>
      <c r="DT47" s="582">
        <f>AV47-DJ47</f>
        <v>-216411.13901888346</v>
      </c>
      <c r="DU47" s="582">
        <f t="shared" si="56"/>
        <v>-260731.02157318033</v>
      </c>
      <c r="DV47" s="582">
        <f t="shared" si="56"/>
        <v>-216411.13901888346</v>
      </c>
      <c r="DW47" s="582">
        <f t="shared" si="56"/>
        <v>-216411.13901888346</v>
      </c>
      <c r="DX47" s="582">
        <f t="shared" si="56"/>
        <v>620867.91266450775</v>
      </c>
      <c r="DY47" s="926"/>
      <c r="DZ47" s="1607"/>
      <c r="EA47" s="857" t="e">
        <f>(DE47+#REF!/5)*1.1</f>
        <v>#REF!</v>
      </c>
      <c r="EB47" s="858" t="e">
        <f>(DF47+#REF!/9)*1.1</f>
        <v>#REF!</v>
      </c>
      <c r="EC47" s="858" t="e">
        <f>(DG47+#REF!/13)*1.1</f>
        <v>#REF!</v>
      </c>
      <c r="ED47" s="858" t="e">
        <f>(DH47+#REF!/17)*1.1</f>
        <v>#REF!</v>
      </c>
      <c r="EE47" s="859">
        <f t="shared" si="57"/>
        <v>3019251.5540688108</v>
      </c>
      <c r="EF47" s="147"/>
      <c r="EG47" s="1333"/>
      <c r="EH47" s="150" t="s">
        <v>210</v>
      </c>
      <c r="EI47" s="676">
        <f t="shared" ref="EI47:EI50" si="81">C47-BQ47</f>
        <v>-333802.94174517709</v>
      </c>
      <c r="EJ47" s="676">
        <f t="shared" si="58"/>
        <v>-333802.94174517709</v>
      </c>
      <c r="EK47" s="676">
        <f t="shared" si="58"/>
        <v>-333802.94174517709</v>
      </c>
      <c r="EL47" s="676">
        <f t="shared" si="58"/>
        <v>-333802.94174517709</v>
      </c>
      <c r="EM47" s="676">
        <f t="shared" si="58"/>
        <v>-313008.55689044989</v>
      </c>
      <c r="EN47" s="676">
        <f t="shared" si="58"/>
        <v>-298207.45441116026</v>
      </c>
      <c r="EO47" s="676">
        <f t="shared" si="58"/>
        <v>-289091.0798585944</v>
      </c>
      <c r="EP47" s="676">
        <f t="shared" si="58"/>
        <v>-277132.34134266595</v>
      </c>
      <c r="EQ47" s="676">
        <f t="shared" si="58"/>
        <v>-243003.70008073817</v>
      </c>
      <c r="ER47" s="676">
        <f t="shared" si="58"/>
        <v>-230531.99649007653</v>
      </c>
      <c r="ES47" s="676">
        <f t="shared" si="58"/>
        <v>-218060.29289941309</v>
      </c>
      <c r="ET47" s="676">
        <f t="shared" si="58"/>
        <v>-205588.58930874988</v>
      </c>
      <c r="EU47" s="676">
        <f t="shared" si="58"/>
        <v>-167415.80980954086</v>
      </c>
      <c r="EV47" s="676">
        <f t="shared" si="58"/>
        <v>-154299.90024553938</v>
      </c>
      <c r="EW47" s="676">
        <f t="shared" si="58"/>
        <v>-141183.99068153626</v>
      </c>
      <c r="EX47" s="676">
        <f t="shared" si="58"/>
        <v>-128068.08111753478</v>
      </c>
      <c r="EY47" s="676">
        <f t="shared" si="58"/>
        <v>-85205.59759713267</v>
      </c>
      <c r="EZ47" s="676">
        <f t="shared" si="58"/>
        <v>-71412.270818082383</v>
      </c>
      <c r="FA47" s="676">
        <f t="shared" si="58"/>
        <v>-57618.944039031863</v>
      </c>
      <c r="FB47" s="676">
        <f t="shared" si="58"/>
        <v>-54102.784754720866</v>
      </c>
      <c r="FC47" s="676">
        <f t="shared" si="58"/>
        <v>-54102.784754720866</v>
      </c>
      <c r="FD47" s="676">
        <f t="shared" si="58"/>
        <v>-54102.784754720866</v>
      </c>
      <c r="FE47" s="676">
        <f t="shared" si="58"/>
        <v>-54102.784754720866</v>
      </c>
      <c r="FF47" s="676">
        <f t="shared" si="58"/>
        <v>-54102.784754720866</v>
      </c>
      <c r="FG47" s="676">
        <f t="shared" si="58"/>
        <v>-65182.755393295083</v>
      </c>
      <c r="FH47" s="676">
        <f t="shared" si="58"/>
        <v>-65182.755393295083</v>
      </c>
      <c r="FI47" s="676">
        <f t="shared" si="58"/>
        <v>-65182.755393295083</v>
      </c>
      <c r="FJ47" s="676">
        <f t="shared" si="58"/>
        <v>-65182.755393295083</v>
      </c>
      <c r="FK47" s="676">
        <f t="shared" si="58"/>
        <v>-54102.784754720866</v>
      </c>
      <c r="FL47" s="676">
        <f t="shared" si="58"/>
        <v>-54102.784754720866</v>
      </c>
      <c r="FM47" s="676">
        <f t="shared" si="58"/>
        <v>-54102.784754720866</v>
      </c>
      <c r="FN47" s="676">
        <f t="shared" si="58"/>
        <v>-54102.784754720866</v>
      </c>
      <c r="FO47" s="676">
        <f t="shared" si="58"/>
        <v>-54102.784754720866</v>
      </c>
      <c r="FP47" s="676">
        <f t="shared" si="58"/>
        <v>-54102.784754720866</v>
      </c>
      <c r="FQ47" s="676">
        <f t="shared" si="58"/>
        <v>-54102.784754720866</v>
      </c>
      <c r="FR47" s="676">
        <f t="shared" si="58"/>
        <v>-54102.784754720866</v>
      </c>
      <c r="FS47" s="676">
        <f t="shared" si="58"/>
        <v>155216.97816612694</v>
      </c>
      <c r="FT47" s="676">
        <f t="shared" si="58"/>
        <v>155216.97816612694</v>
      </c>
      <c r="FU47" s="676">
        <f t="shared" si="58"/>
        <v>155216.97816612694</v>
      </c>
      <c r="FV47" s="676">
        <f t="shared" si="58"/>
        <v>155216.97816612694</v>
      </c>
      <c r="FW47" s="676"/>
      <c r="FX47" s="109">
        <f>AVERAGE(EI47:EL47)</f>
        <v>-333802.94174517709</v>
      </c>
      <c r="FY47" s="1575"/>
      <c r="FZ47" s="109">
        <f t="shared" si="59"/>
        <v>-294359.85812571761</v>
      </c>
      <c r="GA47" s="1575"/>
      <c r="GB47" s="109">
        <f t="shared" si="60"/>
        <v>-224296.14469474443</v>
      </c>
      <c r="GC47" s="1575"/>
      <c r="GD47" s="109">
        <f t="shared" si="61"/>
        <v>-147741.94546353782</v>
      </c>
      <c r="GE47" s="1575"/>
      <c r="GF47" s="109">
        <f t="shared" si="62"/>
        <v>-67084.899302241945</v>
      </c>
      <c r="GG47" s="1575"/>
      <c r="GH47" s="1563"/>
      <c r="GI47" s="1557"/>
      <c r="GJ47" s="135"/>
      <c r="GK47" s="135"/>
      <c r="GL47" s="135"/>
      <c r="GM47" s="135"/>
      <c r="GN47" s="135"/>
      <c r="GO47" s="135"/>
      <c r="GP47" s="135"/>
      <c r="GQ47" s="135"/>
      <c r="GR47" s="135"/>
      <c r="GS47" s="1326"/>
      <c r="GT47" s="348" t="s">
        <v>328</v>
      </c>
      <c r="GU47" s="348" t="s">
        <v>644</v>
      </c>
      <c r="GV47" s="348" t="s">
        <v>283</v>
      </c>
      <c r="GW47" s="349" t="s">
        <v>602</v>
      </c>
    </row>
    <row r="48" spans="1:205" ht="15" customHeight="1" thickBot="1">
      <c r="A48" s="1333"/>
      <c r="B48" s="87" t="s">
        <v>211</v>
      </c>
      <c r="C48" s="343">
        <f t="shared" ref="C48:AP48" si="82">(IF(BQ6=1,IF(C6&lt;=$BJ$46,C6*1000*$BI6,$BJ$46*1000*$BI6),IF(BQ6*$BJ$46&gt;=C6,C6*1000*$BI6,BQ6*1000*$BJ$46*$BI6)))*C36/4*$C$26</f>
        <v>760188.63160003885</v>
      </c>
      <c r="D48" s="343">
        <f t="shared" si="82"/>
        <v>710624.33281971596</v>
      </c>
      <c r="E48" s="343">
        <f t="shared" si="82"/>
        <v>753498.97164195811</v>
      </c>
      <c r="F48" s="343">
        <f t="shared" si="82"/>
        <v>797589.91227476066</v>
      </c>
      <c r="G48" s="343">
        <f t="shared" si="82"/>
        <v>885742.78099365998</v>
      </c>
      <c r="H48" s="343">
        <f t="shared" si="82"/>
        <v>910681.55497022206</v>
      </c>
      <c r="I48" s="343">
        <f t="shared" si="82"/>
        <v>926041.97861232876</v>
      </c>
      <c r="J48" s="343">
        <f t="shared" si="82"/>
        <v>946191.57742166345</v>
      </c>
      <c r="K48" s="343">
        <f t="shared" si="82"/>
        <v>962261.97365196107</v>
      </c>
      <c r="L48" s="343">
        <f t="shared" si="82"/>
        <v>973334.57718439447</v>
      </c>
      <c r="M48" s="343">
        <f t="shared" si="82"/>
        <v>990593.2940734101</v>
      </c>
      <c r="N48" s="343">
        <f t="shared" si="82"/>
        <v>990593.2940734101</v>
      </c>
      <c r="O48" s="343">
        <f t="shared" si="82"/>
        <v>1010405.1599548782</v>
      </c>
      <c r="P48" s="343">
        <f t="shared" si="82"/>
        <v>1010405.1599548782</v>
      </c>
      <c r="Q48" s="343">
        <f t="shared" si="82"/>
        <v>1010405.1599548782</v>
      </c>
      <c r="R48" s="343">
        <f t="shared" si="82"/>
        <v>1009473.4460469182</v>
      </c>
      <c r="S48" s="343">
        <f t="shared" si="82"/>
        <v>1030211.4833828632</v>
      </c>
      <c r="T48" s="343">
        <f t="shared" si="82"/>
        <v>1030613.2631539757</v>
      </c>
      <c r="U48" s="343">
        <f t="shared" si="82"/>
        <v>1030613.2631539757</v>
      </c>
      <c r="V48" s="343">
        <f t="shared" si="82"/>
        <v>1030613.2631539757</v>
      </c>
      <c r="W48" s="343">
        <f t="shared" si="82"/>
        <v>1052494.3324004416</v>
      </c>
      <c r="X48" s="343">
        <f t="shared" si="82"/>
        <v>1052494.3324004414</v>
      </c>
      <c r="Y48" s="343">
        <f t="shared" si="82"/>
        <v>1052494.3324004414</v>
      </c>
      <c r="Z48" s="343">
        <f t="shared" si="82"/>
        <v>1052494.3324004414</v>
      </c>
      <c r="AA48" s="343">
        <f t="shared" si="82"/>
        <v>1010394.559104424</v>
      </c>
      <c r="AB48" s="343">
        <f t="shared" si="82"/>
        <v>1010394.5591044241</v>
      </c>
      <c r="AC48" s="343">
        <f t="shared" si="82"/>
        <v>1013080.3500642976</v>
      </c>
      <c r="AD48" s="343">
        <f t="shared" si="82"/>
        <v>1009176.507280373</v>
      </c>
      <c r="AE48" s="343">
        <f t="shared" si="82"/>
        <v>1093695.0397651044</v>
      </c>
      <c r="AF48" s="343">
        <f t="shared" si="82"/>
        <v>1093695.0397651044</v>
      </c>
      <c r="AG48" s="343">
        <f t="shared" si="82"/>
        <v>1095015.1034294195</v>
      </c>
      <c r="AH48" s="343">
        <f t="shared" si="82"/>
        <v>1095015.1034294195</v>
      </c>
      <c r="AI48" s="343">
        <f t="shared" si="82"/>
        <v>1112758.8888374623</v>
      </c>
      <c r="AJ48" s="343">
        <f t="shared" si="82"/>
        <v>1112758.8888374625</v>
      </c>
      <c r="AK48" s="343">
        <f t="shared" si="82"/>
        <v>1112758.8888374625</v>
      </c>
      <c r="AL48" s="343">
        <f t="shared" si="82"/>
        <v>1112758.8888374625</v>
      </c>
      <c r="AM48" s="343">
        <f t="shared" si="82"/>
        <v>1129563.0919079536</v>
      </c>
      <c r="AN48" s="343">
        <f t="shared" si="82"/>
        <v>1129563.0919079536</v>
      </c>
      <c r="AO48" s="343">
        <f t="shared" si="82"/>
        <v>1129563.0919079536</v>
      </c>
      <c r="AP48" s="343">
        <f t="shared" si="82"/>
        <v>1129563.0919079536</v>
      </c>
      <c r="AQ48" s="1084">
        <f t="shared" ref="AQ48:AQ54" si="83">SUM(C48:F48)</f>
        <v>3021901.8483364736</v>
      </c>
      <c r="AR48" s="1084">
        <f t="shared" si="51"/>
        <v>3668657.8919978742</v>
      </c>
      <c r="AS48" s="1084">
        <f t="shared" si="52"/>
        <v>3916783.1389831761</v>
      </c>
      <c r="AT48" s="1084">
        <f t="shared" si="53"/>
        <v>4040688.9259115527</v>
      </c>
      <c r="AU48" s="1084">
        <f t="shared" si="54"/>
        <v>4122051.2728447905</v>
      </c>
      <c r="AV48" s="1084">
        <f t="shared" si="64"/>
        <v>4209977.3296017656</v>
      </c>
      <c r="AW48" s="1084">
        <f t="shared" si="65"/>
        <v>4043045.9755535186</v>
      </c>
      <c r="AX48" s="1084">
        <f t="shared" si="66"/>
        <v>4377420.2863890473</v>
      </c>
      <c r="AY48" s="1084">
        <f t="shared" si="67"/>
        <v>4451035.5553498492</v>
      </c>
      <c r="AZ48" s="1084">
        <f t="shared" si="68"/>
        <v>4518252.3676318144</v>
      </c>
      <c r="BA48" s="1085"/>
      <c r="BB48" s="1085"/>
      <c r="BC48" s="1085"/>
      <c r="BD48" s="1085"/>
      <c r="BE48" s="1085"/>
      <c r="BF48" s="924"/>
      <c r="BG48" s="1711" t="s">
        <v>645</v>
      </c>
      <c r="BH48" s="1712"/>
      <c r="BI48" s="1712"/>
      <c r="BJ48" s="150">
        <v>66</v>
      </c>
      <c r="BL48" s="148"/>
      <c r="BM48" t="e">
        <f t="shared" ref="BM48:BM54" si="84">BN47*4</f>
        <v>#REF!</v>
      </c>
      <c r="BN48" t="e">
        <f>(#REF!/('Cost Structure'!$BA$13+'Cost Structure'!$BF$13))/4</f>
        <v>#REF!</v>
      </c>
      <c r="BO48" s="1333"/>
      <c r="BP48" s="665" t="s">
        <v>211</v>
      </c>
      <c r="BQ48" s="1089">
        <f t="shared" ref="BQ48:DD48" si="85">(BQ6*DJ26*C36/4)</f>
        <v>759250.59887292772</v>
      </c>
      <c r="BR48" s="1089">
        <f t="shared" si="85"/>
        <v>759250.59887292772</v>
      </c>
      <c r="BS48" s="1089">
        <f t="shared" si="85"/>
        <v>759250.59887292772</v>
      </c>
      <c r="BT48" s="1089">
        <f t="shared" si="85"/>
        <v>759250.59887292772</v>
      </c>
      <c r="BU48" s="1089">
        <f t="shared" si="85"/>
        <v>763346.71668878919</v>
      </c>
      <c r="BV48" s="1089">
        <f t="shared" si="85"/>
        <v>763346.71668878919</v>
      </c>
      <c r="BW48" s="1089">
        <f t="shared" si="85"/>
        <v>763346.71668878919</v>
      </c>
      <c r="BX48" s="1089">
        <f t="shared" si="85"/>
        <v>763346.71668878919</v>
      </c>
      <c r="BY48" s="1089">
        <f t="shared" si="85"/>
        <v>759250.59887292772</v>
      </c>
      <c r="BZ48" s="1089">
        <f t="shared" si="85"/>
        <v>759250.59887292772</v>
      </c>
      <c r="CA48" s="1089">
        <f t="shared" si="85"/>
        <v>759250.59887292772</v>
      </c>
      <c r="CB48" s="1089">
        <f t="shared" si="85"/>
        <v>759250.59887292772</v>
      </c>
      <c r="CC48" s="1089">
        <f t="shared" si="85"/>
        <v>759250.59887292772</v>
      </c>
      <c r="CD48" s="1089">
        <f t="shared" si="85"/>
        <v>759250.59887292772</v>
      </c>
      <c r="CE48" s="1089">
        <f t="shared" si="85"/>
        <v>759250.59887292772</v>
      </c>
      <c r="CF48" s="1089">
        <f t="shared" si="85"/>
        <v>759250.59887292772</v>
      </c>
      <c r="CG48" s="1089">
        <f t="shared" si="85"/>
        <v>759250.59887292772</v>
      </c>
      <c r="CH48" s="1089">
        <f t="shared" si="85"/>
        <v>759250.59887292772</v>
      </c>
      <c r="CI48" s="1089">
        <f t="shared" si="85"/>
        <v>759250.59887292772</v>
      </c>
      <c r="CJ48" s="1089">
        <f t="shared" si="85"/>
        <v>759250.59887292772</v>
      </c>
      <c r="CK48" s="1089">
        <f t="shared" si="85"/>
        <v>759250.59887292772</v>
      </c>
      <c r="CL48" s="1089">
        <f t="shared" si="85"/>
        <v>759250.59887292772</v>
      </c>
      <c r="CM48" s="1089">
        <f t="shared" si="85"/>
        <v>759250.59887292772</v>
      </c>
      <c r="CN48" s="1089">
        <f t="shared" si="85"/>
        <v>759250.59887292772</v>
      </c>
      <c r="CO48" s="1089">
        <f t="shared" si="85"/>
        <v>730577.77416189655</v>
      </c>
      <c r="CP48" s="1089">
        <f t="shared" si="85"/>
        <v>730577.77416189655</v>
      </c>
      <c r="CQ48" s="1089">
        <f t="shared" si="85"/>
        <v>730577.77416189655</v>
      </c>
      <c r="CR48" s="1089">
        <f t="shared" si="85"/>
        <v>730577.77416189655</v>
      </c>
      <c r="CS48" s="1089">
        <f t="shared" si="85"/>
        <v>759250.59887292772</v>
      </c>
      <c r="CT48" s="1089">
        <f t="shared" si="85"/>
        <v>759250.59887292772</v>
      </c>
      <c r="CU48" s="1089">
        <f t="shared" si="85"/>
        <v>759250.59887292772</v>
      </c>
      <c r="CV48" s="1089">
        <f t="shared" si="85"/>
        <v>759250.59887292772</v>
      </c>
      <c r="CW48" s="1089">
        <f t="shared" si="85"/>
        <v>759250.59887292772</v>
      </c>
      <c r="CX48" s="1089">
        <f t="shared" si="85"/>
        <v>759250.59887292772</v>
      </c>
      <c r="CY48" s="1089">
        <f t="shared" si="85"/>
        <v>759250.59887292772</v>
      </c>
      <c r="CZ48" s="1089">
        <f t="shared" si="85"/>
        <v>759250.59887292772</v>
      </c>
      <c r="DA48" s="1089">
        <f t="shared" si="85"/>
        <v>435291.86415351823</v>
      </c>
      <c r="DB48" s="1089">
        <f t="shared" si="85"/>
        <v>435291.86415351823</v>
      </c>
      <c r="DC48" s="1089">
        <f t="shared" si="85"/>
        <v>435291.86415351823</v>
      </c>
      <c r="DD48" s="1089">
        <f t="shared" si="85"/>
        <v>435291.86415351823</v>
      </c>
      <c r="DE48" s="582">
        <f t="shared" si="70"/>
        <v>3037002.3954917109</v>
      </c>
      <c r="DF48" s="580">
        <f t="shared" si="71"/>
        <v>3053386.8667551568</v>
      </c>
      <c r="DG48" s="580">
        <f t="shared" si="72"/>
        <v>3037002.3954917109</v>
      </c>
      <c r="DH48" s="580">
        <f t="shared" si="73"/>
        <v>3037002.3954917109</v>
      </c>
      <c r="DI48" s="583">
        <f t="shared" si="74"/>
        <v>3037002.3954917109</v>
      </c>
      <c r="DJ48" s="583">
        <f t="shared" si="75"/>
        <v>3037002.3954917109</v>
      </c>
      <c r="DK48" s="583">
        <f t="shared" si="76"/>
        <v>2922311.0966475862</v>
      </c>
      <c r="DL48" s="583">
        <f t="shared" si="77"/>
        <v>3037002.3954917109</v>
      </c>
      <c r="DM48" s="583">
        <f t="shared" si="78"/>
        <v>3037002.3954917109</v>
      </c>
      <c r="DN48" s="583">
        <f t="shared" si="79"/>
        <v>1741167.4566140729</v>
      </c>
      <c r="DO48" s="582">
        <f t="shared" si="80"/>
        <v>-15100.547155237291</v>
      </c>
      <c r="DP48" s="582">
        <f t="shared" si="56"/>
        <v>615271.02524271747</v>
      </c>
      <c r="DQ48" s="582">
        <f t="shared" si="56"/>
        <v>879780.74349146523</v>
      </c>
      <c r="DR48" s="582">
        <f t="shared" si="56"/>
        <v>1003686.5304198419</v>
      </c>
      <c r="DS48" s="582">
        <f t="shared" si="56"/>
        <v>1085048.8773530796</v>
      </c>
      <c r="DT48" s="582">
        <f t="shared" si="56"/>
        <v>1172974.9341100547</v>
      </c>
      <c r="DU48" s="582">
        <f t="shared" si="56"/>
        <v>1120734.8789059324</v>
      </c>
      <c r="DV48" s="582">
        <f t="shared" si="56"/>
        <v>1340417.8908973364</v>
      </c>
      <c r="DW48" s="582">
        <f t="shared" si="56"/>
        <v>1414033.1598581383</v>
      </c>
      <c r="DX48" s="582">
        <f t="shared" si="56"/>
        <v>2777084.9110177415</v>
      </c>
      <c r="DY48" s="926"/>
      <c r="DZ48" s="1607"/>
      <c r="EA48" s="857" t="e">
        <f>(DE48+#REF!/5)*1.1</f>
        <v>#REF!</v>
      </c>
      <c r="EB48" s="858" t="e">
        <f>(DF48+#REF!/9)*1.1</f>
        <v>#REF!</v>
      </c>
      <c r="EC48" s="858" t="e">
        <f>(DG48+#REF!/13)*1.1</f>
        <v>#REF!</v>
      </c>
      <c r="ED48" s="858" t="e">
        <f>(DH48+#REF!/17)*1.1</f>
        <v>#REF!</v>
      </c>
      <c r="EE48" s="859">
        <f t="shared" si="57"/>
        <v>3340702.635040882</v>
      </c>
      <c r="EF48" s="147"/>
      <c r="EG48" s="1333"/>
      <c r="EH48" s="150" t="s">
        <v>211</v>
      </c>
      <c r="EI48" s="676">
        <f t="shared" si="81"/>
        <v>938.03272711113095</v>
      </c>
      <c r="EJ48" s="676">
        <f t="shared" si="58"/>
        <v>-48626.266053211759</v>
      </c>
      <c r="EK48" s="676">
        <f t="shared" si="58"/>
        <v>-5751.6272309696069</v>
      </c>
      <c r="EL48" s="676">
        <f t="shared" si="58"/>
        <v>38339.313401832944</v>
      </c>
      <c r="EM48" s="676">
        <f t="shared" si="58"/>
        <v>122396.06430487079</v>
      </c>
      <c r="EN48" s="676">
        <f t="shared" si="58"/>
        <v>147334.83828143287</v>
      </c>
      <c r="EO48" s="676">
        <f t="shared" si="58"/>
        <v>162695.26192353957</v>
      </c>
      <c r="EP48" s="676">
        <f t="shared" si="58"/>
        <v>182844.86073287425</v>
      </c>
      <c r="EQ48" s="676">
        <f t="shared" si="58"/>
        <v>203011.37477903336</v>
      </c>
      <c r="ER48" s="676">
        <f t="shared" si="58"/>
        <v>214083.97831146675</v>
      </c>
      <c r="ES48" s="676">
        <f t="shared" si="58"/>
        <v>231342.69520048238</v>
      </c>
      <c r="ET48" s="676">
        <f t="shared" si="58"/>
        <v>231342.69520048238</v>
      </c>
      <c r="EU48" s="676">
        <f t="shared" si="58"/>
        <v>251154.56108195044</v>
      </c>
      <c r="EV48" s="676">
        <f t="shared" si="58"/>
        <v>251154.56108195044</v>
      </c>
      <c r="EW48" s="676">
        <f t="shared" si="58"/>
        <v>251154.56108195044</v>
      </c>
      <c r="EX48" s="676">
        <f t="shared" si="58"/>
        <v>250222.84717399045</v>
      </c>
      <c r="EY48" s="676">
        <f t="shared" si="58"/>
        <v>270960.88450993551</v>
      </c>
      <c r="EZ48" s="676">
        <f t="shared" si="58"/>
        <v>271362.664281048</v>
      </c>
      <c r="FA48" s="676">
        <f t="shared" si="58"/>
        <v>271362.664281048</v>
      </c>
      <c r="FB48" s="676">
        <f t="shared" si="58"/>
        <v>271362.664281048</v>
      </c>
      <c r="FC48" s="676">
        <f t="shared" si="58"/>
        <v>293243.73352751392</v>
      </c>
      <c r="FD48" s="676">
        <f t="shared" si="58"/>
        <v>293243.73352751369</v>
      </c>
      <c r="FE48" s="676">
        <f t="shared" si="58"/>
        <v>293243.73352751369</v>
      </c>
      <c r="FF48" s="676">
        <f t="shared" si="58"/>
        <v>293243.73352751369</v>
      </c>
      <c r="FG48" s="676">
        <f t="shared" si="58"/>
        <v>279816.78494252742</v>
      </c>
      <c r="FH48" s="676">
        <f t="shared" si="58"/>
        <v>279816.78494252753</v>
      </c>
      <c r="FI48" s="676">
        <f t="shared" si="58"/>
        <v>282502.575902401</v>
      </c>
      <c r="FJ48" s="676">
        <f t="shared" si="58"/>
        <v>278598.73311847646</v>
      </c>
      <c r="FK48" s="676">
        <f t="shared" si="58"/>
        <v>334444.4408921767</v>
      </c>
      <c r="FL48" s="676">
        <f t="shared" si="58"/>
        <v>334444.4408921767</v>
      </c>
      <c r="FM48" s="676">
        <f t="shared" si="58"/>
        <v>335764.50455649174</v>
      </c>
      <c r="FN48" s="676">
        <f t="shared" si="58"/>
        <v>335764.50455649174</v>
      </c>
      <c r="FO48" s="676">
        <f t="shared" si="58"/>
        <v>353508.28996453458</v>
      </c>
      <c r="FP48" s="676">
        <f t="shared" si="58"/>
        <v>353508.28996453481</v>
      </c>
      <c r="FQ48" s="676">
        <f t="shared" si="58"/>
        <v>353508.28996453481</v>
      </c>
      <c r="FR48" s="676">
        <f t="shared" si="58"/>
        <v>353508.28996453481</v>
      </c>
      <c r="FS48" s="676">
        <f t="shared" si="58"/>
        <v>694271.22775443539</v>
      </c>
      <c r="FT48" s="676">
        <f t="shared" si="58"/>
        <v>694271.22775443539</v>
      </c>
      <c r="FU48" s="676">
        <f t="shared" si="58"/>
        <v>694271.22775443539</v>
      </c>
      <c r="FV48" s="676">
        <f t="shared" si="58"/>
        <v>694271.22775443539</v>
      </c>
      <c r="FW48" s="676"/>
      <c r="FX48" s="109">
        <f>AVERAGE(EI48:EL48)</f>
        <v>-3775.1367888093228</v>
      </c>
      <c r="FY48" s="1575"/>
      <c r="FZ48" s="109">
        <f t="shared" si="59"/>
        <v>153817.75631067937</v>
      </c>
      <c r="GA48" s="1575"/>
      <c r="GB48" s="109">
        <f t="shared" si="60"/>
        <v>219945.18587286622</v>
      </c>
      <c r="GC48" s="1575"/>
      <c r="GD48" s="109">
        <f t="shared" si="61"/>
        <v>250921.63260496044</v>
      </c>
      <c r="GE48" s="1575"/>
      <c r="GF48" s="109">
        <f t="shared" si="62"/>
        <v>271262.2193382699</v>
      </c>
      <c r="GG48" s="1575"/>
      <c r="GH48" s="1563"/>
      <c r="GI48" s="1557"/>
      <c r="GS48" s="59">
        <v>1</v>
      </c>
      <c r="GT48" s="355">
        <v>3344038.8995958194</v>
      </c>
      <c r="GU48" s="355">
        <v>2067858.2781495887</v>
      </c>
      <c r="GV48" s="355">
        <v>3585179.3666392644</v>
      </c>
      <c r="GW48" s="360">
        <v>3719920.8433200861</v>
      </c>
    </row>
    <row r="49" spans="1:205" ht="15" customHeight="1" thickBot="1">
      <c r="A49" s="1333"/>
      <c r="B49" s="87" t="s">
        <v>212</v>
      </c>
      <c r="C49" s="343">
        <f t="shared" ref="C49:AP49" si="86">(IF(BQ7=1,IF(C7&lt;=$BJ$46,C7*1000*$BI7,$BJ$46*1000*$BI7),IF(BQ7*$BJ$46&gt;=C7,C7*1000*$BI7,BQ7*1000*$BJ$46*$BI7)))*C36/4*$C$26</f>
        <v>364129.08803804719</v>
      </c>
      <c r="D49" s="343">
        <f t="shared" si="86"/>
        <v>376384.05478990544</v>
      </c>
      <c r="E49" s="343">
        <f t="shared" si="86"/>
        <v>385564.1536872203</v>
      </c>
      <c r="F49" s="343">
        <f t="shared" si="86"/>
        <v>394744.25258453499</v>
      </c>
      <c r="G49" s="343">
        <f t="shared" si="86"/>
        <v>434784.54026265891</v>
      </c>
      <c r="H49" s="343">
        <f t="shared" si="86"/>
        <v>447026.23571960622</v>
      </c>
      <c r="I49" s="343">
        <f t="shared" si="86"/>
        <v>454566.20654949074</v>
      </c>
      <c r="J49" s="343">
        <f t="shared" si="86"/>
        <v>464457.03969290684</v>
      </c>
      <c r="K49" s="343">
        <f t="shared" si="86"/>
        <v>481282.33521010337</v>
      </c>
      <c r="L49" s="343">
        <f t="shared" si="86"/>
        <v>485422.46429768659</v>
      </c>
      <c r="M49" s="343">
        <f t="shared" si="86"/>
        <v>489562.59338526981</v>
      </c>
      <c r="N49" s="343">
        <f t="shared" si="86"/>
        <v>493702.72247285314</v>
      </c>
      <c r="O49" s="343">
        <f t="shared" si="86"/>
        <v>493702.72247285314</v>
      </c>
      <c r="P49" s="343">
        <f t="shared" si="86"/>
        <v>493702.72247285314</v>
      </c>
      <c r="Q49" s="343">
        <f t="shared" si="86"/>
        <v>493702.72247285314</v>
      </c>
      <c r="R49" s="343">
        <f t="shared" si="86"/>
        <v>493702.72247285314</v>
      </c>
      <c r="S49" s="343">
        <f t="shared" si="86"/>
        <v>493702.72247285314</v>
      </c>
      <c r="T49" s="343">
        <f t="shared" si="86"/>
        <v>493702.72247285314</v>
      </c>
      <c r="U49" s="343">
        <f t="shared" si="86"/>
        <v>496857.10653958324</v>
      </c>
      <c r="V49" s="343">
        <f t="shared" si="86"/>
        <v>496857.10653958324</v>
      </c>
      <c r="W49" s="343">
        <f t="shared" si="86"/>
        <v>496857.10653958324</v>
      </c>
      <c r="X49" s="343">
        <f t="shared" si="86"/>
        <v>500011.4906063134</v>
      </c>
      <c r="Y49" s="343">
        <f t="shared" si="86"/>
        <v>500011.4906063134</v>
      </c>
      <c r="Z49" s="343">
        <f t="shared" si="86"/>
        <v>500011.4906063134</v>
      </c>
      <c r="AA49" s="343">
        <f t="shared" si="86"/>
        <v>470599.0499824126</v>
      </c>
      <c r="AB49" s="343">
        <f t="shared" si="86"/>
        <v>470599.0499824126</v>
      </c>
      <c r="AC49" s="343">
        <f t="shared" si="86"/>
        <v>456865.59996840538</v>
      </c>
      <c r="AD49" s="343">
        <f t="shared" si="86"/>
        <v>456865.59996840538</v>
      </c>
      <c r="AE49" s="343">
        <f t="shared" si="86"/>
        <v>485419.69996643072</v>
      </c>
      <c r="AF49" s="343">
        <f t="shared" si="86"/>
        <v>485419.69996643072</v>
      </c>
      <c r="AG49" s="343">
        <f t="shared" si="86"/>
        <v>501194.38463133713</v>
      </c>
      <c r="AH49" s="343">
        <f t="shared" si="86"/>
        <v>503363.02367721417</v>
      </c>
      <c r="AI49" s="343">
        <f t="shared" si="86"/>
        <v>499814.34160214273</v>
      </c>
      <c r="AJ49" s="343">
        <f t="shared" si="86"/>
        <v>499814.34160214273</v>
      </c>
      <c r="AK49" s="343">
        <f t="shared" si="86"/>
        <v>499814.34160214273</v>
      </c>
      <c r="AL49" s="343">
        <f t="shared" si="86"/>
        <v>501982.98064801958</v>
      </c>
      <c r="AM49" s="343">
        <f t="shared" si="86"/>
        <v>498040.00056460703</v>
      </c>
      <c r="AN49" s="343">
        <f t="shared" si="86"/>
        <v>498040.00056460703</v>
      </c>
      <c r="AO49" s="343">
        <f t="shared" si="86"/>
        <v>498040.00056460703</v>
      </c>
      <c r="AP49" s="343">
        <f t="shared" si="86"/>
        <v>500208.63961048395</v>
      </c>
      <c r="AQ49" s="1084">
        <f t="shared" si="83"/>
        <v>1520821.5490997077</v>
      </c>
      <c r="AR49" s="1084">
        <f t="shared" si="51"/>
        <v>1800834.0222246628</v>
      </c>
      <c r="AS49" s="1084">
        <f t="shared" si="52"/>
        <v>1949970.1153659131</v>
      </c>
      <c r="AT49" s="1084">
        <f t="shared" si="53"/>
        <v>1974810.8898914126</v>
      </c>
      <c r="AU49" s="1084">
        <f t="shared" si="54"/>
        <v>1981119.6580248729</v>
      </c>
      <c r="AV49" s="1084">
        <f t="shared" si="64"/>
        <v>1996891.5783585233</v>
      </c>
      <c r="AW49" s="1084">
        <f t="shared" si="65"/>
        <v>1854929.2999016361</v>
      </c>
      <c r="AX49" s="1084">
        <f t="shared" si="66"/>
        <v>1975396.8082414125</v>
      </c>
      <c r="AY49" s="1084">
        <f t="shared" si="67"/>
        <v>2001426.0054544478</v>
      </c>
      <c r="AZ49" s="1084">
        <f t="shared" si="68"/>
        <v>1994328.6413043051</v>
      </c>
      <c r="BA49" s="1085"/>
      <c r="BB49" s="1085"/>
      <c r="BC49" s="1085"/>
      <c r="BD49" s="1085"/>
      <c r="BE49" s="1085"/>
      <c r="BF49" s="924"/>
      <c r="BG49" s="1709" t="s">
        <v>100</v>
      </c>
      <c r="BH49" s="1710"/>
      <c r="BI49" s="1710"/>
      <c r="BJ49" s="151">
        <v>48.5</v>
      </c>
      <c r="BL49" s="148"/>
      <c r="BM49" t="e">
        <f t="shared" si="84"/>
        <v>#REF!</v>
      </c>
      <c r="BN49" t="e">
        <f>(#REF!/('Cost Structure'!$BA$13+'Cost Structure'!$BF$13))/4</f>
        <v>#REF!</v>
      </c>
      <c r="BO49" s="1333"/>
      <c r="BP49" s="665" t="s">
        <v>212</v>
      </c>
      <c r="BQ49" s="1089">
        <f t="shared" ref="BQ49:DD49" si="87">(BQ7*DJ27*C36/4)</f>
        <v>778425.08555921144</v>
      </c>
      <c r="BR49" s="1089">
        <f t="shared" si="87"/>
        <v>778425.08555921144</v>
      </c>
      <c r="BS49" s="1089">
        <f t="shared" si="87"/>
        <v>778425.08555921144</v>
      </c>
      <c r="BT49" s="1089">
        <f t="shared" si="87"/>
        <v>778425.08555921144</v>
      </c>
      <c r="BU49" s="1089">
        <f t="shared" si="87"/>
        <v>782682.3335152939</v>
      </c>
      <c r="BV49" s="1089">
        <f t="shared" si="87"/>
        <v>782682.3335152939</v>
      </c>
      <c r="BW49" s="1089">
        <f t="shared" si="87"/>
        <v>782682.3335152939</v>
      </c>
      <c r="BX49" s="1089">
        <f t="shared" si="87"/>
        <v>782682.3335152939</v>
      </c>
      <c r="BY49" s="1089">
        <f t="shared" si="87"/>
        <v>778425.08555921144</v>
      </c>
      <c r="BZ49" s="1089">
        <f t="shared" si="87"/>
        <v>778425.08555921144</v>
      </c>
      <c r="CA49" s="1089">
        <f t="shared" si="87"/>
        <v>778425.08555921144</v>
      </c>
      <c r="CB49" s="1089">
        <f t="shared" si="87"/>
        <v>778425.08555921144</v>
      </c>
      <c r="CC49" s="1089">
        <f t="shared" si="87"/>
        <v>778425.08555921144</v>
      </c>
      <c r="CD49" s="1089">
        <f t="shared" si="87"/>
        <v>778425.08555921144</v>
      </c>
      <c r="CE49" s="1089">
        <f t="shared" si="87"/>
        <v>778425.08555921144</v>
      </c>
      <c r="CF49" s="1089">
        <f t="shared" si="87"/>
        <v>778425.08555921144</v>
      </c>
      <c r="CG49" s="1089">
        <f t="shared" si="87"/>
        <v>778425.08555921144</v>
      </c>
      <c r="CH49" s="1089">
        <f t="shared" si="87"/>
        <v>778425.08555921144</v>
      </c>
      <c r="CI49" s="1089">
        <f t="shared" si="87"/>
        <v>778425.08555921144</v>
      </c>
      <c r="CJ49" s="1089">
        <f t="shared" si="87"/>
        <v>778425.08555921144</v>
      </c>
      <c r="CK49" s="1089">
        <f t="shared" si="87"/>
        <v>778425.08555921144</v>
      </c>
      <c r="CL49" s="1089">
        <f t="shared" si="87"/>
        <v>778425.08555921144</v>
      </c>
      <c r="CM49" s="1089">
        <f t="shared" si="87"/>
        <v>778425.08555921144</v>
      </c>
      <c r="CN49" s="1089">
        <f t="shared" si="87"/>
        <v>778425.08555921144</v>
      </c>
      <c r="CO49" s="1089">
        <f t="shared" si="87"/>
        <v>748624.34986663412</v>
      </c>
      <c r="CP49" s="1089">
        <f t="shared" si="87"/>
        <v>748624.34986663412</v>
      </c>
      <c r="CQ49" s="1089">
        <f t="shared" si="87"/>
        <v>748624.34986663412</v>
      </c>
      <c r="CR49" s="1089">
        <f t="shared" si="87"/>
        <v>748624.34986663412</v>
      </c>
      <c r="CS49" s="1089">
        <f t="shared" si="87"/>
        <v>778425.08555921144</v>
      </c>
      <c r="CT49" s="1089">
        <f t="shared" si="87"/>
        <v>778425.08555921144</v>
      </c>
      <c r="CU49" s="1089">
        <f t="shared" si="87"/>
        <v>778425.08555921144</v>
      </c>
      <c r="CV49" s="1089">
        <f t="shared" si="87"/>
        <v>778425.08555921144</v>
      </c>
      <c r="CW49" s="1089">
        <f t="shared" si="87"/>
        <v>778425.08555921144</v>
      </c>
      <c r="CX49" s="1089">
        <f t="shared" si="87"/>
        <v>778425.08555921144</v>
      </c>
      <c r="CY49" s="1089">
        <f t="shared" si="87"/>
        <v>778425.08555921144</v>
      </c>
      <c r="CZ49" s="1089">
        <f t="shared" si="87"/>
        <v>778425.08555921144</v>
      </c>
      <c r="DA49" s="1089">
        <f t="shared" si="87"/>
        <v>446284.93820080813</v>
      </c>
      <c r="DB49" s="1089">
        <f t="shared" si="87"/>
        <v>446284.93820080813</v>
      </c>
      <c r="DC49" s="1089">
        <f t="shared" si="87"/>
        <v>446284.93820080813</v>
      </c>
      <c r="DD49" s="1089">
        <f t="shared" si="87"/>
        <v>446284.93820080813</v>
      </c>
      <c r="DE49" s="582">
        <f t="shared" si="70"/>
        <v>3113700.3422368458</v>
      </c>
      <c r="DF49" s="580">
        <f t="shared" si="71"/>
        <v>3130729.3340611756</v>
      </c>
      <c r="DG49" s="580">
        <f t="shared" si="72"/>
        <v>3113700.3422368458</v>
      </c>
      <c r="DH49" s="580">
        <f t="shared" si="73"/>
        <v>3113700.3422368458</v>
      </c>
      <c r="DI49" s="583">
        <f t="shared" si="74"/>
        <v>3113700.3422368458</v>
      </c>
      <c r="DJ49" s="583">
        <f t="shared" si="75"/>
        <v>3113700.3422368458</v>
      </c>
      <c r="DK49" s="583">
        <f t="shared" si="76"/>
        <v>2994497.3994665365</v>
      </c>
      <c r="DL49" s="583">
        <f t="shared" si="77"/>
        <v>3113700.3422368458</v>
      </c>
      <c r="DM49" s="583">
        <f t="shared" si="78"/>
        <v>3113700.3422368458</v>
      </c>
      <c r="DN49" s="583">
        <f t="shared" si="79"/>
        <v>1785139.7528032325</v>
      </c>
      <c r="DO49" s="582">
        <f t="shared" si="80"/>
        <v>-1592878.793137138</v>
      </c>
      <c r="DP49" s="582">
        <f t="shared" si="56"/>
        <v>-1329895.3118365128</v>
      </c>
      <c r="DQ49" s="582">
        <f t="shared" si="56"/>
        <v>-1163730.2268709326</v>
      </c>
      <c r="DR49" s="582">
        <f t="shared" si="56"/>
        <v>-1138889.4523454332</v>
      </c>
      <c r="DS49" s="582">
        <f t="shared" si="56"/>
        <v>-1132580.6842119729</v>
      </c>
      <c r="DT49" s="582">
        <f t="shared" si="56"/>
        <v>-1116808.7638783224</v>
      </c>
      <c r="DU49" s="582">
        <f t="shared" si="56"/>
        <v>-1139568.0995649004</v>
      </c>
      <c r="DV49" s="582">
        <f t="shared" si="56"/>
        <v>-1138303.5339954332</v>
      </c>
      <c r="DW49" s="582">
        <f t="shared" si="56"/>
        <v>-1112274.3367823979</v>
      </c>
      <c r="DX49" s="582">
        <f t="shared" si="56"/>
        <v>209188.88850107254</v>
      </c>
      <c r="DY49" s="926"/>
      <c r="DZ49" s="1607"/>
      <c r="EA49" s="857" t="e">
        <f>(DE49+#REF!/5)*1.1</f>
        <v>#REF!</v>
      </c>
      <c r="EB49" s="858" t="e">
        <f>(DF49+#REF!/9)*1.1</f>
        <v>#REF!</v>
      </c>
      <c r="EC49" s="858" t="e">
        <f>(DG49+#REF!/13)*1.1</f>
        <v>#REF!</v>
      </c>
      <c r="ED49" s="858" t="e">
        <f>(DH49+#REF!/17)*1.1</f>
        <v>#REF!</v>
      </c>
      <c r="EE49" s="859">
        <f t="shared" si="57"/>
        <v>3425070.3764605308</v>
      </c>
      <c r="EF49" s="147"/>
      <c r="EG49" s="1333"/>
      <c r="EH49" s="150" t="s">
        <v>212</v>
      </c>
      <c r="EI49" s="676">
        <f t="shared" si="81"/>
        <v>-414295.99752116424</v>
      </c>
      <c r="EJ49" s="676">
        <f t="shared" si="58"/>
        <v>-402041.030769306</v>
      </c>
      <c r="EK49" s="676">
        <f t="shared" si="58"/>
        <v>-392860.93187199114</v>
      </c>
      <c r="EL49" s="676">
        <f t="shared" si="58"/>
        <v>-383680.83297467645</v>
      </c>
      <c r="EM49" s="676">
        <f t="shared" si="58"/>
        <v>-347897.79325263499</v>
      </c>
      <c r="EN49" s="676">
        <f t="shared" si="58"/>
        <v>-335656.09779568767</v>
      </c>
      <c r="EO49" s="676">
        <f t="shared" si="58"/>
        <v>-328116.12696580315</v>
      </c>
      <c r="EP49" s="676">
        <f t="shared" si="58"/>
        <v>-318225.29382238706</v>
      </c>
      <c r="EQ49" s="676">
        <f t="shared" si="58"/>
        <v>-297142.75034910807</v>
      </c>
      <c r="ER49" s="676">
        <f t="shared" si="58"/>
        <v>-293002.62126152485</v>
      </c>
      <c r="ES49" s="676">
        <f t="shared" si="58"/>
        <v>-288862.49217394163</v>
      </c>
      <c r="ET49" s="676">
        <f t="shared" si="58"/>
        <v>-284722.36308635829</v>
      </c>
      <c r="EU49" s="676">
        <f t="shared" si="58"/>
        <v>-284722.36308635829</v>
      </c>
      <c r="EV49" s="676">
        <f t="shared" si="58"/>
        <v>-284722.36308635829</v>
      </c>
      <c r="EW49" s="676">
        <f t="shared" si="58"/>
        <v>-284722.36308635829</v>
      </c>
      <c r="EX49" s="676">
        <f t="shared" si="58"/>
        <v>-284722.36308635829</v>
      </c>
      <c r="EY49" s="676">
        <f t="shared" si="58"/>
        <v>-284722.36308635829</v>
      </c>
      <c r="EZ49" s="676">
        <f t="shared" si="58"/>
        <v>-284722.36308635829</v>
      </c>
      <c r="FA49" s="676">
        <f t="shared" si="58"/>
        <v>-281567.9790196282</v>
      </c>
      <c r="FB49" s="676">
        <f t="shared" si="58"/>
        <v>-281567.9790196282</v>
      </c>
      <c r="FC49" s="676">
        <f t="shared" si="58"/>
        <v>-281567.9790196282</v>
      </c>
      <c r="FD49" s="676">
        <f t="shared" si="58"/>
        <v>-278413.59495289804</v>
      </c>
      <c r="FE49" s="676">
        <f t="shared" si="58"/>
        <v>-278413.59495289804</v>
      </c>
      <c r="FF49" s="676">
        <f t="shared" si="58"/>
        <v>-278413.59495289804</v>
      </c>
      <c r="FG49" s="676">
        <f t="shared" si="58"/>
        <v>-278025.29988422152</v>
      </c>
      <c r="FH49" s="676">
        <f t="shared" si="58"/>
        <v>-278025.29988422152</v>
      </c>
      <c r="FI49" s="676">
        <f t="shared" si="58"/>
        <v>-291758.74989822874</v>
      </c>
      <c r="FJ49" s="676">
        <f t="shared" si="58"/>
        <v>-291758.74989822874</v>
      </c>
      <c r="FK49" s="676">
        <f t="shared" si="58"/>
        <v>-293005.38559278072</v>
      </c>
      <c r="FL49" s="676">
        <f t="shared" si="58"/>
        <v>-293005.38559278072</v>
      </c>
      <c r="FM49" s="676">
        <f t="shared" si="58"/>
        <v>-277230.70092787431</v>
      </c>
      <c r="FN49" s="676">
        <f t="shared" si="58"/>
        <v>-275062.06188199727</v>
      </c>
      <c r="FO49" s="676">
        <f t="shared" si="58"/>
        <v>-278610.74395706871</v>
      </c>
      <c r="FP49" s="676">
        <f t="shared" si="58"/>
        <v>-278610.74395706871</v>
      </c>
      <c r="FQ49" s="676">
        <f t="shared" si="58"/>
        <v>-278610.74395706871</v>
      </c>
      <c r="FR49" s="676">
        <f t="shared" si="58"/>
        <v>-276442.10491119185</v>
      </c>
      <c r="FS49" s="676">
        <f t="shared" si="58"/>
        <v>51755.062363798905</v>
      </c>
      <c r="FT49" s="676">
        <f t="shared" si="58"/>
        <v>51755.062363798905</v>
      </c>
      <c r="FU49" s="676">
        <f t="shared" si="58"/>
        <v>51755.062363798905</v>
      </c>
      <c r="FV49" s="676">
        <f t="shared" si="58"/>
        <v>53923.701409675821</v>
      </c>
      <c r="FW49" s="676"/>
      <c r="FX49" s="109">
        <f>AVERAGE(EI49:EL49)</f>
        <v>-398219.69828428444</v>
      </c>
      <c r="FY49" s="1575"/>
      <c r="FZ49" s="110">
        <f t="shared" si="59"/>
        <v>-332473.82795912819</v>
      </c>
      <c r="GA49" s="1575"/>
      <c r="GB49" s="112">
        <f t="shared" si="60"/>
        <v>-290932.55671773315</v>
      </c>
      <c r="GC49" s="1575"/>
      <c r="GD49" s="112">
        <f t="shared" si="61"/>
        <v>-284722.36308635829</v>
      </c>
      <c r="GE49" s="1575"/>
      <c r="GF49" s="112">
        <f t="shared" si="62"/>
        <v>-283145.17105299322</v>
      </c>
      <c r="GG49" s="1575"/>
      <c r="GH49" s="1563"/>
      <c r="GI49" s="1557"/>
      <c r="GJ49" s="135"/>
      <c r="GL49" s="135"/>
      <c r="GN49" s="135"/>
      <c r="GP49" s="135"/>
      <c r="GS49" s="62">
        <v>2</v>
      </c>
      <c r="GT49" s="361">
        <v>443749.84794514632</v>
      </c>
      <c r="GU49" s="356">
        <v>-1351408.2029092172</v>
      </c>
      <c r="GV49" s="356">
        <v>-594123.7278676366</v>
      </c>
      <c r="GW49" s="357">
        <v>-254209.1968950835</v>
      </c>
    </row>
    <row r="50" spans="1:205" ht="15" customHeight="1" thickBot="1">
      <c r="A50" s="1333"/>
      <c r="B50" s="87" t="s">
        <v>213</v>
      </c>
      <c r="C50" s="343">
        <f t="shared" ref="C50:L51" si="88">(IF(BQ8=1,IF(C8&lt;=$BJ$46,C8*1000*$BI8,$BJ$46*1000*$BI8),IF(BQ8*$BJ$46&gt;=C8,C8*1000*$BI8,BQ8*1000*$BJ$46*$BI8)))*C36/4*$C$26</f>
        <v>966860.76349548704</v>
      </c>
      <c r="D50" s="343">
        <f t="shared" si="88"/>
        <v>991032.28258287429</v>
      </c>
      <c r="E50" s="343">
        <f t="shared" si="88"/>
        <v>1015203.8016702618</v>
      </c>
      <c r="F50" s="343">
        <f t="shared" si="88"/>
        <v>1039375.3207576489</v>
      </c>
      <c r="G50" s="343">
        <f t="shared" si="88"/>
        <v>1127392.3607332041</v>
      </c>
      <c r="H50" s="343">
        <f t="shared" si="88"/>
        <v>1159134.9657767215</v>
      </c>
      <c r="I50" s="343">
        <f t="shared" si="88"/>
        <v>1178686.0416006865</v>
      </c>
      <c r="J50" s="343">
        <f t="shared" si="88"/>
        <v>1204332.882034428</v>
      </c>
      <c r="K50" s="343">
        <f t="shared" si="88"/>
        <v>1282262.7195648435</v>
      </c>
      <c r="L50" s="343">
        <f t="shared" si="88"/>
        <v>1285655.7800727976</v>
      </c>
      <c r="M50" s="343">
        <f t="shared" ref="M50:V51" si="89">(IF(CA8=1,IF(M8&lt;=$BJ$46,M8*1000*$BI8,$BJ$46*1000*$BI8),IF(CA8*$BJ$46&gt;=M8,M8*1000*$BI8,CA8*1000*$BJ$46*$BI8)))*M36/4*$C$26</f>
        <v>1285655.7800727976</v>
      </c>
      <c r="N50" s="343">
        <f t="shared" si="89"/>
        <v>1285655.7800727976</v>
      </c>
      <c r="O50" s="343">
        <f t="shared" si="89"/>
        <v>1285655.7800727976</v>
      </c>
      <c r="P50" s="343">
        <f t="shared" si="89"/>
        <v>1285655.7800727976</v>
      </c>
      <c r="Q50" s="343">
        <f t="shared" si="89"/>
        <v>1285655.7800727976</v>
      </c>
      <c r="R50" s="343">
        <f t="shared" si="89"/>
        <v>1285655.7800727976</v>
      </c>
      <c r="S50" s="343">
        <f t="shared" si="89"/>
        <v>1285655.7800727976</v>
      </c>
      <c r="T50" s="343">
        <f t="shared" si="89"/>
        <v>1285655.7800727976</v>
      </c>
      <c r="U50" s="343">
        <f t="shared" si="89"/>
        <v>1285655.7800727976</v>
      </c>
      <c r="V50" s="343">
        <f t="shared" si="89"/>
        <v>1285655.7800727976</v>
      </c>
      <c r="W50" s="343">
        <f t="shared" ref="W50:AF51" si="90">(IF(CK8=1,IF(W8&lt;=$BJ$46,W8*1000*$BI8,$BJ$46*1000*$BI8),IF(CK8*$BJ$46&gt;=W8,W8*1000*$BI8,CK8*1000*$BJ$46*$BI8)))*W36/4*$C$26</f>
        <v>1285655.7800727976</v>
      </c>
      <c r="X50" s="343">
        <f t="shared" si="90"/>
        <v>1285655.7800727976</v>
      </c>
      <c r="Y50" s="343">
        <f t="shared" si="90"/>
        <v>1285655.7800727976</v>
      </c>
      <c r="Z50" s="343">
        <f t="shared" si="90"/>
        <v>1285655.7800727976</v>
      </c>
      <c r="AA50" s="343">
        <f t="shared" si="90"/>
        <v>1210028.9694802801</v>
      </c>
      <c r="AB50" s="343">
        <f t="shared" si="90"/>
        <v>1210028.9694802801</v>
      </c>
      <c r="AC50" s="343">
        <f t="shared" si="90"/>
        <v>1210028.9694802801</v>
      </c>
      <c r="AD50" s="343">
        <f t="shared" si="90"/>
        <v>1210028.9694802801</v>
      </c>
      <c r="AE50" s="343">
        <f t="shared" si="90"/>
        <v>1285655.7800727976</v>
      </c>
      <c r="AF50" s="343">
        <f t="shared" si="90"/>
        <v>1285655.7800727976</v>
      </c>
      <c r="AG50" s="343">
        <f t="shared" ref="AG50:AP51" si="91">(IF(CU8=1,IF(AG8&lt;=$BJ$46,AG8*1000*$BI8,$BJ$46*1000*$BI8),IF(CU8*$BJ$46&gt;=AG8,AG8*1000*$BI8,CU8*1000*$BJ$46*$BI8)))*AG36/4*$C$26</f>
        <v>1285655.7800727976</v>
      </c>
      <c r="AH50" s="343">
        <f t="shared" si="91"/>
        <v>1285655.7800727976</v>
      </c>
      <c r="AI50" s="343">
        <f t="shared" si="91"/>
        <v>1285655.7800727976</v>
      </c>
      <c r="AJ50" s="343">
        <f t="shared" si="91"/>
        <v>1285655.7800727976</v>
      </c>
      <c r="AK50" s="343">
        <f t="shared" si="91"/>
        <v>1285655.7800727976</v>
      </c>
      <c r="AL50" s="343">
        <f t="shared" si="91"/>
        <v>1285655.7800727976</v>
      </c>
      <c r="AM50" s="343">
        <f t="shared" si="91"/>
        <v>1285655.7800727976</v>
      </c>
      <c r="AN50" s="343">
        <f t="shared" si="91"/>
        <v>1285655.7800727976</v>
      </c>
      <c r="AO50" s="343">
        <f t="shared" si="91"/>
        <v>1285655.7800727976</v>
      </c>
      <c r="AP50" s="343">
        <f t="shared" si="91"/>
        <v>1285655.7800727976</v>
      </c>
      <c r="AQ50" s="1084">
        <f t="shared" si="83"/>
        <v>4012472.1685062721</v>
      </c>
      <c r="AR50" s="1084">
        <f t="shared" si="51"/>
        <v>4669546.2501450405</v>
      </c>
      <c r="AS50" s="1084">
        <f t="shared" si="52"/>
        <v>5139230.0597832361</v>
      </c>
      <c r="AT50" s="1084">
        <f t="shared" si="53"/>
        <v>5142623.1202911902</v>
      </c>
      <c r="AU50" s="1084">
        <f t="shared" si="54"/>
        <v>5142623.1202911902</v>
      </c>
      <c r="AV50" s="1084">
        <f t="shared" si="64"/>
        <v>5142623.1202911902</v>
      </c>
      <c r="AW50" s="1084">
        <f t="shared" si="65"/>
        <v>4840115.8779211203</v>
      </c>
      <c r="AX50" s="1084">
        <f t="shared" si="66"/>
        <v>5142623.1202911902</v>
      </c>
      <c r="AY50" s="1084">
        <f t="shared" si="67"/>
        <v>5142623.1202911902</v>
      </c>
      <c r="AZ50" s="1084">
        <f t="shared" si="68"/>
        <v>5142623.1202911902</v>
      </c>
      <c r="BA50" s="1085"/>
      <c r="BB50" s="1085"/>
      <c r="BC50" s="1085"/>
      <c r="BD50" s="1085"/>
      <c r="BE50" s="1085"/>
      <c r="BF50" s="924"/>
      <c r="BL50" s="148"/>
      <c r="BM50" t="e">
        <f t="shared" si="84"/>
        <v>#REF!</v>
      </c>
      <c r="BN50" t="e">
        <f>(#REF!/('Cost Structure'!$BA$13+'Cost Structure'!$BF$13))/4</f>
        <v>#REF!</v>
      </c>
      <c r="BO50" s="1333"/>
      <c r="BP50" s="665" t="s">
        <v>213</v>
      </c>
      <c r="BQ50" s="1089">
        <f t="shared" ref="BQ50:DD50" si="92">(BQ8*DJ28*C36/4)</f>
        <v>553358.29502583225</v>
      </c>
      <c r="BR50" s="1089">
        <f t="shared" si="92"/>
        <v>553358.29502583225</v>
      </c>
      <c r="BS50" s="1089">
        <f t="shared" si="92"/>
        <v>553358.29502583225</v>
      </c>
      <c r="BT50" s="1089">
        <f t="shared" si="92"/>
        <v>553358.29502583225</v>
      </c>
      <c r="BU50" s="1089">
        <f t="shared" si="92"/>
        <v>556271.2158562016</v>
      </c>
      <c r="BV50" s="1089">
        <f t="shared" si="92"/>
        <v>556271.2158562016</v>
      </c>
      <c r="BW50" s="1089">
        <f t="shared" si="92"/>
        <v>556271.2158562016</v>
      </c>
      <c r="BX50" s="1089">
        <f t="shared" si="92"/>
        <v>556271.2158562016</v>
      </c>
      <c r="BY50" s="1089">
        <f t="shared" si="92"/>
        <v>553358.29502583225</v>
      </c>
      <c r="BZ50" s="1089">
        <f t="shared" si="92"/>
        <v>553358.29502583225</v>
      </c>
      <c r="CA50" s="1089">
        <f t="shared" si="92"/>
        <v>553358.29502583225</v>
      </c>
      <c r="CB50" s="1089">
        <f t="shared" si="92"/>
        <v>553358.29502583225</v>
      </c>
      <c r="CC50" s="1089">
        <f t="shared" si="92"/>
        <v>553358.29502583225</v>
      </c>
      <c r="CD50" s="1089">
        <f t="shared" si="92"/>
        <v>553358.29502583225</v>
      </c>
      <c r="CE50" s="1089">
        <f t="shared" si="92"/>
        <v>553358.29502583225</v>
      </c>
      <c r="CF50" s="1089">
        <f t="shared" si="92"/>
        <v>553358.29502583225</v>
      </c>
      <c r="CG50" s="1089">
        <f t="shared" si="92"/>
        <v>553358.29502583225</v>
      </c>
      <c r="CH50" s="1089">
        <f t="shared" si="92"/>
        <v>553358.29502583225</v>
      </c>
      <c r="CI50" s="1089">
        <f t="shared" si="92"/>
        <v>553358.29502583225</v>
      </c>
      <c r="CJ50" s="1089">
        <f t="shared" si="92"/>
        <v>553358.29502583225</v>
      </c>
      <c r="CK50" s="1089">
        <f t="shared" si="92"/>
        <v>553358.29502583225</v>
      </c>
      <c r="CL50" s="1089">
        <f t="shared" si="92"/>
        <v>553358.29502583225</v>
      </c>
      <c r="CM50" s="1089">
        <f t="shared" si="92"/>
        <v>553358.29502583225</v>
      </c>
      <c r="CN50" s="1089">
        <f t="shared" si="92"/>
        <v>553358.29502583225</v>
      </c>
      <c r="CO50" s="1089">
        <f t="shared" si="92"/>
        <v>532967.84921324719</v>
      </c>
      <c r="CP50" s="1089">
        <f t="shared" si="92"/>
        <v>532967.84921324719</v>
      </c>
      <c r="CQ50" s="1089">
        <f t="shared" si="92"/>
        <v>532967.84921324719</v>
      </c>
      <c r="CR50" s="1089">
        <f t="shared" si="92"/>
        <v>532967.84921324719</v>
      </c>
      <c r="CS50" s="1089">
        <f t="shared" si="92"/>
        <v>553358.29502583225</v>
      </c>
      <c r="CT50" s="1089">
        <f t="shared" si="92"/>
        <v>553358.29502583225</v>
      </c>
      <c r="CU50" s="1089">
        <f t="shared" si="92"/>
        <v>553358.29502583225</v>
      </c>
      <c r="CV50" s="1089">
        <f t="shared" si="92"/>
        <v>553358.29502583225</v>
      </c>
      <c r="CW50" s="1089">
        <f t="shared" si="92"/>
        <v>553358.29502583225</v>
      </c>
      <c r="CX50" s="1089">
        <f t="shared" si="92"/>
        <v>553358.29502583225</v>
      </c>
      <c r="CY50" s="1089">
        <f t="shared" si="92"/>
        <v>553358.29502583225</v>
      </c>
      <c r="CZ50" s="1089">
        <f t="shared" si="92"/>
        <v>553358.29502583225</v>
      </c>
      <c r="DA50" s="1089">
        <f t="shared" si="92"/>
        <v>518531.5491850457</v>
      </c>
      <c r="DB50" s="1089">
        <f t="shared" si="92"/>
        <v>518531.5491850457</v>
      </c>
      <c r="DC50" s="1089">
        <f t="shared" si="92"/>
        <v>518531.5491850457</v>
      </c>
      <c r="DD50" s="1089">
        <f t="shared" si="92"/>
        <v>518531.5491850457</v>
      </c>
      <c r="DE50" s="582">
        <f t="shared" si="70"/>
        <v>2213433.180103329</v>
      </c>
      <c r="DF50" s="580">
        <f t="shared" si="71"/>
        <v>2225084.8634248064</v>
      </c>
      <c r="DG50" s="580">
        <f t="shared" si="72"/>
        <v>2213433.180103329</v>
      </c>
      <c r="DH50" s="580">
        <f t="shared" si="73"/>
        <v>2213433.180103329</v>
      </c>
      <c r="DI50" s="583">
        <f t="shared" si="74"/>
        <v>2213433.180103329</v>
      </c>
      <c r="DJ50" s="583">
        <f t="shared" si="75"/>
        <v>2213433.180103329</v>
      </c>
      <c r="DK50" s="583">
        <f t="shared" si="76"/>
        <v>2131871.3968529887</v>
      </c>
      <c r="DL50" s="583">
        <f t="shared" si="77"/>
        <v>2213433.180103329</v>
      </c>
      <c r="DM50" s="583">
        <f t="shared" si="78"/>
        <v>2213433.180103329</v>
      </c>
      <c r="DN50" s="583">
        <f t="shared" si="79"/>
        <v>2074126.1967401828</v>
      </c>
      <c r="DO50" s="582">
        <f t="shared" si="80"/>
        <v>1799038.9884029431</v>
      </c>
      <c r="DP50" s="582">
        <f t="shared" si="56"/>
        <v>2444461.3867202341</v>
      </c>
      <c r="DQ50" s="582">
        <f t="shared" si="56"/>
        <v>2925796.8796799071</v>
      </c>
      <c r="DR50" s="582">
        <f t="shared" si="56"/>
        <v>2929189.9401878612</v>
      </c>
      <c r="DS50" s="582">
        <f t="shared" si="56"/>
        <v>2929189.9401878612</v>
      </c>
      <c r="DT50" s="582">
        <f t="shared" si="56"/>
        <v>2929189.9401878612</v>
      </c>
      <c r="DU50" s="582">
        <f t="shared" si="56"/>
        <v>2708244.4810681315</v>
      </c>
      <c r="DV50" s="582">
        <f t="shared" si="56"/>
        <v>2929189.9401878612</v>
      </c>
      <c r="DW50" s="582">
        <f t="shared" si="56"/>
        <v>2929189.9401878612</v>
      </c>
      <c r="DX50" s="582">
        <f t="shared" si="56"/>
        <v>3068496.9235510072</v>
      </c>
      <c r="DY50" s="926"/>
      <c r="DZ50" s="1607"/>
      <c r="EA50" s="857" t="e">
        <f>(DE50+#REF!/5)*1.1</f>
        <v>#REF!</v>
      </c>
      <c r="EB50" s="858" t="e">
        <f>(DF50+#REF!/9)*1.1</f>
        <v>#REF!</v>
      </c>
      <c r="EC50" s="858" t="e">
        <f>(DG50+#REF!/13)*1.1</f>
        <v>#REF!</v>
      </c>
      <c r="ED50" s="858" t="e">
        <f>(DH50+#REF!/17)*1.1</f>
        <v>#REF!</v>
      </c>
      <c r="EE50" s="859">
        <f t="shared" si="57"/>
        <v>2434776.498113662</v>
      </c>
      <c r="EF50" s="147"/>
      <c r="EG50" s="1333"/>
      <c r="EH50" s="150" t="s">
        <v>213</v>
      </c>
      <c r="EI50" s="676">
        <f t="shared" si="81"/>
        <v>413502.46846965479</v>
      </c>
      <c r="EJ50" s="676">
        <f t="shared" si="58"/>
        <v>437673.98755704204</v>
      </c>
      <c r="EK50" s="676">
        <f t="shared" si="58"/>
        <v>461845.50664442952</v>
      </c>
      <c r="EL50" s="676">
        <f t="shared" si="58"/>
        <v>486017.02573181666</v>
      </c>
      <c r="EM50" s="676">
        <f t="shared" si="58"/>
        <v>571121.14487700246</v>
      </c>
      <c r="EN50" s="676">
        <f t="shared" si="58"/>
        <v>602863.74992051988</v>
      </c>
      <c r="EO50" s="676">
        <f t="shared" si="58"/>
        <v>622414.8257444849</v>
      </c>
      <c r="EP50" s="676">
        <f t="shared" si="58"/>
        <v>648061.66617822635</v>
      </c>
      <c r="EQ50" s="676">
        <f t="shared" si="58"/>
        <v>728904.4245390112</v>
      </c>
      <c r="ER50" s="676">
        <f t="shared" si="58"/>
        <v>732297.4850469653</v>
      </c>
      <c r="ES50" s="676">
        <f t="shared" si="58"/>
        <v>732297.4850469653</v>
      </c>
      <c r="ET50" s="676">
        <f t="shared" si="58"/>
        <v>732297.4850469653</v>
      </c>
      <c r="EU50" s="676">
        <f t="shared" si="58"/>
        <v>732297.4850469653</v>
      </c>
      <c r="EV50" s="676">
        <f t="shared" si="58"/>
        <v>732297.4850469653</v>
      </c>
      <c r="EW50" s="676">
        <f t="shared" si="58"/>
        <v>732297.4850469653</v>
      </c>
      <c r="EX50" s="676">
        <f t="shared" si="58"/>
        <v>732297.4850469653</v>
      </c>
      <c r="EY50" s="676">
        <f t="shared" si="58"/>
        <v>732297.4850469653</v>
      </c>
      <c r="EZ50" s="676">
        <f t="shared" si="58"/>
        <v>732297.4850469653</v>
      </c>
      <c r="FA50" s="676">
        <f t="shared" si="58"/>
        <v>732297.4850469653</v>
      </c>
      <c r="FB50" s="676">
        <f t="shared" si="58"/>
        <v>732297.4850469653</v>
      </c>
      <c r="FC50" s="676">
        <f t="shared" si="58"/>
        <v>732297.4850469653</v>
      </c>
      <c r="FD50" s="676">
        <f t="shared" si="58"/>
        <v>732297.4850469653</v>
      </c>
      <c r="FE50" s="676">
        <f t="shared" si="58"/>
        <v>732297.4850469653</v>
      </c>
      <c r="FF50" s="676">
        <f t="shared" si="58"/>
        <v>732297.4850469653</v>
      </c>
      <c r="FG50" s="676">
        <f t="shared" si="58"/>
        <v>677061.12026703288</v>
      </c>
      <c r="FH50" s="676">
        <f t="shared" si="58"/>
        <v>677061.12026703288</v>
      </c>
      <c r="FI50" s="676">
        <f t="shared" si="58"/>
        <v>677061.12026703288</v>
      </c>
      <c r="FJ50" s="676">
        <f t="shared" si="58"/>
        <v>677061.12026703288</v>
      </c>
      <c r="FK50" s="676">
        <f t="shared" si="58"/>
        <v>732297.4850469653</v>
      </c>
      <c r="FL50" s="676">
        <f t="shared" si="58"/>
        <v>732297.4850469653</v>
      </c>
      <c r="FM50" s="676">
        <f t="shared" si="58"/>
        <v>732297.4850469653</v>
      </c>
      <c r="FN50" s="676">
        <f t="shared" si="58"/>
        <v>732297.4850469653</v>
      </c>
      <c r="FO50" s="676">
        <f t="shared" si="58"/>
        <v>732297.4850469653</v>
      </c>
      <c r="FP50" s="676">
        <f t="shared" si="58"/>
        <v>732297.4850469653</v>
      </c>
      <c r="FQ50" s="676">
        <f t="shared" si="58"/>
        <v>732297.4850469653</v>
      </c>
      <c r="FR50" s="676">
        <f t="shared" si="58"/>
        <v>732297.4850469653</v>
      </c>
      <c r="FS50" s="676">
        <f t="shared" si="58"/>
        <v>767124.23088775179</v>
      </c>
      <c r="FT50" s="676">
        <f t="shared" si="58"/>
        <v>767124.23088775179</v>
      </c>
      <c r="FU50" s="676">
        <f t="shared" si="58"/>
        <v>767124.23088775179</v>
      </c>
      <c r="FV50" s="676">
        <f t="shared" si="58"/>
        <v>767124.23088775179</v>
      </c>
      <c r="FW50" s="676"/>
      <c r="FX50" s="109">
        <f>AVERAGE(EI50:EL50)</f>
        <v>449759.74710073572</v>
      </c>
      <c r="FY50" s="1575"/>
      <c r="FZ50" s="107">
        <f t="shared" si="59"/>
        <v>611115.3466800584</v>
      </c>
      <c r="GA50" s="1576"/>
      <c r="GB50" s="115">
        <f t="shared" si="60"/>
        <v>731449.21991997678</v>
      </c>
      <c r="GC50" s="1576"/>
      <c r="GD50" s="115">
        <f t="shared" si="61"/>
        <v>732297.4850469653</v>
      </c>
      <c r="GE50" s="1576"/>
      <c r="GF50" s="115">
        <f t="shared" si="62"/>
        <v>732297.4850469653</v>
      </c>
      <c r="GG50" s="1576"/>
      <c r="GH50" s="1564"/>
      <c r="GI50" s="1557"/>
      <c r="GJ50" s="135"/>
      <c r="GL50" s="135"/>
      <c r="GN50" s="135"/>
      <c r="GP50" s="135"/>
      <c r="GS50" s="62">
        <v>3</v>
      </c>
      <c r="GT50" s="356">
        <v>1299024.5936951693</v>
      </c>
      <c r="GU50" s="356">
        <v>157013.53353494528</v>
      </c>
      <c r="GV50" s="356">
        <v>1317504.7232690502</v>
      </c>
      <c r="GW50" s="362">
        <v>1488003.2810456825</v>
      </c>
    </row>
    <row r="51" spans="1:205" ht="15" customHeight="1" thickBot="1">
      <c r="A51" s="1333">
        <v>2</v>
      </c>
      <c r="B51" s="303" t="s">
        <v>214</v>
      </c>
      <c r="C51" s="343">
        <f t="shared" si="88"/>
        <v>294120.88869570865</v>
      </c>
      <c r="D51" s="343">
        <f t="shared" si="88"/>
        <v>299349.70449474349</v>
      </c>
      <c r="E51" s="343">
        <f t="shared" si="88"/>
        <v>304578.52029377833</v>
      </c>
      <c r="F51" s="343">
        <f t="shared" si="88"/>
        <v>309807.33609281323</v>
      </c>
      <c r="G51" s="343">
        <f t="shared" si="88"/>
        <v>332634.30233216856</v>
      </c>
      <c r="H51" s="343">
        <f t="shared" si="88"/>
        <v>338155.20361569017</v>
      </c>
      <c r="I51" s="343">
        <f t="shared" si="88"/>
        <v>343676.10489921167</v>
      </c>
      <c r="J51" s="343">
        <f t="shared" si="88"/>
        <v>349197.00618273293</v>
      </c>
      <c r="K51" s="343">
        <f t="shared" si="88"/>
        <v>371330.44872252067</v>
      </c>
      <c r="L51" s="343">
        <f t="shared" si="88"/>
        <v>377109.91095944709</v>
      </c>
      <c r="M51" s="343">
        <f t="shared" si="89"/>
        <v>382889.3731963734</v>
      </c>
      <c r="N51" s="343">
        <f t="shared" si="89"/>
        <v>388668.83543329989</v>
      </c>
      <c r="O51" s="343">
        <f t="shared" si="89"/>
        <v>419949.06296350545</v>
      </c>
      <c r="P51" s="343">
        <f t="shared" si="89"/>
        <v>426102.16278714658</v>
      </c>
      <c r="Q51" s="343">
        <f t="shared" si="89"/>
        <v>432255.26261078764</v>
      </c>
      <c r="R51" s="343">
        <f t="shared" si="89"/>
        <v>438408.36243442877</v>
      </c>
      <c r="S51" s="343">
        <f t="shared" si="89"/>
        <v>441498.90611626813</v>
      </c>
      <c r="T51" s="343">
        <f t="shared" si="89"/>
        <v>447609.61761960754</v>
      </c>
      <c r="U51" s="343">
        <f t="shared" si="89"/>
        <v>453720.32912294677</v>
      </c>
      <c r="V51" s="343">
        <f t="shared" si="89"/>
        <v>459831.04062628624</v>
      </c>
      <c r="W51" s="343">
        <f t="shared" si="90"/>
        <v>490696.91907894344</v>
      </c>
      <c r="X51" s="343">
        <f t="shared" si="90"/>
        <v>491870.25718354224</v>
      </c>
      <c r="Y51" s="343">
        <f t="shared" si="90"/>
        <v>493045.94196435035</v>
      </c>
      <c r="Z51" s="343">
        <f t="shared" si="90"/>
        <v>494223.97811471979</v>
      </c>
      <c r="AA51" s="343">
        <f t="shared" si="90"/>
        <v>493175.41909382941</v>
      </c>
      <c r="AB51" s="343">
        <f t="shared" si="90"/>
        <v>495528.76517463964</v>
      </c>
      <c r="AC51" s="343">
        <f t="shared" si="90"/>
        <v>497891.52463977318</v>
      </c>
      <c r="AD51" s="343">
        <f t="shared" si="90"/>
        <v>500263.73514276714</v>
      </c>
      <c r="AE51" s="343">
        <f t="shared" si="90"/>
        <v>508939.6672924023</v>
      </c>
      <c r="AF51" s="343">
        <f t="shared" si="90"/>
        <v>512569.13809547934</v>
      </c>
      <c r="AG51" s="343">
        <f t="shared" si="91"/>
        <v>514511.39814352413</v>
      </c>
      <c r="AH51" s="343">
        <f t="shared" si="91"/>
        <v>518172.39299261442</v>
      </c>
      <c r="AI51" s="343">
        <f t="shared" si="91"/>
        <v>521108.56634846347</v>
      </c>
      <c r="AJ51" s="343">
        <f t="shared" si="91"/>
        <v>525669.32076155685</v>
      </c>
      <c r="AK51" s="343">
        <f t="shared" si="91"/>
        <v>530263.82475730742</v>
      </c>
      <c r="AL51" s="343">
        <f t="shared" si="91"/>
        <v>532675.658972056</v>
      </c>
      <c r="AM51" s="343">
        <f t="shared" si="91"/>
        <v>530849.93874673452</v>
      </c>
      <c r="AN51" s="343">
        <f t="shared" si="91"/>
        <v>530849.93874673452</v>
      </c>
      <c r="AO51" s="343">
        <f t="shared" si="91"/>
        <v>530849.93874673452</v>
      </c>
      <c r="AP51" s="343">
        <f t="shared" si="91"/>
        <v>530849.93874673452</v>
      </c>
      <c r="AQ51" s="1084">
        <f t="shared" si="83"/>
        <v>1207856.4495770435</v>
      </c>
      <c r="AR51" s="1084">
        <f t="shared" si="51"/>
        <v>1363662.6170298033</v>
      </c>
      <c r="AS51" s="1084">
        <f t="shared" si="52"/>
        <v>1519998.568311641</v>
      </c>
      <c r="AT51" s="1084">
        <f t="shared" si="53"/>
        <v>1716714.8507958683</v>
      </c>
      <c r="AU51" s="1084">
        <f t="shared" si="54"/>
        <v>1802659.8934851089</v>
      </c>
      <c r="AV51" s="1084">
        <f t="shared" si="64"/>
        <v>1969837.0963415557</v>
      </c>
      <c r="AW51" s="1084">
        <f t="shared" si="65"/>
        <v>1986859.4440510094</v>
      </c>
      <c r="AX51" s="1084">
        <f t="shared" si="66"/>
        <v>2054192.5965240202</v>
      </c>
      <c r="AY51" s="1084">
        <f t="shared" si="67"/>
        <v>2109717.3708393839</v>
      </c>
      <c r="AZ51" s="1084">
        <f t="shared" si="68"/>
        <v>2123399.7549869381</v>
      </c>
      <c r="BA51" s="1085"/>
      <c r="BB51" s="1085"/>
      <c r="BC51" s="1085"/>
      <c r="BD51" s="1085"/>
      <c r="BE51" s="1085"/>
      <c r="BF51" s="924"/>
      <c r="BL51" s="148"/>
      <c r="BM51" t="e">
        <f t="shared" si="84"/>
        <v>#REF!</v>
      </c>
      <c r="BN51" t="e">
        <f>(#REF!/('Cost Structure'!$BA$13+'Cost Structure'!$BF$13))/4</f>
        <v>#REF!</v>
      </c>
      <c r="BO51" s="1333">
        <v>2</v>
      </c>
      <c r="BP51" s="666" t="s">
        <v>214</v>
      </c>
      <c r="BQ51" s="1089">
        <f t="shared" ref="BQ51:DD51" si="93">BQ9*DJ29*C37/4</f>
        <v>1117343.7271453138</v>
      </c>
      <c r="BR51" s="1089">
        <f t="shared" si="93"/>
        <v>1117343.7271453138</v>
      </c>
      <c r="BS51" s="1089">
        <f t="shared" si="93"/>
        <v>1117343.7271453138</v>
      </c>
      <c r="BT51" s="1089">
        <f t="shared" si="93"/>
        <v>1117343.7271453138</v>
      </c>
      <c r="BU51" s="1089">
        <f t="shared" si="93"/>
        <v>1121752.9920464987</v>
      </c>
      <c r="BV51" s="1089">
        <f t="shared" si="93"/>
        <v>1121752.9920464987</v>
      </c>
      <c r="BW51" s="1089">
        <f t="shared" si="93"/>
        <v>1121752.9920464987</v>
      </c>
      <c r="BX51" s="1089">
        <f t="shared" si="93"/>
        <v>1121752.9920464987</v>
      </c>
      <c r="BY51" s="1089">
        <f t="shared" si="93"/>
        <v>1114956.2096310523</v>
      </c>
      <c r="BZ51" s="1089">
        <f t="shared" si="93"/>
        <v>1114956.2096310523</v>
      </c>
      <c r="CA51" s="1089">
        <f t="shared" si="93"/>
        <v>1114956.2096310523</v>
      </c>
      <c r="CB51" s="1089">
        <f t="shared" si="93"/>
        <v>1114956.2096310523</v>
      </c>
      <c r="CC51" s="1089">
        <f t="shared" si="93"/>
        <v>1121752.9920464987</v>
      </c>
      <c r="CD51" s="1089">
        <f t="shared" si="93"/>
        <v>1121752.9920464987</v>
      </c>
      <c r="CE51" s="1089">
        <f t="shared" si="93"/>
        <v>1121752.9920464987</v>
      </c>
      <c r="CF51" s="1089">
        <f t="shared" si="93"/>
        <v>1121752.9920464987</v>
      </c>
      <c r="CG51" s="1089">
        <f t="shared" si="93"/>
        <v>1074175.515138373</v>
      </c>
      <c r="CH51" s="1089">
        <f t="shared" si="93"/>
        <v>1074175.515138373</v>
      </c>
      <c r="CI51" s="1089">
        <f t="shared" si="93"/>
        <v>1074175.515138373</v>
      </c>
      <c r="CJ51" s="1089">
        <f t="shared" si="93"/>
        <v>1074175.515138373</v>
      </c>
      <c r="CK51" s="1089">
        <f t="shared" si="93"/>
        <v>1121752.9920464987</v>
      </c>
      <c r="CL51" s="1089">
        <f t="shared" si="93"/>
        <v>1121752.9920464987</v>
      </c>
      <c r="CM51" s="1089">
        <f t="shared" si="93"/>
        <v>1121752.9920464987</v>
      </c>
      <c r="CN51" s="1089">
        <f t="shared" si="93"/>
        <v>1121752.9920464987</v>
      </c>
      <c r="CO51" s="1089">
        <f t="shared" si="93"/>
        <v>1114956.2096310523</v>
      </c>
      <c r="CP51" s="1089">
        <f t="shared" si="93"/>
        <v>1114956.2096310523</v>
      </c>
      <c r="CQ51" s="1089">
        <f t="shared" si="93"/>
        <v>1114956.2096310523</v>
      </c>
      <c r="CR51" s="1089">
        <f t="shared" si="93"/>
        <v>1114956.2096310523</v>
      </c>
      <c r="CS51" s="1089">
        <f t="shared" si="93"/>
        <v>1121752.9920464987</v>
      </c>
      <c r="CT51" s="1089">
        <f t="shared" si="93"/>
        <v>1121752.9920464987</v>
      </c>
      <c r="CU51" s="1089">
        <f t="shared" si="93"/>
        <v>1121752.9920464987</v>
      </c>
      <c r="CV51" s="1089">
        <f t="shared" si="93"/>
        <v>1121752.9920464987</v>
      </c>
      <c r="CW51" s="1089">
        <f t="shared" si="93"/>
        <v>1121752.9920464987</v>
      </c>
      <c r="CX51" s="1089">
        <f t="shared" si="93"/>
        <v>1121752.9920464987</v>
      </c>
      <c r="CY51" s="1089">
        <f t="shared" si="93"/>
        <v>1121752.9920464987</v>
      </c>
      <c r="CZ51" s="1089">
        <f t="shared" si="93"/>
        <v>1121752.9920464987</v>
      </c>
      <c r="DA51" s="1089">
        <f t="shared" si="93"/>
        <v>366922.40522352559</v>
      </c>
      <c r="DB51" s="1089">
        <f t="shared" si="93"/>
        <v>366922.40522352559</v>
      </c>
      <c r="DC51" s="1089">
        <f t="shared" si="93"/>
        <v>366922.40522352559</v>
      </c>
      <c r="DD51" s="1089">
        <f t="shared" si="93"/>
        <v>366922.40522352559</v>
      </c>
      <c r="DE51" s="582">
        <f t="shared" si="70"/>
        <v>4469374.908581255</v>
      </c>
      <c r="DF51" s="580">
        <f t="shared" si="71"/>
        <v>4487011.9681859948</v>
      </c>
      <c r="DG51" s="580">
        <f t="shared" si="72"/>
        <v>4459824.8385242093</v>
      </c>
      <c r="DH51" s="580">
        <f t="shared" si="73"/>
        <v>4487011.9681859948</v>
      </c>
      <c r="DI51" s="583">
        <f t="shared" si="74"/>
        <v>4296702.060553492</v>
      </c>
      <c r="DJ51" s="583">
        <f t="shared" si="75"/>
        <v>4487011.9681859948</v>
      </c>
      <c r="DK51" s="583">
        <f t="shared" si="76"/>
        <v>4459824.8385242093</v>
      </c>
      <c r="DL51" s="583">
        <f t="shared" si="77"/>
        <v>4487011.9681859948</v>
      </c>
      <c r="DM51" s="583">
        <f t="shared" si="78"/>
        <v>4487011.9681859948</v>
      </c>
      <c r="DN51" s="583">
        <f t="shared" si="79"/>
        <v>1467689.6208941024</v>
      </c>
      <c r="DO51" s="582">
        <f t="shared" si="80"/>
        <v>-3261518.4590042112</v>
      </c>
      <c r="DP51" s="582">
        <f t="shared" si="56"/>
        <v>-3123349.3511561914</v>
      </c>
      <c r="DQ51" s="582">
        <f t="shared" si="56"/>
        <v>-2939826.2702125683</v>
      </c>
      <c r="DR51" s="582">
        <f t="shared" si="56"/>
        <v>-2770297.1173901265</v>
      </c>
      <c r="DS51" s="582">
        <f t="shared" si="56"/>
        <v>-2494042.1670683832</v>
      </c>
      <c r="DT51" s="582">
        <f t="shared" si="56"/>
        <v>-2517174.8718444388</v>
      </c>
      <c r="DU51" s="582">
        <f t="shared" si="56"/>
        <v>-2472965.3944731997</v>
      </c>
      <c r="DV51" s="582">
        <f t="shared" si="56"/>
        <v>-2432819.3716619746</v>
      </c>
      <c r="DW51" s="582">
        <f t="shared" si="56"/>
        <v>-2377294.5973466109</v>
      </c>
      <c r="DX51" s="582">
        <f t="shared" si="56"/>
        <v>655710.13409283571</v>
      </c>
      <c r="DY51" s="926"/>
      <c r="DZ51" s="1607">
        <v>2</v>
      </c>
      <c r="EA51" s="860"/>
      <c r="EB51" s="858" t="e">
        <f>(DF51+#REF!/9)*1.1</f>
        <v>#REF!</v>
      </c>
      <c r="EC51" s="858" t="e">
        <f>(DG51+#REF!/13)*1.1</f>
        <v>#REF!</v>
      </c>
      <c r="ED51" s="858" t="e">
        <f>(DH51+#REF!/17)*1.1</f>
        <v>#REF!</v>
      </c>
      <c r="EE51" s="859">
        <f t="shared" si="57"/>
        <v>4726372.2666088417</v>
      </c>
      <c r="EF51" s="147"/>
      <c r="EG51" s="1333">
        <v>2</v>
      </c>
      <c r="EH51" s="666" t="s">
        <v>214</v>
      </c>
      <c r="EI51" s="677">
        <f t="shared" ref="EI51:EI62" si="94">C51-BQ51</f>
        <v>-823222.83844960504</v>
      </c>
      <c r="EJ51" s="677">
        <f t="shared" si="58"/>
        <v>-817994.02265057026</v>
      </c>
      <c r="EK51" s="677">
        <f t="shared" si="58"/>
        <v>-812765.20685153548</v>
      </c>
      <c r="EL51" s="677">
        <f t="shared" si="58"/>
        <v>-807536.39105250058</v>
      </c>
      <c r="EM51" s="677">
        <f t="shared" si="58"/>
        <v>-789118.68971433013</v>
      </c>
      <c r="EN51" s="677">
        <f t="shared" si="58"/>
        <v>-783597.78843080858</v>
      </c>
      <c r="EO51" s="677">
        <f t="shared" si="58"/>
        <v>-778076.88714728702</v>
      </c>
      <c r="EP51" s="677">
        <f t="shared" si="58"/>
        <v>-772555.9858637657</v>
      </c>
      <c r="EQ51" s="677">
        <f t="shared" si="58"/>
        <v>-743625.76090853172</v>
      </c>
      <c r="ER51" s="677">
        <f t="shared" si="58"/>
        <v>-737846.2986716053</v>
      </c>
      <c r="ES51" s="677">
        <f t="shared" si="58"/>
        <v>-732066.83643467887</v>
      </c>
      <c r="ET51" s="677">
        <f t="shared" si="58"/>
        <v>-726287.37419775245</v>
      </c>
      <c r="EU51" s="677">
        <f t="shared" si="58"/>
        <v>-701803.92908299319</v>
      </c>
      <c r="EV51" s="677">
        <f t="shared" si="58"/>
        <v>-695650.82925935206</v>
      </c>
      <c r="EW51" s="677">
        <f t="shared" si="58"/>
        <v>-689497.72943571105</v>
      </c>
      <c r="EX51" s="677">
        <f t="shared" si="58"/>
        <v>-683344.62961206993</v>
      </c>
      <c r="EY51" s="677">
        <f t="shared" si="58"/>
        <v>-632676.60902210488</v>
      </c>
      <c r="EZ51" s="677">
        <f t="shared" si="58"/>
        <v>-626565.89751876541</v>
      </c>
      <c r="FA51" s="677">
        <f t="shared" si="58"/>
        <v>-620455.18601542618</v>
      </c>
      <c r="FB51" s="677">
        <f t="shared" si="58"/>
        <v>-614344.47451208672</v>
      </c>
      <c r="FC51" s="677">
        <f t="shared" si="58"/>
        <v>-631056.07296755526</v>
      </c>
      <c r="FD51" s="677">
        <f t="shared" si="58"/>
        <v>-629882.73486295645</v>
      </c>
      <c r="FE51" s="677">
        <f t="shared" si="58"/>
        <v>-628707.05008214829</v>
      </c>
      <c r="FF51" s="677">
        <f t="shared" si="58"/>
        <v>-627529.01393177896</v>
      </c>
      <c r="FG51" s="677">
        <f t="shared" si="58"/>
        <v>-621780.79053722299</v>
      </c>
      <c r="FH51" s="677">
        <f t="shared" si="58"/>
        <v>-619427.44445641269</v>
      </c>
      <c r="FI51" s="677">
        <f t="shared" si="58"/>
        <v>-617064.68499127915</v>
      </c>
      <c r="FJ51" s="677">
        <f t="shared" si="58"/>
        <v>-614692.47448828514</v>
      </c>
      <c r="FK51" s="677">
        <f t="shared" si="58"/>
        <v>-612813.32475409633</v>
      </c>
      <c r="FL51" s="677">
        <f t="shared" si="58"/>
        <v>-609183.85395101935</v>
      </c>
      <c r="FM51" s="677">
        <f t="shared" si="58"/>
        <v>-607241.59390297462</v>
      </c>
      <c r="FN51" s="677">
        <f t="shared" si="58"/>
        <v>-603580.59905388427</v>
      </c>
      <c r="FO51" s="677">
        <f t="shared" si="58"/>
        <v>-600644.42569803516</v>
      </c>
      <c r="FP51" s="677">
        <f t="shared" si="58"/>
        <v>-596083.67128494184</v>
      </c>
      <c r="FQ51" s="677">
        <f t="shared" si="58"/>
        <v>-591489.16728919127</v>
      </c>
      <c r="FR51" s="677">
        <f t="shared" si="58"/>
        <v>-589077.33307444269</v>
      </c>
      <c r="FS51" s="677">
        <f t="shared" si="58"/>
        <v>163927.53352320893</v>
      </c>
      <c r="FT51" s="677">
        <f t="shared" si="58"/>
        <v>163927.53352320893</v>
      </c>
      <c r="FU51" s="677">
        <f t="shared" si="58"/>
        <v>163927.53352320893</v>
      </c>
      <c r="FV51" s="677">
        <f t="shared" si="58"/>
        <v>163927.53352320893</v>
      </c>
      <c r="FW51" s="677"/>
      <c r="FX51" s="683"/>
      <c r="FY51" s="111"/>
      <c r="FZ51" s="107">
        <f t="shared" si="59"/>
        <v>-780837.33778904786</v>
      </c>
      <c r="GA51" s="1577">
        <f>SUM(FZ51:FZ54)</f>
        <v>-483832.30532894243</v>
      </c>
      <c r="GB51" s="112">
        <f t="shared" si="60"/>
        <v>-734956.56755314209</v>
      </c>
      <c r="GC51" s="1577">
        <f>SUM(GB51:GB54)</f>
        <v>-89516.472720478312</v>
      </c>
      <c r="GD51" s="112">
        <f t="shared" si="61"/>
        <v>-692574.27934753161</v>
      </c>
      <c r="GE51" s="1577">
        <f>SUM(GD51:GD54)</f>
        <v>354645.29460984748</v>
      </c>
      <c r="GF51" s="112">
        <f t="shared" si="62"/>
        <v>-623510.5417670958</v>
      </c>
      <c r="GG51" s="1577">
        <f>SUM(GF51:GF54)</f>
        <v>664753.44371832092</v>
      </c>
      <c r="GH51" s="1562">
        <f>GG51+GE51+GC51+GA51</f>
        <v>446049.96027874766</v>
      </c>
      <c r="GI51" s="1557">
        <f>SUM(EI51:FB54)</f>
        <v>-1582829.2191763418</v>
      </c>
      <c r="GJ51" s="135"/>
      <c r="GL51" s="135"/>
      <c r="GN51" s="135"/>
      <c r="GP51" s="135"/>
      <c r="GS51" s="64">
        <v>4</v>
      </c>
      <c r="GT51" s="363">
        <v>425311.94351508474</v>
      </c>
      <c r="GU51" s="358">
        <v>354013.02003943536</v>
      </c>
      <c r="GV51" s="358">
        <v>-229115.83792985661</v>
      </c>
      <c r="GW51" s="359">
        <v>-89758.302248997381</v>
      </c>
    </row>
    <row r="52" spans="1:205" ht="15" customHeight="1" thickBot="1">
      <c r="A52" s="1333"/>
      <c r="B52" s="303" t="s">
        <v>215</v>
      </c>
      <c r="C52" s="343">
        <f t="shared" ref="C52:AP52" si="95">(IF(BQ10=1,IF(C10&lt;=$BJ$46,C10*1000*$BI10,$BJ$46*1000*$BI10),IF(BQ10*$BJ$46&gt;=C10,C10*1000*$BI10,BQ10*1000*$BJ$46*$BI10)))*C37/4*$C$26</f>
        <v>560427.93502559548</v>
      </c>
      <c r="D52" s="343">
        <f t="shared" si="95"/>
        <v>568579.61408051325</v>
      </c>
      <c r="E52" s="343">
        <f t="shared" si="95"/>
        <v>576731.29313543101</v>
      </c>
      <c r="F52" s="343">
        <f t="shared" si="95"/>
        <v>584882.97219034878</v>
      </c>
      <c r="G52" s="343">
        <f t="shared" si="95"/>
        <v>626550.02991461114</v>
      </c>
      <c r="H52" s="343">
        <f t="shared" si="95"/>
        <v>635162.40145982918</v>
      </c>
      <c r="I52" s="343">
        <f t="shared" si="95"/>
        <v>643774.77300504711</v>
      </c>
      <c r="J52" s="343">
        <f t="shared" si="95"/>
        <v>652387.1445502654</v>
      </c>
      <c r="K52" s="343">
        <f t="shared" si="95"/>
        <v>692372.81314900925</v>
      </c>
      <c r="L52" s="343">
        <f t="shared" si="95"/>
        <v>701393.95729427307</v>
      </c>
      <c r="M52" s="343">
        <f t="shared" si="95"/>
        <v>710415.10143953713</v>
      </c>
      <c r="N52" s="343">
        <f t="shared" si="95"/>
        <v>719436.24558480119</v>
      </c>
      <c r="O52" s="343">
        <f t="shared" si="95"/>
        <v>776005.39640885335</v>
      </c>
      <c r="P52" s="343">
        <f t="shared" si="95"/>
        <v>785615.37035818875</v>
      </c>
      <c r="Q52" s="343">
        <f t="shared" si="95"/>
        <v>795225.34430752485</v>
      </c>
      <c r="R52" s="343">
        <f t="shared" si="95"/>
        <v>804835.31825686013</v>
      </c>
      <c r="S52" s="343">
        <f t="shared" si="95"/>
        <v>809294.69683955412</v>
      </c>
      <c r="T52" s="343">
        <f t="shared" si="95"/>
        <v>818843.89680226264</v>
      </c>
      <c r="U52" s="343">
        <f t="shared" si="95"/>
        <v>828393.09676497139</v>
      </c>
      <c r="V52" s="343">
        <f t="shared" si="95"/>
        <v>837942.2967276799</v>
      </c>
      <c r="W52" s="343">
        <f t="shared" si="95"/>
        <v>917418.8317490078</v>
      </c>
      <c r="X52" s="343">
        <f t="shared" si="95"/>
        <v>919664.2360082533</v>
      </c>
      <c r="Y52" s="343">
        <f t="shared" si="95"/>
        <v>921914.13107601728</v>
      </c>
      <c r="Z52" s="343">
        <f t="shared" si="95"/>
        <v>924168.52593391668</v>
      </c>
      <c r="AA52" s="343">
        <f t="shared" si="95"/>
        <v>946217.08459795511</v>
      </c>
      <c r="AB52" s="343">
        <f t="shared" si="95"/>
        <v>950837.22023155889</v>
      </c>
      <c r="AC52" s="343">
        <f t="shared" si="95"/>
        <v>955475.83640769729</v>
      </c>
      <c r="AD52" s="343">
        <f t="shared" si="95"/>
        <v>960133.00704854017</v>
      </c>
      <c r="AE52" s="343">
        <f t="shared" si="95"/>
        <v>1002264.811882984</v>
      </c>
      <c r="AF52" s="343">
        <f t="shared" si="95"/>
        <v>1009574.6842297455</v>
      </c>
      <c r="AG52" s="343">
        <f t="shared" si="95"/>
        <v>1015112.739152271</v>
      </c>
      <c r="AH52" s="343">
        <f t="shared" si="95"/>
        <v>1022497.3846109989</v>
      </c>
      <c r="AI52" s="343">
        <f t="shared" si="95"/>
        <v>1030743.2455351878</v>
      </c>
      <c r="AJ52" s="343">
        <f t="shared" si="95"/>
        <v>1039962.6443950055</v>
      </c>
      <c r="AK52" s="343">
        <f t="shared" si="95"/>
        <v>1049250.2668063862</v>
      </c>
      <c r="AL52" s="343">
        <f t="shared" si="95"/>
        <v>1054125.701788302</v>
      </c>
      <c r="AM52" s="343">
        <f t="shared" si="95"/>
        <v>1053699.3535496201</v>
      </c>
      <c r="AN52" s="343">
        <f t="shared" si="95"/>
        <v>1053699.3535496201</v>
      </c>
      <c r="AO52" s="343">
        <f t="shared" si="95"/>
        <v>1053699.3535496201</v>
      </c>
      <c r="AP52" s="343">
        <f t="shared" si="95"/>
        <v>1053699.3535496199</v>
      </c>
      <c r="AQ52" s="1084">
        <f t="shared" si="83"/>
        <v>2290621.8144318885</v>
      </c>
      <c r="AR52" s="1084">
        <f t="shared" si="51"/>
        <v>2557874.3489297531</v>
      </c>
      <c r="AS52" s="1084">
        <f t="shared" si="52"/>
        <v>2823618.1174676209</v>
      </c>
      <c r="AT52" s="1084">
        <f t="shared" si="53"/>
        <v>3161681.429331427</v>
      </c>
      <c r="AU52" s="1084">
        <f t="shared" si="54"/>
        <v>3294473.9871344678</v>
      </c>
      <c r="AV52" s="1084">
        <f t="shared" si="64"/>
        <v>3683165.7247671951</v>
      </c>
      <c r="AW52" s="1084">
        <f t="shared" si="65"/>
        <v>3812663.1482857517</v>
      </c>
      <c r="AX52" s="1084">
        <f t="shared" si="66"/>
        <v>4049449.6198759992</v>
      </c>
      <c r="AY52" s="1084">
        <f t="shared" si="67"/>
        <v>4174081.8585248818</v>
      </c>
      <c r="AZ52" s="1084">
        <f t="shared" si="68"/>
        <v>4214797.4141984805</v>
      </c>
      <c r="BA52" s="1085"/>
      <c r="BB52" s="1085"/>
      <c r="BC52" s="1085"/>
      <c r="BD52" s="1085"/>
      <c r="BE52" s="1085"/>
      <c r="BF52" s="924"/>
      <c r="BL52" s="148"/>
      <c r="BM52" t="e">
        <f t="shared" si="84"/>
        <v>#REF!</v>
      </c>
      <c r="BN52" t="e">
        <f>(#REF!/('Cost Structure'!$BA$13+'Cost Structure'!$BF$13))/4</f>
        <v>#REF!</v>
      </c>
      <c r="BO52" s="1333"/>
      <c r="BP52" s="666" t="s">
        <v>215</v>
      </c>
      <c r="BQ52" s="1089">
        <f t="shared" ref="BQ52:DD52" si="96">BQ10*DJ30*C37/4</f>
        <v>908708.16260460287</v>
      </c>
      <c r="BR52" s="1089">
        <f t="shared" si="96"/>
        <v>908708.16260460287</v>
      </c>
      <c r="BS52" s="1089">
        <f t="shared" si="96"/>
        <v>908708.16260460287</v>
      </c>
      <c r="BT52" s="1089">
        <f t="shared" si="96"/>
        <v>908708.16260460287</v>
      </c>
      <c r="BU52" s="1089">
        <f t="shared" si="96"/>
        <v>912457.96680463804</v>
      </c>
      <c r="BV52" s="1089">
        <f t="shared" si="96"/>
        <v>912457.96680463804</v>
      </c>
      <c r="BW52" s="1089">
        <f t="shared" si="96"/>
        <v>912457.96680463804</v>
      </c>
      <c r="BX52" s="1089">
        <f t="shared" si="96"/>
        <v>912457.96680463804</v>
      </c>
      <c r="BY52" s="1089">
        <f t="shared" si="96"/>
        <v>907028.62541532447</v>
      </c>
      <c r="BZ52" s="1089">
        <f t="shared" si="96"/>
        <v>907028.62541532447</v>
      </c>
      <c r="CA52" s="1089">
        <f t="shared" si="96"/>
        <v>907028.62541532447</v>
      </c>
      <c r="CB52" s="1089">
        <f t="shared" si="96"/>
        <v>907028.62541532447</v>
      </c>
      <c r="CC52" s="1089">
        <f t="shared" si="96"/>
        <v>912457.96680463804</v>
      </c>
      <c r="CD52" s="1089">
        <f t="shared" si="96"/>
        <v>912457.96680463804</v>
      </c>
      <c r="CE52" s="1089">
        <f t="shared" si="96"/>
        <v>912457.96680463804</v>
      </c>
      <c r="CF52" s="1089">
        <f t="shared" si="96"/>
        <v>912457.96680463804</v>
      </c>
      <c r="CG52" s="1089">
        <f t="shared" si="96"/>
        <v>874452.57707944291</v>
      </c>
      <c r="CH52" s="1089">
        <f t="shared" si="96"/>
        <v>874452.57707944291</v>
      </c>
      <c r="CI52" s="1089">
        <f t="shared" si="96"/>
        <v>874452.57707944291</v>
      </c>
      <c r="CJ52" s="1089">
        <f t="shared" si="96"/>
        <v>874452.57707944291</v>
      </c>
      <c r="CK52" s="1089">
        <f t="shared" si="96"/>
        <v>912457.96680463804</v>
      </c>
      <c r="CL52" s="1089">
        <f t="shared" si="96"/>
        <v>912457.96680463804</v>
      </c>
      <c r="CM52" s="1089">
        <f t="shared" si="96"/>
        <v>912457.96680463804</v>
      </c>
      <c r="CN52" s="1089">
        <f t="shared" si="96"/>
        <v>912457.96680463804</v>
      </c>
      <c r="CO52" s="1089">
        <f t="shared" si="96"/>
        <v>907028.62541532447</v>
      </c>
      <c r="CP52" s="1089">
        <f t="shared" si="96"/>
        <v>907028.62541532447</v>
      </c>
      <c r="CQ52" s="1089">
        <f t="shared" si="96"/>
        <v>907028.62541532447</v>
      </c>
      <c r="CR52" s="1089">
        <f t="shared" si="96"/>
        <v>907028.62541532447</v>
      </c>
      <c r="CS52" s="1089">
        <f t="shared" si="96"/>
        <v>912457.96680463804</v>
      </c>
      <c r="CT52" s="1089">
        <f t="shared" si="96"/>
        <v>912457.96680463804</v>
      </c>
      <c r="CU52" s="1089">
        <f t="shared" si="96"/>
        <v>912457.96680463804</v>
      </c>
      <c r="CV52" s="1089">
        <f t="shared" si="96"/>
        <v>912457.96680463804</v>
      </c>
      <c r="CW52" s="1089">
        <f t="shared" si="96"/>
        <v>912457.96680463804</v>
      </c>
      <c r="CX52" s="1089">
        <f t="shared" si="96"/>
        <v>912457.96680463804</v>
      </c>
      <c r="CY52" s="1089">
        <f t="shared" si="96"/>
        <v>912457.96680463804</v>
      </c>
      <c r="CZ52" s="1089">
        <f t="shared" si="96"/>
        <v>912457.96680463804</v>
      </c>
      <c r="DA52" s="1089">
        <f t="shared" si="96"/>
        <v>384073.59777712962</v>
      </c>
      <c r="DB52" s="1089">
        <f t="shared" si="96"/>
        <v>384073.59777712962</v>
      </c>
      <c r="DC52" s="1089">
        <f t="shared" si="96"/>
        <v>384073.59777712962</v>
      </c>
      <c r="DD52" s="1089">
        <f t="shared" si="96"/>
        <v>384073.59777712962</v>
      </c>
      <c r="DE52" s="582">
        <f t="shared" si="70"/>
        <v>3634832.6504184115</v>
      </c>
      <c r="DF52" s="580">
        <f t="shared" si="71"/>
        <v>3649831.8672185522</v>
      </c>
      <c r="DG52" s="580">
        <f t="shared" si="72"/>
        <v>3628114.5016612979</v>
      </c>
      <c r="DH52" s="580">
        <f t="shared" si="73"/>
        <v>3649831.8672185522</v>
      </c>
      <c r="DI52" s="583">
        <f t="shared" si="74"/>
        <v>3497810.3083177716</v>
      </c>
      <c r="DJ52" s="583">
        <f t="shared" si="75"/>
        <v>3649831.8672185522</v>
      </c>
      <c r="DK52" s="583">
        <f t="shared" si="76"/>
        <v>3628114.5016612979</v>
      </c>
      <c r="DL52" s="583">
        <f t="shared" si="77"/>
        <v>3649831.8672185522</v>
      </c>
      <c r="DM52" s="583">
        <f t="shared" si="78"/>
        <v>3649831.8672185522</v>
      </c>
      <c r="DN52" s="583">
        <f t="shared" si="79"/>
        <v>1536294.3911085185</v>
      </c>
      <c r="DO52" s="582">
        <f t="shared" si="80"/>
        <v>-1344210.835986523</v>
      </c>
      <c r="DP52" s="582">
        <f t="shared" si="56"/>
        <v>-1091957.5182887991</v>
      </c>
      <c r="DQ52" s="582">
        <f t="shared" si="56"/>
        <v>-804496.38419367699</v>
      </c>
      <c r="DR52" s="582">
        <f t="shared" si="56"/>
        <v>-488150.43788712518</v>
      </c>
      <c r="DS52" s="582">
        <f t="shared" si="56"/>
        <v>-203336.32118330384</v>
      </c>
      <c r="DT52" s="582">
        <f t="shared" si="56"/>
        <v>33333.857548642904</v>
      </c>
      <c r="DU52" s="582">
        <f t="shared" si="56"/>
        <v>184548.64662445383</v>
      </c>
      <c r="DV52" s="582">
        <f t="shared" si="56"/>
        <v>399617.75265744701</v>
      </c>
      <c r="DW52" s="582">
        <f t="shared" si="56"/>
        <v>524249.99130632961</v>
      </c>
      <c r="DX52" s="582">
        <f t="shared" si="56"/>
        <v>2678503.0230899621</v>
      </c>
      <c r="DY52" s="926"/>
      <c r="DZ52" s="1607"/>
      <c r="EA52" s="860"/>
      <c r="EB52" s="858" t="e">
        <f>(DF52+#REF!/9)*1.1</f>
        <v>#REF!</v>
      </c>
      <c r="EC52" s="858" t="e">
        <f>(DG52+#REF!/13)*1.1</f>
        <v>#REF!</v>
      </c>
      <c r="ED52" s="858" t="e">
        <f>(DH52+#REF!/17)*1.1</f>
        <v>#REF!</v>
      </c>
      <c r="EE52" s="859">
        <f t="shared" si="57"/>
        <v>3847591.3391495491</v>
      </c>
      <c r="EF52" s="147"/>
      <c r="EG52" s="1333"/>
      <c r="EH52" s="666" t="s">
        <v>215</v>
      </c>
      <c r="EI52" s="677">
        <f t="shared" si="94"/>
        <v>-348280.22757900739</v>
      </c>
      <c r="EJ52" s="677">
        <f t="shared" si="58"/>
        <v>-340128.54852408962</v>
      </c>
      <c r="EK52" s="677">
        <f t="shared" si="58"/>
        <v>-331976.86946917186</v>
      </c>
      <c r="EL52" s="677">
        <f t="shared" si="58"/>
        <v>-323825.19041425409</v>
      </c>
      <c r="EM52" s="677">
        <f t="shared" si="58"/>
        <v>-285907.9368900269</v>
      </c>
      <c r="EN52" s="677">
        <f t="shared" si="58"/>
        <v>-277295.56534480886</v>
      </c>
      <c r="EO52" s="677">
        <f t="shared" si="58"/>
        <v>-268683.19379959092</v>
      </c>
      <c r="EP52" s="677">
        <f t="shared" si="58"/>
        <v>-260070.82225437264</v>
      </c>
      <c r="EQ52" s="677">
        <f t="shared" si="58"/>
        <v>-214655.81226631522</v>
      </c>
      <c r="ER52" s="677">
        <f t="shared" si="58"/>
        <v>-205634.66812105139</v>
      </c>
      <c r="ES52" s="677">
        <f t="shared" si="58"/>
        <v>-196613.52397578734</v>
      </c>
      <c r="ET52" s="677">
        <f t="shared" si="58"/>
        <v>-187592.37983052328</v>
      </c>
      <c r="EU52" s="677">
        <f t="shared" si="58"/>
        <v>-136452.57039578469</v>
      </c>
      <c r="EV52" s="677">
        <f t="shared" si="58"/>
        <v>-126842.59644644929</v>
      </c>
      <c r="EW52" s="677">
        <f t="shared" si="58"/>
        <v>-117232.62249711319</v>
      </c>
      <c r="EX52" s="677">
        <f t="shared" si="58"/>
        <v>-107622.64854777791</v>
      </c>
      <c r="EY52" s="677">
        <f t="shared" si="58"/>
        <v>-65157.880239888793</v>
      </c>
      <c r="EZ52" s="677">
        <f t="shared" si="58"/>
        <v>-55608.680277180276</v>
      </c>
      <c r="FA52" s="677">
        <f t="shared" si="58"/>
        <v>-46059.480314471526</v>
      </c>
      <c r="FB52" s="677">
        <f t="shared" si="58"/>
        <v>-36510.280351763009</v>
      </c>
      <c r="FC52" s="677">
        <f t="shared" si="58"/>
        <v>4960.864944369765</v>
      </c>
      <c r="FD52" s="677">
        <f t="shared" si="58"/>
        <v>7206.2692036152584</v>
      </c>
      <c r="FE52" s="677">
        <f t="shared" ref="FE52:FV62" si="97">Y52-CM52</f>
        <v>9456.1642713792389</v>
      </c>
      <c r="FF52" s="677">
        <f t="shared" si="97"/>
        <v>11710.559129278641</v>
      </c>
      <c r="FG52" s="677">
        <f t="shared" si="97"/>
        <v>39188.459182630642</v>
      </c>
      <c r="FH52" s="677">
        <f t="shared" si="97"/>
        <v>43808.594816234428</v>
      </c>
      <c r="FI52" s="677">
        <f t="shared" si="97"/>
        <v>48447.210992372828</v>
      </c>
      <c r="FJ52" s="677">
        <f t="shared" si="97"/>
        <v>53104.3816332157</v>
      </c>
      <c r="FK52" s="677">
        <f t="shared" si="97"/>
        <v>89806.84507834597</v>
      </c>
      <c r="FL52" s="677">
        <f t="shared" si="97"/>
        <v>97116.71742510749</v>
      </c>
      <c r="FM52" s="677">
        <f t="shared" si="97"/>
        <v>102654.77234763291</v>
      </c>
      <c r="FN52" s="677">
        <f t="shared" si="97"/>
        <v>110039.41780636087</v>
      </c>
      <c r="FO52" s="677">
        <f t="shared" si="97"/>
        <v>118285.27873054973</v>
      </c>
      <c r="FP52" s="677">
        <f t="shared" si="97"/>
        <v>127504.6775903675</v>
      </c>
      <c r="FQ52" s="677">
        <f t="shared" si="97"/>
        <v>136792.30000174814</v>
      </c>
      <c r="FR52" s="677">
        <f t="shared" si="97"/>
        <v>141667.73498366401</v>
      </c>
      <c r="FS52" s="677">
        <f t="shared" si="97"/>
        <v>669625.75577249052</v>
      </c>
      <c r="FT52" s="677">
        <f t="shared" si="97"/>
        <v>669625.75577249052</v>
      </c>
      <c r="FU52" s="677">
        <f t="shared" si="97"/>
        <v>669625.75577249052</v>
      </c>
      <c r="FV52" s="677">
        <f t="shared" si="97"/>
        <v>669625.75577249029</v>
      </c>
      <c r="FW52" s="677"/>
      <c r="FX52" s="683"/>
      <c r="FY52" s="111"/>
      <c r="FZ52" s="107">
        <f t="shared" si="59"/>
        <v>-272989.37957219983</v>
      </c>
      <c r="GA52" s="1575"/>
      <c r="GB52" s="112">
        <f t="shared" si="60"/>
        <v>-201124.09604841931</v>
      </c>
      <c r="GC52" s="1575"/>
      <c r="GD52" s="112">
        <f t="shared" si="61"/>
        <v>-122037.60947178127</v>
      </c>
      <c r="GE52" s="1575"/>
      <c r="GF52" s="112">
        <f t="shared" si="62"/>
        <v>-50834.080295825901</v>
      </c>
      <c r="GG52" s="1575"/>
      <c r="GH52" s="1563"/>
      <c r="GI52" s="1557"/>
      <c r="GJ52" s="135"/>
      <c r="GL52" s="135"/>
      <c r="GN52" s="135"/>
      <c r="GP52" s="135"/>
    </row>
    <row r="53" spans="1:205" ht="15" customHeight="1" thickBot="1">
      <c r="A53" s="1333"/>
      <c r="B53" s="303" t="s">
        <v>216</v>
      </c>
      <c r="C53" s="343">
        <f t="shared" ref="C53:AP53" si="98">(IF(BQ11=1,IF(C11&lt;=$BJ$46,C11*1000*$BI11,$BJ$46*1000*$BI11),IF(BQ11*$BJ$46&gt;=C11,C11*1000*$BI11,BQ11*1000*$BJ$46*$BI11)))*C37/4*$C$26</f>
        <v>1001346.2621999457</v>
      </c>
      <c r="D53" s="343">
        <f t="shared" si="98"/>
        <v>1017367.8023951451</v>
      </c>
      <c r="E53" s="343">
        <f t="shared" si="98"/>
        <v>1033389.3425903444</v>
      </c>
      <c r="F53" s="343">
        <f t="shared" si="98"/>
        <v>1049410.8827855431</v>
      </c>
      <c r="G53" s="343">
        <f t="shared" si="98"/>
        <v>1139446.8363900392</v>
      </c>
      <c r="H53" s="343">
        <f t="shared" si="98"/>
        <v>1156581.3752831223</v>
      </c>
      <c r="I53" s="343">
        <f t="shared" si="98"/>
        <v>1173715.9141762059</v>
      </c>
      <c r="J53" s="343">
        <f t="shared" si="98"/>
        <v>1190850.453069289</v>
      </c>
      <c r="K53" s="343">
        <f t="shared" si="98"/>
        <v>1280202.4655210867</v>
      </c>
      <c r="L53" s="343">
        <f t="shared" si="98"/>
        <v>1298361.3657412441</v>
      </c>
      <c r="M53" s="343">
        <f t="shared" si="98"/>
        <v>1316520.2659614014</v>
      </c>
      <c r="N53" s="343">
        <f t="shared" si="98"/>
        <v>1334679.1661815587</v>
      </c>
      <c r="O53" s="343">
        <f t="shared" si="98"/>
        <v>1457412.7997617943</v>
      </c>
      <c r="P53" s="343">
        <f t="shared" si="98"/>
        <v>1476975.38767806</v>
      </c>
      <c r="Q53" s="343">
        <f t="shared" si="98"/>
        <v>1496537.9755943259</v>
      </c>
      <c r="R53" s="343">
        <f t="shared" si="98"/>
        <v>1516100.5635105912</v>
      </c>
      <c r="S53" s="343">
        <f t="shared" si="98"/>
        <v>1542503.1277277449</v>
      </c>
      <c r="T53" s="343">
        <f t="shared" si="98"/>
        <v>1562152.8491000726</v>
      </c>
      <c r="U53" s="343">
        <f t="shared" si="98"/>
        <v>1581802.5704724006</v>
      </c>
      <c r="V53" s="343">
        <f t="shared" si="98"/>
        <v>1601452.2918447289</v>
      </c>
      <c r="W53" s="343">
        <f t="shared" si="98"/>
        <v>1712148.5296484076</v>
      </c>
      <c r="X53" s="343">
        <f t="shared" si="98"/>
        <v>1718155.9441001399</v>
      </c>
      <c r="Y53" s="343">
        <f t="shared" si="98"/>
        <v>1724175.3733807765</v>
      </c>
      <c r="Z53" s="343">
        <f t="shared" si="98"/>
        <v>1730206.8415199732</v>
      </c>
      <c r="AA53" s="343">
        <f t="shared" si="98"/>
        <v>1731600.4369230764</v>
      </c>
      <c r="AB53" s="343">
        <f t="shared" si="98"/>
        <v>1743649.4151335144</v>
      </c>
      <c r="AC53" s="343">
        <f t="shared" si="98"/>
        <v>1755746.5892567944</v>
      </c>
      <c r="AD53" s="343">
        <f t="shared" si="98"/>
        <v>1767892.1520765675</v>
      </c>
      <c r="AE53" s="343">
        <f t="shared" si="98"/>
        <v>1805550.2088637284</v>
      </c>
      <c r="AF53" s="343">
        <f t="shared" si="98"/>
        <v>1824132.862294219</v>
      </c>
      <c r="AG53" s="343">
        <f t="shared" si="98"/>
        <v>1840323.4706790159</v>
      </c>
      <c r="AH53" s="343">
        <f t="shared" si="98"/>
        <v>1859104.2359311758</v>
      </c>
      <c r="AI53" s="343">
        <f t="shared" si="98"/>
        <v>1883062.8092148961</v>
      </c>
      <c r="AJ53" s="343">
        <f t="shared" si="98"/>
        <v>1906523.8462174006</v>
      </c>
      <c r="AK53" s="343">
        <f t="shared" si="98"/>
        <v>1930158.4948937241</v>
      </c>
      <c r="AL53" s="343">
        <f t="shared" si="98"/>
        <v>1942565.2431267963</v>
      </c>
      <c r="AM53" s="343">
        <f t="shared" si="98"/>
        <v>1951615.9566327094</v>
      </c>
      <c r="AN53" s="343">
        <f t="shared" si="98"/>
        <v>1951615.9566327094</v>
      </c>
      <c r="AO53" s="343">
        <f t="shared" si="98"/>
        <v>1951615.9566327094</v>
      </c>
      <c r="AP53" s="343">
        <f t="shared" si="98"/>
        <v>1951615.9566327094</v>
      </c>
      <c r="AQ53" s="1084">
        <f t="shared" si="83"/>
        <v>4101514.2899709782</v>
      </c>
      <c r="AR53" s="1084">
        <f t="shared" si="51"/>
        <v>4660594.5789186563</v>
      </c>
      <c r="AS53" s="1084">
        <f t="shared" si="52"/>
        <v>5229763.2634052904</v>
      </c>
      <c r="AT53" s="1084">
        <f t="shared" si="53"/>
        <v>5947026.7265447713</v>
      </c>
      <c r="AU53" s="1084">
        <f t="shared" si="54"/>
        <v>6287910.839144947</v>
      </c>
      <c r="AV53" s="1084">
        <f t="shared" si="64"/>
        <v>6884686.6886492977</v>
      </c>
      <c r="AW53" s="1084">
        <f t="shared" si="65"/>
        <v>6998888.5933899526</v>
      </c>
      <c r="AX53" s="1084">
        <f t="shared" si="66"/>
        <v>7329110.7777681388</v>
      </c>
      <c r="AY53" s="1084">
        <f t="shared" si="67"/>
        <v>7662310.3934528176</v>
      </c>
      <c r="AZ53" s="1084">
        <f t="shared" si="68"/>
        <v>7806463.8265308375</v>
      </c>
      <c r="BA53" s="1085"/>
      <c r="BB53" s="1085"/>
      <c r="BC53" s="1085"/>
      <c r="BD53" s="1085"/>
      <c r="BE53" s="1085"/>
      <c r="BF53" s="924"/>
      <c r="BL53" s="148"/>
      <c r="BM53" t="e">
        <f t="shared" si="84"/>
        <v>#REF!</v>
      </c>
      <c r="BN53" t="e">
        <f>(#REF!/('Cost Structure'!$BA$13+'Cost Structure'!$BF$13))/4</f>
        <v>#REF!</v>
      </c>
      <c r="BO53" s="1333"/>
      <c r="BP53" s="666" t="s">
        <v>216</v>
      </c>
      <c r="BQ53" s="1089">
        <f t="shared" ref="BQ53:DD53" si="99">BQ11*DJ31*C37/4</f>
        <v>988570.24105241126</v>
      </c>
      <c r="BR53" s="1089">
        <f t="shared" si="99"/>
        <v>988570.24105241126</v>
      </c>
      <c r="BS53" s="1089">
        <f t="shared" si="99"/>
        <v>988570.24105241126</v>
      </c>
      <c r="BT53" s="1089">
        <f t="shared" si="99"/>
        <v>988570.24105241126</v>
      </c>
      <c r="BU53" s="1089">
        <f t="shared" si="99"/>
        <v>992503.74062597996</v>
      </c>
      <c r="BV53" s="1089">
        <f t="shared" si="99"/>
        <v>992503.74062597996</v>
      </c>
      <c r="BW53" s="1089">
        <f t="shared" si="99"/>
        <v>992503.74062597996</v>
      </c>
      <c r="BX53" s="1089">
        <f t="shared" si="99"/>
        <v>992503.74062597996</v>
      </c>
      <c r="BY53" s="1089">
        <f t="shared" si="99"/>
        <v>986509.72565700219</v>
      </c>
      <c r="BZ53" s="1089">
        <f t="shared" si="99"/>
        <v>986509.72565700219</v>
      </c>
      <c r="CA53" s="1089">
        <f t="shared" si="99"/>
        <v>986509.72565700219</v>
      </c>
      <c r="CB53" s="1089">
        <f t="shared" si="99"/>
        <v>986509.72565700219</v>
      </c>
      <c r="CC53" s="1089">
        <f t="shared" si="99"/>
        <v>992503.74062597996</v>
      </c>
      <c r="CD53" s="1089">
        <f t="shared" si="99"/>
        <v>992503.74062597996</v>
      </c>
      <c r="CE53" s="1089">
        <f t="shared" si="99"/>
        <v>992503.74062597996</v>
      </c>
      <c r="CF53" s="1089">
        <f t="shared" si="99"/>
        <v>992503.74062597996</v>
      </c>
      <c r="CG53" s="1089">
        <f t="shared" si="99"/>
        <v>950545.63584313577</v>
      </c>
      <c r="CH53" s="1089">
        <f t="shared" si="99"/>
        <v>950545.63584313577</v>
      </c>
      <c r="CI53" s="1089">
        <f t="shared" si="99"/>
        <v>950545.63584313577</v>
      </c>
      <c r="CJ53" s="1089">
        <f t="shared" si="99"/>
        <v>950545.63584313577</v>
      </c>
      <c r="CK53" s="1089">
        <f t="shared" si="99"/>
        <v>992503.74062597996</v>
      </c>
      <c r="CL53" s="1089">
        <f t="shared" si="99"/>
        <v>992503.74062597996</v>
      </c>
      <c r="CM53" s="1089">
        <f t="shared" si="99"/>
        <v>992503.74062597996</v>
      </c>
      <c r="CN53" s="1089">
        <f t="shared" si="99"/>
        <v>992503.74062597996</v>
      </c>
      <c r="CO53" s="1089">
        <f t="shared" si="99"/>
        <v>986509.72565700219</v>
      </c>
      <c r="CP53" s="1089">
        <f t="shared" si="99"/>
        <v>986509.72565700219</v>
      </c>
      <c r="CQ53" s="1089">
        <f t="shared" si="99"/>
        <v>986509.72565700219</v>
      </c>
      <c r="CR53" s="1089">
        <f t="shared" si="99"/>
        <v>986509.72565700219</v>
      </c>
      <c r="CS53" s="1089">
        <f t="shared" si="99"/>
        <v>992503.74062597996</v>
      </c>
      <c r="CT53" s="1089">
        <f t="shared" si="99"/>
        <v>992503.74062597996</v>
      </c>
      <c r="CU53" s="1089">
        <f t="shared" si="99"/>
        <v>992503.74062597996</v>
      </c>
      <c r="CV53" s="1089">
        <f t="shared" si="99"/>
        <v>992503.74062597996</v>
      </c>
      <c r="CW53" s="1089">
        <f t="shared" si="99"/>
        <v>992503.74062597996</v>
      </c>
      <c r="CX53" s="1089">
        <f t="shared" si="99"/>
        <v>992503.74062597996</v>
      </c>
      <c r="CY53" s="1089">
        <f t="shared" si="99"/>
        <v>992503.74062597996</v>
      </c>
      <c r="CZ53" s="1089">
        <f t="shared" si="99"/>
        <v>992503.74062597996</v>
      </c>
      <c r="DA53" s="1089">
        <f t="shared" si="99"/>
        <v>386835.68385698891</v>
      </c>
      <c r="DB53" s="1089">
        <f t="shared" si="99"/>
        <v>386835.68385698891</v>
      </c>
      <c r="DC53" s="1089">
        <f t="shared" si="99"/>
        <v>386835.68385698891</v>
      </c>
      <c r="DD53" s="1089">
        <f t="shared" si="99"/>
        <v>386835.68385698891</v>
      </c>
      <c r="DE53" s="582">
        <f t="shared" si="70"/>
        <v>3954280.9642096451</v>
      </c>
      <c r="DF53" s="580">
        <f t="shared" si="71"/>
        <v>3970014.9625039198</v>
      </c>
      <c r="DG53" s="580">
        <f t="shared" si="72"/>
        <v>3946038.9026280087</v>
      </c>
      <c r="DH53" s="580">
        <f t="shared" si="73"/>
        <v>3970014.9625039198</v>
      </c>
      <c r="DI53" s="583">
        <f t="shared" si="74"/>
        <v>3802182.5433725431</v>
      </c>
      <c r="DJ53" s="583">
        <f t="shared" si="75"/>
        <v>3970014.9625039198</v>
      </c>
      <c r="DK53" s="583">
        <f t="shared" si="76"/>
        <v>3946038.9026280087</v>
      </c>
      <c r="DL53" s="583">
        <f t="shared" si="77"/>
        <v>3970014.9625039198</v>
      </c>
      <c r="DM53" s="583">
        <f t="shared" si="78"/>
        <v>3970014.9625039198</v>
      </c>
      <c r="DN53" s="583">
        <f t="shared" si="79"/>
        <v>1547342.7354279556</v>
      </c>
      <c r="DO53" s="582">
        <f t="shared" si="80"/>
        <v>147233.32576133311</v>
      </c>
      <c r="DP53" s="582">
        <f t="shared" si="56"/>
        <v>690579.61641473649</v>
      </c>
      <c r="DQ53" s="582">
        <f t="shared" si="56"/>
        <v>1283724.3607772817</v>
      </c>
      <c r="DR53" s="582">
        <f t="shared" ref="DR53:DR62" si="100">AT53-DH53</f>
        <v>1977011.7640408515</v>
      </c>
      <c r="DS53" s="582">
        <f t="shared" ref="DS53:DS62" si="101">AU53-DI53</f>
        <v>2485728.2957724039</v>
      </c>
      <c r="DT53" s="582">
        <f t="shared" ref="DT53:DT62" si="102">AV53-DJ53</f>
        <v>2914671.7261453778</v>
      </c>
      <c r="DU53" s="582">
        <f t="shared" ref="DU53:DU62" si="103">AW53-DK53</f>
        <v>3052849.6907619438</v>
      </c>
      <c r="DV53" s="582">
        <f t="shared" ref="DV53:DV62" si="104">AX53-DL53</f>
        <v>3359095.815264219</v>
      </c>
      <c r="DW53" s="582">
        <f t="shared" ref="DW53:DW62" si="105">AY53-DM53</f>
        <v>3692295.4309488977</v>
      </c>
      <c r="DX53" s="582">
        <f t="shared" ref="DX53:DX61" si="106">AZ53-DN53</f>
        <v>6259121.0911028814</v>
      </c>
      <c r="DY53" s="926"/>
      <c r="DZ53" s="1607"/>
      <c r="EA53" s="860"/>
      <c r="EB53" s="858" t="e">
        <f>(DF53+#REF!/9)*1.1</f>
        <v>#REF!</v>
      </c>
      <c r="EC53" s="858" t="e">
        <f>(DG53+#REF!/13)*1.1</f>
        <v>#REF!</v>
      </c>
      <c r="ED53" s="858" t="e">
        <f>(DH53+#REF!/17)*1.1</f>
        <v>#REF!</v>
      </c>
      <c r="EE53" s="859">
        <f t="shared" si="57"/>
        <v>4182400.7977097975</v>
      </c>
      <c r="EF53" s="147"/>
      <c r="EG53" s="1333"/>
      <c r="EH53" s="666" t="s">
        <v>216</v>
      </c>
      <c r="EI53" s="677">
        <f t="shared" si="94"/>
        <v>12776.021147534484</v>
      </c>
      <c r="EJ53" s="677">
        <f t="shared" ref="EJ53:FD62" si="107">D53-BR53</f>
        <v>28797.561342733796</v>
      </c>
      <c r="EK53" s="677">
        <f t="shared" si="107"/>
        <v>44819.101537933107</v>
      </c>
      <c r="EL53" s="677">
        <f t="shared" si="107"/>
        <v>60840.641733131837</v>
      </c>
      <c r="EM53" s="677">
        <f t="shared" si="107"/>
        <v>146943.09576405922</v>
      </c>
      <c r="EN53" s="677">
        <f t="shared" si="107"/>
        <v>164077.63465714233</v>
      </c>
      <c r="EO53" s="677">
        <f t="shared" si="107"/>
        <v>181212.17355022591</v>
      </c>
      <c r="EP53" s="677">
        <f t="shared" si="107"/>
        <v>198346.71244330902</v>
      </c>
      <c r="EQ53" s="677">
        <f t="shared" si="107"/>
        <v>293692.73986408452</v>
      </c>
      <c r="ER53" s="677">
        <f t="shared" si="107"/>
        <v>311851.64008424187</v>
      </c>
      <c r="ES53" s="677">
        <f t="shared" si="107"/>
        <v>330010.54030439921</v>
      </c>
      <c r="ET53" s="677">
        <f t="shared" si="107"/>
        <v>348169.44052455656</v>
      </c>
      <c r="EU53" s="677">
        <f t="shared" si="107"/>
        <v>464909.05913581431</v>
      </c>
      <c r="EV53" s="677">
        <f t="shared" si="107"/>
        <v>484471.64705208002</v>
      </c>
      <c r="EW53" s="677">
        <f t="shared" si="107"/>
        <v>504034.23496834596</v>
      </c>
      <c r="EX53" s="677">
        <f t="shared" si="107"/>
        <v>523596.8228846112</v>
      </c>
      <c r="EY53" s="677">
        <f t="shared" si="107"/>
        <v>591957.4918846091</v>
      </c>
      <c r="EZ53" s="677">
        <f t="shared" si="107"/>
        <v>611607.21325693687</v>
      </c>
      <c r="FA53" s="677">
        <f t="shared" si="107"/>
        <v>631256.93462926487</v>
      </c>
      <c r="FB53" s="677">
        <f t="shared" si="107"/>
        <v>650906.6560015931</v>
      </c>
      <c r="FC53" s="677">
        <f t="shared" si="107"/>
        <v>719644.78902242763</v>
      </c>
      <c r="FD53" s="677">
        <f t="shared" si="107"/>
        <v>725652.20347415993</v>
      </c>
      <c r="FE53" s="677">
        <f t="shared" si="97"/>
        <v>731671.63275479653</v>
      </c>
      <c r="FF53" s="677">
        <f t="shared" si="97"/>
        <v>737703.10089399328</v>
      </c>
      <c r="FG53" s="677">
        <f t="shared" si="97"/>
        <v>745090.71126607421</v>
      </c>
      <c r="FH53" s="677">
        <f t="shared" si="97"/>
        <v>757139.68947651226</v>
      </c>
      <c r="FI53" s="677">
        <f t="shared" si="97"/>
        <v>769236.86359979224</v>
      </c>
      <c r="FJ53" s="677">
        <f t="shared" si="97"/>
        <v>781382.42641956534</v>
      </c>
      <c r="FK53" s="677">
        <f t="shared" si="97"/>
        <v>813046.46823774849</v>
      </c>
      <c r="FL53" s="677">
        <f t="shared" si="97"/>
        <v>831629.12166823901</v>
      </c>
      <c r="FM53" s="677">
        <f t="shared" si="97"/>
        <v>847819.73005303589</v>
      </c>
      <c r="FN53" s="677">
        <f t="shared" si="97"/>
        <v>866600.4953051958</v>
      </c>
      <c r="FO53" s="677">
        <f t="shared" si="97"/>
        <v>890559.0685889161</v>
      </c>
      <c r="FP53" s="677">
        <f t="shared" si="97"/>
        <v>914020.10559142067</v>
      </c>
      <c r="FQ53" s="677">
        <f t="shared" si="97"/>
        <v>937654.75426774414</v>
      </c>
      <c r="FR53" s="677">
        <f t="shared" si="97"/>
        <v>950061.50250081636</v>
      </c>
      <c r="FS53" s="677">
        <f t="shared" si="97"/>
        <v>1564780.2727757203</v>
      </c>
      <c r="FT53" s="677">
        <f t="shared" si="97"/>
        <v>1564780.2727757203</v>
      </c>
      <c r="FU53" s="677">
        <f t="shared" si="97"/>
        <v>1564780.2727757203</v>
      </c>
      <c r="FV53" s="677">
        <f t="shared" si="97"/>
        <v>1564780.2727757203</v>
      </c>
      <c r="FW53" s="677"/>
      <c r="FX53" s="683"/>
      <c r="FY53" s="111"/>
      <c r="FZ53" s="108">
        <f t="shared" si="59"/>
        <v>172644.90410368412</v>
      </c>
      <c r="GA53" s="1575"/>
      <c r="GB53" s="112">
        <f t="shared" si="60"/>
        <v>320931.09019432054</v>
      </c>
      <c r="GC53" s="1575"/>
      <c r="GD53" s="112">
        <f t="shared" si="61"/>
        <v>494252.94101021287</v>
      </c>
      <c r="GE53" s="1575"/>
      <c r="GF53" s="112">
        <f t="shared" si="62"/>
        <v>621432.07394310099</v>
      </c>
      <c r="GG53" s="1575"/>
      <c r="GH53" s="1563"/>
      <c r="GI53" s="1557"/>
      <c r="GO53" s="350"/>
    </row>
    <row r="54" spans="1:205" ht="15" customHeight="1" thickBot="1">
      <c r="A54" s="1333"/>
      <c r="B54" s="305" t="s">
        <v>217</v>
      </c>
      <c r="C54" s="343">
        <f t="shared" ref="C54:AP54" si="108">(IF(BQ12=1,IF(C12&lt;=$BJ$46,C12*1000*$BI12,$BJ$46*1000*$BI12),IF(BQ12*$BJ$46&gt;=C12,C12*1000*$BI12,BQ12*1000*$BJ$46*$BI12)))*C37/4*$C$26</f>
        <v>1320161.6313676755</v>
      </c>
      <c r="D54" s="343">
        <f t="shared" si="108"/>
        <v>1341284.2174695584</v>
      </c>
      <c r="E54" s="343">
        <f t="shared" si="108"/>
        <v>1362406.803571441</v>
      </c>
      <c r="F54" s="343">
        <f t="shared" si="108"/>
        <v>1383529.3896733238</v>
      </c>
      <c r="G54" s="343">
        <f t="shared" si="108"/>
        <v>1447902.4475314151</v>
      </c>
      <c r="H54" s="343">
        <f t="shared" si="108"/>
        <v>1469675.4166672258</v>
      </c>
      <c r="I54" s="343">
        <f t="shared" si="108"/>
        <v>1491448.3858030364</v>
      </c>
      <c r="J54" s="343">
        <f t="shared" si="108"/>
        <v>1513221.3549388472</v>
      </c>
      <c r="K54" s="343">
        <f t="shared" si="108"/>
        <v>1568886.9559125532</v>
      </c>
      <c r="L54" s="343">
        <f t="shared" si="108"/>
        <v>1591140.6715992563</v>
      </c>
      <c r="M54" s="343">
        <f t="shared" si="108"/>
        <v>1613394.387285959</v>
      </c>
      <c r="N54" s="343">
        <f t="shared" si="108"/>
        <v>1635648.1029726616</v>
      </c>
      <c r="O54" s="343">
        <f t="shared" si="108"/>
        <v>1723514.9915992972</v>
      </c>
      <c r="P54" s="343">
        <f t="shared" si="108"/>
        <v>1746649.4210167381</v>
      </c>
      <c r="Q54" s="343">
        <f t="shared" si="108"/>
        <v>1769783.8504341776</v>
      </c>
      <c r="R54" s="343">
        <f t="shared" si="108"/>
        <v>1792918.2798516175</v>
      </c>
      <c r="S54" s="343">
        <f t="shared" si="108"/>
        <v>1754832.6332899956</v>
      </c>
      <c r="T54" s="343">
        <f t="shared" si="108"/>
        <v>1754832.6332899956</v>
      </c>
      <c r="U54" s="343">
        <f t="shared" si="108"/>
        <v>1754832.6332899956</v>
      </c>
      <c r="V54" s="343">
        <f t="shared" si="108"/>
        <v>1754832.6332899956</v>
      </c>
      <c r="W54" s="343">
        <f t="shared" si="108"/>
        <v>1865166.4216106241</v>
      </c>
      <c r="X54" s="343">
        <f t="shared" si="108"/>
        <v>1865166.4216106241</v>
      </c>
      <c r="Y54" s="343">
        <f t="shared" si="108"/>
        <v>1865166.4216106241</v>
      </c>
      <c r="Z54" s="343">
        <f t="shared" si="108"/>
        <v>1865166.4216106241</v>
      </c>
      <c r="AA54" s="343">
        <f t="shared" si="108"/>
        <v>1849404.4518505342</v>
      </c>
      <c r="AB54" s="343">
        <f t="shared" si="108"/>
        <v>1849404.4518505342</v>
      </c>
      <c r="AC54" s="343">
        <f t="shared" si="108"/>
        <v>1849404.4518505342</v>
      </c>
      <c r="AD54" s="343">
        <f t="shared" si="108"/>
        <v>1849404.4518505342</v>
      </c>
      <c r="AE54" s="343">
        <f t="shared" si="108"/>
        <v>1865166.4216106241</v>
      </c>
      <c r="AF54" s="343">
        <f t="shared" si="108"/>
        <v>1865166.4216106241</v>
      </c>
      <c r="AG54" s="343">
        <f t="shared" si="108"/>
        <v>1861866.0175322052</v>
      </c>
      <c r="AH54" s="343">
        <f t="shared" si="108"/>
        <v>1861866.0175322052</v>
      </c>
      <c r="AI54" s="343">
        <f t="shared" si="108"/>
        <v>1857245.4518224183</v>
      </c>
      <c r="AJ54" s="343">
        <f t="shared" si="108"/>
        <v>1857245.4518224183</v>
      </c>
      <c r="AK54" s="343">
        <f t="shared" si="108"/>
        <v>1857245.4518224183</v>
      </c>
      <c r="AL54" s="343">
        <f t="shared" si="108"/>
        <v>1857245.4518224183</v>
      </c>
      <c r="AM54" s="343">
        <f t="shared" si="108"/>
        <v>1835659.8958236754</v>
      </c>
      <c r="AN54" s="343">
        <f t="shared" si="108"/>
        <v>1835659.8958236754</v>
      </c>
      <c r="AO54" s="343">
        <f t="shared" si="108"/>
        <v>1835659.8958236754</v>
      </c>
      <c r="AP54" s="343">
        <f t="shared" si="108"/>
        <v>1835659.8958236754</v>
      </c>
      <c r="AQ54" s="1084">
        <f t="shared" si="83"/>
        <v>5407382.0420819987</v>
      </c>
      <c r="AR54" s="1084">
        <f t="shared" si="51"/>
        <v>5922247.6049405243</v>
      </c>
      <c r="AS54" s="1084">
        <f t="shared" si="52"/>
        <v>6409070.1177704297</v>
      </c>
      <c r="AT54" s="1084">
        <f t="shared" si="53"/>
        <v>7032866.5429018298</v>
      </c>
      <c r="AU54" s="1084">
        <f t="shared" si="54"/>
        <v>7019330.5331599824</v>
      </c>
      <c r="AV54" s="1084">
        <f t="shared" si="64"/>
        <v>7460665.6864424963</v>
      </c>
      <c r="AW54" s="1084">
        <f t="shared" si="65"/>
        <v>7397617.8074021367</v>
      </c>
      <c r="AX54" s="1084">
        <f t="shared" si="66"/>
        <v>7454064.8782856585</v>
      </c>
      <c r="AY54" s="1084">
        <f t="shared" si="67"/>
        <v>7428981.807289673</v>
      </c>
      <c r="AZ54" s="1084">
        <f t="shared" si="68"/>
        <v>7342639.5832947018</v>
      </c>
      <c r="BA54" s="1085"/>
      <c r="BB54" s="1085"/>
      <c r="BC54" s="1085"/>
      <c r="BD54" s="1085"/>
      <c r="BE54" s="1085"/>
      <c r="BF54" s="924"/>
      <c r="BJ54" s="662"/>
      <c r="BK54" s="214"/>
      <c r="BL54" s="148"/>
      <c r="BM54" t="e">
        <f t="shared" si="84"/>
        <v>#REF!</v>
      </c>
      <c r="BN54" t="e">
        <f>(#REF!/('Cost Structure'!$BA$13+'Cost Structure'!$BF$13))/4</f>
        <v>#REF!</v>
      </c>
      <c r="BO54" s="1333"/>
      <c r="BP54" s="667" t="s">
        <v>217</v>
      </c>
      <c r="BQ54" s="1089">
        <f t="shared" ref="BQ54:DD54" si="109">BQ12*DJ32*C37/4</f>
        <v>1078978.7832859852</v>
      </c>
      <c r="BR54" s="1089">
        <f t="shared" si="109"/>
        <v>1078978.7832859852</v>
      </c>
      <c r="BS54" s="1089">
        <f t="shared" si="109"/>
        <v>1078978.7832859852</v>
      </c>
      <c r="BT54" s="1089">
        <f t="shared" si="109"/>
        <v>1078978.7832859852</v>
      </c>
      <c r="BU54" s="1089">
        <f t="shared" si="109"/>
        <v>1083212.3933065101</v>
      </c>
      <c r="BV54" s="1089">
        <f t="shared" si="109"/>
        <v>1083212.3933065101</v>
      </c>
      <c r="BW54" s="1089">
        <f t="shared" si="109"/>
        <v>1083212.3933065101</v>
      </c>
      <c r="BX54" s="1089">
        <f t="shared" si="109"/>
        <v>1083212.3933065101</v>
      </c>
      <c r="BY54" s="1089">
        <f t="shared" si="109"/>
        <v>1076634.4287558449</v>
      </c>
      <c r="BZ54" s="1089">
        <f t="shared" si="109"/>
        <v>1076634.4287558449</v>
      </c>
      <c r="CA54" s="1089">
        <f t="shared" si="109"/>
        <v>1076634.4287558449</v>
      </c>
      <c r="CB54" s="1089">
        <f t="shared" si="109"/>
        <v>1076634.4287558449</v>
      </c>
      <c r="CC54" s="1089">
        <f t="shared" si="109"/>
        <v>1083212.3933065101</v>
      </c>
      <c r="CD54" s="1089">
        <f t="shared" si="109"/>
        <v>1083212.3933065101</v>
      </c>
      <c r="CE54" s="1089">
        <f t="shared" si="109"/>
        <v>1083212.3933065101</v>
      </c>
      <c r="CF54" s="1089">
        <f t="shared" si="109"/>
        <v>1083212.3933065101</v>
      </c>
      <c r="CG54" s="1089">
        <f t="shared" si="109"/>
        <v>1037166.6414518539</v>
      </c>
      <c r="CH54" s="1089">
        <f t="shared" si="109"/>
        <v>1037166.6414518539</v>
      </c>
      <c r="CI54" s="1089">
        <f t="shared" si="109"/>
        <v>1037166.6414518539</v>
      </c>
      <c r="CJ54" s="1089">
        <f t="shared" si="109"/>
        <v>1037166.6414518539</v>
      </c>
      <c r="CK54" s="1089">
        <f t="shared" si="109"/>
        <v>1083212.3933065101</v>
      </c>
      <c r="CL54" s="1089">
        <f t="shared" si="109"/>
        <v>1083212.3933065101</v>
      </c>
      <c r="CM54" s="1089">
        <f t="shared" si="109"/>
        <v>1083212.3933065101</v>
      </c>
      <c r="CN54" s="1089">
        <f t="shared" si="109"/>
        <v>1083212.3933065101</v>
      </c>
      <c r="CO54" s="1089">
        <f t="shared" si="109"/>
        <v>1076634.4287558449</v>
      </c>
      <c r="CP54" s="1089">
        <f t="shared" si="109"/>
        <v>1076634.4287558449</v>
      </c>
      <c r="CQ54" s="1089">
        <f t="shared" si="109"/>
        <v>1076634.4287558449</v>
      </c>
      <c r="CR54" s="1089">
        <f t="shared" si="109"/>
        <v>1076634.4287558449</v>
      </c>
      <c r="CS54" s="1089">
        <f t="shared" si="109"/>
        <v>1083212.3933065101</v>
      </c>
      <c r="CT54" s="1089">
        <f t="shared" si="109"/>
        <v>1083212.3933065101</v>
      </c>
      <c r="CU54" s="1089">
        <f t="shared" si="109"/>
        <v>1083212.3933065101</v>
      </c>
      <c r="CV54" s="1089">
        <f t="shared" si="109"/>
        <v>1083212.3933065101</v>
      </c>
      <c r="CW54" s="1089">
        <f t="shared" si="109"/>
        <v>1083212.3933065101</v>
      </c>
      <c r="CX54" s="1089">
        <f t="shared" si="109"/>
        <v>1083212.3933065101</v>
      </c>
      <c r="CY54" s="1089">
        <f t="shared" si="109"/>
        <v>1083212.3933065101</v>
      </c>
      <c r="CZ54" s="1089">
        <f t="shared" si="109"/>
        <v>1083212.3933065101</v>
      </c>
      <c r="DA54" s="1089">
        <f t="shared" si="109"/>
        <v>376665.90492577641</v>
      </c>
      <c r="DB54" s="1089">
        <f t="shared" si="109"/>
        <v>376665.90492577641</v>
      </c>
      <c r="DC54" s="1089">
        <f t="shared" si="109"/>
        <v>376665.90492577641</v>
      </c>
      <c r="DD54" s="1089">
        <f t="shared" si="109"/>
        <v>376665.90492577641</v>
      </c>
      <c r="DE54" s="582">
        <f t="shared" si="70"/>
        <v>4315915.1331439409</v>
      </c>
      <c r="DF54" s="580">
        <f t="shared" si="71"/>
        <v>4332849.5732260402</v>
      </c>
      <c r="DG54" s="580">
        <f t="shared" si="72"/>
        <v>4306537.7150233798</v>
      </c>
      <c r="DH54" s="580">
        <f t="shared" si="73"/>
        <v>4332849.5732260402</v>
      </c>
      <c r="DI54" s="583">
        <f t="shared" si="74"/>
        <v>4148666.5658074156</v>
      </c>
      <c r="DJ54" s="583">
        <f t="shared" si="75"/>
        <v>4332849.5732260402</v>
      </c>
      <c r="DK54" s="583">
        <f t="shared" si="76"/>
        <v>4306537.7150233798</v>
      </c>
      <c r="DL54" s="583">
        <f t="shared" si="77"/>
        <v>4332849.5732260402</v>
      </c>
      <c r="DM54" s="583">
        <f t="shared" si="78"/>
        <v>4332849.5732260402</v>
      </c>
      <c r="DN54" s="583">
        <f t="shared" si="79"/>
        <v>1506663.6197031057</v>
      </c>
      <c r="DO54" s="582">
        <f t="shared" si="80"/>
        <v>1091466.9089380577</v>
      </c>
      <c r="DP54" s="582">
        <f t="shared" si="56"/>
        <v>1589398.0317144841</v>
      </c>
      <c r="DQ54" s="582">
        <f t="shared" si="56"/>
        <v>2102532.4027470499</v>
      </c>
      <c r="DR54" s="582">
        <f t="shared" si="100"/>
        <v>2700016.9696757896</v>
      </c>
      <c r="DS54" s="582">
        <f t="shared" si="101"/>
        <v>2870663.9673525668</v>
      </c>
      <c r="DT54" s="582">
        <f t="shared" si="102"/>
        <v>3127816.113216456</v>
      </c>
      <c r="DU54" s="582">
        <f t="shared" si="103"/>
        <v>3091080.092378757</v>
      </c>
      <c r="DV54" s="582">
        <f t="shared" si="104"/>
        <v>3121215.3050596183</v>
      </c>
      <c r="DW54" s="582">
        <f t="shared" si="105"/>
        <v>3096132.2340636328</v>
      </c>
      <c r="DX54" s="582">
        <f t="shared" si="106"/>
        <v>5835975.9635915961</v>
      </c>
      <c r="DY54" s="926"/>
      <c r="DZ54" s="1607"/>
      <c r="EA54" s="860"/>
      <c r="EB54" s="858" t="e">
        <f>(DF54+#REF!/9)*1.1</f>
        <v>#REF!</v>
      </c>
      <c r="EC54" s="858" t="e">
        <f>(DG54+#REF!/13)*1.1</f>
        <v>#REF!</v>
      </c>
      <c r="ED54" s="858" t="e">
        <f>(DH54+#REF!/17)*1.1</f>
        <v>#REF!</v>
      </c>
      <c r="EE54" s="859">
        <f t="shared" si="57"/>
        <v>4563533.2223881576</v>
      </c>
      <c r="EF54" s="147"/>
      <c r="EG54" s="1333"/>
      <c r="EH54" s="667" t="s">
        <v>217</v>
      </c>
      <c r="EI54" s="677">
        <f t="shared" si="94"/>
        <v>241182.84808169026</v>
      </c>
      <c r="EJ54" s="677">
        <f t="shared" si="107"/>
        <v>262305.43418357312</v>
      </c>
      <c r="EK54" s="677">
        <f t="shared" si="107"/>
        <v>283428.02028545574</v>
      </c>
      <c r="EL54" s="677">
        <f t="shared" si="107"/>
        <v>304550.6063873386</v>
      </c>
      <c r="EM54" s="677">
        <f t="shared" si="107"/>
        <v>364690.05422490509</v>
      </c>
      <c r="EN54" s="677">
        <f t="shared" si="107"/>
        <v>386463.02336071571</v>
      </c>
      <c r="EO54" s="677">
        <f t="shared" si="107"/>
        <v>408235.99249652633</v>
      </c>
      <c r="EP54" s="677">
        <f t="shared" si="107"/>
        <v>430008.96163233719</v>
      </c>
      <c r="EQ54" s="677">
        <f t="shared" si="107"/>
        <v>492252.5271567083</v>
      </c>
      <c r="ER54" s="677">
        <f t="shared" si="107"/>
        <v>514506.2428434114</v>
      </c>
      <c r="ES54" s="677">
        <f t="shared" si="107"/>
        <v>536759.95853011403</v>
      </c>
      <c r="ET54" s="677">
        <f t="shared" si="107"/>
        <v>559013.67421681667</v>
      </c>
      <c r="EU54" s="677">
        <f t="shared" si="107"/>
        <v>640302.59829278709</v>
      </c>
      <c r="EV54" s="677">
        <f t="shared" si="107"/>
        <v>663437.02771022799</v>
      </c>
      <c r="EW54" s="677">
        <f t="shared" si="107"/>
        <v>686571.4571276675</v>
      </c>
      <c r="EX54" s="677">
        <f t="shared" si="107"/>
        <v>709705.88654510747</v>
      </c>
      <c r="EY54" s="677">
        <f t="shared" si="107"/>
        <v>717665.99183814169</v>
      </c>
      <c r="EZ54" s="677">
        <f t="shared" si="107"/>
        <v>717665.99183814169</v>
      </c>
      <c r="FA54" s="677">
        <f t="shared" si="107"/>
        <v>717665.99183814169</v>
      </c>
      <c r="FB54" s="677">
        <f t="shared" si="107"/>
        <v>717665.99183814169</v>
      </c>
      <c r="FC54" s="677">
        <f t="shared" si="107"/>
        <v>781954.02830411401</v>
      </c>
      <c r="FD54" s="677">
        <f t="shared" si="107"/>
        <v>781954.02830411401</v>
      </c>
      <c r="FE54" s="677">
        <f t="shared" si="97"/>
        <v>781954.02830411401</v>
      </c>
      <c r="FF54" s="677">
        <f t="shared" si="97"/>
        <v>781954.02830411401</v>
      </c>
      <c r="FG54" s="677">
        <f t="shared" si="97"/>
        <v>772770.02309468924</v>
      </c>
      <c r="FH54" s="677">
        <f t="shared" si="97"/>
        <v>772770.02309468924</v>
      </c>
      <c r="FI54" s="677">
        <f t="shared" si="97"/>
        <v>772770.02309468924</v>
      </c>
      <c r="FJ54" s="677">
        <f t="shared" si="97"/>
        <v>772770.02309468924</v>
      </c>
      <c r="FK54" s="677">
        <f t="shared" si="97"/>
        <v>781954.02830411401</v>
      </c>
      <c r="FL54" s="677">
        <f t="shared" si="97"/>
        <v>781954.02830411401</v>
      </c>
      <c r="FM54" s="677">
        <f t="shared" si="97"/>
        <v>778653.62422569515</v>
      </c>
      <c r="FN54" s="677">
        <f t="shared" si="97"/>
        <v>778653.62422569515</v>
      </c>
      <c r="FO54" s="677">
        <f t="shared" si="97"/>
        <v>774033.0585159082</v>
      </c>
      <c r="FP54" s="677">
        <f t="shared" si="97"/>
        <v>774033.0585159082</v>
      </c>
      <c r="FQ54" s="677">
        <f t="shared" si="97"/>
        <v>774033.0585159082</v>
      </c>
      <c r="FR54" s="677">
        <f t="shared" si="97"/>
        <v>774033.0585159082</v>
      </c>
      <c r="FS54" s="677">
        <f t="shared" si="97"/>
        <v>1458993.990897899</v>
      </c>
      <c r="FT54" s="677">
        <f t="shared" si="97"/>
        <v>1458993.990897899</v>
      </c>
      <c r="FU54" s="677">
        <f t="shared" si="97"/>
        <v>1458993.990897899</v>
      </c>
      <c r="FV54" s="677">
        <f t="shared" si="97"/>
        <v>1458993.990897899</v>
      </c>
      <c r="FW54" s="677"/>
      <c r="FX54" s="683"/>
      <c r="FY54" s="111"/>
      <c r="FZ54" s="108">
        <f t="shared" si="59"/>
        <v>397349.50792862108</v>
      </c>
      <c r="GA54" s="1575"/>
      <c r="GB54" s="112">
        <f t="shared" si="60"/>
        <v>525633.1006867626</v>
      </c>
      <c r="GC54" s="1575"/>
      <c r="GD54" s="112">
        <f t="shared" si="61"/>
        <v>675004.24241894751</v>
      </c>
      <c r="GE54" s="1575"/>
      <c r="GF54" s="112">
        <f t="shared" si="62"/>
        <v>717665.99183814169</v>
      </c>
      <c r="GG54" s="1575"/>
      <c r="GH54" s="1564"/>
      <c r="GI54" s="1557"/>
    </row>
    <row r="55" spans="1:205" ht="15" customHeight="1" thickBot="1">
      <c r="A55" s="1333">
        <v>3</v>
      </c>
      <c r="B55" s="203" t="s">
        <v>218</v>
      </c>
      <c r="C55" s="660">
        <v>0</v>
      </c>
      <c r="D55" s="660">
        <v>0</v>
      </c>
      <c r="E55" s="660">
        <v>0</v>
      </c>
      <c r="F55" s="660">
        <v>0</v>
      </c>
      <c r="G55" s="660">
        <v>0</v>
      </c>
      <c r="H55" s="660">
        <v>0</v>
      </c>
      <c r="I55" s="660">
        <v>0</v>
      </c>
      <c r="J55" s="660">
        <v>0</v>
      </c>
      <c r="K55" s="343">
        <f t="shared" ref="K55:AP55" si="110">(IF(BY13=1,IF(K13&lt;=$BJ$46,K13*1000*$BI13,$BJ$46*1000*$BI13),IF(BY13*$BJ$46&gt;=K13,K13*1000*$BI13,BY13*1000*$BJ$46*$BI13)))*K38/4*$C$26</f>
        <v>2359062.2088433797</v>
      </c>
      <c r="L55" s="343">
        <f t="shared" si="110"/>
        <v>2390723.3069094359</v>
      </c>
      <c r="M55" s="343">
        <f t="shared" si="110"/>
        <v>2422384.4049754916</v>
      </c>
      <c r="N55" s="343">
        <f t="shared" si="110"/>
        <v>2454045.5030415477</v>
      </c>
      <c r="O55" s="343">
        <f t="shared" si="110"/>
        <v>2485706.6011076034</v>
      </c>
      <c r="P55" s="343">
        <f t="shared" si="110"/>
        <v>2517367.6991736591</v>
      </c>
      <c r="Q55" s="343">
        <f t="shared" si="110"/>
        <v>2549028.7972397148</v>
      </c>
      <c r="R55" s="343">
        <f t="shared" si="110"/>
        <v>2580689.8953057704</v>
      </c>
      <c r="S55" s="343">
        <f t="shared" si="110"/>
        <v>2611730.1875273939</v>
      </c>
      <c r="T55" s="343">
        <f t="shared" si="110"/>
        <v>2642770.4797490179</v>
      </c>
      <c r="U55" s="343">
        <f t="shared" si="110"/>
        <v>2673810.7719706409</v>
      </c>
      <c r="V55" s="343">
        <f t="shared" si="110"/>
        <v>2704851.0641922648</v>
      </c>
      <c r="W55" s="343">
        <f t="shared" si="110"/>
        <v>2735891.3564138878</v>
      </c>
      <c r="X55" s="343">
        <f t="shared" si="110"/>
        <v>2766931.6486355113</v>
      </c>
      <c r="Y55" s="343">
        <f t="shared" si="110"/>
        <v>2797971.9408571348</v>
      </c>
      <c r="Z55" s="343">
        <f t="shared" si="110"/>
        <v>2829012.2330787587</v>
      </c>
      <c r="AA55" s="343">
        <f t="shared" si="110"/>
        <v>2604661.3478702013</v>
      </c>
      <c r="AB55" s="343">
        <f t="shared" si="110"/>
        <v>2604661.3478702013</v>
      </c>
      <c r="AC55" s="343">
        <f t="shared" si="110"/>
        <v>2604661.3478702013</v>
      </c>
      <c r="AD55" s="343">
        <f t="shared" si="110"/>
        <v>2654704.7101843432</v>
      </c>
      <c r="AE55" s="343">
        <f t="shared" si="110"/>
        <v>2846034.7793868179</v>
      </c>
      <c r="AF55" s="343">
        <f t="shared" si="110"/>
        <v>2852242.8378311438</v>
      </c>
      <c r="AG55" s="343">
        <f t="shared" si="110"/>
        <v>2858450.8962754682</v>
      </c>
      <c r="AH55" s="343">
        <f t="shared" si="110"/>
        <v>2864658.9547197921</v>
      </c>
      <c r="AI55" s="343">
        <f t="shared" si="110"/>
        <v>2870867.0131641175</v>
      </c>
      <c r="AJ55" s="343">
        <f t="shared" si="110"/>
        <v>2877075.0716084423</v>
      </c>
      <c r="AK55" s="343">
        <f t="shared" si="110"/>
        <v>2868743.8071224359</v>
      </c>
      <c r="AL55" s="343">
        <f t="shared" si="110"/>
        <v>2868743.8071224359</v>
      </c>
      <c r="AM55" s="343">
        <f t="shared" si="110"/>
        <v>2868743.8071224359</v>
      </c>
      <c r="AN55" s="343">
        <f t="shared" si="110"/>
        <v>2868743.8071224359</v>
      </c>
      <c r="AO55" s="343">
        <f t="shared" si="110"/>
        <v>2868743.8071224359</v>
      </c>
      <c r="AP55" s="343">
        <f t="shared" si="110"/>
        <v>2868743.8071224359</v>
      </c>
      <c r="AQ55" s="1662"/>
      <c r="AR55" s="1662"/>
      <c r="AS55" s="1084">
        <f t="shared" si="52"/>
        <v>9626215.423769854</v>
      </c>
      <c r="AT55" s="1084">
        <f t="shared" si="53"/>
        <v>10132792.992826749</v>
      </c>
      <c r="AU55" s="1084">
        <f t="shared" si="54"/>
        <v>10633162.503439318</v>
      </c>
      <c r="AV55" s="1084">
        <f t="shared" si="64"/>
        <v>11129807.178985292</v>
      </c>
      <c r="AW55" s="1084">
        <f t="shared" si="65"/>
        <v>10468688.753794948</v>
      </c>
      <c r="AX55" s="1084">
        <f t="shared" si="66"/>
        <v>11421387.468213223</v>
      </c>
      <c r="AY55" s="1084">
        <f t="shared" si="67"/>
        <v>11485429.699017432</v>
      </c>
      <c r="AZ55" s="1084">
        <f t="shared" si="68"/>
        <v>11474975.228489744</v>
      </c>
      <c r="BA55" s="1085"/>
      <c r="BB55" s="1085"/>
      <c r="BC55" s="1085"/>
      <c r="BD55" s="1085"/>
      <c r="BE55" s="1085"/>
      <c r="BF55" s="924"/>
      <c r="BL55" s="148"/>
      <c r="BM55" t="e">
        <f>SUM(BM46:BM54)</f>
        <v>#REF!</v>
      </c>
      <c r="BO55" s="1333">
        <v>3</v>
      </c>
      <c r="BP55" s="668" t="s">
        <v>218</v>
      </c>
      <c r="BQ55" s="1089">
        <f t="shared" ref="BQ55:BX62" si="111">BQ13*$DJ13*$C$33</f>
        <v>0</v>
      </c>
      <c r="BR55" s="1089">
        <f t="shared" si="111"/>
        <v>0</v>
      </c>
      <c r="BS55" s="1089">
        <f t="shared" si="111"/>
        <v>0</v>
      </c>
      <c r="BT55" s="1089">
        <f t="shared" si="111"/>
        <v>0</v>
      </c>
      <c r="BU55" s="1089">
        <f t="shared" si="111"/>
        <v>0</v>
      </c>
      <c r="BV55" s="1089">
        <f t="shared" si="111"/>
        <v>0</v>
      </c>
      <c r="BW55" s="1089">
        <f t="shared" si="111"/>
        <v>0</v>
      </c>
      <c r="BX55" s="1089">
        <f t="shared" si="111"/>
        <v>0</v>
      </c>
      <c r="BY55" s="1089">
        <f t="shared" ref="BY55:DD55" si="112">BY13*DR33*K38/4</f>
        <v>1731633.0247559224</v>
      </c>
      <c r="BZ55" s="1089">
        <f t="shared" si="112"/>
        <v>1731633.0247559224</v>
      </c>
      <c r="CA55" s="1089">
        <f t="shared" si="112"/>
        <v>1731633.0247559224</v>
      </c>
      <c r="CB55" s="1089">
        <f t="shared" si="112"/>
        <v>1731633.0247559224</v>
      </c>
      <c r="CC55" s="1089">
        <f t="shared" si="112"/>
        <v>1729284.3383406063</v>
      </c>
      <c r="CD55" s="1089">
        <f t="shared" si="112"/>
        <v>1729284.3383406063</v>
      </c>
      <c r="CE55" s="1089">
        <f t="shared" si="112"/>
        <v>1729284.3383406063</v>
      </c>
      <c r="CF55" s="1089">
        <f t="shared" si="112"/>
        <v>1729284.3383406063</v>
      </c>
      <c r="CG55" s="1089">
        <f t="shared" si="112"/>
        <v>1729284.3383406063</v>
      </c>
      <c r="CH55" s="1089">
        <f t="shared" si="112"/>
        <v>1729284.3383406063</v>
      </c>
      <c r="CI55" s="1089">
        <f t="shared" si="112"/>
        <v>1729284.3383406063</v>
      </c>
      <c r="CJ55" s="1089">
        <f t="shared" si="112"/>
        <v>1729284.3383406063</v>
      </c>
      <c r="CK55" s="1089">
        <f t="shared" si="112"/>
        <v>1729284.3383406063</v>
      </c>
      <c r="CL55" s="1089">
        <f t="shared" si="112"/>
        <v>1729284.3383406063</v>
      </c>
      <c r="CM55" s="1089">
        <f t="shared" si="112"/>
        <v>1729284.3383406063</v>
      </c>
      <c r="CN55" s="1089">
        <f t="shared" si="112"/>
        <v>1729284.3383406063</v>
      </c>
      <c r="CO55" s="1089">
        <f t="shared" si="112"/>
        <v>1641061.8767467549</v>
      </c>
      <c r="CP55" s="1089">
        <f t="shared" si="112"/>
        <v>1641061.8767467549</v>
      </c>
      <c r="CQ55" s="1089">
        <f t="shared" si="112"/>
        <v>1641061.8767467549</v>
      </c>
      <c r="CR55" s="1089">
        <f t="shared" si="112"/>
        <v>1641061.8767467549</v>
      </c>
      <c r="CS55" s="1089">
        <f t="shared" si="112"/>
        <v>1729284.3383406063</v>
      </c>
      <c r="CT55" s="1089">
        <f t="shared" si="112"/>
        <v>1729284.3383406063</v>
      </c>
      <c r="CU55" s="1089">
        <f t="shared" si="112"/>
        <v>1729284.3383406063</v>
      </c>
      <c r="CV55" s="1089">
        <f t="shared" si="112"/>
        <v>1729284.3383406063</v>
      </c>
      <c r="CW55" s="1089">
        <f t="shared" si="112"/>
        <v>1729284.3383406063</v>
      </c>
      <c r="CX55" s="1089">
        <f t="shared" si="112"/>
        <v>1729284.3383406063</v>
      </c>
      <c r="CY55" s="1089">
        <f t="shared" si="112"/>
        <v>1729284.3383406063</v>
      </c>
      <c r="CZ55" s="1089">
        <f t="shared" si="112"/>
        <v>1729284.3383406063</v>
      </c>
      <c r="DA55" s="1089">
        <f t="shared" si="112"/>
        <v>358655.56700633938</v>
      </c>
      <c r="DB55" s="1089">
        <f t="shared" si="112"/>
        <v>358655.56700633938</v>
      </c>
      <c r="DC55" s="1089">
        <f t="shared" si="112"/>
        <v>358655.56700633938</v>
      </c>
      <c r="DD55" s="1089">
        <f t="shared" si="112"/>
        <v>358655.56700633938</v>
      </c>
      <c r="DE55" s="1669"/>
      <c r="DF55" s="1671"/>
      <c r="DG55" s="580">
        <f t="shared" si="72"/>
        <v>6926532.0990236895</v>
      </c>
      <c r="DH55" s="580">
        <f t="shared" si="73"/>
        <v>6917137.3533624252</v>
      </c>
      <c r="DI55" s="583">
        <f t="shared" si="74"/>
        <v>6917137.3533624252</v>
      </c>
      <c r="DJ55" s="583">
        <f t="shared" si="75"/>
        <v>6917137.3533624252</v>
      </c>
      <c r="DK55" s="583">
        <f t="shared" si="76"/>
        <v>6564247.5069870194</v>
      </c>
      <c r="DL55" s="583">
        <f t="shared" si="77"/>
        <v>6917137.3533624252</v>
      </c>
      <c r="DM55" s="583">
        <f t="shared" si="78"/>
        <v>6917137.3533624252</v>
      </c>
      <c r="DN55" s="583">
        <f t="shared" si="79"/>
        <v>1434622.2680253575</v>
      </c>
      <c r="DO55" s="1669"/>
      <c r="DP55" s="1671"/>
      <c r="DQ55" s="582">
        <f t="shared" si="56"/>
        <v>2699683.3247461645</v>
      </c>
      <c r="DR55" s="582">
        <f t="shared" si="100"/>
        <v>3215655.6394643234</v>
      </c>
      <c r="DS55" s="582">
        <f t="shared" si="101"/>
        <v>3716025.1500768932</v>
      </c>
      <c r="DT55" s="582">
        <f t="shared" si="102"/>
        <v>4212669.8256228669</v>
      </c>
      <c r="DU55" s="582">
        <f t="shared" si="103"/>
        <v>3904441.2468079282</v>
      </c>
      <c r="DV55" s="582">
        <f t="shared" si="104"/>
        <v>4504250.1148507977</v>
      </c>
      <c r="DW55" s="582">
        <f t="shared" si="105"/>
        <v>4568292.3456550064</v>
      </c>
      <c r="DX55" s="582">
        <f t="shared" si="106"/>
        <v>10040352.960464386</v>
      </c>
      <c r="DY55" s="926"/>
      <c r="DZ55" s="1607">
        <v>3</v>
      </c>
      <c r="EA55" s="860"/>
      <c r="EB55" s="861"/>
      <c r="EC55" s="858" t="e">
        <f>(DG55+#REF!/13)*1.1</f>
        <v>#REF!</v>
      </c>
      <c r="ED55" s="858" t="e">
        <f>(DH55+#REF!/17)*1.1</f>
        <v>#REF!</v>
      </c>
      <c r="EE55" s="859">
        <f t="shared" si="57"/>
        <v>7608851.0886986684</v>
      </c>
      <c r="EF55" s="147"/>
      <c r="EG55" s="1333">
        <v>3</v>
      </c>
      <c r="EH55" s="668" t="s">
        <v>218</v>
      </c>
      <c r="EI55" s="1202">
        <f t="shared" si="94"/>
        <v>0</v>
      </c>
      <c r="EJ55" s="1202">
        <f t="shared" ref="EJ55:EQ62" si="113">D55-BR55</f>
        <v>0</v>
      </c>
      <c r="EK55" s="1202">
        <f t="shared" si="113"/>
        <v>0</v>
      </c>
      <c r="EL55" s="1202">
        <f t="shared" si="113"/>
        <v>0</v>
      </c>
      <c r="EM55" s="1202">
        <f t="shared" si="113"/>
        <v>0</v>
      </c>
      <c r="EN55" s="1202">
        <f t="shared" si="113"/>
        <v>0</v>
      </c>
      <c r="EO55" s="1202">
        <f t="shared" si="113"/>
        <v>0</v>
      </c>
      <c r="EP55" s="1202">
        <f t="shared" si="113"/>
        <v>0</v>
      </c>
      <c r="EQ55" s="678">
        <f t="shared" si="113"/>
        <v>627429.18408745737</v>
      </c>
      <c r="ER55" s="678">
        <f t="shared" si="107"/>
        <v>659090.28215351352</v>
      </c>
      <c r="ES55" s="678">
        <f t="shared" si="107"/>
        <v>690751.3802195692</v>
      </c>
      <c r="ET55" s="678">
        <f t="shared" si="107"/>
        <v>722412.47828562534</v>
      </c>
      <c r="EU55" s="678">
        <f t="shared" si="107"/>
        <v>756422.2627669971</v>
      </c>
      <c r="EV55" s="678">
        <f t="shared" si="107"/>
        <v>788083.36083305278</v>
      </c>
      <c r="EW55" s="678">
        <f t="shared" si="107"/>
        <v>819744.45889910846</v>
      </c>
      <c r="EX55" s="678">
        <f t="shared" si="107"/>
        <v>851405.55696516414</v>
      </c>
      <c r="EY55" s="678">
        <f t="shared" si="107"/>
        <v>882445.84918678761</v>
      </c>
      <c r="EZ55" s="678">
        <f t="shared" si="107"/>
        <v>913486.14140841155</v>
      </c>
      <c r="FA55" s="678">
        <f t="shared" si="107"/>
        <v>944526.43363003456</v>
      </c>
      <c r="FB55" s="678">
        <f t="shared" si="107"/>
        <v>975566.7258516585</v>
      </c>
      <c r="FC55" s="678">
        <f t="shared" si="107"/>
        <v>1006607.0180732815</v>
      </c>
      <c r="FD55" s="678">
        <f t="shared" si="107"/>
        <v>1037647.310294905</v>
      </c>
      <c r="FE55" s="678">
        <f t="shared" si="97"/>
        <v>1068687.6025165285</v>
      </c>
      <c r="FF55" s="678">
        <f t="shared" si="97"/>
        <v>1099727.8947381524</v>
      </c>
      <c r="FG55" s="678">
        <f t="shared" si="97"/>
        <v>963599.47112344648</v>
      </c>
      <c r="FH55" s="678">
        <f t="shared" si="97"/>
        <v>963599.47112344648</v>
      </c>
      <c r="FI55" s="678">
        <f t="shared" si="97"/>
        <v>963599.47112344648</v>
      </c>
      <c r="FJ55" s="678">
        <f t="shared" si="97"/>
        <v>1013642.8334375883</v>
      </c>
      <c r="FK55" s="678">
        <f t="shared" si="97"/>
        <v>1116750.4410462116</v>
      </c>
      <c r="FL55" s="678">
        <f t="shared" si="97"/>
        <v>1122958.4994905374</v>
      </c>
      <c r="FM55" s="678">
        <f t="shared" si="97"/>
        <v>1129166.5579348619</v>
      </c>
      <c r="FN55" s="678">
        <f t="shared" si="97"/>
        <v>1135374.6163791858</v>
      </c>
      <c r="FO55" s="678">
        <f t="shared" si="97"/>
        <v>1141582.6748235112</v>
      </c>
      <c r="FP55" s="678">
        <f t="shared" si="97"/>
        <v>1147790.733267836</v>
      </c>
      <c r="FQ55" s="678">
        <f t="shared" si="97"/>
        <v>1139459.4687818296</v>
      </c>
      <c r="FR55" s="678">
        <f t="shared" si="97"/>
        <v>1139459.4687818296</v>
      </c>
      <c r="FS55" s="678">
        <f t="shared" si="97"/>
        <v>2510088.2401160966</v>
      </c>
      <c r="FT55" s="678">
        <f t="shared" si="97"/>
        <v>2510088.2401160966</v>
      </c>
      <c r="FU55" s="678">
        <f t="shared" si="97"/>
        <v>2510088.2401160966</v>
      </c>
      <c r="FV55" s="678">
        <f t="shared" si="97"/>
        <v>2510088.2401160966</v>
      </c>
      <c r="FW55" s="678"/>
      <c r="FX55" s="683"/>
      <c r="FY55" s="111"/>
      <c r="GB55" s="112">
        <f t="shared" si="60"/>
        <v>674920.83118654136</v>
      </c>
      <c r="GC55" s="1575">
        <f>SUM(GB55:GB58)</f>
        <v>-331749.36315686943</v>
      </c>
      <c r="GD55" s="112">
        <f t="shared" si="61"/>
        <v>803913.90986608062</v>
      </c>
      <c r="GE55" s="1575">
        <f>SUM(GD55:GD58)</f>
        <v>-44657.547024291882</v>
      </c>
      <c r="GF55" s="112">
        <f t="shared" si="62"/>
        <v>929006.28751922306</v>
      </c>
      <c r="GG55" s="1575">
        <f>SUM(GF55:GF58)</f>
        <v>240858.76491825853</v>
      </c>
      <c r="GH55" s="1562">
        <f>GG55+GE55+GC55</f>
        <v>-135548.14526290278</v>
      </c>
      <c r="GI55" s="1557">
        <f>SUM(EI55:FB58)</f>
        <v>-542192.58105161204</v>
      </c>
    </row>
    <row r="56" spans="1:205" ht="15" customHeight="1" thickBot="1">
      <c r="A56" s="1333"/>
      <c r="B56" s="203" t="s">
        <v>219</v>
      </c>
      <c r="C56" s="660">
        <v>0</v>
      </c>
      <c r="D56" s="660">
        <v>0</v>
      </c>
      <c r="E56" s="660">
        <v>0</v>
      </c>
      <c r="F56" s="660">
        <v>0</v>
      </c>
      <c r="G56" s="660">
        <v>0</v>
      </c>
      <c r="H56" s="660">
        <v>0</v>
      </c>
      <c r="I56" s="660">
        <v>0</v>
      </c>
      <c r="J56" s="660">
        <v>0</v>
      </c>
      <c r="K56" s="343">
        <f t="shared" ref="K56:AP56" si="114">(IF(BY14=1,IF(K14&lt;=$BJ$46,K14*1000*$BI14,$BJ$46*1000*$BI14),IF(BY14*$BJ$46&gt;=K14,K14*1000*$BI14,BY14*1000*$BJ$46*$BI14)))*K38/4*$C$26</f>
        <v>685831.53173824912</v>
      </c>
      <c r="L56" s="343">
        <f t="shared" si="114"/>
        <v>695036.11282210471</v>
      </c>
      <c r="M56" s="343">
        <f t="shared" si="114"/>
        <v>704240.69390596007</v>
      </c>
      <c r="N56" s="343">
        <f t="shared" si="114"/>
        <v>713445.27498981543</v>
      </c>
      <c r="O56" s="343">
        <f t="shared" si="114"/>
        <v>742008.72852810146</v>
      </c>
      <c r="P56" s="343">
        <f t="shared" si="114"/>
        <v>751459.88865670643</v>
      </c>
      <c r="Q56" s="343">
        <f t="shared" si="114"/>
        <v>760911.04878531117</v>
      </c>
      <c r="R56" s="343">
        <f t="shared" si="114"/>
        <v>770362.20891391567</v>
      </c>
      <c r="S56" s="343">
        <f t="shared" si="114"/>
        <v>800375.21300245507</v>
      </c>
      <c r="T56" s="343">
        <f t="shared" si="114"/>
        <v>809887.6353105423</v>
      </c>
      <c r="U56" s="343">
        <f t="shared" si="114"/>
        <v>819400.0576186293</v>
      </c>
      <c r="V56" s="343">
        <f t="shared" si="114"/>
        <v>828912.47992671654</v>
      </c>
      <c r="W56" s="343">
        <f t="shared" si="114"/>
        <v>842129.6343998696</v>
      </c>
      <c r="X56" s="343">
        <f t="shared" si="114"/>
        <v>853933.54831348406</v>
      </c>
      <c r="Y56" s="343">
        <f t="shared" si="114"/>
        <v>865792.48187041213</v>
      </c>
      <c r="Z56" s="343">
        <f t="shared" si="114"/>
        <v>877706.59568113519</v>
      </c>
      <c r="AA56" s="343">
        <f t="shared" si="114"/>
        <v>813794.50954494998</v>
      </c>
      <c r="AB56" s="343">
        <f t="shared" si="114"/>
        <v>818077.81727884954</v>
      </c>
      <c r="AC56" s="343">
        <f t="shared" si="114"/>
        <v>822378.25824368454</v>
      </c>
      <c r="AD56" s="343">
        <f t="shared" si="114"/>
        <v>833989.33413130278</v>
      </c>
      <c r="AE56" s="343">
        <f t="shared" si="114"/>
        <v>894096.67352815345</v>
      </c>
      <c r="AF56" s="343">
        <f t="shared" si="114"/>
        <v>894096.67352815345</v>
      </c>
      <c r="AG56" s="343">
        <f t="shared" si="114"/>
        <v>894096.67352815345</v>
      </c>
      <c r="AH56" s="343">
        <f t="shared" si="114"/>
        <v>894096.67352815345</v>
      </c>
      <c r="AI56" s="343">
        <f t="shared" si="114"/>
        <v>894096.67352815345</v>
      </c>
      <c r="AJ56" s="343">
        <f t="shared" si="114"/>
        <v>894096.67352815345</v>
      </c>
      <c r="AK56" s="343">
        <f t="shared" si="114"/>
        <v>894096.67352815345</v>
      </c>
      <c r="AL56" s="343">
        <f t="shared" si="114"/>
        <v>894096.67352815345</v>
      </c>
      <c r="AM56" s="343">
        <f t="shared" si="114"/>
        <v>894096.67352815345</v>
      </c>
      <c r="AN56" s="343">
        <f t="shared" si="114"/>
        <v>894096.67352815345</v>
      </c>
      <c r="AO56" s="343">
        <f t="shared" si="114"/>
        <v>894096.67352815345</v>
      </c>
      <c r="AP56" s="343">
        <f t="shared" si="114"/>
        <v>894096.67352815345</v>
      </c>
      <c r="AQ56" s="1663"/>
      <c r="AR56" s="1663"/>
      <c r="AS56" s="1084">
        <f t="shared" si="52"/>
        <v>2798553.6134561291</v>
      </c>
      <c r="AT56" s="1084">
        <f t="shared" si="53"/>
        <v>3024741.874884035</v>
      </c>
      <c r="AU56" s="1084">
        <f t="shared" si="54"/>
        <v>3258575.385858343</v>
      </c>
      <c r="AV56" s="1084">
        <f t="shared" si="64"/>
        <v>3439562.260264901</v>
      </c>
      <c r="AW56" s="1084">
        <f t="shared" si="65"/>
        <v>3288239.9191987868</v>
      </c>
      <c r="AX56" s="1084">
        <f t="shared" si="66"/>
        <v>3576386.6941126138</v>
      </c>
      <c r="AY56" s="1084">
        <f t="shared" si="67"/>
        <v>3576386.6941126138</v>
      </c>
      <c r="AZ56" s="1084">
        <f t="shared" si="68"/>
        <v>3576386.6941126138</v>
      </c>
      <c r="BA56" s="1085"/>
      <c r="BB56" s="1085"/>
      <c r="BC56" s="1085"/>
      <c r="BD56" s="1085"/>
      <c r="BE56" s="1085"/>
      <c r="BF56" s="924"/>
      <c r="BL56" s="148"/>
      <c r="BO56" s="1333"/>
      <c r="BP56" s="668" t="s">
        <v>219</v>
      </c>
      <c r="BQ56" s="1089">
        <f t="shared" si="111"/>
        <v>0</v>
      </c>
      <c r="BR56" s="1089">
        <f t="shared" si="111"/>
        <v>0</v>
      </c>
      <c r="BS56" s="1089">
        <f t="shared" si="111"/>
        <v>0</v>
      </c>
      <c r="BT56" s="1089">
        <f t="shared" si="111"/>
        <v>0</v>
      </c>
      <c r="BU56" s="1089">
        <f t="shared" si="111"/>
        <v>0</v>
      </c>
      <c r="BV56" s="1089">
        <f t="shared" si="111"/>
        <v>0</v>
      </c>
      <c r="BW56" s="1089">
        <f t="shared" si="111"/>
        <v>0</v>
      </c>
      <c r="BX56" s="1089">
        <f t="shared" si="111"/>
        <v>0</v>
      </c>
      <c r="BY56" s="1089">
        <f t="shared" ref="BY56:DD56" si="115">BY14*DR34*K38/4</f>
        <v>532808.47316808766</v>
      </c>
      <c r="BZ56" s="1089">
        <f t="shared" si="115"/>
        <v>532808.47316808766</v>
      </c>
      <c r="CA56" s="1089">
        <f t="shared" si="115"/>
        <v>532808.47316808766</v>
      </c>
      <c r="CB56" s="1089">
        <f t="shared" si="115"/>
        <v>532808.47316808766</v>
      </c>
      <c r="CC56" s="1089">
        <f t="shared" si="115"/>
        <v>531837.21914582362</v>
      </c>
      <c r="CD56" s="1089">
        <f t="shared" si="115"/>
        <v>531837.21914582362</v>
      </c>
      <c r="CE56" s="1089">
        <f t="shared" si="115"/>
        <v>531837.21914582362</v>
      </c>
      <c r="CF56" s="1089">
        <f t="shared" si="115"/>
        <v>531837.21914582362</v>
      </c>
      <c r="CG56" s="1089">
        <f t="shared" si="115"/>
        <v>531837.21914582362</v>
      </c>
      <c r="CH56" s="1089">
        <f t="shared" si="115"/>
        <v>531837.21914582362</v>
      </c>
      <c r="CI56" s="1089">
        <f t="shared" si="115"/>
        <v>531837.21914582362</v>
      </c>
      <c r="CJ56" s="1089">
        <f t="shared" si="115"/>
        <v>531837.21914582362</v>
      </c>
      <c r="CK56" s="1089">
        <f t="shared" si="115"/>
        <v>531837.21914582362</v>
      </c>
      <c r="CL56" s="1089">
        <f t="shared" si="115"/>
        <v>531837.21914582362</v>
      </c>
      <c r="CM56" s="1089">
        <f t="shared" si="115"/>
        <v>531837.21914582362</v>
      </c>
      <c r="CN56" s="1089">
        <f t="shared" si="115"/>
        <v>531837.21914582362</v>
      </c>
      <c r="CO56" s="1089">
        <f t="shared" si="115"/>
        <v>507678.81600091601</v>
      </c>
      <c r="CP56" s="1089">
        <f t="shared" si="115"/>
        <v>507678.81600091601</v>
      </c>
      <c r="CQ56" s="1089">
        <f t="shared" si="115"/>
        <v>507678.81600091601</v>
      </c>
      <c r="CR56" s="1089">
        <f t="shared" si="115"/>
        <v>507678.81600091601</v>
      </c>
      <c r="CS56" s="1089">
        <f t="shared" si="115"/>
        <v>531837.21914582362</v>
      </c>
      <c r="CT56" s="1089">
        <f t="shared" si="115"/>
        <v>531837.21914582362</v>
      </c>
      <c r="CU56" s="1089">
        <f t="shared" si="115"/>
        <v>531837.21914582362</v>
      </c>
      <c r="CV56" s="1089">
        <f t="shared" si="115"/>
        <v>531837.21914582362</v>
      </c>
      <c r="CW56" s="1089">
        <f t="shared" si="115"/>
        <v>531837.21914582362</v>
      </c>
      <c r="CX56" s="1089">
        <f t="shared" si="115"/>
        <v>531837.21914582362</v>
      </c>
      <c r="CY56" s="1089">
        <f t="shared" si="115"/>
        <v>531837.21914582362</v>
      </c>
      <c r="CZ56" s="1089">
        <f t="shared" si="115"/>
        <v>531837.21914582362</v>
      </c>
      <c r="DA56" s="1089">
        <f t="shared" si="115"/>
        <v>477132.11261165189</v>
      </c>
      <c r="DB56" s="1089">
        <f t="shared" si="115"/>
        <v>477132.11261165189</v>
      </c>
      <c r="DC56" s="1089">
        <f t="shared" si="115"/>
        <v>477132.11261165189</v>
      </c>
      <c r="DD56" s="1089">
        <f t="shared" si="115"/>
        <v>477132.11261165189</v>
      </c>
      <c r="DE56" s="1670"/>
      <c r="DF56" s="1672"/>
      <c r="DG56" s="580">
        <f t="shared" si="72"/>
        <v>2131233.8926723506</v>
      </c>
      <c r="DH56" s="580">
        <f t="shared" si="73"/>
        <v>2127348.8765832945</v>
      </c>
      <c r="DI56" s="583">
        <f t="shared" si="74"/>
        <v>2127348.8765832945</v>
      </c>
      <c r="DJ56" s="583">
        <f t="shared" si="75"/>
        <v>2127348.8765832945</v>
      </c>
      <c r="DK56" s="583">
        <f t="shared" si="76"/>
        <v>2030715.264003664</v>
      </c>
      <c r="DL56" s="583">
        <f t="shared" si="77"/>
        <v>2127348.8765832945</v>
      </c>
      <c r="DM56" s="583">
        <f t="shared" si="78"/>
        <v>2127348.8765832945</v>
      </c>
      <c r="DN56" s="583">
        <f t="shared" si="79"/>
        <v>1908528.4504466075</v>
      </c>
      <c r="DO56" s="1670"/>
      <c r="DP56" s="1672"/>
      <c r="DQ56" s="582">
        <f t="shared" si="56"/>
        <v>667319.72078377847</v>
      </c>
      <c r="DR56" s="582">
        <f t="shared" si="100"/>
        <v>897392.9983007405</v>
      </c>
      <c r="DS56" s="582">
        <f t="shared" si="101"/>
        <v>1131226.5092750485</v>
      </c>
      <c r="DT56" s="582">
        <f t="shared" si="102"/>
        <v>1312213.3836816065</v>
      </c>
      <c r="DU56" s="582">
        <f t="shared" si="103"/>
        <v>1257524.6551951228</v>
      </c>
      <c r="DV56" s="582">
        <f t="shared" si="104"/>
        <v>1449037.8175293193</v>
      </c>
      <c r="DW56" s="582">
        <f t="shared" si="105"/>
        <v>1449037.8175293193</v>
      </c>
      <c r="DX56" s="582">
        <f t="shared" si="106"/>
        <v>1667858.2436660063</v>
      </c>
      <c r="DY56" s="926"/>
      <c r="DZ56" s="1607"/>
      <c r="EA56" s="860"/>
      <c r="EB56" s="861"/>
      <c r="EC56" s="858" t="e">
        <f>(DG56+#REF!/13)*1.1</f>
        <v>#REF!</v>
      </c>
      <c r="ED56" s="858" t="e">
        <f>(DH56+#REF!/17)*1.1</f>
        <v>#REF!</v>
      </c>
      <c r="EE56" s="859">
        <f t="shared" si="57"/>
        <v>2340083.7642416242</v>
      </c>
      <c r="EF56" s="147"/>
      <c r="EG56" s="1333"/>
      <c r="EH56" s="668" t="s">
        <v>219</v>
      </c>
      <c r="EI56" s="1202">
        <f t="shared" si="94"/>
        <v>0</v>
      </c>
      <c r="EJ56" s="1202">
        <f t="shared" si="113"/>
        <v>0</v>
      </c>
      <c r="EK56" s="1202">
        <f t="shared" si="113"/>
        <v>0</v>
      </c>
      <c r="EL56" s="1202">
        <f t="shared" si="113"/>
        <v>0</v>
      </c>
      <c r="EM56" s="1202">
        <f t="shared" si="113"/>
        <v>0</v>
      </c>
      <c r="EN56" s="1202">
        <f t="shared" si="113"/>
        <v>0</v>
      </c>
      <c r="EO56" s="1202">
        <f t="shared" si="113"/>
        <v>0</v>
      </c>
      <c r="EP56" s="1202">
        <f t="shared" si="113"/>
        <v>0</v>
      </c>
      <c r="EQ56" s="678">
        <f t="shared" si="113"/>
        <v>153023.05857016146</v>
      </c>
      <c r="ER56" s="678">
        <f t="shared" si="107"/>
        <v>162227.63965401705</v>
      </c>
      <c r="ES56" s="678">
        <f t="shared" si="107"/>
        <v>171432.22073787241</v>
      </c>
      <c r="ET56" s="678">
        <f t="shared" si="107"/>
        <v>180636.80182172777</v>
      </c>
      <c r="EU56" s="678">
        <f t="shared" si="107"/>
        <v>210171.50938227784</v>
      </c>
      <c r="EV56" s="678">
        <f t="shared" si="107"/>
        <v>219622.66951088281</v>
      </c>
      <c r="EW56" s="678">
        <f t="shared" si="107"/>
        <v>229073.82963948755</v>
      </c>
      <c r="EX56" s="678">
        <f t="shared" si="107"/>
        <v>238524.98976809205</v>
      </c>
      <c r="EY56" s="678">
        <f t="shared" si="107"/>
        <v>268537.99385663145</v>
      </c>
      <c r="EZ56" s="678">
        <f t="shared" si="107"/>
        <v>278050.41616471868</v>
      </c>
      <c r="FA56" s="678">
        <f t="shared" si="107"/>
        <v>287562.83847280568</v>
      </c>
      <c r="FB56" s="678">
        <f t="shared" si="107"/>
        <v>297075.26078089292</v>
      </c>
      <c r="FC56" s="678">
        <f t="shared" si="107"/>
        <v>310292.41525404598</v>
      </c>
      <c r="FD56" s="678">
        <f t="shared" si="107"/>
        <v>322096.32916766044</v>
      </c>
      <c r="FE56" s="678">
        <f t="shared" si="97"/>
        <v>333955.26272458851</v>
      </c>
      <c r="FF56" s="678">
        <f t="shared" si="97"/>
        <v>345869.37653531157</v>
      </c>
      <c r="FG56" s="678">
        <f t="shared" si="97"/>
        <v>306115.69354403397</v>
      </c>
      <c r="FH56" s="678">
        <f t="shared" si="97"/>
        <v>310399.00127793354</v>
      </c>
      <c r="FI56" s="678">
        <f t="shared" si="97"/>
        <v>314699.44224276853</v>
      </c>
      <c r="FJ56" s="678">
        <f t="shared" si="97"/>
        <v>326310.51813038677</v>
      </c>
      <c r="FK56" s="678">
        <f t="shared" si="97"/>
        <v>362259.45438232983</v>
      </c>
      <c r="FL56" s="678">
        <f t="shared" si="97"/>
        <v>362259.45438232983</v>
      </c>
      <c r="FM56" s="678">
        <f t="shared" si="97"/>
        <v>362259.45438232983</v>
      </c>
      <c r="FN56" s="678">
        <f t="shared" si="97"/>
        <v>362259.45438232983</v>
      </c>
      <c r="FO56" s="678">
        <f t="shared" si="97"/>
        <v>362259.45438232983</v>
      </c>
      <c r="FP56" s="678">
        <f t="shared" si="97"/>
        <v>362259.45438232983</v>
      </c>
      <c r="FQ56" s="678">
        <f t="shared" si="97"/>
        <v>362259.45438232983</v>
      </c>
      <c r="FR56" s="678">
        <f t="shared" si="97"/>
        <v>362259.45438232983</v>
      </c>
      <c r="FS56" s="678">
        <f t="shared" si="97"/>
        <v>416964.56091650156</v>
      </c>
      <c r="FT56" s="678">
        <f t="shared" si="97"/>
        <v>416964.56091650156</v>
      </c>
      <c r="FU56" s="678">
        <f t="shared" si="97"/>
        <v>416964.56091650156</v>
      </c>
      <c r="FV56" s="678">
        <f t="shared" si="97"/>
        <v>416964.56091650156</v>
      </c>
      <c r="FW56" s="678"/>
      <c r="FX56" s="683"/>
      <c r="FY56" s="111"/>
      <c r="GB56" s="112">
        <f t="shared" si="60"/>
        <v>166829.93019594467</v>
      </c>
      <c r="GC56" s="1575"/>
      <c r="GD56" s="112">
        <f t="shared" si="61"/>
        <v>224348.24957518507</v>
      </c>
      <c r="GE56" s="1575"/>
      <c r="GF56" s="112">
        <f t="shared" si="62"/>
        <v>282806.62731876218</v>
      </c>
      <c r="GG56" s="1575"/>
      <c r="GH56" s="1563"/>
      <c r="GI56" s="1557"/>
      <c r="GJ56" s="135"/>
      <c r="GL56" s="135"/>
      <c r="GN56" s="135"/>
    </row>
    <row r="57" spans="1:205" ht="15" customHeight="1" thickBot="1">
      <c r="A57" s="1333"/>
      <c r="B57" s="203" t="s">
        <v>220</v>
      </c>
      <c r="C57" s="660">
        <v>0</v>
      </c>
      <c r="D57" s="660">
        <v>0</v>
      </c>
      <c r="E57" s="660">
        <v>0</v>
      </c>
      <c r="F57" s="660">
        <v>0</v>
      </c>
      <c r="G57" s="660">
        <v>0</v>
      </c>
      <c r="H57" s="660">
        <v>0</v>
      </c>
      <c r="I57" s="660">
        <v>0</v>
      </c>
      <c r="J57" s="660">
        <v>0</v>
      </c>
      <c r="K57" s="343">
        <f t="shared" ref="K57:AP57" si="116">(IF(BY15=1,IF(K15&lt;=$BJ$46,K15*1000*$BI15,$BJ$46*1000*$BI15),IF(BY15*$BJ$46&gt;=K15,K15*1000*$BI15,BY15*1000*$BJ$46*$BI15)))*K38/4*$C$26</f>
        <v>115676.8819506127</v>
      </c>
      <c r="L57" s="343">
        <f t="shared" si="116"/>
        <v>117504.86230736306</v>
      </c>
      <c r="M57" s="343">
        <f t="shared" si="116"/>
        <v>119332.84266411346</v>
      </c>
      <c r="N57" s="343">
        <f t="shared" si="116"/>
        <v>121160.82302086389</v>
      </c>
      <c r="O57" s="343">
        <f t="shared" si="116"/>
        <v>129325.18405081215</v>
      </c>
      <c r="P57" s="343">
        <f t="shared" si="116"/>
        <v>131253.36109334958</v>
      </c>
      <c r="Q57" s="343">
        <f t="shared" si="116"/>
        <v>133181.53813588707</v>
      </c>
      <c r="R57" s="343">
        <f t="shared" si="116"/>
        <v>135109.71517842443</v>
      </c>
      <c r="S57" s="343">
        <f t="shared" si="116"/>
        <v>144124.30539167105</v>
      </c>
      <c r="T57" s="343">
        <f t="shared" si="116"/>
        <v>146158.02161256003</v>
      </c>
      <c r="U57" s="343">
        <f t="shared" si="116"/>
        <v>148191.73783344903</v>
      </c>
      <c r="V57" s="343">
        <f t="shared" si="116"/>
        <v>150225.45405433804</v>
      </c>
      <c r="W57" s="343">
        <f t="shared" si="116"/>
        <v>150806.79429352359</v>
      </c>
      <c r="X57" s="343">
        <f t="shared" si="116"/>
        <v>151155.81574057828</v>
      </c>
      <c r="Y57" s="343">
        <f t="shared" si="116"/>
        <v>151505.53523052705</v>
      </c>
      <c r="Z57" s="343">
        <f t="shared" si="116"/>
        <v>151855.95415945572</v>
      </c>
      <c r="AA57" s="343">
        <f t="shared" si="116"/>
        <v>142522.44631358376</v>
      </c>
      <c r="AB57" s="343">
        <f t="shared" si="116"/>
        <v>143180.977649929</v>
      </c>
      <c r="AC57" s="343">
        <f t="shared" si="116"/>
        <v>143842.14311161963</v>
      </c>
      <c r="AD57" s="343">
        <f t="shared" si="116"/>
        <v>144505.95323515695</v>
      </c>
      <c r="AE57" s="343">
        <f t="shared" si="116"/>
        <v>156233.28675529585</v>
      </c>
      <c r="AF57" s="343">
        <f t="shared" si="116"/>
        <v>157312.91005123049</v>
      </c>
      <c r="AG57" s="343">
        <f t="shared" si="116"/>
        <v>158399.01108694082</v>
      </c>
      <c r="AH57" s="343">
        <f t="shared" si="116"/>
        <v>159491.62872886538</v>
      </c>
      <c r="AI57" s="343">
        <f t="shared" si="116"/>
        <v>161094.5214914048</v>
      </c>
      <c r="AJ57" s="343">
        <f t="shared" si="116"/>
        <v>162462.03002677139</v>
      </c>
      <c r="AK57" s="343">
        <f t="shared" si="116"/>
        <v>163839.65812529976</v>
      </c>
      <c r="AL57" s="343">
        <f t="shared" si="116"/>
        <v>165091.75057800201</v>
      </c>
      <c r="AM57" s="343">
        <f t="shared" si="116"/>
        <v>166876.69635378689</v>
      </c>
      <c r="AN57" s="343">
        <f t="shared" si="116"/>
        <v>166876.69635378689</v>
      </c>
      <c r="AO57" s="343">
        <f t="shared" si="116"/>
        <v>166876.69635378689</v>
      </c>
      <c r="AP57" s="343">
        <f t="shared" si="116"/>
        <v>166876.69635378689</v>
      </c>
      <c r="AQ57" s="1663"/>
      <c r="AR57" s="1663"/>
      <c r="AS57" s="1084">
        <f t="shared" si="52"/>
        <v>473675.40994295309</v>
      </c>
      <c r="AT57" s="1084">
        <f t="shared" si="53"/>
        <v>528869.79845847329</v>
      </c>
      <c r="AU57" s="1084">
        <f t="shared" si="54"/>
        <v>588699.51889201812</v>
      </c>
      <c r="AV57" s="1084">
        <f t="shared" si="64"/>
        <v>605324.09942408465</v>
      </c>
      <c r="AW57" s="1084">
        <f t="shared" si="65"/>
        <v>574051.52031028934</v>
      </c>
      <c r="AX57" s="1084">
        <f t="shared" si="66"/>
        <v>631436.83662233257</v>
      </c>
      <c r="AY57" s="1084">
        <f t="shared" si="67"/>
        <v>652487.96022147802</v>
      </c>
      <c r="AZ57" s="1084">
        <f t="shared" si="68"/>
        <v>667506.78541514755</v>
      </c>
      <c r="BA57" s="1085"/>
      <c r="BB57" s="1085"/>
      <c r="BC57" s="1085"/>
      <c r="BD57" s="1085"/>
      <c r="BE57" s="1085"/>
      <c r="BF57" s="924"/>
      <c r="BL57" s="148"/>
      <c r="BO57" s="1333"/>
      <c r="BP57" s="668" t="s">
        <v>220</v>
      </c>
      <c r="BQ57" s="1089">
        <f t="shared" si="111"/>
        <v>0</v>
      </c>
      <c r="BR57" s="1089">
        <f t="shared" si="111"/>
        <v>0</v>
      </c>
      <c r="BS57" s="1089">
        <f t="shared" si="111"/>
        <v>0</v>
      </c>
      <c r="BT57" s="1089">
        <f t="shared" si="111"/>
        <v>0</v>
      </c>
      <c r="BU57" s="1089">
        <f t="shared" si="111"/>
        <v>0</v>
      </c>
      <c r="BV57" s="1089">
        <f t="shared" si="111"/>
        <v>0</v>
      </c>
      <c r="BW57" s="1089">
        <f t="shared" si="111"/>
        <v>0</v>
      </c>
      <c r="BX57" s="1089">
        <f t="shared" si="111"/>
        <v>0</v>
      </c>
      <c r="BY57" s="1089">
        <f t="shared" ref="BY57:DD57" si="117">BY15*DR35*K38/4</f>
        <v>692316.59677250974</v>
      </c>
      <c r="BZ57" s="1089">
        <f t="shared" si="117"/>
        <v>692316.59677250974</v>
      </c>
      <c r="CA57" s="1089">
        <f t="shared" si="117"/>
        <v>692316.59677250974</v>
      </c>
      <c r="CB57" s="1089">
        <f t="shared" si="117"/>
        <v>692316.59677250974</v>
      </c>
      <c r="CC57" s="1089">
        <f t="shared" si="117"/>
        <v>691104.86387558957</v>
      </c>
      <c r="CD57" s="1089">
        <f t="shared" si="117"/>
        <v>691104.86387558957</v>
      </c>
      <c r="CE57" s="1089">
        <f t="shared" si="117"/>
        <v>691104.86387558957</v>
      </c>
      <c r="CF57" s="1089">
        <f t="shared" si="117"/>
        <v>691104.86387558957</v>
      </c>
      <c r="CG57" s="1089">
        <f t="shared" si="117"/>
        <v>691104.86387558957</v>
      </c>
      <c r="CH57" s="1089">
        <f t="shared" si="117"/>
        <v>691104.86387558957</v>
      </c>
      <c r="CI57" s="1089">
        <f t="shared" si="117"/>
        <v>691104.86387558957</v>
      </c>
      <c r="CJ57" s="1089">
        <f t="shared" si="117"/>
        <v>691104.86387558957</v>
      </c>
      <c r="CK57" s="1089">
        <f t="shared" si="117"/>
        <v>691104.86387558957</v>
      </c>
      <c r="CL57" s="1089">
        <f t="shared" si="117"/>
        <v>691104.86387558957</v>
      </c>
      <c r="CM57" s="1089">
        <f t="shared" si="117"/>
        <v>691104.86387558957</v>
      </c>
      <c r="CN57" s="1089">
        <f t="shared" si="117"/>
        <v>691104.86387558957</v>
      </c>
      <c r="CO57" s="1089">
        <f t="shared" si="117"/>
        <v>659108.97202625894</v>
      </c>
      <c r="CP57" s="1089">
        <f t="shared" si="117"/>
        <v>659108.97202625894</v>
      </c>
      <c r="CQ57" s="1089">
        <f t="shared" si="117"/>
        <v>659108.97202625894</v>
      </c>
      <c r="CR57" s="1089">
        <f t="shared" si="117"/>
        <v>659108.97202625894</v>
      </c>
      <c r="CS57" s="1089">
        <f t="shared" si="117"/>
        <v>691104.86387558957</v>
      </c>
      <c r="CT57" s="1089">
        <f t="shared" si="117"/>
        <v>691104.86387558957</v>
      </c>
      <c r="CU57" s="1089">
        <f t="shared" si="117"/>
        <v>691104.86387558957</v>
      </c>
      <c r="CV57" s="1089">
        <f t="shared" si="117"/>
        <v>691104.86387558957</v>
      </c>
      <c r="CW57" s="1089">
        <f t="shared" si="117"/>
        <v>691104.86387558957</v>
      </c>
      <c r="CX57" s="1089">
        <f t="shared" si="117"/>
        <v>691104.86387558957</v>
      </c>
      <c r="CY57" s="1089">
        <f t="shared" si="117"/>
        <v>691104.86387558957</v>
      </c>
      <c r="CZ57" s="1089">
        <f t="shared" si="117"/>
        <v>691104.86387558957</v>
      </c>
      <c r="DA57" s="1089">
        <f t="shared" si="117"/>
        <v>392255.89886508242</v>
      </c>
      <c r="DB57" s="1089">
        <f t="shared" si="117"/>
        <v>392255.89886508242</v>
      </c>
      <c r="DC57" s="1089">
        <f t="shared" si="117"/>
        <v>392255.89886508242</v>
      </c>
      <c r="DD57" s="1089">
        <f t="shared" si="117"/>
        <v>392255.89886508242</v>
      </c>
      <c r="DE57" s="1670"/>
      <c r="DF57" s="1672"/>
      <c r="DG57" s="580">
        <f t="shared" si="72"/>
        <v>2769266.387090039</v>
      </c>
      <c r="DH57" s="580">
        <f t="shared" si="73"/>
        <v>2764419.4555023583</v>
      </c>
      <c r="DI57" s="583">
        <f t="shared" si="74"/>
        <v>2764419.4555023583</v>
      </c>
      <c r="DJ57" s="583">
        <f t="shared" si="75"/>
        <v>2764419.4555023583</v>
      </c>
      <c r="DK57" s="583">
        <f t="shared" si="76"/>
        <v>2636435.8881050358</v>
      </c>
      <c r="DL57" s="583">
        <f t="shared" si="77"/>
        <v>2764419.4555023583</v>
      </c>
      <c r="DM57" s="583">
        <f t="shared" si="78"/>
        <v>2764419.4555023583</v>
      </c>
      <c r="DN57" s="583">
        <f t="shared" si="79"/>
        <v>1569023.5954603297</v>
      </c>
      <c r="DO57" s="1670"/>
      <c r="DP57" s="1672"/>
      <c r="DQ57" s="582">
        <f t="shared" si="56"/>
        <v>-2295590.9771470861</v>
      </c>
      <c r="DR57" s="582">
        <f t="shared" si="100"/>
        <v>-2235549.657043885</v>
      </c>
      <c r="DS57" s="582">
        <f t="shared" si="101"/>
        <v>-2175719.9366103401</v>
      </c>
      <c r="DT57" s="582">
        <f t="shared" si="102"/>
        <v>-2159095.3560782736</v>
      </c>
      <c r="DU57" s="582">
        <f t="shared" si="103"/>
        <v>-2062384.3677947465</v>
      </c>
      <c r="DV57" s="582">
        <f t="shared" si="104"/>
        <v>-2132982.6188800256</v>
      </c>
      <c r="DW57" s="582">
        <f t="shared" si="105"/>
        <v>-2111931.4952808805</v>
      </c>
      <c r="DX57" s="582">
        <f t="shared" si="106"/>
        <v>-901516.81004518212</v>
      </c>
      <c r="DY57" s="926"/>
      <c r="DZ57" s="1607"/>
      <c r="EA57" s="860"/>
      <c r="EB57" s="861"/>
      <c r="EC57" s="858" t="e">
        <f>(DG57+#REF!/13)*1.1</f>
        <v>#REF!</v>
      </c>
      <c r="ED57" s="858" t="e">
        <f>(DH57+#REF!/17)*1.1</f>
        <v>#REF!</v>
      </c>
      <c r="EE57" s="859">
        <f t="shared" si="57"/>
        <v>3040861.4010525942</v>
      </c>
      <c r="EF57" s="147"/>
      <c r="EG57" s="1333"/>
      <c r="EH57" s="668" t="s">
        <v>220</v>
      </c>
      <c r="EI57" s="1202">
        <f t="shared" si="94"/>
        <v>0</v>
      </c>
      <c r="EJ57" s="1202">
        <f t="shared" si="113"/>
        <v>0</v>
      </c>
      <c r="EK57" s="1202">
        <f t="shared" si="113"/>
        <v>0</v>
      </c>
      <c r="EL57" s="1202">
        <f t="shared" si="113"/>
        <v>0</v>
      </c>
      <c r="EM57" s="1202">
        <f t="shared" si="113"/>
        <v>0</v>
      </c>
      <c r="EN57" s="1202">
        <f t="shared" si="113"/>
        <v>0</v>
      </c>
      <c r="EO57" s="1202">
        <f t="shared" si="113"/>
        <v>0</v>
      </c>
      <c r="EP57" s="1202">
        <f t="shared" si="113"/>
        <v>0</v>
      </c>
      <c r="EQ57" s="678">
        <f t="shared" si="113"/>
        <v>-576639.71482189698</v>
      </c>
      <c r="ER57" s="678">
        <f t="shared" si="107"/>
        <v>-574811.73446514667</v>
      </c>
      <c r="ES57" s="678">
        <f t="shared" si="107"/>
        <v>-572983.75410839624</v>
      </c>
      <c r="ET57" s="678">
        <f t="shared" si="107"/>
        <v>-571155.77375164581</v>
      </c>
      <c r="EU57" s="678">
        <f t="shared" si="107"/>
        <v>-561779.67982477741</v>
      </c>
      <c r="EV57" s="678">
        <f t="shared" si="107"/>
        <v>-559851.50278224004</v>
      </c>
      <c r="EW57" s="678">
        <f t="shared" si="107"/>
        <v>-557923.32573970244</v>
      </c>
      <c r="EX57" s="678">
        <f t="shared" si="107"/>
        <v>-555995.14869716507</v>
      </c>
      <c r="EY57" s="678">
        <f t="shared" si="107"/>
        <v>-546980.55848391855</v>
      </c>
      <c r="EZ57" s="678">
        <f t="shared" si="107"/>
        <v>-544946.84226302954</v>
      </c>
      <c r="FA57" s="678">
        <f t="shared" si="107"/>
        <v>-542913.12604214053</v>
      </c>
      <c r="FB57" s="678">
        <f t="shared" si="107"/>
        <v>-540879.40982125152</v>
      </c>
      <c r="FC57" s="678">
        <f t="shared" si="107"/>
        <v>-540298.06958206603</v>
      </c>
      <c r="FD57" s="678">
        <f t="shared" si="107"/>
        <v>-539949.04813501122</v>
      </c>
      <c r="FE57" s="678">
        <f t="shared" si="97"/>
        <v>-539599.32864506252</v>
      </c>
      <c r="FF57" s="678">
        <f t="shared" si="97"/>
        <v>-539248.90971613384</v>
      </c>
      <c r="FG57" s="678">
        <f t="shared" si="97"/>
        <v>-516586.52571267518</v>
      </c>
      <c r="FH57" s="678">
        <f t="shared" si="97"/>
        <v>-515927.99437632994</v>
      </c>
      <c r="FI57" s="678">
        <f t="shared" si="97"/>
        <v>-515266.82891463931</v>
      </c>
      <c r="FJ57" s="678">
        <f t="shared" si="97"/>
        <v>-514603.01879110199</v>
      </c>
      <c r="FK57" s="678">
        <f t="shared" si="97"/>
        <v>-534871.57712029375</v>
      </c>
      <c r="FL57" s="678">
        <f t="shared" si="97"/>
        <v>-533791.95382435911</v>
      </c>
      <c r="FM57" s="678">
        <f t="shared" si="97"/>
        <v>-532705.8527886488</v>
      </c>
      <c r="FN57" s="678">
        <f t="shared" si="97"/>
        <v>-531613.23514672415</v>
      </c>
      <c r="FO57" s="678">
        <f t="shared" si="97"/>
        <v>-530010.34238418471</v>
      </c>
      <c r="FP57" s="678">
        <f t="shared" si="97"/>
        <v>-528642.83384881821</v>
      </c>
      <c r="FQ57" s="678">
        <f t="shared" si="97"/>
        <v>-527265.20575028984</v>
      </c>
      <c r="FR57" s="678">
        <f t="shared" si="97"/>
        <v>-526013.11329758749</v>
      </c>
      <c r="FS57" s="678">
        <f t="shared" si="97"/>
        <v>-225379.20251129553</v>
      </c>
      <c r="FT57" s="678">
        <f t="shared" si="97"/>
        <v>-225379.20251129553</v>
      </c>
      <c r="FU57" s="678">
        <f t="shared" si="97"/>
        <v>-225379.20251129553</v>
      </c>
      <c r="FV57" s="678">
        <f t="shared" si="97"/>
        <v>-225379.20251129553</v>
      </c>
      <c r="FW57" s="678"/>
      <c r="FX57" s="683"/>
      <c r="FY57" s="111"/>
      <c r="GB57" s="112">
        <f t="shared" si="60"/>
        <v>-573897.7442867714</v>
      </c>
      <c r="GC57" s="1575"/>
      <c r="GD57" s="112">
        <f t="shared" si="61"/>
        <v>-558887.41426097124</v>
      </c>
      <c r="GE57" s="1575"/>
      <c r="GF57" s="112">
        <f t="shared" si="62"/>
        <v>-543929.98415258504</v>
      </c>
      <c r="GG57" s="1575"/>
      <c r="GH57" s="1563"/>
      <c r="GI57" s="1557"/>
      <c r="GJ57" s="135"/>
      <c r="GL57" s="135"/>
      <c r="GN57" s="135"/>
    </row>
    <row r="58" spans="1:205" ht="15" customHeight="1" thickBot="1">
      <c r="A58" s="1333"/>
      <c r="B58" s="203" t="s">
        <v>221</v>
      </c>
      <c r="C58" s="660">
        <v>0</v>
      </c>
      <c r="D58" s="660">
        <v>0</v>
      </c>
      <c r="E58" s="660">
        <v>0</v>
      </c>
      <c r="F58" s="660">
        <v>0</v>
      </c>
      <c r="G58" s="660">
        <v>0</v>
      </c>
      <c r="H58" s="660">
        <v>0</v>
      </c>
      <c r="I58" s="660">
        <v>0</v>
      </c>
      <c r="J58" s="660">
        <v>0</v>
      </c>
      <c r="K58" s="343">
        <f t="shared" ref="K58:AP58" si="118">(IF(BY16=1,IF(K16&lt;=$BJ$46,K16*1000*$BI16,$BJ$46*1000*$BI16),IF(BY16*$BJ$46&gt;=K16,K16*1000*$BI16,BY16*1000*$BJ$46*$BI16)))*K38/4*$C$26</f>
        <v>733352.76964025653</v>
      </c>
      <c r="L58" s="343">
        <f t="shared" si="118"/>
        <v>749486.5305723421</v>
      </c>
      <c r="M58" s="343">
        <f t="shared" si="118"/>
        <v>765620.29150442767</v>
      </c>
      <c r="N58" s="343">
        <f t="shared" si="118"/>
        <v>781754.05243651313</v>
      </c>
      <c r="O58" s="343">
        <f t="shared" si="118"/>
        <v>816394.53765106108</v>
      </c>
      <c r="P58" s="343">
        <f t="shared" si="118"/>
        <v>832902.51543444663</v>
      </c>
      <c r="Q58" s="343">
        <f t="shared" si="118"/>
        <v>849410.49321783194</v>
      </c>
      <c r="R58" s="343">
        <f t="shared" si="118"/>
        <v>865918.47100121737</v>
      </c>
      <c r="S58" s="343">
        <f t="shared" si="118"/>
        <v>902830.11230601708</v>
      </c>
      <c r="T58" s="343">
        <f t="shared" si="118"/>
        <v>919719.79127772839</v>
      </c>
      <c r="U58" s="343">
        <f t="shared" si="118"/>
        <v>936609.47024943959</v>
      </c>
      <c r="V58" s="343">
        <f t="shared" si="118"/>
        <v>953499.14922115067</v>
      </c>
      <c r="W58" s="343">
        <f t="shared" si="118"/>
        <v>957172.39536243968</v>
      </c>
      <c r="X58" s="343">
        <f t="shared" si="118"/>
        <v>959377.71609753394</v>
      </c>
      <c r="Y58" s="343">
        <f t="shared" si="118"/>
        <v>961587.44747409865</v>
      </c>
      <c r="Z58" s="343">
        <f t="shared" si="118"/>
        <v>963801.59831341647</v>
      </c>
      <c r="AA58" s="343">
        <f t="shared" si="118"/>
        <v>904538.84206454887</v>
      </c>
      <c r="AB58" s="343">
        <f t="shared" si="118"/>
        <v>908699.82650549663</v>
      </c>
      <c r="AC58" s="343">
        <f t="shared" si="118"/>
        <v>912877.45488420816</v>
      </c>
      <c r="AD58" s="343">
        <f t="shared" si="118"/>
        <v>917071.79377643473</v>
      </c>
      <c r="AE58" s="343">
        <f t="shared" si="118"/>
        <v>993588.87342481618</v>
      </c>
      <c r="AF58" s="343">
        <f t="shared" si="118"/>
        <v>1002568.5942966827</v>
      </c>
      <c r="AG58" s="343">
        <f t="shared" si="118"/>
        <v>1011618.8022894979</v>
      </c>
      <c r="AH58" s="343">
        <f t="shared" si="118"/>
        <v>1020740.0087333145</v>
      </c>
      <c r="AI58" s="343">
        <f t="shared" si="118"/>
        <v>1033149.6895968098</v>
      </c>
      <c r="AJ58" s="343">
        <f t="shared" si="118"/>
        <v>1044096.4070410752</v>
      </c>
      <c r="AK58" s="343">
        <f t="shared" si="118"/>
        <v>1051239.2529770755</v>
      </c>
      <c r="AL58" s="343">
        <f t="shared" si="118"/>
        <v>1055860.1735122711</v>
      </c>
      <c r="AM58" s="343">
        <f t="shared" si="118"/>
        <v>1067229.0903199548</v>
      </c>
      <c r="AN58" s="343">
        <f t="shared" si="118"/>
        <v>1067229.0903199548</v>
      </c>
      <c r="AO58" s="343">
        <f t="shared" si="118"/>
        <v>1062697.3319746472</v>
      </c>
      <c r="AP58" s="343">
        <f t="shared" si="118"/>
        <v>1062697.3319746472</v>
      </c>
      <c r="AQ58" s="1663"/>
      <c r="AR58" s="1663"/>
      <c r="AS58" s="1084">
        <f t="shared" si="52"/>
        <v>3030213.6441535391</v>
      </c>
      <c r="AT58" s="1084">
        <f t="shared" si="53"/>
        <v>3364626.0173045574</v>
      </c>
      <c r="AU58" s="1084">
        <f t="shared" si="54"/>
        <v>3712658.5230543357</v>
      </c>
      <c r="AV58" s="1084">
        <f t="shared" si="64"/>
        <v>3841939.1572474889</v>
      </c>
      <c r="AW58" s="1084">
        <f t="shared" si="65"/>
        <v>3643187.9172306885</v>
      </c>
      <c r="AX58" s="1084">
        <f t="shared" si="66"/>
        <v>4028516.2787443115</v>
      </c>
      <c r="AY58" s="1084">
        <f t="shared" si="67"/>
        <v>4184345.5231272317</v>
      </c>
      <c r="AZ58" s="1084">
        <f t="shared" si="68"/>
        <v>4259852.8445892036</v>
      </c>
      <c r="BA58" s="1085"/>
      <c r="BB58" s="1085"/>
      <c r="BC58" s="1085"/>
      <c r="BD58" s="1085"/>
      <c r="BE58" s="1085"/>
      <c r="BF58" s="924"/>
      <c r="BH58" t="s">
        <v>626</v>
      </c>
      <c r="BL58" s="148"/>
      <c r="BO58" s="1333"/>
      <c r="BP58" s="668" t="s">
        <v>221</v>
      </c>
      <c r="BQ58" s="1089">
        <f t="shared" si="111"/>
        <v>0</v>
      </c>
      <c r="BR58" s="1089">
        <f t="shared" si="111"/>
        <v>0</v>
      </c>
      <c r="BS58" s="1089">
        <f t="shared" si="111"/>
        <v>0</v>
      </c>
      <c r="BT58" s="1089">
        <f t="shared" si="111"/>
        <v>0</v>
      </c>
      <c r="BU58" s="1089">
        <f t="shared" si="111"/>
        <v>0</v>
      </c>
      <c r="BV58" s="1089">
        <f t="shared" si="111"/>
        <v>0</v>
      </c>
      <c r="BW58" s="1089">
        <f t="shared" si="111"/>
        <v>0</v>
      </c>
      <c r="BX58" s="1089">
        <f t="shared" si="111"/>
        <v>0</v>
      </c>
      <c r="BY58" s="1089">
        <f t="shared" ref="BY58:DD58" si="119">BY16*DR36*K38/4</f>
        <v>1357155.7912909689</v>
      </c>
      <c r="BZ58" s="1089">
        <f t="shared" si="119"/>
        <v>1357155.7912909689</v>
      </c>
      <c r="CA58" s="1089">
        <f t="shared" si="119"/>
        <v>1357155.7912909689</v>
      </c>
      <c r="CB58" s="1089">
        <f t="shared" si="119"/>
        <v>1357155.7912909689</v>
      </c>
      <c r="CC58" s="1089">
        <f t="shared" si="119"/>
        <v>1355188.7965307257</v>
      </c>
      <c r="CD58" s="1089">
        <f t="shared" si="119"/>
        <v>1355188.7965307257</v>
      </c>
      <c r="CE58" s="1089">
        <f t="shared" si="119"/>
        <v>1355188.7965307257</v>
      </c>
      <c r="CF58" s="1089">
        <f t="shared" si="119"/>
        <v>1355188.7965307257</v>
      </c>
      <c r="CG58" s="1089">
        <f t="shared" si="119"/>
        <v>1355188.7965307257</v>
      </c>
      <c r="CH58" s="1089">
        <f t="shared" si="119"/>
        <v>1355188.7965307257</v>
      </c>
      <c r="CI58" s="1089">
        <f t="shared" si="119"/>
        <v>1355188.7965307257</v>
      </c>
      <c r="CJ58" s="1089">
        <f t="shared" si="119"/>
        <v>1355188.7965307257</v>
      </c>
      <c r="CK58" s="1089">
        <f t="shared" si="119"/>
        <v>1355188.7965307257</v>
      </c>
      <c r="CL58" s="1089">
        <f t="shared" si="119"/>
        <v>1355188.7965307257</v>
      </c>
      <c r="CM58" s="1089">
        <f t="shared" si="119"/>
        <v>1355188.7965307257</v>
      </c>
      <c r="CN58" s="1089">
        <f t="shared" si="119"/>
        <v>1355188.7965307257</v>
      </c>
      <c r="CO58" s="1089">
        <f t="shared" si="119"/>
        <v>1287560.9751408701</v>
      </c>
      <c r="CP58" s="1089">
        <f t="shared" si="119"/>
        <v>1287560.9751408701</v>
      </c>
      <c r="CQ58" s="1089">
        <f t="shared" si="119"/>
        <v>1287560.9751408701</v>
      </c>
      <c r="CR58" s="1089">
        <f t="shared" si="119"/>
        <v>1287560.9751408701</v>
      </c>
      <c r="CS58" s="1089">
        <f t="shared" si="119"/>
        <v>1355188.7965307257</v>
      </c>
      <c r="CT58" s="1089">
        <f t="shared" si="119"/>
        <v>1355188.7965307257</v>
      </c>
      <c r="CU58" s="1089">
        <f t="shared" si="119"/>
        <v>1355188.7965307257</v>
      </c>
      <c r="CV58" s="1089">
        <f t="shared" si="119"/>
        <v>1355188.7965307257</v>
      </c>
      <c r="CW58" s="1089">
        <f t="shared" si="119"/>
        <v>1355188.7965307257</v>
      </c>
      <c r="CX58" s="1089">
        <f t="shared" si="119"/>
        <v>1355188.7965307257</v>
      </c>
      <c r="CY58" s="1089">
        <f t="shared" si="119"/>
        <v>1355188.7965307257</v>
      </c>
      <c r="CZ58" s="1089">
        <f t="shared" si="119"/>
        <v>1355188.7965307257</v>
      </c>
      <c r="DA58" s="1089">
        <f t="shared" si="119"/>
        <v>357151.49044989981</v>
      </c>
      <c r="DB58" s="1089">
        <f t="shared" si="119"/>
        <v>357151.49044989981</v>
      </c>
      <c r="DC58" s="1089">
        <f t="shared" si="119"/>
        <v>357151.49044989981</v>
      </c>
      <c r="DD58" s="1089">
        <f t="shared" si="119"/>
        <v>357151.49044989981</v>
      </c>
      <c r="DE58" s="1670"/>
      <c r="DF58" s="1672"/>
      <c r="DG58" s="580">
        <f t="shared" si="72"/>
        <v>5428623.1651638756</v>
      </c>
      <c r="DH58" s="580">
        <f t="shared" si="73"/>
        <v>5420755.1861229027</v>
      </c>
      <c r="DI58" s="583">
        <f t="shared" si="74"/>
        <v>5420755.1861229027</v>
      </c>
      <c r="DJ58" s="583">
        <f t="shared" si="75"/>
        <v>5420755.1861229027</v>
      </c>
      <c r="DK58" s="583">
        <f t="shared" si="76"/>
        <v>5150243.9005634803</v>
      </c>
      <c r="DL58" s="583">
        <f t="shared" si="77"/>
        <v>5420755.1861229027</v>
      </c>
      <c r="DM58" s="583">
        <f t="shared" si="78"/>
        <v>5420755.1861229027</v>
      </c>
      <c r="DN58" s="583">
        <f t="shared" si="79"/>
        <v>1428605.9617995992</v>
      </c>
      <c r="DO58" s="1670"/>
      <c r="DP58" s="1672"/>
      <c r="DQ58" s="582">
        <f t="shared" si="56"/>
        <v>-2398409.5210103365</v>
      </c>
      <c r="DR58" s="582">
        <f t="shared" si="100"/>
        <v>-2056129.1688183453</v>
      </c>
      <c r="DS58" s="582">
        <f t="shared" si="101"/>
        <v>-1708096.6630685669</v>
      </c>
      <c r="DT58" s="582">
        <f t="shared" si="102"/>
        <v>-1578816.0288754138</v>
      </c>
      <c r="DU58" s="582">
        <f t="shared" si="103"/>
        <v>-1507055.9833327918</v>
      </c>
      <c r="DV58" s="582">
        <f t="shared" si="104"/>
        <v>-1392238.9073785911</v>
      </c>
      <c r="DW58" s="582">
        <f t="shared" si="105"/>
        <v>-1236409.6629956709</v>
      </c>
      <c r="DX58" s="582">
        <f t="shared" si="106"/>
        <v>2831246.8827896044</v>
      </c>
      <c r="DY58" s="926"/>
      <c r="DZ58" s="1607"/>
      <c r="EA58" s="860"/>
      <c r="EB58" s="861"/>
      <c r="EC58" s="858" t="e">
        <f>(DG58+#REF!/13)*1.1</f>
        <v>#REF!</v>
      </c>
      <c r="ED58" s="858" t="e">
        <f>(DH58+#REF!/17)*1.1</f>
        <v>#REF!</v>
      </c>
      <c r="EE58" s="859">
        <f t="shared" si="57"/>
        <v>5962830.7047351934</v>
      </c>
      <c r="EF58" s="147"/>
      <c r="EG58" s="1333"/>
      <c r="EH58" s="668" t="s">
        <v>221</v>
      </c>
      <c r="EI58" s="1202">
        <f t="shared" si="94"/>
        <v>0</v>
      </c>
      <c r="EJ58" s="1202">
        <f t="shared" si="113"/>
        <v>0</v>
      </c>
      <c r="EK58" s="1202">
        <f t="shared" si="113"/>
        <v>0</v>
      </c>
      <c r="EL58" s="1202">
        <f t="shared" si="113"/>
        <v>0</v>
      </c>
      <c r="EM58" s="1202">
        <f t="shared" si="113"/>
        <v>0</v>
      </c>
      <c r="EN58" s="1202">
        <f t="shared" si="113"/>
        <v>0</v>
      </c>
      <c r="EO58" s="1202">
        <f t="shared" si="113"/>
        <v>0</v>
      </c>
      <c r="EP58" s="1202">
        <f t="shared" si="113"/>
        <v>0</v>
      </c>
      <c r="EQ58" s="678">
        <f t="shared" si="113"/>
        <v>-623803.02165071236</v>
      </c>
      <c r="ER58" s="678">
        <f t="shared" si="107"/>
        <v>-607669.26071862679</v>
      </c>
      <c r="ES58" s="678">
        <f t="shared" si="107"/>
        <v>-591535.49978654122</v>
      </c>
      <c r="ET58" s="678">
        <f t="shared" si="107"/>
        <v>-575401.73885445576</v>
      </c>
      <c r="EU58" s="678">
        <f t="shared" si="107"/>
        <v>-538794.25887966459</v>
      </c>
      <c r="EV58" s="678">
        <f t="shared" si="107"/>
        <v>-522286.28109627904</v>
      </c>
      <c r="EW58" s="678">
        <f t="shared" si="107"/>
        <v>-505778.30331289372</v>
      </c>
      <c r="EX58" s="678">
        <f t="shared" si="107"/>
        <v>-489270.32552950829</v>
      </c>
      <c r="EY58" s="678">
        <f t="shared" si="107"/>
        <v>-452358.68422470859</v>
      </c>
      <c r="EZ58" s="678">
        <f t="shared" si="107"/>
        <v>-435469.00525299727</v>
      </c>
      <c r="FA58" s="678">
        <f t="shared" si="107"/>
        <v>-418579.32628128608</v>
      </c>
      <c r="FB58" s="678">
        <f t="shared" si="107"/>
        <v>-401689.647309575</v>
      </c>
      <c r="FC58" s="678">
        <f t="shared" si="107"/>
        <v>-398016.40116828599</v>
      </c>
      <c r="FD58" s="678">
        <f t="shared" si="107"/>
        <v>-395811.08043319173</v>
      </c>
      <c r="FE58" s="678">
        <f t="shared" si="97"/>
        <v>-393601.34905662702</v>
      </c>
      <c r="FF58" s="678">
        <f t="shared" si="97"/>
        <v>-391387.1982173092</v>
      </c>
      <c r="FG58" s="678">
        <f t="shared" si="97"/>
        <v>-383022.13307632122</v>
      </c>
      <c r="FH58" s="678">
        <f t="shared" si="97"/>
        <v>-378861.14863537345</v>
      </c>
      <c r="FI58" s="678">
        <f t="shared" si="97"/>
        <v>-374683.52025666193</v>
      </c>
      <c r="FJ58" s="678">
        <f t="shared" si="97"/>
        <v>-370489.18136443535</v>
      </c>
      <c r="FK58" s="678">
        <f t="shared" si="97"/>
        <v>-361599.92310590949</v>
      </c>
      <c r="FL58" s="678">
        <f t="shared" si="97"/>
        <v>-352620.20223404292</v>
      </c>
      <c r="FM58" s="678">
        <f t="shared" si="97"/>
        <v>-343569.99424122775</v>
      </c>
      <c r="FN58" s="678">
        <f t="shared" si="97"/>
        <v>-334448.78779741121</v>
      </c>
      <c r="FO58" s="678">
        <f t="shared" si="97"/>
        <v>-322039.10693391587</v>
      </c>
      <c r="FP58" s="678">
        <f t="shared" si="97"/>
        <v>-311092.38948965049</v>
      </c>
      <c r="FQ58" s="678">
        <f t="shared" si="97"/>
        <v>-303949.54355365015</v>
      </c>
      <c r="FR58" s="678">
        <f t="shared" si="97"/>
        <v>-299328.62301845453</v>
      </c>
      <c r="FS58" s="678">
        <f t="shared" si="97"/>
        <v>710077.59987005498</v>
      </c>
      <c r="FT58" s="678">
        <f t="shared" si="97"/>
        <v>710077.59987005498</v>
      </c>
      <c r="FU58" s="678">
        <f t="shared" si="97"/>
        <v>705545.84152474743</v>
      </c>
      <c r="FV58" s="678">
        <f t="shared" si="97"/>
        <v>705545.84152474743</v>
      </c>
      <c r="FW58" s="678"/>
      <c r="FX58" s="683"/>
      <c r="FY58" s="111"/>
      <c r="GB58" s="110">
        <f t="shared" si="60"/>
        <v>-599602.380252584</v>
      </c>
      <c r="GC58" s="1575"/>
      <c r="GD58" s="112">
        <f t="shared" si="61"/>
        <v>-514032.29220458638</v>
      </c>
      <c r="GE58" s="1575"/>
      <c r="GF58" s="112">
        <f t="shared" si="62"/>
        <v>-427024.16576714173</v>
      </c>
      <c r="GG58" s="1575"/>
      <c r="GH58" s="1563"/>
      <c r="GI58" s="1557"/>
      <c r="GJ58" s="135"/>
      <c r="GL58" s="135"/>
      <c r="GN58" s="135"/>
    </row>
    <row r="59" spans="1:205" ht="15" customHeight="1" thickBot="1">
      <c r="A59" s="1333">
        <v>4</v>
      </c>
      <c r="B59" s="307" t="s">
        <v>222</v>
      </c>
      <c r="C59" s="660">
        <v>0</v>
      </c>
      <c r="D59" s="660">
        <v>0</v>
      </c>
      <c r="E59" s="660">
        <v>0</v>
      </c>
      <c r="F59" s="660">
        <v>0</v>
      </c>
      <c r="G59" s="660">
        <v>0</v>
      </c>
      <c r="H59" s="660">
        <v>0</v>
      </c>
      <c r="I59" s="660">
        <v>0</v>
      </c>
      <c r="J59" s="660">
        <v>0</v>
      </c>
      <c r="K59" s="660">
        <v>0</v>
      </c>
      <c r="L59" s="660">
        <v>0</v>
      </c>
      <c r="M59" s="660">
        <v>0</v>
      </c>
      <c r="N59" s="660">
        <v>0</v>
      </c>
      <c r="O59" s="343">
        <f t="shared" ref="O59:AP59" si="120">(IF(CC17=1,IF(O17&lt;=$BJ$46,O17*1000*$BI17,$BJ$46*1000*$BI17),IF(CC17*$BJ$46&gt;=O17,O17*1000*$BI17,CC17*1000*$BJ$46*$BI17)))*O39/4*$C$26</f>
        <v>1594090.4576968851</v>
      </c>
      <c r="P59" s="343">
        <f t="shared" si="120"/>
        <v>1614419.2979940861</v>
      </c>
      <c r="Q59" s="343">
        <f t="shared" si="120"/>
        <v>1635661.6571782182</v>
      </c>
      <c r="R59" s="343">
        <f t="shared" si="120"/>
        <v>1656904.0163623511</v>
      </c>
      <c r="S59" s="343">
        <f t="shared" si="120"/>
        <v>1720627.8824592137</v>
      </c>
      <c r="T59" s="343">
        <f t="shared" si="120"/>
        <v>1746712.723733627</v>
      </c>
      <c r="U59" s="343">
        <f t="shared" si="120"/>
        <v>1772797.5650080405</v>
      </c>
      <c r="V59" s="343">
        <f t="shared" si="120"/>
        <v>1798882.4062824533</v>
      </c>
      <c r="W59" s="343">
        <f t="shared" si="120"/>
        <v>1831276.6422543712</v>
      </c>
      <c r="X59" s="343">
        <f t="shared" si="120"/>
        <v>1835422.8310507294</v>
      </c>
      <c r="Y59" s="343">
        <f t="shared" si="120"/>
        <v>1839577.3122247506</v>
      </c>
      <c r="Z59" s="343">
        <f t="shared" si="120"/>
        <v>1843740.1023610868</v>
      </c>
      <c r="AA59" s="343">
        <f t="shared" si="120"/>
        <v>1871863.9323421919</v>
      </c>
      <c r="AB59" s="343">
        <f t="shared" si="120"/>
        <v>1879109.5730854797</v>
      </c>
      <c r="AC59" s="343">
        <f t="shared" si="120"/>
        <v>1887601.5028352204</v>
      </c>
      <c r="AD59" s="343">
        <f t="shared" si="120"/>
        <v>1896127.4003039631</v>
      </c>
      <c r="AE59" s="343">
        <f t="shared" si="120"/>
        <v>1801400.8257861894</v>
      </c>
      <c r="AF59" s="343">
        <f t="shared" si="120"/>
        <v>1811245.1930861454</v>
      </c>
      <c r="AG59" s="343">
        <f t="shared" si="120"/>
        <v>1823489.586877651</v>
      </c>
      <c r="AH59" s="343">
        <f t="shared" si="120"/>
        <v>1835807.4470319054</v>
      </c>
      <c r="AI59" s="343">
        <f t="shared" si="120"/>
        <v>1956141.2947326694</v>
      </c>
      <c r="AJ59" s="343">
        <f t="shared" si="120"/>
        <v>1968358.8009513058</v>
      </c>
      <c r="AK59" s="343">
        <f t="shared" si="120"/>
        <v>1982924.6560783442</v>
      </c>
      <c r="AL59" s="343">
        <f t="shared" si="120"/>
        <v>1982924.6560783442</v>
      </c>
      <c r="AM59" s="343">
        <f t="shared" si="120"/>
        <v>1999776.7069798599</v>
      </c>
      <c r="AN59" s="343">
        <f t="shared" si="120"/>
        <v>1999776.7069798599</v>
      </c>
      <c r="AO59" s="343">
        <f t="shared" si="120"/>
        <v>1999776.7069798599</v>
      </c>
      <c r="AP59" s="343">
        <f t="shared" si="120"/>
        <v>1994546.6790921427</v>
      </c>
      <c r="AQ59" s="1663"/>
      <c r="AR59" s="1663"/>
      <c r="AS59" s="1687"/>
      <c r="AT59" s="1084">
        <f t="shared" si="53"/>
        <v>6501075.4292315412</v>
      </c>
      <c r="AU59" s="1084">
        <f t="shared" si="54"/>
        <v>7039020.5774833336</v>
      </c>
      <c r="AV59" s="1084">
        <f t="shared" si="64"/>
        <v>7350016.8878909377</v>
      </c>
      <c r="AW59" s="1084">
        <f t="shared" si="65"/>
        <v>7534702.4085668549</v>
      </c>
      <c r="AX59" s="1084">
        <f t="shared" si="66"/>
        <v>7271943.0527818911</v>
      </c>
      <c r="AY59" s="1084">
        <f t="shared" si="67"/>
        <v>7890349.4078406636</v>
      </c>
      <c r="AZ59" s="1084">
        <f t="shared" si="68"/>
        <v>7993876.8000317225</v>
      </c>
      <c r="BA59" s="1085"/>
      <c r="BB59" s="1085"/>
      <c r="BC59" s="1085"/>
      <c r="BD59" s="1085"/>
      <c r="BE59" s="1085"/>
      <c r="BF59" s="924"/>
      <c r="BL59" s="148"/>
      <c r="BO59" s="1333">
        <v>4</v>
      </c>
      <c r="BP59" s="669" t="s">
        <v>222</v>
      </c>
      <c r="BQ59" s="1089">
        <f t="shared" si="111"/>
        <v>0</v>
      </c>
      <c r="BR59" s="1089">
        <f t="shared" si="111"/>
        <v>0</v>
      </c>
      <c r="BS59" s="1089">
        <f t="shared" si="111"/>
        <v>0</v>
      </c>
      <c r="BT59" s="1089">
        <f t="shared" si="111"/>
        <v>0</v>
      </c>
      <c r="BU59" s="1089">
        <f t="shared" si="111"/>
        <v>0</v>
      </c>
      <c r="BV59" s="1089">
        <f t="shared" si="111"/>
        <v>0</v>
      </c>
      <c r="BW59" s="1089">
        <f t="shared" si="111"/>
        <v>0</v>
      </c>
      <c r="BX59" s="1089">
        <f t="shared" si="111"/>
        <v>0</v>
      </c>
      <c r="BY59" s="1089">
        <f t="shared" ref="BY59:CB62" si="121">BY17*$DJ17*$C$33</f>
        <v>0</v>
      </c>
      <c r="BZ59" s="1089">
        <f t="shared" si="121"/>
        <v>0</v>
      </c>
      <c r="CA59" s="1089">
        <f t="shared" si="121"/>
        <v>0</v>
      </c>
      <c r="CB59" s="1089">
        <f t="shared" si="121"/>
        <v>0</v>
      </c>
      <c r="CC59" s="1089">
        <f t="shared" ref="CC59:DD59" si="122">CC17*DV37*O39/4</f>
        <v>1318018.5249239551</v>
      </c>
      <c r="CD59" s="1089">
        <f t="shared" si="122"/>
        <v>1318018.5249239551</v>
      </c>
      <c r="CE59" s="1089">
        <f t="shared" si="122"/>
        <v>1318018.5249239551</v>
      </c>
      <c r="CF59" s="1089">
        <f t="shared" si="122"/>
        <v>1318018.5249239551</v>
      </c>
      <c r="CG59" s="1089">
        <f t="shared" si="122"/>
        <v>1318018.5249239551</v>
      </c>
      <c r="CH59" s="1089">
        <f t="shared" si="122"/>
        <v>1318018.5249239551</v>
      </c>
      <c r="CI59" s="1089">
        <f t="shared" si="122"/>
        <v>1318018.5249239551</v>
      </c>
      <c r="CJ59" s="1089">
        <f t="shared" si="122"/>
        <v>1318018.5249239551</v>
      </c>
      <c r="CK59" s="1089">
        <f t="shared" si="122"/>
        <v>1309827.2402354635</v>
      </c>
      <c r="CL59" s="1089">
        <f t="shared" si="122"/>
        <v>1309827.2402354635</v>
      </c>
      <c r="CM59" s="1089">
        <f t="shared" si="122"/>
        <v>1309827.2402354635</v>
      </c>
      <c r="CN59" s="1089">
        <f t="shared" si="122"/>
        <v>1309827.2402354635</v>
      </c>
      <c r="CO59" s="1089">
        <f t="shared" si="122"/>
        <v>1318024.5177056831</v>
      </c>
      <c r="CP59" s="1089">
        <f t="shared" si="122"/>
        <v>1318024.5177056831</v>
      </c>
      <c r="CQ59" s="1089">
        <f t="shared" si="122"/>
        <v>1318024.5177056831</v>
      </c>
      <c r="CR59" s="1089">
        <f t="shared" si="122"/>
        <v>1318024.5177056831</v>
      </c>
      <c r="CS59" s="1089">
        <f t="shared" si="122"/>
        <v>1260679.5321045136</v>
      </c>
      <c r="CT59" s="1089">
        <f t="shared" si="122"/>
        <v>1260679.5321045136</v>
      </c>
      <c r="CU59" s="1089">
        <f t="shared" si="122"/>
        <v>1260679.5321045136</v>
      </c>
      <c r="CV59" s="1089">
        <f t="shared" si="122"/>
        <v>1260679.5321045136</v>
      </c>
      <c r="CW59" s="1089">
        <f t="shared" si="122"/>
        <v>1309827.2402354635</v>
      </c>
      <c r="CX59" s="1089">
        <f t="shared" si="122"/>
        <v>1309827.2402354635</v>
      </c>
      <c r="CY59" s="1089">
        <f t="shared" si="122"/>
        <v>1309827.2402354635</v>
      </c>
      <c r="CZ59" s="1089">
        <f t="shared" si="122"/>
        <v>1309827.2402354635</v>
      </c>
      <c r="DA59" s="1089">
        <f t="shared" si="122"/>
        <v>360504.60303171456</v>
      </c>
      <c r="DB59" s="1089">
        <f t="shared" si="122"/>
        <v>360504.60303171456</v>
      </c>
      <c r="DC59" s="1089">
        <f t="shared" si="122"/>
        <v>360504.60303171456</v>
      </c>
      <c r="DD59" s="1089">
        <f t="shared" si="122"/>
        <v>360504.60303171456</v>
      </c>
      <c r="DE59" s="1670"/>
      <c r="DF59" s="1672"/>
      <c r="DG59" s="1664"/>
      <c r="DH59" s="580">
        <f t="shared" si="73"/>
        <v>5272074.0996958204</v>
      </c>
      <c r="DI59" s="583">
        <f t="shared" si="74"/>
        <v>5272074.0996958204</v>
      </c>
      <c r="DJ59" s="583">
        <f t="shared" si="75"/>
        <v>5239308.9609418539</v>
      </c>
      <c r="DK59" s="583">
        <f t="shared" si="76"/>
        <v>5272098.0708227325</v>
      </c>
      <c r="DL59" s="583">
        <f t="shared" si="77"/>
        <v>5042718.1284180544</v>
      </c>
      <c r="DM59" s="583">
        <f t="shared" si="78"/>
        <v>5239308.9609418539</v>
      </c>
      <c r="DN59" s="583">
        <f t="shared" si="79"/>
        <v>1442018.4121268583</v>
      </c>
      <c r="DO59" s="1670"/>
      <c r="DP59" s="1672"/>
      <c r="DQ59" s="1664"/>
      <c r="DR59" s="582">
        <f t="shared" si="100"/>
        <v>1229001.3295357209</v>
      </c>
      <c r="DS59" s="582">
        <f t="shared" si="101"/>
        <v>1766946.4777875133</v>
      </c>
      <c r="DT59" s="582">
        <f t="shared" si="102"/>
        <v>2110707.9269490838</v>
      </c>
      <c r="DU59" s="582">
        <f t="shared" si="103"/>
        <v>2262604.3377441224</v>
      </c>
      <c r="DV59" s="582">
        <f t="shared" si="104"/>
        <v>2229224.9243638366</v>
      </c>
      <c r="DW59" s="582">
        <f t="shared" si="105"/>
        <v>2651040.4468988096</v>
      </c>
      <c r="DX59" s="582">
        <f t="shared" si="106"/>
        <v>6551858.3879048638</v>
      </c>
      <c r="DY59" s="926"/>
      <c r="DZ59" s="1607">
        <v>4</v>
      </c>
      <c r="EA59" s="860"/>
      <c r="EB59" s="861"/>
      <c r="EC59" s="861"/>
      <c r="ED59" s="858" t="e">
        <f>(DH59+#REF!/17)*1.1</f>
        <v>#REF!</v>
      </c>
      <c r="EE59" s="859">
        <f t="shared" si="57"/>
        <v>5799281.5096654026</v>
      </c>
      <c r="EF59" s="147"/>
      <c r="EG59" s="1333">
        <v>4</v>
      </c>
      <c r="EH59" s="673" t="s">
        <v>222</v>
      </c>
      <c r="EI59" s="1202">
        <f t="shared" si="94"/>
        <v>0</v>
      </c>
      <c r="EJ59" s="1202">
        <f t="shared" si="113"/>
        <v>0</v>
      </c>
      <c r="EK59" s="1202">
        <f t="shared" si="113"/>
        <v>0</v>
      </c>
      <c r="EL59" s="1202">
        <f t="shared" si="113"/>
        <v>0</v>
      </c>
      <c r="EM59" s="1202">
        <f t="shared" si="113"/>
        <v>0</v>
      </c>
      <c r="EN59" s="1202">
        <f t="shared" si="113"/>
        <v>0</v>
      </c>
      <c r="EO59" s="1202">
        <f t="shared" si="113"/>
        <v>0</v>
      </c>
      <c r="EP59" s="1202">
        <f t="shared" si="113"/>
        <v>0</v>
      </c>
      <c r="EQ59" s="1202">
        <f t="shared" si="113"/>
        <v>0</v>
      </c>
      <c r="ER59" s="1202">
        <f>L59-BZ59</f>
        <v>0</v>
      </c>
      <c r="ES59" s="1202">
        <f>M59-CA59</f>
        <v>0</v>
      </c>
      <c r="ET59" s="1202">
        <f>N59-CB59</f>
        <v>0</v>
      </c>
      <c r="EU59" s="679">
        <f>O59-CC59</f>
        <v>276071.93277293001</v>
      </c>
      <c r="EV59" s="679">
        <f t="shared" si="107"/>
        <v>296400.77307013096</v>
      </c>
      <c r="EW59" s="679">
        <f t="shared" si="107"/>
        <v>317643.13225426315</v>
      </c>
      <c r="EX59" s="679">
        <f t="shared" si="107"/>
        <v>338885.49143839604</v>
      </c>
      <c r="EY59" s="679">
        <f t="shared" si="107"/>
        <v>402609.35753525863</v>
      </c>
      <c r="EZ59" s="679">
        <f t="shared" si="107"/>
        <v>428694.19880967191</v>
      </c>
      <c r="FA59" s="679">
        <f t="shared" si="107"/>
        <v>454779.04008408543</v>
      </c>
      <c r="FB59" s="679">
        <f t="shared" si="107"/>
        <v>480863.88135849824</v>
      </c>
      <c r="FC59" s="679">
        <f t="shared" si="107"/>
        <v>521449.40201890771</v>
      </c>
      <c r="FD59" s="679">
        <f t="shared" si="107"/>
        <v>525595.5908152659</v>
      </c>
      <c r="FE59" s="679">
        <f t="shared" si="97"/>
        <v>529750.07198928716</v>
      </c>
      <c r="FF59" s="679">
        <f t="shared" si="97"/>
        <v>533912.86212562327</v>
      </c>
      <c r="FG59" s="679">
        <f t="shared" si="97"/>
        <v>553839.41463650879</v>
      </c>
      <c r="FH59" s="679">
        <f t="shared" si="97"/>
        <v>561085.05537979654</v>
      </c>
      <c r="FI59" s="679">
        <f t="shared" si="97"/>
        <v>569576.98512953729</v>
      </c>
      <c r="FJ59" s="679">
        <f t="shared" si="97"/>
        <v>578102.88259827998</v>
      </c>
      <c r="FK59" s="679">
        <f t="shared" si="97"/>
        <v>540721.2936816758</v>
      </c>
      <c r="FL59" s="679">
        <f t="shared" si="97"/>
        <v>550565.66098163184</v>
      </c>
      <c r="FM59" s="679">
        <f t="shared" si="97"/>
        <v>562810.05477313744</v>
      </c>
      <c r="FN59" s="679">
        <f t="shared" si="97"/>
        <v>575127.9149273918</v>
      </c>
      <c r="FO59" s="679">
        <f t="shared" si="97"/>
        <v>646314.05449720589</v>
      </c>
      <c r="FP59" s="679">
        <f t="shared" si="97"/>
        <v>658531.56071584229</v>
      </c>
      <c r="FQ59" s="679">
        <f t="shared" si="97"/>
        <v>673097.41584288073</v>
      </c>
      <c r="FR59" s="679">
        <f t="shared" si="97"/>
        <v>673097.41584288073</v>
      </c>
      <c r="FS59" s="679">
        <f t="shared" si="97"/>
        <v>1639272.1039481452</v>
      </c>
      <c r="FT59" s="679">
        <f t="shared" si="97"/>
        <v>1639272.1039481452</v>
      </c>
      <c r="FU59" s="679">
        <f t="shared" si="97"/>
        <v>1639272.1039481452</v>
      </c>
      <c r="FV59" s="679">
        <f t="shared" si="97"/>
        <v>1634042.0760604283</v>
      </c>
      <c r="FW59" s="679"/>
      <c r="FX59" s="683"/>
      <c r="FY59" s="111"/>
      <c r="GB59" s="588"/>
      <c r="GC59" s="680"/>
      <c r="GD59" s="112">
        <f t="shared" si="61"/>
        <v>307250.33238393004</v>
      </c>
      <c r="GE59" s="1575">
        <f>AVERAGE(GD59:GD62)</f>
        <v>-117964.747771861</v>
      </c>
      <c r="GF59" s="112">
        <f t="shared" si="62"/>
        <v>441736.61944687855</v>
      </c>
      <c r="GG59" s="1575">
        <f>SUM(GF59:GF62)</f>
        <v>-92267.822512987419</v>
      </c>
      <c r="GH59" s="1564"/>
      <c r="GI59" s="1557"/>
      <c r="GJ59" s="135"/>
      <c r="GL59" s="135"/>
      <c r="GN59" s="135"/>
    </row>
    <row r="60" spans="1:205" ht="15" customHeight="1" thickBot="1">
      <c r="A60" s="1333"/>
      <c r="B60" s="308" t="s">
        <v>223</v>
      </c>
      <c r="C60" s="660">
        <v>0</v>
      </c>
      <c r="D60" s="660">
        <v>0</v>
      </c>
      <c r="E60" s="660">
        <v>0</v>
      </c>
      <c r="F60" s="660">
        <v>0</v>
      </c>
      <c r="G60" s="660">
        <v>0</v>
      </c>
      <c r="H60" s="660">
        <v>0</v>
      </c>
      <c r="I60" s="660">
        <v>0</v>
      </c>
      <c r="J60" s="660">
        <v>0</v>
      </c>
      <c r="K60" s="660">
        <v>0</v>
      </c>
      <c r="L60" s="660">
        <v>0</v>
      </c>
      <c r="M60" s="660">
        <v>0</v>
      </c>
      <c r="N60" s="660">
        <v>0</v>
      </c>
      <c r="O60" s="343">
        <f t="shared" ref="O60:AP60" si="123">(IF(CC18=1,IF(O18&lt;=$BJ$46,O18*1000*$BI18,$BJ$46*1000*$BI18),IF(CC18*$BJ$46&gt;=O18,O18*1000*$BI18,CC18*1000*$BJ$46*$BI18)))*O39/4*$C$26</f>
        <v>468100.49311599764</v>
      </c>
      <c r="P60" s="343">
        <f t="shared" si="123"/>
        <v>499021.05673004017</v>
      </c>
      <c r="Q60" s="343">
        <f t="shared" si="123"/>
        <v>530209.87277566758</v>
      </c>
      <c r="R60" s="343">
        <f t="shared" si="123"/>
        <v>561398.68882129516</v>
      </c>
      <c r="S60" s="343">
        <f t="shared" si="123"/>
        <v>591194.519976713</v>
      </c>
      <c r="T60" s="343">
        <f t="shared" si="123"/>
        <v>607958.35506815417</v>
      </c>
      <c r="U60" s="343">
        <f t="shared" si="123"/>
        <v>624722.19015959522</v>
      </c>
      <c r="V60" s="343">
        <f t="shared" si="123"/>
        <v>641486.02525103639</v>
      </c>
      <c r="W60" s="343">
        <f t="shared" si="123"/>
        <v>656531.13122843194</v>
      </c>
      <c r="X60" s="343">
        <f t="shared" si="123"/>
        <v>674807.9016324695</v>
      </c>
      <c r="Y60" s="343">
        <f t="shared" si="123"/>
        <v>693165.18379151903</v>
      </c>
      <c r="Z60" s="343">
        <f t="shared" si="123"/>
        <v>711603.21620475361</v>
      </c>
      <c r="AA60" s="343">
        <f t="shared" si="123"/>
        <v>739654.75094229798</v>
      </c>
      <c r="AB60" s="343">
        <f t="shared" si="123"/>
        <v>742577.84450890508</v>
      </c>
      <c r="AC60" s="343">
        <f t="shared" si="123"/>
        <v>746003.72582141077</v>
      </c>
      <c r="AD60" s="343">
        <f t="shared" si="123"/>
        <v>749443.31065916666</v>
      </c>
      <c r="AE60" s="343">
        <f t="shared" si="123"/>
        <v>712142.72892911942</v>
      </c>
      <c r="AF60" s="343">
        <f t="shared" si="123"/>
        <v>716114.22127070243</v>
      </c>
      <c r="AG60" s="343">
        <f t="shared" si="123"/>
        <v>721053.95123897644</v>
      </c>
      <c r="AH60" s="343">
        <f t="shared" si="123"/>
        <v>724416.19912961358</v>
      </c>
      <c r="AI60" s="343">
        <f t="shared" si="123"/>
        <v>772000.94651090493</v>
      </c>
      <c r="AJ60" s="343">
        <f t="shared" si="123"/>
        <v>776822.64645159163</v>
      </c>
      <c r="AK60" s="343">
        <f t="shared" si="123"/>
        <v>782571.13403533376</v>
      </c>
      <c r="AL60" s="343">
        <f t="shared" si="123"/>
        <v>782571.13403533376</v>
      </c>
      <c r="AM60" s="343">
        <f t="shared" si="123"/>
        <v>789221.88021693716</v>
      </c>
      <c r="AN60" s="343">
        <f t="shared" si="123"/>
        <v>788184.97984232486</v>
      </c>
      <c r="AO60" s="343">
        <f t="shared" si="123"/>
        <v>788184.97984232486</v>
      </c>
      <c r="AP60" s="343">
        <f t="shared" si="123"/>
        <v>785111.7020591225</v>
      </c>
      <c r="AQ60" s="1663"/>
      <c r="AR60" s="1663"/>
      <c r="AS60" s="1688"/>
      <c r="AT60" s="1084">
        <f t="shared" si="53"/>
        <v>2058730.1114430004</v>
      </c>
      <c r="AU60" s="1084">
        <f t="shared" si="54"/>
        <v>2465361.090455499</v>
      </c>
      <c r="AV60" s="1084">
        <f t="shared" si="64"/>
        <v>2736107.432857174</v>
      </c>
      <c r="AW60" s="1084">
        <f t="shared" si="65"/>
        <v>2977679.6319317808</v>
      </c>
      <c r="AX60" s="1084">
        <f t="shared" si="66"/>
        <v>2873727.1005684119</v>
      </c>
      <c r="AY60" s="1084">
        <f t="shared" si="67"/>
        <v>3113965.861033164</v>
      </c>
      <c r="AZ60" s="1084">
        <f t="shared" si="68"/>
        <v>3150703.5419607097</v>
      </c>
      <c r="BA60" s="1085"/>
      <c r="BB60" s="1085"/>
      <c r="BC60" s="1085"/>
      <c r="BD60" s="1085"/>
      <c r="BE60" s="1085"/>
      <c r="BF60" s="924"/>
      <c r="BH60" t="s">
        <v>637</v>
      </c>
      <c r="BI60" t="s">
        <v>638</v>
      </c>
      <c r="BJ60" t="s">
        <v>639</v>
      </c>
      <c r="BK60" t="s">
        <v>640</v>
      </c>
      <c r="BL60" s="148" t="s">
        <v>641</v>
      </c>
      <c r="BO60" s="1333"/>
      <c r="BP60" s="670" t="s">
        <v>223</v>
      </c>
      <c r="BQ60" s="1089">
        <f t="shared" si="111"/>
        <v>0</v>
      </c>
      <c r="BR60" s="1089">
        <f t="shared" si="111"/>
        <v>0</v>
      </c>
      <c r="BS60" s="1089">
        <f t="shared" si="111"/>
        <v>0</v>
      </c>
      <c r="BT60" s="1089">
        <f t="shared" si="111"/>
        <v>0</v>
      </c>
      <c r="BU60" s="1089">
        <f t="shared" si="111"/>
        <v>0</v>
      </c>
      <c r="BV60" s="1089">
        <f t="shared" si="111"/>
        <v>0</v>
      </c>
      <c r="BW60" s="1089">
        <f t="shared" si="111"/>
        <v>0</v>
      </c>
      <c r="BX60" s="1089">
        <f t="shared" si="111"/>
        <v>0</v>
      </c>
      <c r="BY60" s="1089">
        <f t="shared" si="121"/>
        <v>0</v>
      </c>
      <c r="BZ60" s="1089">
        <f t="shared" si="121"/>
        <v>0</v>
      </c>
      <c r="CA60" s="1089">
        <f t="shared" si="121"/>
        <v>0</v>
      </c>
      <c r="CB60" s="1089">
        <f t="shared" si="121"/>
        <v>0</v>
      </c>
      <c r="CC60" s="1089">
        <f t="shared" ref="CC60:DD60" si="124">CC18*DV38*O39/4</f>
        <v>715331.58869016997</v>
      </c>
      <c r="CD60" s="1089">
        <f t="shared" si="124"/>
        <v>715331.58869016997</v>
      </c>
      <c r="CE60" s="1089">
        <f t="shared" si="124"/>
        <v>715331.58869016997</v>
      </c>
      <c r="CF60" s="1089">
        <f t="shared" si="124"/>
        <v>715331.58869016997</v>
      </c>
      <c r="CG60" s="1089">
        <f t="shared" si="124"/>
        <v>715331.58869016997</v>
      </c>
      <c r="CH60" s="1089">
        <f t="shared" si="124"/>
        <v>715331.58869016997</v>
      </c>
      <c r="CI60" s="1089">
        <f t="shared" si="124"/>
        <v>715331.58869016997</v>
      </c>
      <c r="CJ60" s="1089">
        <f t="shared" si="124"/>
        <v>715331.58869016997</v>
      </c>
      <c r="CK60" s="1089">
        <f t="shared" si="124"/>
        <v>711180.77395115595</v>
      </c>
      <c r="CL60" s="1089">
        <f t="shared" si="124"/>
        <v>711180.77395115595</v>
      </c>
      <c r="CM60" s="1089">
        <f t="shared" si="124"/>
        <v>711180.77395115595</v>
      </c>
      <c r="CN60" s="1089">
        <f t="shared" si="124"/>
        <v>711180.77395115595</v>
      </c>
      <c r="CO60" s="1089">
        <f t="shared" si="124"/>
        <v>715337.58147189824</v>
      </c>
      <c r="CP60" s="1089">
        <f t="shared" si="124"/>
        <v>715337.58147189824</v>
      </c>
      <c r="CQ60" s="1089">
        <f t="shared" si="124"/>
        <v>715337.58147189824</v>
      </c>
      <c r="CR60" s="1089">
        <f t="shared" si="124"/>
        <v>715337.58147189824</v>
      </c>
      <c r="CS60" s="1089">
        <f t="shared" si="124"/>
        <v>686275.88551707123</v>
      </c>
      <c r="CT60" s="1089">
        <f t="shared" si="124"/>
        <v>686275.88551707123</v>
      </c>
      <c r="CU60" s="1089">
        <f t="shared" si="124"/>
        <v>686275.88551707123</v>
      </c>
      <c r="CV60" s="1089">
        <f t="shared" si="124"/>
        <v>686275.88551707123</v>
      </c>
      <c r="CW60" s="1089">
        <f t="shared" si="124"/>
        <v>711180.77395115595</v>
      </c>
      <c r="CX60" s="1089">
        <f t="shared" si="124"/>
        <v>711180.77395115595</v>
      </c>
      <c r="CY60" s="1089">
        <f t="shared" si="124"/>
        <v>711180.77395115595</v>
      </c>
      <c r="CZ60" s="1089">
        <f t="shared" si="124"/>
        <v>711180.77395115595</v>
      </c>
      <c r="DA60" s="1089">
        <f t="shared" si="124"/>
        <v>390662.74980708066</v>
      </c>
      <c r="DB60" s="1089">
        <f t="shared" si="124"/>
        <v>390662.74980708066</v>
      </c>
      <c r="DC60" s="1089">
        <f t="shared" si="124"/>
        <v>390662.74980708066</v>
      </c>
      <c r="DD60" s="1089">
        <f t="shared" si="124"/>
        <v>390662.74980708066</v>
      </c>
      <c r="DE60" s="1670"/>
      <c r="DF60" s="1672"/>
      <c r="DG60" s="1665"/>
      <c r="DH60" s="580">
        <f t="shared" si="73"/>
        <v>2861326.3547606799</v>
      </c>
      <c r="DI60" s="583">
        <f t="shared" si="74"/>
        <v>2861326.3547606799</v>
      </c>
      <c r="DJ60" s="583">
        <f t="shared" si="75"/>
        <v>2844723.0958046238</v>
      </c>
      <c r="DK60" s="583">
        <f t="shared" si="76"/>
        <v>2861350.325887593</v>
      </c>
      <c r="DL60" s="583">
        <f t="shared" si="77"/>
        <v>2745103.5420682849</v>
      </c>
      <c r="DM60" s="583">
        <f t="shared" si="78"/>
        <v>2844723.0958046238</v>
      </c>
      <c r="DN60" s="583">
        <f t="shared" si="79"/>
        <v>1562650.9992283226</v>
      </c>
      <c r="DO60" s="1670"/>
      <c r="DP60" s="1672"/>
      <c r="DQ60" s="1665"/>
      <c r="DR60" s="582">
        <f t="shared" si="100"/>
        <v>-802596.2433176795</v>
      </c>
      <c r="DS60" s="582">
        <f t="shared" si="101"/>
        <v>-395965.26430518087</v>
      </c>
      <c r="DT60" s="582">
        <f t="shared" si="102"/>
        <v>-108615.66294744983</v>
      </c>
      <c r="DU60" s="582">
        <f t="shared" si="103"/>
        <v>116329.30604418786</v>
      </c>
      <c r="DV60" s="582">
        <f t="shared" si="104"/>
        <v>128623.55850012694</v>
      </c>
      <c r="DW60" s="582">
        <f t="shared" si="105"/>
        <v>269242.76522854017</v>
      </c>
      <c r="DX60" s="582">
        <f t="shared" si="106"/>
        <v>1588052.5427323871</v>
      </c>
      <c r="DY60" s="926"/>
      <c r="DZ60" s="1607"/>
      <c r="EA60" s="860"/>
      <c r="EB60" s="861"/>
      <c r="EC60" s="861"/>
      <c r="ED60" s="858" t="e">
        <f>(DH60+#REF!/17)*1.1</f>
        <v>#REF!</v>
      </c>
      <c r="EE60" s="859">
        <f t="shared" si="57"/>
        <v>3147458.990236748</v>
      </c>
      <c r="EF60" s="147"/>
      <c r="EG60" s="1333"/>
      <c r="EH60" s="674" t="s">
        <v>223</v>
      </c>
      <c r="EI60" s="1202">
        <f t="shared" si="94"/>
        <v>0</v>
      </c>
      <c r="EJ60" s="1202">
        <f t="shared" si="113"/>
        <v>0</v>
      </c>
      <c r="EK60" s="1202">
        <f t="shared" si="113"/>
        <v>0</v>
      </c>
      <c r="EL60" s="1202">
        <f t="shared" si="113"/>
        <v>0</v>
      </c>
      <c r="EM60" s="1202">
        <f t="shared" si="113"/>
        <v>0</v>
      </c>
      <c r="EN60" s="1202">
        <f t="shared" si="113"/>
        <v>0</v>
      </c>
      <c r="EO60" s="1202">
        <f t="shared" si="113"/>
        <v>0</v>
      </c>
      <c r="EP60" s="1202">
        <f t="shared" si="113"/>
        <v>0</v>
      </c>
      <c r="EQ60" s="1202">
        <f t="shared" si="113"/>
        <v>0</v>
      </c>
      <c r="ER60" s="1202">
        <f t="shared" ref="ER60:ET62" si="125">L60-BZ60</f>
        <v>0</v>
      </c>
      <c r="ES60" s="1202">
        <f t="shared" si="125"/>
        <v>0</v>
      </c>
      <c r="ET60" s="1202">
        <f t="shared" si="125"/>
        <v>0</v>
      </c>
      <c r="EU60" s="679">
        <f t="shared" ref="EU60:EU62" si="126">O60-CC60</f>
        <v>-247231.09557417233</v>
      </c>
      <c r="EV60" s="679">
        <f t="shared" si="107"/>
        <v>-216310.5319601298</v>
      </c>
      <c r="EW60" s="679">
        <f t="shared" si="107"/>
        <v>-185121.71591450239</v>
      </c>
      <c r="EX60" s="679">
        <f t="shared" si="107"/>
        <v>-153932.89986887481</v>
      </c>
      <c r="EY60" s="679">
        <f t="shared" si="107"/>
        <v>-124137.06871345697</v>
      </c>
      <c r="EZ60" s="679">
        <f t="shared" si="107"/>
        <v>-107373.2336220158</v>
      </c>
      <c r="FA60" s="679">
        <f t="shared" si="107"/>
        <v>-90609.398530574748</v>
      </c>
      <c r="FB60" s="679">
        <f t="shared" si="107"/>
        <v>-73845.563439133577</v>
      </c>
      <c r="FC60" s="679">
        <f t="shared" si="107"/>
        <v>-54649.642722724006</v>
      </c>
      <c r="FD60" s="679">
        <f t="shared" si="107"/>
        <v>-36372.872318686452</v>
      </c>
      <c r="FE60" s="679">
        <f t="shared" si="97"/>
        <v>-18015.590159636922</v>
      </c>
      <c r="FF60" s="679">
        <f t="shared" si="97"/>
        <v>422.44225359766278</v>
      </c>
      <c r="FG60" s="679">
        <f t="shared" si="97"/>
        <v>24317.169470399735</v>
      </c>
      <c r="FH60" s="679">
        <f t="shared" si="97"/>
        <v>27240.263037006836</v>
      </c>
      <c r="FI60" s="679">
        <f t="shared" si="97"/>
        <v>30666.144349512528</v>
      </c>
      <c r="FJ60" s="679">
        <f t="shared" si="97"/>
        <v>34105.729187268415</v>
      </c>
      <c r="FK60" s="679">
        <f t="shared" si="97"/>
        <v>25866.843412048183</v>
      </c>
      <c r="FL60" s="679">
        <f t="shared" si="97"/>
        <v>29838.335753631196</v>
      </c>
      <c r="FM60" s="679">
        <f t="shared" si="97"/>
        <v>34778.065721905208</v>
      </c>
      <c r="FN60" s="679">
        <f t="shared" si="97"/>
        <v>38140.313612542348</v>
      </c>
      <c r="FO60" s="679">
        <f t="shared" si="97"/>
        <v>60820.172559748986</v>
      </c>
      <c r="FP60" s="679">
        <f t="shared" si="97"/>
        <v>65641.872500435682</v>
      </c>
      <c r="FQ60" s="679">
        <f t="shared" si="97"/>
        <v>71390.36008417781</v>
      </c>
      <c r="FR60" s="679">
        <f t="shared" si="97"/>
        <v>71390.36008417781</v>
      </c>
      <c r="FS60" s="679">
        <f t="shared" si="97"/>
        <v>398559.1304098565</v>
      </c>
      <c r="FT60" s="679">
        <f t="shared" si="97"/>
        <v>397522.2300352442</v>
      </c>
      <c r="FU60" s="679">
        <f t="shared" si="97"/>
        <v>397522.2300352442</v>
      </c>
      <c r="FV60" s="679">
        <f t="shared" si="97"/>
        <v>394448.95225204184</v>
      </c>
      <c r="FW60" s="679"/>
      <c r="FX60" s="683"/>
      <c r="FY60" s="111"/>
      <c r="GB60" s="588"/>
      <c r="GD60" s="112">
        <f t="shared" si="61"/>
        <v>-200649.06082941982</v>
      </c>
      <c r="GE60" s="1575"/>
      <c r="GF60" s="112">
        <f t="shared" si="62"/>
        <v>-98991.316076295276</v>
      </c>
      <c r="GG60" s="1575"/>
      <c r="GH60" s="1562">
        <f>GG59+GE59</f>
        <v>-210232.57028484842</v>
      </c>
      <c r="GI60" s="1557">
        <f>SUM(EI59:FB62)</f>
        <v>-2256507.2544017262</v>
      </c>
    </row>
    <row r="61" spans="1:205" ht="15" customHeight="1" thickBot="1">
      <c r="A61" s="1333"/>
      <c r="B61" s="308" t="s">
        <v>224</v>
      </c>
      <c r="C61" s="660">
        <v>0</v>
      </c>
      <c r="D61" s="660">
        <v>0</v>
      </c>
      <c r="E61" s="660">
        <v>0</v>
      </c>
      <c r="F61" s="660">
        <v>0</v>
      </c>
      <c r="G61" s="660">
        <v>0</v>
      </c>
      <c r="H61" s="660">
        <v>0</v>
      </c>
      <c r="I61" s="660">
        <v>0</v>
      </c>
      <c r="J61" s="660">
        <v>0</v>
      </c>
      <c r="K61" s="660">
        <v>0</v>
      </c>
      <c r="L61" s="660">
        <v>0</v>
      </c>
      <c r="M61" s="660">
        <v>0</v>
      </c>
      <c r="N61" s="660">
        <v>0</v>
      </c>
      <c r="O61" s="343">
        <f t="shared" ref="O61:AP61" si="127">(IF(CC19=1,IF(O19&lt;=$BJ$46,O19*1000*$BI19,$BJ$46*1000*$BI19),IF(CC19*$BJ$46&gt;=O19,O19*1000*$BI19,CC19*1000*$BJ$46*$BI19)))*O39/4*$C$26</f>
        <v>247383.56499133288</v>
      </c>
      <c r="P61" s="343">
        <f t="shared" si="127"/>
        <v>266260.39774425316</v>
      </c>
      <c r="Q61" s="343">
        <f t="shared" si="127"/>
        <v>285278.99758312845</v>
      </c>
      <c r="R61" s="343">
        <f t="shared" si="127"/>
        <v>304297.59742200369</v>
      </c>
      <c r="S61" s="343">
        <f t="shared" si="127"/>
        <v>319910.42577692843</v>
      </c>
      <c r="T61" s="343">
        <f t="shared" si="127"/>
        <v>328761.25515796442</v>
      </c>
      <c r="U61" s="343">
        <f t="shared" si="127"/>
        <v>337612.08453900041</v>
      </c>
      <c r="V61" s="343">
        <f t="shared" si="127"/>
        <v>346462.91392003646</v>
      </c>
      <c r="W61" s="343">
        <f t="shared" si="127"/>
        <v>354299.62890176917</v>
      </c>
      <c r="X61" s="343">
        <f t="shared" si="127"/>
        <v>363929.92659462593</v>
      </c>
      <c r="Y61" s="343">
        <f t="shared" si="127"/>
        <v>373600.98993748741</v>
      </c>
      <c r="Z61" s="343">
        <f t="shared" si="127"/>
        <v>383312.93965696037</v>
      </c>
      <c r="AA61" s="343">
        <f t="shared" si="127"/>
        <v>398123.98774818447</v>
      </c>
      <c r="AB61" s="343">
        <f t="shared" si="127"/>
        <v>399632.82531338366</v>
      </c>
      <c r="AC61" s="343">
        <f t="shared" si="127"/>
        <v>401401.19101924851</v>
      </c>
      <c r="AD61" s="343">
        <f t="shared" si="127"/>
        <v>403176.63018793706</v>
      </c>
      <c r="AE61" s="343">
        <f t="shared" si="127"/>
        <v>382959.57792477316</v>
      </c>
      <c r="AF61" s="343">
        <f t="shared" si="127"/>
        <v>385009.57622224011</v>
      </c>
      <c r="AG61" s="343">
        <f t="shared" si="127"/>
        <v>387559.35780406039</v>
      </c>
      <c r="AH61" s="343">
        <f t="shared" si="127"/>
        <v>395915.73618649476</v>
      </c>
      <c r="AI61" s="343">
        <f t="shared" si="127"/>
        <v>425211.68947663141</v>
      </c>
      <c r="AJ61" s="343">
        <f t="shared" si="127"/>
        <v>429027.92462541134</v>
      </c>
      <c r="AK61" s="343">
        <f t="shared" si="127"/>
        <v>432202.73126763938</v>
      </c>
      <c r="AL61" s="343">
        <f t="shared" si="127"/>
        <v>432202.73126763938</v>
      </c>
      <c r="AM61" s="343">
        <f t="shared" si="127"/>
        <v>435875.84229824255</v>
      </c>
      <c r="AN61" s="343">
        <f t="shared" si="127"/>
        <v>435875.84229824255</v>
      </c>
      <c r="AO61" s="343">
        <f t="shared" si="127"/>
        <v>435875.84229824255</v>
      </c>
      <c r="AP61" s="343">
        <f t="shared" si="127"/>
        <v>434255.5952457703</v>
      </c>
      <c r="AQ61" s="1663"/>
      <c r="AR61" s="1663"/>
      <c r="AS61" s="1688"/>
      <c r="AT61" s="1084">
        <f t="shared" si="53"/>
        <v>1103220.5577407181</v>
      </c>
      <c r="AU61" s="1084">
        <f t="shared" si="54"/>
        <v>1332746.6793939297</v>
      </c>
      <c r="AV61" s="1084">
        <f t="shared" si="64"/>
        <v>1475143.4850908429</v>
      </c>
      <c r="AW61" s="1084">
        <f t="shared" si="65"/>
        <v>1602334.6342687537</v>
      </c>
      <c r="AX61" s="1084">
        <f t="shared" si="66"/>
        <v>1551444.2481375686</v>
      </c>
      <c r="AY61" s="1084">
        <f t="shared" si="67"/>
        <v>1718645.0766373216</v>
      </c>
      <c r="AZ61" s="1084">
        <f t="shared" si="68"/>
        <v>1741883.1221404979</v>
      </c>
      <c r="BA61" s="1085"/>
      <c r="BB61" s="1085"/>
      <c r="BC61" s="1085"/>
      <c r="BD61" s="1085"/>
      <c r="BE61" s="1085"/>
      <c r="BF61" s="924"/>
      <c r="BH61">
        <v>10229395.091160875</v>
      </c>
      <c r="BI61">
        <v>10229395.091160875</v>
      </c>
      <c r="BJ61">
        <v>10229395.091160875</v>
      </c>
      <c r="BK61">
        <v>10229395.091160875</v>
      </c>
      <c r="BL61" s="148">
        <v>10229395.09</v>
      </c>
      <c r="BO61" s="1333"/>
      <c r="BP61" s="670" t="s">
        <v>224</v>
      </c>
      <c r="BQ61" s="1089">
        <f t="shared" si="111"/>
        <v>0</v>
      </c>
      <c r="BR61" s="1089">
        <f t="shared" si="111"/>
        <v>0</v>
      </c>
      <c r="BS61" s="1089">
        <f t="shared" si="111"/>
        <v>0</v>
      </c>
      <c r="BT61" s="1089">
        <f t="shared" si="111"/>
        <v>0</v>
      </c>
      <c r="BU61" s="1089">
        <f t="shared" si="111"/>
        <v>0</v>
      </c>
      <c r="BV61" s="1089">
        <f t="shared" si="111"/>
        <v>0</v>
      </c>
      <c r="BW61" s="1089">
        <f t="shared" si="111"/>
        <v>0</v>
      </c>
      <c r="BX61" s="1089">
        <f t="shared" si="111"/>
        <v>0</v>
      </c>
      <c r="BY61" s="1089">
        <f t="shared" si="121"/>
        <v>0</v>
      </c>
      <c r="BZ61" s="1089">
        <f t="shared" si="121"/>
        <v>0</v>
      </c>
      <c r="CA61" s="1089">
        <f t="shared" si="121"/>
        <v>0</v>
      </c>
      <c r="CB61" s="1089">
        <f t="shared" si="121"/>
        <v>0</v>
      </c>
      <c r="CC61" s="1089">
        <f t="shared" ref="CC61:DD61" si="128">CC19*DV39*O39/4</f>
        <v>1344933.8327397287</v>
      </c>
      <c r="CD61" s="1089">
        <f t="shared" si="128"/>
        <v>1344933.8327397287</v>
      </c>
      <c r="CE61" s="1089">
        <f t="shared" si="128"/>
        <v>1344933.8327397287</v>
      </c>
      <c r="CF61" s="1089">
        <f t="shared" si="128"/>
        <v>1344933.8327397287</v>
      </c>
      <c r="CG61" s="1089">
        <f t="shared" si="128"/>
        <v>1344933.8327397287</v>
      </c>
      <c r="CH61" s="1089">
        <f t="shared" si="128"/>
        <v>1344933.8327397287</v>
      </c>
      <c r="CI61" s="1089">
        <f t="shared" si="128"/>
        <v>1344933.8327397287</v>
      </c>
      <c r="CJ61" s="1089">
        <f t="shared" si="128"/>
        <v>1344933.8327397287</v>
      </c>
      <c r="CK61" s="1089">
        <f t="shared" si="128"/>
        <v>1336566.6885542215</v>
      </c>
      <c r="CL61" s="1089">
        <f t="shared" si="128"/>
        <v>1336566.6885542215</v>
      </c>
      <c r="CM61" s="1089">
        <f t="shared" si="128"/>
        <v>1336566.6885542215</v>
      </c>
      <c r="CN61" s="1089">
        <f t="shared" si="128"/>
        <v>1336566.6885542215</v>
      </c>
      <c r="CO61" s="1089">
        <f t="shared" si="128"/>
        <v>1344939.825521457</v>
      </c>
      <c r="CP61" s="1089">
        <f t="shared" si="128"/>
        <v>1344939.825521457</v>
      </c>
      <c r="CQ61" s="1089">
        <f t="shared" si="128"/>
        <v>1344939.825521457</v>
      </c>
      <c r="CR61" s="1089">
        <f t="shared" si="128"/>
        <v>1344939.825521457</v>
      </c>
      <c r="CS61" s="1089">
        <f t="shared" si="128"/>
        <v>1286363.8234411781</v>
      </c>
      <c r="CT61" s="1089">
        <f t="shared" si="128"/>
        <v>1286363.8234411781</v>
      </c>
      <c r="CU61" s="1089">
        <f t="shared" si="128"/>
        <v>1286363.8234411781</v>
      </c>
      <c r="CV61" s="1089">
        <f t="shared" si="128"/>
        <v>1286363.8234411781</v>
      </c>
      <c r="CW61" s="1089">
        <f t="shared" si="128"/>
        <v>1336566.6885542215</v>
      </c>
      <c r="CX61" s="1089">
        <f t="shared" si="128"/>
        <v>1336566.6885542215</v>
      </c>
      <c r="CY61" s="1089">
        <f t="shared" si="128"/>
        <v>1336566.6885542215</v>
      </c>
      <c r="CZ61" s="1089">
        <f t="shared" si="128"/>
        <v>1336566.6885542215</v>
      </c>
      <c r="DA61" s="1089">
        <f t="shared" si="128"/>
        <v>359071.26778814715</v>
      </c>
      <c r="DB61" s="1089">
        <f t="shared" si="128"/>
        <v>359071.26778814715</v>
      </c>
      <c r="DC61" s="1089">
        <f t="shared" si="128"/>
        <v>359071.26778814715</v>
      </c>
      <c r="DD61" s="1089">
        <f t="shared" si="128"/>
        <v>359071.26778814715</v>
      </c>
      <c r="DE61" s="1670"/>
      <c r="DF61" s="1672"/>
      <c r="DG61" s="1665"/>
      <c r="DH61" s="580">
        <f t="shared" si="73"/>
        <v>5379735.3309589149</v>
      </c>
      <c r="DI61" s="583">
        <f t="shared" si="74"/>
        <v>5379735.3309589149</v>
      </c>
      <c r="DJ61" s="583">
        <f t="shared" si="75"/>
        <v>5346266.7542168861</v>
      </c>
      <c r="DK61" s="583">
        <f t="shared" si="76"/>
        <v>5379759.302085828</v>
      </c>
      <c r="DL61" s="583">
        <f t="shared" si="77"/>
        <v>5145455.2937647123</v>
      </c>
      <c r="DM61" s="583">
        <f t="shared" si="78"/>
        <v>5346266.7542168861</v>
      </c>
      <c r="DN61" s="583">
        <f t="shared" si="79"/>
        <v>1436285.0711525886</v>
      </c>
      <c r="DO61" s="1670"/>
      <c r="DP61" s="1672"/>
      <c r="DQ61" s="1665"/>
      <c r="DR61" s="582">
        <f t="shared" si="100"/>
        <v>-4276514.7732181968</v>
      </c>
      <c r="DS61" s="582">
        <f t="shared" si="101"/>
        <v>-4046988.6515649855</v>
      </c>
      <c r="DT61" s="582">
        <f t="shared" si="102"/>
        <v>-3871123.2691260432</v>
      </c>
      <c r="DU61" s="582">
        <f t="shared" si="103"/>
        <v>-3777424.6678170743</v>
      </c>
      <c r="DV61" s="582">
        <f t="shared" si="104"/>
        <v>-3594011.0456271437</v>
      </c>
      <c r="DW61" s="582">
        <f t="shared" si="105"/>
        <v>-3627621.6775795645</v>
      </c>
      <c r="DX61" s="582">
        <f t="shared" si="106"/>
        <v>305598.05098790932</v>
      </c>
      <c r="DY61" s="926"/>
      <c r="DZ61" s="1607"/>
      <c r="EA61" s="862"/>
      <c r="EB61" s="863"/>
      <c r="EC61" s="861"/>
      <c r="ED61" s="858" t="e">
        <f>(DH61+#REF!/17)*1.1</f>
        <v>#REF!</v>
      </c>
      <c r="EE61" s="859">
        <f t="shared" si="57"/>
        <v>5917708.8640548065</v>
      </c>
      <c r="EF61" s="147"/>
      <c r="EG61" s="1333"/>
      <c r="EH61" s="674" t="s">
        <v>224</v>
      </c>
      <c r="EI61" s="1202">
        <f t="shared" si="94"/>
        <v>0</v>
      </c>
      <c r="EJ61" s="1202">
        <f t="shared" si="113"/>
        <v>0</v>
      </c>
      <c r="EK61" s="1202">
        <f t="shared" si="113"/>
        <v>0</v>
      </c>
      <c r="EL61" s="1202">
        <f t="shared" si="113"/>
        <v>0</v>
      </c>
      <c r="EM61" s="1202">
        <f t="shared" si="113"/>
        <v>0</v>
      </c>
      <c r="EN61" s="1202">
        <f t="shared" si="113"/>
        <v>0</v>
      </c>
      <c r="EO61" s="1202">
        <f t="shared" si="113"/>
        <v>0</v>
      </c>
      <c r="EP61" s="1202">
        <f t="shared" si="113"/>
        <v>0</v>
      </c>
      <c r="EQ61" s="1202">
        <f t="shared" si="113"/>
        <v>0</v>
      </c>
      <c r="ER61" s="1202">
        <f t="shared" si="125"/>
        <v>0</v>
      </c>
      <c r="ES61" s="1202">
        <f t="shared" si="125"/>
        <v>0</v>
      </c>
      <c r="ET61" s="1202">
        <f t="shared" si="125"/>
        <v>0</v>
      </c>
      <c r="EU61" s="679">
        <f t="shared" si="126"/>
        <v>-1097550.2677483959</v>
      </c>
      <c r="EV61" s="679">
        <f t="shared" si="107"/>
        <v>-1078673.4349954757</v>
      </c>
      <c r="EW61" s="679">
        <f t="shared" si="107"/>
        <v>-1059654.8351566002</v>
      </c>
      <c r="EX61" s="679">
        <f t="shared" si="107"/>
        <v>-1040636.235317725</v>
      </c>
      <c r="EY61" s="679">
        <f t="shared" si="107"/>
        <v>-1025023.4069628003</v>
      </c>
      <c r="EZ61" s="679">
        <f t="shared" si="107"/>
        <v>-1016172.5775817643</v>
      </c>
      <c r="FA61" s="679">
        <f t="shared" si="107"/>
        <v>-1007321.7482007283</v>
      </c>
      <c r="FB61" s="679">
        <f t="shared" si="107"/>
        <v>-998470.91881969222</v>
      </c>
      <c r="FC61" s="679">
        <f t="shared" si="107"/>
        <v>-982267.05965245236</v>
      </c>
      <c r="FD61" s="679">
        <f t="shared" si="107"/>
        <v>-972636.76195959561</v>
      </c>
      <c r="FE61" s="679">
        <f t="shared" si="97"/>
        <v>-962965.69861673412</v>
      </c>
      <c r="FF61" s="679">
        <f t="shared" si="97"/>
        <v>-953253.74889726122</v>
      </c>
      <c r="FG61" s="679">
        <f t="shared" si="97"/>
        <v>-946815.83777327253</v>
      </c>
      <c r="FH61" s="679">
        <f t="shared" si="97"/>
        <v>-945307.0002080733</v>
      </c>
      <c r="FI61" s="679">
        <f t="shared" si="97"/>
        <v>-943538.63450220856</v>
      </c>
      <c r="FJ61" s="679">
        <f t="shared" si="97"/>
        <v>-941763.19533351995</v>
      </c>
      <c r="FK61" s="679">
        <f t="shared" si="97"/>
        <v>-903404.24551640498</v>
      </c>
      <c r="FL61" s="679">
        <f t="shared" si="97"/>
        <v>-901354.24721893796</v>
      </c>
      <c r="FM61" s="679">
        <f t="shared" si="97"/>
        <v>-898804.46563711762</v>
      </c>
      <c r="FN61" s="679">
        <f t="shared" si="97"/>
        <v>-890448.08725468325</v>
      </c>
      <c r="FO61" s="679">
        <f t="shared" si="97"/>
        <v>-911354.99907759018</v>
      </c>
      <c r="FP61" s="679">
        <f t="shared" si="97"/>
        <v>-907538.76392881013</v>
      </c>
      <c r="FQ61" s="679">
        <f t="shared" si="97"/>
        <v>-904363.9572865821</v>
      </c>
      <c r="FR61" s="679">
        <f t="shared" si="97"/>
        <v>-904363.9572865821</v>
      </c>
      <c r="FS61" s="679">
        <f t="shared" si="97"/>
        <v>76804.574510095408</v>
      </c>
      <c r="FT61" s="679">
        <f t="shared" si="97"/>
        <v>76804.574510095408</v>
      </c>
      <c r="FU61" s="679">
        <f t="shared" si="97"/>
        <v>76804.574510095408</v>
      </c>
      <c r="FV61" s="679">
        <f t="shared" si="97"/>
        <v>75184.327457623149</v>
      </c>
      <c r="FW61" s="679"/>
      <c r="FX61" s="136"/>
      <c r="GD61" s="682">
        <f t="shared" si="61"/>
        <v>-1069128.6933045492</v>
      </c>
      <c r="GE61" s="1575"/>
      <c r="GF61" s="112">
        <f t="shared" si="62"/>
        <v>-1011747.1628912461</v>
      </c>
      <c r="GG61" s="1575"/>
      <c r="GH61" s="1563"/>
      <c r="GI61" s="1557"/>
    </row>
    <row r="62" spans="1:205" ht="14.65" customHeight="1" thickBot="1">
      <c r="A62" s="1403"/>
      <c r="B62" s="630" t="s">
        <v>225</v>
      </c>
      <c r="C62" s="660">
        <v>0</v>
      </c>
      <c r="D62" s="660">
        <v>0</v>
      </c>
      <c r="E62" s="660">
        <v>0</v>
      </c>
      <c r="F62" s="660">
        <v>0</v>
      </c>
      <c r="G62" s="660">
        <v>0</v>
      </c>
      <c r="H62" s="660">
        <v>0</v>
      </c>
      <c r="I62" s="660">
        <v>0</v>
      </c>
      <c r="J62" s="660">
        <v>0</v>
      </c>
      <c r="K62" s="660">
        <v>0</v>
      </c>
      <c r="L62" s="660">
        <v>0</v>
      </c>
      <c r="M62" s="660">
        <v>0</v>
      </c>
      <c r="N62" s="660">
        <v>0</v>
      </c>
      <c r="O62" s="343">
        <f t="shared" ref="O62:AP62" si="129">(IF(CC20=1,IF(O20&lt;=$BJ$46,O20*1000*$BI20,$BJ$46*1000*$BI20),IF(CC20*$BJ$46&gt;=O20,O20*1000*$BI20,CC20*1000*$BJ$46*$BI20)))*O39/4*$C$26</f>
        <v>1275839.2079999996</v>
      </c>
      <c r="P62" s="343">
        <f t="shared" si="129"/>
        <v>1291776.1877981923</v>
      </c>
      <c r="Q62" s="343">
        <f t="shared" si="129"/>
        <v>1307481.6733641273</v>
      </c>
      <c r="R62" s="343">
        <f t="shared" si="129"/>
        <v>1323187.158930063</v>
      </c>
      <c r="S62" s="343">
        <f t="shared" si="129"/>
        <v>1369895.6941290761</v>
      </c>
      <c r="T62" s="343">
        <f t="shared" si="129"/>
        <v>1380389.6736218091</v>
      </c>
      <c r="U62" s="343">
        <f t="shared" si="129"/>
        <v>1390883.6531145426</v>
      </c>
      <c r="V62" s="343">
        <f t="shared" si="129"/>
        <v>1401377.6326072759</v>
      </c>
      <c r="W62" s="343">
        <f t="shared" si="129"/>
        <v>1409615.9864660765</v>
      </c>
      <c r="X62" s="343">
        <f t="shared" si="129"/>
        <v>1423945.0338944164</v>
      </c>
      <c r="Y62" s="343">
        <f t="shared" si="129"/>
        <v>1473400.1709565422</v>
      </c>
      <c r="Z62" s="343">
        <f t="shared" si="129"/>
        <v>1477390.9241536229</v>
      </c>
      <c r="AA62" s="343">
        <f t="shared" si="129"/>
        <v>1501886.587757861</v>
      </c>
      <c r="AB62" s="343">
        <f t="shared" si="129"/>
        <v>1508832.785623752</v>
      </c>
      <c r="AC62" s="343">
        <f t="shared" si="129"/>
        <v>1516973.7667177462</v>
      </c>
      <c r="AD62" s="343">
        <f t="shared" si="129"/>
        <v>1525147.311736118</v>
      </c>
      <c r="AE62" s="343">
        <f t="shared" si="129"/>
        <v>1451596.7201756397</v>
      </c>
      <c r="AF62" s="343">
        <f t="shared" si="129"/>
        <v>1461034.2462071883</v>
      </c>
      <c r="AG62" s="343">
        <f t="shared" si="129"/>
        <v>1472772.6120794546</v>
      </c>
      <c r="AH62" s="343">
        <f t="shared" si="129"/>
        <v>1484581.4081469541</v>
      </c>
      <c r="AI62" s="343">
        <f t="shared" si="129"/>
        <v>1583795.138673523</v>
      </c>
      <c r="AJ62" s="343">
        <f t="shared" si="129"/>
        <v>1593687.0759317826</v>
      </c>
      <c r="AK62" s="343">
        <f t="shared" si="129"/>
        <v>1605480.3602936778</v>
      </c>
      <c r="AL62" s="343">
        <f t="shared" si="129"/>
        <v>1605480.3602936778</v>
      </c>
      <c r="AM62" s="343">
        <f t="shared" si="129"/>
        <v>1619124.6693046724</v>
      </c>
      <c r="AN62" s="343">
        <f t="shared" si="129"/>
        <v>1619124.6693046724</v>
      </c>
      <c r="AO62" s="343">
        <f t="shared" si="129"/>
        <v>1619124.6693046724</v>
      </c>
      <c r="AP62" s="343">
        <f t="shared" si="129"/>
        <v>1616283.0049833884</v>
      </c>
      <c r="AQ62" s="1663"/>
      <c r="AR62" s="1663"/>
      <c r="AS62" s="1688"/>
      <c r="AT62" s="1084">
        <f t="shared" si="53"/>
        <v>5198284.2280923827</v>
      </c>
      <c r="AU62" s="1084">
        <f t="shared" si="54"/>
        <v>5542546.653472703</v>
      </c>
      <c r="AV62" s="1084">
        <f t="shared" si="64"/>
        <v>5784352.1154706581</v>
      </c>
      <c r="AW62" s="1084">
        <f t="shared" si="65"/>
        <v>6052840.4518354768</v>
      </c>
      <c r="AX62" s="1084">
        <f t="shared" si="66"/>
        <v>5869984.9866092363</v>
      </c>
      <c r="AY62" s="1084">
        <f t="shared" si="67"/>
        <v>6388442.9351926614</v>
      </c>
      <c r="AZ62" s="1084">
        <f t="shared" si="68"/>
        <v>6473657.0128974058</v>
      </c>
      <c r="BA62" s="1085"/>
      <c r="BB62" s="1085"/>
      <c r="BC62" s="1085"/>
      <c r="BD62" s="1085"/>
      <c r="BE62" s="1085"/>
      <c r="BF62" s="924"/>
      <c r="BH62">
        <v>7963909.3270200118</v>
      </c>
      <c r="BI62">
        <v>7963909.3270200118</v>
      </c>
      <c r="BJ62">
        <v>7963909.3270200118</v>
      </c>
      <c r="BK62">
        <v>7963909.3270200118</v>
      </c>
      <c r="BL62" s="148">
        <v>7963909.3270200118</v>
      </c>
      <c r="BO62" s="1326"/>
      <c r="BP62" s="671" t="s">
        <v>225</v>
      </c>
      <c r="BQ62" s="1089">
        <f t="shared" si="111"/>
        <v>0</v>
      </c>
      <c r="BR62" s="1089">
        <f t="shared" si="111"/>
        <v>0</v>
      </c>
      <c r="BS62" s="1089">
        <f t="shared" si="111"/>
        <v>0</v>
      </c>
      <c r="BT62" s="1089">
        <f t="shared" si="111"/>
        <v>0</v>
      </c>
      <c r="BU62" s="1089">
        <f t="shared" si="111"/>
        <v>0</v>
      </c>
      <c r="BV62" s="1089">
        <f t="shared" si="111"/>
        <v>0</v>
      </c>
      <c r="BW62" s="1089">
        <f t="shared" si="111"/>
        <v>0</v>
      </c>
      <c r="BX62" s="1089">
        <f t="shared" si="111"/>
        <v>0</v>
      </c>
      <c r="BY62" s="1089">
        <f t="shared" si="121"/>
        <v>0</v>
      </c>
      <c r="BZ62" s="1089">
        <f t="shared" si="121"/>
        <v>0</v>
      </c>
      <c r="CA62" s="1089">
        <f t="shared" si="121"/>
        <v>0</v>
      </c>
      <c r="CB62" s="1089">
        <f t="shared" si="121"/>
        <v>0</v>
      </c>
      <c r="CC62" s="1089">
        <f t="shared" ref="CC62:DD62" si="130">CC20*DV40*O39/4</f>
        <v>808902.62636050058</v>
      </c>
      <c r="CD62" s="1089">
        <f t="shared" si="130"/>
        <v>808902.62636050058</v>
      </c>
      <c r="CE62" s="1089">
        <f t="shared" si="130"/>
        <v>808902.62636050058</v>
      </c>
      <c r="CF62" s="1089">
        <f t="shared" si="130"/>
        <v>808902.62636050058</v>
      </c>
      <c r="CG62" s="1089">
        <f t="shared" si="130"/>
        <v>808902.62636050058</v>
      </c>
      <c r="CH62" s="1089">
        <f t="shared" si="130"/>
        <v>808902.62636050058</v>
      </c>
      <c r="CI62" s="1089">
        <f t="shared" si="130"/>
        <v>808902.62636050058</v>
      </c>
      <c r="CJ62" s="1089">
        <f t="shared" si="130"/>
        <v>808902.62636050058</v>
      </c>
      <c r="CK62" s="1089">
        <f t="shared" si="130"/>
        <v>804055.9291631144</v>
      </c>
      <c r="CL62" s="1089">
        <f t="shared" si="130"/>
        <v>804055.9291631144</v>
      </c>
      <c r="CM62" s="1089">
        <f t="shared" si="130"/>
        <v>804055.9291631144</v>
      </c>
      <c r="CN62" s="1089">
        <f t="shared" si="130"/>
        <v>804055.9291631144</v>
      </c>
      <c r="CO62" s="1089">
        <f t="shared" si="130"/>
        <v>808908.61914222874</v>
      </c>
      <c r="CP62" s="1089">
        <f t="shared" si="130"/>
        <v>808908.61914222874</v>
      </c>
      <c r="CQ62" s="1089">
        <f t="shared" si="130"/>
        <v>808908.61914222874</v>
      </c>
      <c r="CR62" s="1089">
        <f t="shared" si="130"/>
        <v>808908.61914222874</v>
      </c>
      <c r="CS62" s="1089">
        <f t="shared" si="130"/>
        <v>774975.74597879674</v>
      </c>
      <c r="CT62" s="1089">
        <f t="shared" si="130"/>
        <v>774975.74597879674</v>
      </c>
      <c r="CU62" s="1089">
        <f t="shared" si="130"/>
        <v>774975.74597879674</v>
      </c>
      <c r="CV62" s="1089">
        <f t="shared" si="130"/>
        <v>774975.74597879674</v>
      </c>
      <c r="CW62" s="1089">
        <f t="shared" si="130"/>
        <v>804055.9291631144</v>
      </c>
      <c r="CX62" s="1089">
        <f t="shared" si="130"/>
        <v>804055.9291631144</v>
      </c>
      <c r="CY62" s="1089">
        <f t="shared" si="130"/>
        <v>804055.9291631144</v>
      </c>
      <c r="CZ62" s="1089">
        <f t="shared" si="130"/>
        <v>804055.9291631144</v>
      </c>
      <c r="DA62" s="1089">
        <f t="shared" si="130"/>
        <v>405689.85071635863</v>
      </c>
      <c r="DB62" s="1089">
        <f t="shared" si="130"/>
        <v>405689.85071635863</v>
      </c>
      <c r="DC62" s="1089">
        <f t="shared" si="130"/>
        <v>405689.85071635863</v>
      </c>
      <c r="DD62" s="1089">
        <f t="shared" si="130"/>
        <v>405689.85071635863</v>
      </c>
      <c r="DE62" s="1670"/>
      <c r="DF62" s="1672"/>
      <c r="DG62" s="1665"/>
      <c r="DH62" s="580">
        <f t="shared" si="73"/>
        <v>3235610.5054420023</v>
      </c>
      <c r="DI62" s="583">
        <f t="shared" si="74"/>
        <v>3235610.5054420023</v>
      </c>
      <c r="DJ62" s="583">
        <f t="shared" si="75"/>
        <v>3216223.7166524576</v>
      </c>
      <c r="DK62" s="583">
        <f t="shared" si="76"/>
        <v>3235634.4765689149</v>
      </c>
      <c r="DL62" s="583">
        <f t="shared" si="77"/>
        <v>3099902.983915187</v>
      </c>
      <c r="DM62" s="583">
        <f t="shared" si="78"/>
        <v>3216223.7166524576</v>
      </c>
      <c r="DN62" s="583">
        <f t="shared" si="79"/>
        <v>1622759.4028654345</v>
      </c>
      <c r="DO62" s="1670"/>
      <c r="DP62" s="1672"/>
      <c r="DQ62" s="1665"/>
      <c r="DR62" s="582">
        <f t="shared" si="100"/>
        <v>1962673.7226503803</v>
      </c>
      <c r="DS62" s="582">
        <f t="shared" si="101"/>
        <v>2306936.1480307006</v>
      </c>
      <c r="DT62" s="582">
        <f t="shared" si="102"/>
        <v>2568128.3988182005</v>
      </c>
      <c r="DU62" s="582">
        <f t="shared" si="103"/>
        <v>2817205.9752665618</v>
      </c>
      <c r="DV62" s="582">
        <f t="shared" si="104"/>
        <v>2770082.0026940494</v>
      </c>
      <c r="DW62" s="582">
        <f t="shared" si="105"/>
        <v>3172219.2185402038</v>
      </c>
      <c r="DX62" s="582">
        <f>AZ62-DN62</f>
        <v>4850897.6100319717</v>
      </c>
      <c r="DY62" s="806"/>
      <c r="DZ62" s="1311"/>
      <c r="EA62" s="864"/>
      <c r="EB62" s="865"/>
      <c r="EC62" s="865"/>
      <c r="ED62" s="866" t="e">
        <f>(DH62+#REF!/17)*1.1</f>
        <v>#REF!</v>
      </c>
      <c r="EE62" s="859">
        <f t="shared" si="57"/>
        <v>3559171.5559862028</v>
      </c>
      <c r="EF62" s="147"/>
      <c r="EG62" s="1403"/>
      <c r="EH62" s="675" t="s">
        <v>225</v>
      </c>
      <c r="EI62" s="1202">
        <f t="shared" si="94"/>
        <v>0</v>
      </c>
      <c r="EJ62" s="1202">
        <f t="shared" si="113"/>
        <v>0</v>
      </c>
      <c r="EK62" s="1202">
        <f t="shared" si="113"/>
        <v>0</v>
      </c>
      <c r="EL62" s="1202">
        <f t="shared" si="113"/>
        <v>0</v>
      </c>
      <c r="EM62" s="1202">
        <f t="shared" si="113"/>
        <v>0</v>
      </c>
      <c r="EN62" s="1202">
        <f t="shared" si="113"/>
        <v>0</v>
      </c>
      <c r="EO62" s="1202">
        <f t="shared" si="113"/>
        <v>0</v>
      </c>
      <c r="EP62" s="1202">
        <f t="shared" si="113"/>
        <v>0</v>
      </c>
      <c r="EQ62" s="1202">
        <f t="shared" si="113"/>
        <v>0</v>
      </c>
      <c r="ER62" s="1202">
        <f t="shared" si="125"/>
        <v>0</v>
      </c>
      <c r="ES62" s="1202">
        <f t="shared" si="125"/>
        <v>0</v>
      </c>
      <c r="ET62" s="1202">
        <f t="shared" si="125"/>
        <v>0</v>
      </c>
      <c r="EU62" s="679">
        <f t="shared" si="126"/>
        <v>466936.58163949905</v>
      </c>
      <c r="EV62" s="679">
        <f t="shared" si="107"/>
        <v>482873.56143769168</v>
      </c>
      <c r="EW62" s="679">
        <f t="shared" si="107"/>
        <v>498579.04700362671</v>
      </c>
      <c r="EX62" s="679">
        <f t="shared" si="107"/>
        <v>514284.53256956243</v>
      </c>
      <c r="EY62" s="679">
        <f t="shared" si="107"/>
        <v>560993.06776857551</v>
      </c>
      <c r="EZ62" s="679">
        <f t="shared" si="107"/>
        <v>571487.04726130853</v>
      </c>
      <c r="FA62" s="679">
        <f t="shared" si="107"/>
        <v>581981.02675404202</v>
      </c>
      <c r="FB62" s="679">
        <f t="shared" si="107"/>
        <v>592475.00624677527</v>
      </c>
      <c r="FC62" s="679">
        <f t="shared" si="107"/>
        <v>605560.05730296206</v>
      </c>
      <c r="FD62" s="679">
        <f t="shared" si="107"/>
        <v>619889.10473130201</v>
      </c>
      <c r="FE62" s="679">
        <f t="shared" si="97"/>
        <v>669344.24179342785</v>
      </c>
      <c r="FF62" s="679">
        <f t="shared" si="97"/>
        <v>673334.99499050854</v>
      </c>
      <c r="FG62" s="679">
        <f t="shared" si="97"/>
        <v>692977.96861563227</v>
      </c>
      <c r="FH62" s="679">
        <f t="shared" si="97"/>
        <v>699924.16648152331</v>
      </c>
      <c r="FI62" s="679">
        <f t="shared" si="97"/>
        <v>708065.14757551742</v>
      </c>
      <c r="FJ62" s="679">
        <f t="shared" si="97"/>
        <v>716238.69259388931</v>
      </c>
      <c r="FK62" s="679">
        <f t="shared" si="97"/>
        <v>676620.97419684299</v>
      </c>
      <c r="FL62" s="679">
        <f t="shared" si="97"/>
        <v>686058.50022839161</v>
      </c>
      <c r="FM62" s="679">
        <f t="shared" si="97"/>
        <v>697796.86610065785</v>
      </c>
      <c r="FN62" s="679">
        <f t="shared" si="97"/>
        <v>709605.6621681574</v>
      </c>
      <c r="FO62" s="679">
        <f t="shared" si="97"/>
        <v>779739.20951040857</v>
      </c>
      <c r="FP62" s="679">
        <f t="shared" si="97"/>
        <v>789631.1467686682</v>
      </c>
      <c r="FQ62" s="679">
        <f t="shared" si="97"/>
        <v>801424.43113056337</v>
      </c>
      <c r="FR62" s="679">
        <f t="shared" si="97"/>
        <v>801424.43113056337</v>
      </c>
      <c r="FS62" s="679">
        <f t="shared" si="97"/>
        <v>1213434.8185883136</v>
      </c>
      <c r="FT62" s="679">
        <f t="shared" si="97"/>
        <v>1213434.8185883136</v>
      </c>
      <c r="FU62" s="679">
        <f t="shared" si="97"/>
        <v>1213434.8185883136</v>
      </c>
      <c r="FV62" s="679">
        <f t="shared" si="97"/>
        <v>1210593.1542670298</v>
      </c>
      <c r="FW62" s="679"/>
      <c r="FX62" s="584"/>
      <c r="FY62" s="138"/>
      <c r="FZ62" s="138"/>
      <c r="GA62" s="138"/>
      <c r="GB62" s="138"/>
      <c r="GC62" s="138"/>
      <c r="GD62" s="682">
        <f t="shared" si="61"/>
        <v>490668.43066259497</v>
      </c>
      <c r="GE62" s="1586"/>
      <c r="GF62" s="112">
        <f t="shared" si="62"/>
        <v>576734.03700767539</v>
      </c>
      <c r="GG62" s="1586"/>
      <c r="GH62" s="1563"/>
      <c r="GI62" s="1557"/>
    </row>
    <row r="63" spans="1:205" ht="15" customHeight="1">
      <c r="A63" s="94"/>
      <c r="B63" s="125"/>
      <c r="C63" s="128"/>
      <c r="D63" s="128"/>
      <c r="E63" s="128"/>
      <c r="F63" s="128"/>
      <c r="G63" s="128"/>
      <c r="H63" s="128"/>
      <c r="I63" s="128"/>
      <c r="J63" s="128"/>
      <c r="K63" s="128"/>
      <c r="L63" s="128"/>
      <c r="M63" s="128"/>
      <c r="N63" s="128"/>
      <c r="O63" s="128"/>
      <c r="P63" s="128"/>
      <c r="Q63" s="127"/>
      <c r="R63" s="127"/>
      <c r="S63" s="127"/>
      <c r="T63" s="127"/>
      <c r="U63" s="127"/>
      <c r="V63" s="127"/>
      <c r="W63" s="127"/>
      <c r="X63" s="127"/>
      <c r="Y63" s="127"/>
      <c r="Z63" s="127"/>
      <c r="AA63" s="127"/>
      <c r="AB63" s="127"/>
      <c r="AC63" s="127"/>
      <c r="AD63" s="127"/>
      <c r="AE63" s="127"/>
      <c r="AF63" s="127"/>
      <c r="AG63" s="127"/>
      <c r="AH63" s="127"/>
      <c r="AI63" s="127"/>
      <c r="AJ63" s="127"/>
      <c r="AK63" s="127"/>
      <c r="AL63" s="127"/>
      <c r="AM63" s="127"/>
      <c r="AN63" s="127"/>
      <c r="AO63" s="127"/>
      <c r="AP63" s="127"/>
      <c r="AQ63" s="1663"/>
      <c r="AR63" s="1663"/>
      <c r="AS63" s="1688"/>
      <c r="AT63" s="1689"/>
      <c r="AU63" s="1687"/>
      <c r="AV63" s="1085"/>
      <c r="AW63" s="1085"/>
      <c r="AX63" s="1085"/>
      <c r="AY63" s="1085"/>
      <c r="AZ63" s="1085"/>
      <c r="BA63" s="1085"/>
      <c r="BB63" s="1085"/>
      <c r="BC63" s="1085"/>
      <c r="BD63" s="1085"/>
      <c r="BE63" s="1085"/>
      <c r="BF63" s="924"/>
      <c r="BH63">
        <v>9369159.1010171361</v>
      </c>
      <c r="BI63">
        <v>9369159.1010171361</v>
      </c>
      <c r="BJ63">
        <v>9369159.1010171361</v>
      </c>
      <c r="BK63">
        <v>9369159.1010171361</v>
      </c>
      <c r="BL63">
        <v>9369159.1010171361</v>
      </c>
      <c r="BO63" s="94"/>
      <c r="BP63" s="125"/>
      <c r="CE63" s="134"/>
      <c r="CF63" s="134"/>
      <c r="CG63" s="134"/>
      <c r="CH63" s="134"/>
      <c r="CI63" s="134"/>
      <c r="CJ63" s="134"/>
      <c r="CK63" s="134"/>
      <c r="CL63" s="134"/>
      <c r="CM63" s="134"/>
      <c r="CN63" s="134"/>
      <c r="CO63" s="134"/>
      <c r="CP63" s="134"/>
      <c r="CQ63" s="134"/>
      <c r="CR63" s="134"/>
      <c r="CS63" s="134"/>
      <c r="CT63" s="134"/>
      <c r="CU63" s="134"/>
      <c r="CV63" s="134"/>
      <c r="CW63" s="134"/>
      <c r="CX63" s="134"/>
      <c r="CY63" s="134"/>
      <c r="CZ63" s="134"/>
      <c r="DA63" s="134"/>
      <c r="DB63" s="134"/>
      <c r="DC63" s="134"/>
      <c r="DD63" s="134"/>
      <c r="DE63" s="1670"/>
      <c r="DF63" s="1672"/>
      <c r="DG63" s="1665"/>
      <c r="DH63" s="1692"/>
      <c r="DI63" s="1671"/>
      <c r="DJ63" s="1671"/>
      <c r="DK63" s="1671"/>
      <c r="DL63" s="1671"/>
      <c r="DM63" s="1671"/>
      <c r="DN63" s="1693"/>
      <c r="DO63" s="1670"/>
      <c r="DP63" s="1672"/>
      <c r="DQ63" s="1665"/>
      <c r="DR63" s="1692"/>
      <c r="DS63" s="1671"/>
      <c r="DT63" s="1671"/>
      <c r="DU63" s="1671"/>
      <c r="DV63" s="1671"/>
      <c r="DW63" s="1671"/>
      <c r="DX63" s="1693"/>
      <c r="DY63" s="924"/>
      <c r="DZ63" s="147"/>
      <c r="EA63" s="147"/>
      <c r="EB63" s="147"/>
      <c r="EC63" s="147"/>
      <c r="ED63" s="731"/>
      <c r="EE63" s="147"/>
      <c r="EF63" s="147"/>
      <c r="EG63" s="94"/>
      <c r="EH63" s="125"/>
      <c r="EO63" s="135"/>
      <c r="EW63" s="134"/>
      <c r="EX63" s="134"/>
      <c r="EY63" s="134"/>
      <c r="EZ63" s="134"/>
      <c r="FA63" s="134"/>
      <c r="FB63" s="134"/>
      <c r="FC63" s="929"/>
      <c r="FD63" s="134"/>
      <c r="FE63" s="134"/>
      <c r="FF63" s="930"/>
      <c r="FG63" s="929"/>
      <c r="FH63" s="134"/>
      <c r="FI63" s="134"/>
      <c r="FJ63" s="930"/>
      <c r="FK63" s="929"/>
      <c r="FL63" s="134"/>
      <c r="FM63" s="134"/>
      <c r="FN63" s="930"/>
      <c r="FO63" s="929"/>
      <c r="FP63" s="134"/>
      <c r="FQ63" s="134"/>
      <c r="FR63" s="930"/>
      <c r="FS63" s="929"/>
      <c r="FT63" s="134"/>
      <c r="FU63" s="134"/>
      <c r="FV63" s="930"/>
      <c r="FW63" s="134"/>
      <c r="GD63" s="588"/>
      <c r="GE63" s="111"/>
      <c r="GF63" s="588"/>
      <c r="GG63" s="681"/>
      <c r="GH63" s="1565"/>
      <c r="GI63" s="1557"/>
      <c r="GJ63" s="135"/>
      <c r="GL63" s="135"/>
    </row>
    <row r="64" spans="1:205" ht="15" customHeight="1">
      <c r="A64" s="94"/>
      <c r="B64" s="125"/>
      <c r="C64" s="128"/>
      <c r="D64" s="128"/>
      <c r="E64" s="128"/>
      <c r="F64" s="128"/>
      <c r="G64" s="128"/>
      <c r="H64" s="128"/>
      <c r="I64" s="128"/>
      <c r="J64" s="128"/>
      <c r="K64" s="128"/>
      <c r="L64" s="128"/>
      <c r="M64" s="128"/>
      <c r="N64" s="128"/>
      <c r="O64" s="128"/>
      <c r="P64" s="128"/>
      <c r="Q64" s="127"/>
      <c r="R64" s="127"/>
      <c r="S64" s="127"/>
      <c r="T64" s="127"/>
      <c r="U64" s="127"/>
      <c r="V64" s="127"/>
      <c r="W64" s="127"/>
      <c r="X64" s="127"/>
      <c r="Y64" s="127"/>
      <c r="Z64" s="127"/>
      <c r="AA64" s="127"/>
      <c r="AB64" s="127"/>
      <c r="AC64" s="127"/>
      <c r="AD64" s="127"/>
      <c r="AE64" s="127"/>
      <c r="AF64" s="127"/>
      <c r="AG64" s="127"/>
      <c r="AH64" s="127"/>
      <c r="AI64" s="127"/>
      <c r="AJ64" s="127"/>
      <c r="AK64" s="127"/>
      <c r="AL64" s="127"/>
      <c r="AM64" s="127"/>
      <c r="AN64" s="127"/>
      <c r="AO64" s="127"/>
      <c r="AP64" s="127"/>
      <c r="AQ64" s="1663"/>
      <c r="AR64" s="1663"/>
      <c r="AS64" s="1688"/>
      <c r="AT64" s="1690"/>
      <c r="AU64" s="1688"/>
      <c r="AV64" s="1085"/>
      <c r="AW64" s="1085"/>
      <c r="AX64" s="1085"/>
      <c r="AY64" s="1085"/>
      <c r="AZ64" s="1085"/>
      <c r="BA64" s="1085"/>
      <c r="BB64" s="1085"/>
      <c r="BC64" s="1085"/>
      <c r="BD64" s="1085"/>
      <c r="BE64" s="1085"/>
      <c r="BF64" s="924"/>
      <c r="BH64">
        <v>9504340.52050969</v>
      </c>
      <c r="BI64">
        <v>9504340.52050969</v>
      </c>
      <c r="BJ64">
        <v>9504340.52050969</v>
      </c>
      <c r="BK64">
        <v>9504340.52050969</v>
      </c>
      <c r="BL64">
        <v>9504340.52050969</v>
      </c>
      <c r="BO64" s="94"/>
      <c r="BP64" s="125"/>
      <c r="CE64" s="134"/>
      <c r="CF64" s="134"/>
      <c r="CG64" s="134"/>
      <c r="CH64" s="134"/>
      <c r="CI64" s="134"/>
      <c r="CJ64" s="134"/>
      <c r="CK64" s="134"/>
      <c r="CL64" s="134"/>
      <c r="CM64" s="134"/>
      <c r="CN64" s="134"/>
      <c r="CO64" s="134"/>
      <c r="CP64" s="134"/>
      <c r="CQ64" s="134"/>
      <c r="CR64" s="134"/>
      <c r="CS64" s="134"/>
      <c r="CT64" s="134"/>
      <c r="CU64" s="134"/>
      <c r="CV64" s="134"/>
      <c r="CW64" s="134"/>
      <c r="CX64" s="134"/>
      <c r="CY64" s="134"/>
      <c r="CZ64" s="134"/>
      <c r="DA64" s="134"/>
      <c r="DB64" s="134"/>
      <c r="DC64" s="134"/>
      <c r="DD64" s="134"/>
      <c r="DE64" s="1670"/>
      <c r="DF64" s="1672"/>
      <c r="DG64" s="1665"/>
      <c r="DH64" s="1694"/>
      <c r="DI64" s="1672"/>
      <c r="DJ64" s="1672"/>
      <c r="DK64" s="1672"/>
      <c r="DL64" s="1672"/>
      <c r="DM64" s="1672"/>
      <c r="DN64" s="1695"/>
      <c r="DO64" s="1670"/>
      <c r="DP64" s="1672"/>
      <c r="DQ64" s="1665"/>
      <c r="DR64" s="1694"/>
      <c r="DS64" s="1672"/>
      <c r="DT64" s="1672"/>
      <c r="DU64" s="1672"/>
      <c r="DV64" s="1672"/>
      <c r="DW64" s="1672"/>
      <c r="DX64" s="1695"/>
      <c r="DY64" s="924"/>
      <c r="DZ64" s="147"/>
      <c r="EA64" s="147"/>
      <c r="EB64" s="147"/>
      <c r="EC64" s="147"/>
      <c r="ED64" s="731"/>
      <c r="EE64" s="147"/>
      <c r="EF64" s="147"/>
      <c r="EG64" s="94"/>
      <c r="EH64" s="125"/>
      <c r="EO64" s="135"/>
      <c r="EQ64" s="92"/>
      <c r="ER64" s="92"/>
      <c r="ES64" s="92"/>
      <c r="ET64" s="92"/>
      <c r="EU64" s="92"/>
      <c r="EW64" s="134"/>
      <c r="EX64" s="134"/>
      <c r="EY64" s="134"/>
      <c r="EZ64" s="134"/>
      <c r="FA64" s="134"/>
      <c r="FB64" s="134"/>
      <c r="FC64" s="929"/>
      <c r="FD64" s="134"/>
      <c r="FE64" s="134"/>
      <c r="FF64" s="930"/>
      <c r="FG64" s="929"/>
      <c r="FH64" s="134"/>
      <c r="FI64" s="134"/>
      <c r="FJ64" s="930"/>
      <c r="FK64" s="929"/>
      <c r="FL64" s="134"/>
      <c r="FM64" s="134"/>
      <c r="FN64" s="930"/>
      <c r="FO64" s="929"/>
      <c r="FP64" s="134"/>
      <c r="FQ64" s="134"/>
      <c r="FR64" s="930"/>
      <c r="FS64" s="929"/>
      <c r="FT64" s="134"/>
      <c r="FU64" s="134"/>
      <c r="FV64" s="930"/>
      <c r="FW64" s="134"/>
      <c r="GD64" s="588"/>
      <c r="GE64" s="111"/>
      <c r="GF64" s="588"/>
      <c r="GG64" s="681"/>
      <c r="GH64" s="1565"/>
      <c r="GI64" s="1557"/>
      <c r="GJ64" s="135"/>
      <c r="GL64" s="135"/>
    </row>
    <row r="65" spans="1:201" ht="15" customHeight="1" thickBot="1">
      <c r="A65" s="94"/>
      <c r="B65" s="58"/>
      <c r="C65" s="128"/>
      <c r="D65" s="128"/>
      <c r="E65" s="128"/>
      <c r="F65" s="128"/>
      <c r="G65" s="128"/>
      <c r="H65" s="128"/>
      <c r="I65" s="128"/>
      <c r="J65" s="128"/>
      <c r="K65" s="128"/>
      <c r="L65" s="128"/>
      <c r="M65" s="128"/>
      <c r="N65" s="128"/>
      <c r="O65" s="128"/>
      <c r="P65" s="128"/>
      <c r="Q65" s="127"/>
      <c r="R65" s="127"/>
      <c r="S65" s="127"/>
      <c r="T65" s="127"/>
      <c r="U65" s="127"/>
      <c r="V65" s="127"/>
      <c r="W65" s="127"/>
      <c r="X65" s="127"/>
      <c r="Y65" s="127"/>
      <c r="Z65" s="127"/>
      <c r="AA65" s="127"/>
      <c r="AB65" s="127"/>
      <c r="AC65" s="127"/>
      <c r="AD65" s="127"/>
      <c r="AE65" s="127"/>
      <c r="AF65" s="127"/>
      <c r="AG65" s="127"/>
      <c r="AH65" s="127"/>
      <c r="AI65" s="127"/>
      <c r="AJ65" s="127"/>
      <c r="AK65" s="127"/>
      <c r="AL65" s="127"/>
      <c r="AM65" s="127"/>
      <c r="AN65" s="127"/>
      <c r="AO65" s="127"/>
      <c r="AP65" s="127"/>
      <c r="AQ65" s="1086"/>
      <c r="AR65" s="1663"/>
      <c r="AS65" s="1688"/>
      <c r="AT65" s="1690"/>
      <c r="AU65" s="1688"/>
      <c r="AV65" s="1085"/>
      <c r="AW65" s="1085"/>
      <c r="AX65" s="1085"/>
      <c r="AY65" s="1085"/>
      <c r="AZ65" s="1085"/>
      <c r="BA65" s="1085"/>
      <c r="BB65" s="1085"/>
      <c r="BC65" s="1085"/>
      <c r="BD65" s="1085"/>
      <c r="BE65" s="1085"/>
      <c r="BF65" s="924"/>
      <c r="BH65">
        <v>5851623.2669408582</v>
      </c>
      <c r="BI65">
        <v>5851623.2669408582</v>
      </c>
      <c r="BJ65">
        <v>5851623.2669408582</v>
      </c>
      <c r="BK65">
        <v>5851623.2669408582</v>
      </c>
      <c r="BL65">
        <v>5851623.2669408582</v>
      </c>
      <c r="BO65" s="94"/>
      <c r="BP65" s="58"/>
      <c r="CE65" s="134"/>
      <c r="CF65" s="134"/>
      <c r="CG65" s="134"/>
      <c r="CH65" s="134"/>
      <c r="CI65" s="134"/>
      <c r="CJ65" s="134"/>
      <c r="CK65" s="134"/>
      <c r="CL65" s="134"/>
      <c r="CM65" s="134"/>
      <c r="CN65" s="134"/>
      <c r="CO65" s="134"/>
      <c r="CP65" s="134"/>
      <c r="CQ65" s="134"/>
      <c r="CR65" s="134"/>
      <c r="CS65" s="134"/>
      <c r="CT65" s="134"/>
      <c r="CU65" s="134"/>
      <c r="CV65" s="134"/>
      <c r="CW65" s="134"/>
      <c r="CX65" s="134"/>
      <c r="CY65" s="134"/>
      <c r="CZ65" s="134"/>
      <c r="DA65" s="134"/>
      <c r="DB65" s="134"/>
      <c r="DC65" s="134"/>
      <c r="DD65" s="134"/>
      <c r="DE65" s="1670"/>
      <c r="DF65" s="1672"/>
      <c r="DG65" s="1665"/>
      <c r="DH65" s="1694"/>
      <c r="DI65" s="1672"/>
      <c r="DJ65" s="1672"/>
      <c r="DK65" s="1672"/>
      <c r="DL65" s="1672"/>
      <c r="DM65" s="1672"/>
      <c r="DN65" s="1695"/>
      <c r="DO65" s="1670"/>
      <c r="DP65" s="1672"/>
      <c r="DQ65" s="1665"/>
      <c r="DR65" s="1694"/>
      <c r="DS65" s="1672"/>
      <c r="DT65" s="1672"/>
      <c r="DU65" s="1672"/>
      <c r="DV65" s="1672"/>
      <c r="DW65" s="1672"/>
      <c r="DX65" s="1695"/>
      <c r="DY65" s="924"/>
      <c r="DZ65" s="147"/>
      <c r="EA65" s="147"/>
      <c r="EB65" s="147"/>
      <c r="EC65" s="147"/>
      <c r="ED65" s="731"/>
      <c r="EE65" s="147"/>
      <c r="EF65" s="147"/>
      <c r="EG65" s="94"/>
      <c r="EH65" s="58"/>
      <c r="EO65" s="135"/>
      <c r="EW65" s="134"/>
      <c r="EX65" s="134"/>
      <c r="EY65" s="134"/>
      <c r="EZ65" s="134"/>
      <c r="FA65" s="134"/>
      <c r="FB65" s="134"/>
      <c r="FC65" s="929"/>
      <c r="FD65" s="134"/>
      <c r="FE65" s="134"/>
      <c r="FF65" s="930"/>
      <c r="FG65" s="929"/>
      <c r="FH65" s="134"/>
      <c r="FI65" s="134"/>
      <c r="FJ65" s="930"/>
      <c r="FK65" s="929"/>
      <c r="FL65" s="134"/>
      <c r="FM65" s="134"/>
      <c r="FN65" s="930"/>
      <c r="FO65" s="929"/>
      <c r="FP65" s="134"/>
      <c r="FQ65" s="134"/>
      <c r="FR65" s="930"/>
      <c r="FS65" s="929"/>
      <c r="FT65" s="134"/>
      <c r="FU65" s="134"/>
      <c r="FV65" s="930"/>
      <c r="FW65" s="134"/>
      <c r="GD65" s="588"/>
      <c r="GE65" s="111"/>
      <c r="GF65" s="588"/>
      <c r="GG65" s="681"/>
      <c r="GH65" s="1566"/>
      <c r="GI65" s="1557"/>
      <c r="GJ65" s="135"/>
      <c r="GL65" s="135"/>
    </row>
    <row r="66" spans="1:201" ht="15" customHeight="1" thickBot="1">
      <c r="A66" s="316"/>
      <c r="B66" s="58"/>
      <c r="C66" s="128"/>
      <c r="D66" s="128"/>
      <c r="E66" s="128"/>
      <c r="F66" s="128"/>
      <c r="G66" s="128"/>
      <c r="H66" s="128"/>
      <c r="I66" s="128"/>
      <c r="J66" s="128"/>
      <c r="K66" s="128"/>
      <c r="L66" s="128"/>
      <c r="M66" s="128"/>
      <c r="N66" s="128"/>
      <c r="O66" s="128"/>
      <c r="P66" s="128"/>
      <c r="Q66" s="127"/>
      <c r="R66" s="127"/>
      <c r="S66" s="127"/>
      <c r="T66" s="127"/>
      <c r="U66" s="127"/>
      <c r="V66" s="127"/>
      <c r="W66" s="127"/>
      <c r="X66" s="127"/>
      <c r="Y66" s="127"/>
      <c r="Z66" s="127"/>
      <c r="AA66" s="127"/>
      <c r="AB66" s="127"/>
      <c r="AC66" s="127"/>
      <c r="AD66" s="127"/>
      <c r="AE66" s="127"/>
      <c r="AF66" s="127"/>
      <c r="AG66" s="127"/>
      <c r="AH66" s="127"/>
      <c r="AI66" s="127"/>
      <c r="AJ66" s="127"/>
      <c r="AK66" s="127"/>
      <c r="AL66" s="127"/>
      <c r="AM66" s="127"/>
      <c r="AN66" s="127"/>
      <c r="AO66" s="127"/>
      <c r="AP66" s="127"/>
      <c r="AQ66" s="1684" t="s">
        <v>646</v>
      </c>
      <c r="AR66" s="1685"/>
      <c r="AS66" s="1685"/>
      <c r="AT66" s="1685"/>
      <c r="AU66" s="1685"/>
      <c r="AV66" s="1685"/>
      <c r="AW66" s="1685"/>
      <c r="AX66" s="1685"/>
      <c r="AY66" s="1685"/>
      <c r="AZ66" s="1686"/>
      <c r="BA66" s="128"/>
      <c r="BB66" s="128"/>
      <c r="BC66" s="128"/>
      <c r="BD66" s="128"/>
      <c r="BE66" s="128"/>
      <c r="BF66" s="58"/>
      <c r="BI66">
        <v>12793563.515197333</v>
      </c>
      <c r="BJ66">
        <v>12793563.515197333</v>
      </c>
      <c r="BK66">
        <v>12793563.515197333</v>
      </c>
      <c r="BL66">
        <v>12793563.515197333</v>
      </c>
      <c r="BO66" s="136"/>
      <c r="DE66" s="1317" t="s">
        <v>647</v>
      </c>
      <c r="DF66" s="1318"/>
      <c r="DG66" s="1318"/>
      <c r="DH66" s="1318"/>
      <c r="DI66" s="1318"/>
      <c r="DJ66" s="1318"/>
      <c r="DK66" s="1318"/>
      <c r="DL66" s="1318"/>
      <c r="DM66" s="1318"/>
      <c r="DN66" s="1319"/>
      <c r="DO66" s="1317" t="s">
        <v>647</v>
      </c>
      <c r="DP66" s="1318"/>
      <c r="DQ66" s="1318"/>
      <c r="DR66" s="1318"/>
      <c r="DS66" s="1318"/>
      <c r="DT66" s="1318"/>
      <c r="DU66" s="1318"/>
      <c r="DV66" s="1318"/>
      <c r="DW66" s="1318"/>
      <c r="DX66" s="1319"/>
      <c r="DY66" s="58"/>
      <c r="DZ66" s="147"/>
      <c r="EA66" s="147"/>
      <c r="EB66" s="147"/>
      <c r="EC66" s="147"/>
      <c r="ED66" s="731"/>
      <c r="EE66" s="147"/>
      <c r="EF66" s="147"/>
      <c r="EH66" t="s">
        <v>648</v>
      </c>
      <c r="EY66" s="135">
        <f>SUM(EY69:FB69)</f>
        <v>963435.05967303412</v>
      </c>
      <c r="FC66" s="951">
        <f>SUM(FC69:FF69)</f>
        <v>1786971.8243507864</v>
      </c>
      <c r="FD66" s="58"/>
      <c r="FE66" s="58"/>
      <c r="FF66" s="18"/>
      <c r="FG66" s="316"/>
      <c r="FH66" s="58"/>
      <c r="FI66" s="58"/>
      <c r="FJ66" s="18"/>
      <c r="FK66" s="316"/>
      <c r="FL66" s="58"/>
      <c r="FM66" s="58"/>
      <c r="FN66" s="18"/>
      <c r="FO66" s="316"/>
      <c r="FP66" s="58"/>
      <c r="FQ66" s="58"/>
      <c r="FR66" s="18"/>
      <c r="FS66" s="316"/>
      <c r="FT66" s="58"/>
      <c r="FU66" s="58"/>
      <c r="FV66" s="18"/>
      <c r="FW66" s="58"/>
      <c r="GD66" s="588"/>
      <c r="GG66" s="137"/>
      <c r="GJ66" s="135"/>
      <c r="GL66" s="135"/>
    </row>
    <row r="67" spans="1:201" ht="15" customHeight="1" thickBot="1">
      <c r="A67" s="1359" t="s">
        <v>649</v>
      </c>
      <c r="B67" s="1360"/>
      <c r="C67" s="314">
        <f>SUM(C46:C65)</f>
        <v>6220175.2881341949</v>
      </c>
      <c r="D67" s="314">
        <f t="shared" ref="D67:V67" si="131">SUM(D46:D65)</f>
        <v>6267571.2545848396</v>
      </c>
      <c r="E67" s="314">
        <f t="shared" si="131"/>
        <v>6404731.657113133</v>
      </c>
      <c r="F67" s="314">
        <f t="shared" si="131"/>
        <v>6541506.8961334769</v>
      </c>
      <c r="G67" s="314">
        <f t="shared" si="131"/>
        <v>7035197.3629099168</v>
      </c>
      <c r="H67" s="314">
        <f t="shared" si="131"/>
        <v>7178139.4012381192</v>
      </c>
      <c r="I67" s="314">
        <f t="shared" si="131"/>
        <v>7282748.0269442759</v>
      </c>
      <c r="J67" s="314">
        <f t="shared" si="131"/>
        <v>7407141.0670128809</v>
      </c>
      <c r="K67" s="314">
        <f t="shared" si="131"/>
        <v>11665088.507904526</v>
      </c>
      <c r="L67" s="314">
        <f t="shared" si="131"/>
        <v>11816871.305420466</v>
      </c>
      <c r="M67" s="314">
        <f t="shared" si="131"/>
        <v>11967281.744491594</v>
      </c>
      <c r="N67" s="314">
        <f t="shared" si="131"/>
        <v>12102932.713449772</v>
      </c>
      <c r="O67" s="314">
        <f t="shared" si="131"/>
        <v>16170803.45138444</v>
      </c>
      <c r="P67" s="314">
        <f t="shared" si="131"/>
        <v>16399037.752288282</v>
      </c>
      <c r="Q67" s="314">
        <f t="shared" si="131"/>
        <v>16630488.457123991</v>
      </c>
      <c r="R67" s="314">
        <f t="shared" si="131"/>
        <v>16866105.911474913</v>
      </c>
      <c r="S67" s="314">
        <f t="shared" si="131"/>
        <v>17213741.721537981</v>
      </c>
      <c r="T67" s="314">
        <f t="shared" si="131"/>
        <v>17406584.525436953</v>
      </c>
      <c r="U67" s="314">
        <f t="shared" si="131"/>
        <v>17602179.933631539</v>
      </c>
      <c r="V67" s="314">
        <f t="shared" si="131"/>
        <v>17784343.790264659</v>
      </c>
      <c r="W67" s="128"/>
      <c r="X67" s="128"/>
      <c r="Y67" s="128"/>
      <c r="Z67" s="128"/>
      <c r="AA67" s="128"/>
      <c r="AB67" s="128"/>
      <c r="AC67" s="128"/>
      <c r="AD67" s="128"/>
      <c r="AE67" s="128"/>
      <c r="AF67" s="128"/>
      <c r="AG67" s="128"/>
      <c r="AH67" s="128"/>
      <c r="AI67" s="128"/>
      <c r="AJ67" s="128"/>
      <c r="AK67" s="128"/>
      <c r="AL67" s="128"/>
      <c r="AM67" s="128"/>
      <c r="AN67" s="128"/>
      <c r="AO67" s="128"/>
      <c r="AP67" s="128"/>
      <c r="AQ67" s="1087">
        <f>SUM(AQ46:AQ54)</f>
        <v>25433985.095965646</v>
      </c>
      <c r="AR67" s="1088">
        <f>SUM(AR46:AR54)</f>
        <v>28903225.858105198</v>
      </c>
      <c r="AS67" s="1088">
        <f>SUM(AS46:AS59)</f>
        <v>47552174.271266356</v>
      </c>
      <c r="AT67" s="1088">
        <f>SUM(AT46:AT65)</f>
        <v>66066435.572271615</v>
      </c>
      <c r="AU67" s="1088">
        <f>SUM(AU46:AU65)</f>
        <v>70006849.97087115</v>
      </c>
      <c r="AV67" s="1088">
        <f t="shared" ref="AV67:AZ67" si="132">SUM(AV46:AV65)</f>
        <v>73917452.700950772</v>
      </c>
      <c r="AW67" s="1088">
        <f t="shared" si="132"/>
        <v>73123383.52835241</v>
      </c>
      <c r="AX67" s="1088">
        <f t="shared" si="132"/>
        <v>76032594.031919122</v>
      </c>
      <c r="AY67" s="1088">
        <f t="shared" si="132"/>
        <v>78390031.284935847</v>
      </c>
      <c r="AZ67" s="1088">
        <f t="shared" si="132"/>
        <v>78870205.738155618</v>
      </c>
      <c r="BA67" s="92"/>
      <c r="BB67" s="92"/>
      <c r="BC67" s="92"/>
      <c r="BD67" s="92"/>
      <c r="BE67" s="92"/>
      <c r="BF67" s="135"/>
      <c r="BI67">
        <v>9896562.789669428</v>
      </c>
      <c r="BJ67">
        <v>9896562.789669428</v>
      </c>
      <c r="BK67">
        <v>9896562.789669428</v>
      </c>
      <c r="BL67">
        <v>9896562.789669428</v>
      </c>
      <c r="BO67" s="1660" t="s">
        <v>650</v>
      </c>
      <c r="BP67" s="1661"/>
      <c r="BQ67" s="138">
        <f>SUM(BQ46:BQ65)</f>
        <v>7695800.8306819983</v>
      </c>
      <c r="BR67" s="138">
        <f t="shared" ref="BR67:CI67" si="133">SUM(BR46:BR65)</f>
        <v>7695800.8306819983</v>
      </c>
      <c r="BS67" s="138">
        <f t="shared" si="133"/>
        <v>7695800.8306819983</v>
      </c>
      <c r="BT67" s="138">
        <f t="shared" si="133"/>
        <v>7695800.8306819983</v>
      </c>
      <c r="BU67" s="138">
        <f t="shared" si="133"/>
        <v>7724740.7098360397</v>
      </c>
      <c r="BV67" s="138">
        <f t="shared" si="133"/>
        <v>7724740.7098360397</v>
      </c>
      <c r="BW67" s="138">
        <f t="shared" si="133"/>
        <v>7724740.7098360397</v>
      </c>
      <c r="BX67" s="138">
        <f t="shared" si="133"/>
        <v>7724740.7098360397</v>
      </c>
      <c r="BY67" s="138">
        <f t="shared" si="133"/>
        <v>12001242.792040396</v>
      </c>
      <c r="BZ67" s="138">
        <f t="shared" si="133"/>
        <v>12001242.792040396</v>
      </c>
      <c r="CA67" s="138">
        <f t="shared" si="133"/>
        <v>12001242.792040396</v>
      </c>
      <c r="CB67" s="138">
        <f t="shared" si="133"/>
        <v>12001242.792040396</v>
      </c>
      <c r="CC67" s="138">
        <f t="shared" si="133"/>
        <v>16206728.799984409</v>
      </c>
      <c r="CD67" s="138">
        <f t="shared" si="133"/>
        <v>16206728.799984409</v>
      </c>
      <c r="CE67" s="138">
        <f t="shared" si="133"/>
        <v>16206728.799984409</v>
      </c>
      <c r="CF67" s="138">
        <f t="shared" si="133"/>
        <v>16206728.799984409</v>
      </c>
      <c r="CG67" s="138">
        <f t="shared" si="133"/>
        <v>16033142.07671359</v>
      </c>
      <c r="CH67" s="138">
        <f t="shared" si="133"/>
        <v>16033142.07671359</v>
      </c>
      <c r="CI67" s="138">
        <f t="shared" si="133"/>
        <v>16033142.07671359</v>
      </c>
      <c r="CJ67" s="138">
        <f>SUM(CJ46:CJ65)</f>
        <v>16033142.07671359</v>
      </c>
      <c r="CK67" s="138"/>
      <c r="CL67" s="138"/>
      <c r="CM67" s="138"/>
      <c r="CN67" s="138"/>
      <c r="CO67" s="138"/>
      <c r="CP67" s="138"/>
      <c r="CQ67" s="138"/>
      <c r="CR67" s="138"/>
      <c r="CS67" s="138"/>
      <c r="CT67" s="138"/>
      <c r="CU67" s="138"/>
      <c r="CV67" s="138"/>
      <c r="CW67" s="138"/>
      <c r="CX67" s="138"/>
      <c r="CY67" s="138"/>
      <c r="CZ67" s="138"/>
      <c r="DA67" s="138"/>
      <c r="DB67" s="138"/>
      <c r="DC67" s="138"/>
      <c r="DD67" s="138"/>
      <c r="DE67" s="812">
        <f>SUM(DE46:DE65)</f>
        <v>30783203.322727993</v>
      </c>
      <c r="DF67" s="812">
        <f t="shared" ref="DF67:DN67" si="134">SUM(DF46:DF65)</f>
        <v>30898962.839344159</v>
      </c>
      <c r="DG67" s="812">
        <f t="shared" si="134"/>
        <v>48004971.168161586</v>
      </c>
      <c r="DH67" s="812">
        <f t="shared" si="134"/>
        <v>64826915.199937634</v>
      </c>
      <c r="DI67" s="812">
        <f t="shared" si="134"/>
        <v>64132568.30685436</v>
      </c>
      <c r="DJ67" s="812">
        <f t="shared" si="134"/>
        <v>64724691.436696045</v>
      </c>
      <c r="DK67" s="812">
        <f t="shared" si="134"/>
        <v>63531379.586735852</v>
      </c>
      <c r="DL67" s="812">
        <f t="shared" si="134"/>
        <v>64111348.857246466</v>
      </c>
      <c r="DM67" s="812">
        <f t="shared" si="134"/>
        <v>64724691.436696045</v>
      </c>
      <c r="DN67" s="951">
        <f t="shared" si="134"/>
        <v>27716925.51214705</v>
      </c>
      <c r="DO67" s="951">
        <f>SUM(DO46:DO54)</f>
        <v>-5349218.2267623432</v>
      </c>
      <c r="DP67" s="951">
        <f t="shared" ref="DP67" si="135">SUM(DP46:DP54)</f>
        <v>-1995736.9812389654</v>
      </c>
      <c r="DQ67" s="951">
        <f>SUM(DQ46:DQ65)</f>
        <v>-452796.89689522935</v>
      </c>
      <c r="DR67" s="951">
        <f t="shared" ref="DR67:DX67" si="136">SUM(DR46:DR65)</f>
        <v>1239520.3723339974</v>
      </c>
      <c r="DS67" s="951">
        <f t="shared" si="136"/>
        <v>5874281.6640167758</v>
      </c>
      <c r="DT67" s="951">
        <f t="shared" si="136"/>
        <v>9192761.2642547321</v>
      </c>
      <c r="DU67" s="951">
        <f t="shared" si="136"/>
        <v>9592003.9416165538</v>
      </c>
      <c r="DV67" s="951">
        <f t="shared" si="136"/>
        <v>11921245.174672665</v>
      </c>
      <c r="DW67" s="951">
        <f t="shared" si="136"/>
        <v>13665339.848239794</v>
      </c>
      <c r="DX67" s="1137">
        <f t="shared" si="136"/>
        <v>51153280.226008564</v>
      </c>
      <c r="DY67" s="129"/>
      <c r="DZ67" s="147"/>
      <c r="EA67" s="147"/>
      <c r="EB67" s="147"/>
      <c r="EC67" s="147"/>
      <c r="ED67" s="147"/>
      <c r="EE67" s="147"/>
      <c r="EF67" s="147"/>
      <c r="EG67" s="136">
        <v>1</v>
      </c>
      <c r="EH67" t="s">
        <v>651</v>
      </c>
      <c r="EI67" s="135">
        <f>SUM(EI46:EI50)</f>
        <v>-558081.34574841429</v>
      </c>
      <c r="EJ67" s="135">
        <f>SUM(EJ46:EJ50)</f>
        <v>-561210.00044880435</v>
      </c>
      <c r="EK67" s="135">
        <f>SUM(EK46:EK50)</f>
        <v>-474574.21907154517</v>
      </c>
      <c r="EL67" s="135">
        <f>SUM(EL46:EL50)</f>
        <v>-388323.60120223602</v>
      </c>
      <c r="EM67" s="135">
        <f t="shared" ref="EM67:FB67" si="137">SUM(EM46:EM50)</f>
        <v>-126149.87031072995</v>
      </c>
      <c r="EN67" s="135">
        <f t="shared" si="137"/>
        <v>-36248.612840160844</v>
      </c>
      <c r="EO67" s="135">
        <f t="shared" si="137"/>
        <v>15319.232008361258</v>
      </c>
      <c r="EP67" s="135">
        <f t="shared" si="137"/>
        <v>86671.491219333489</v>
      </c>
      <c r="EQ67" s="135">
        <f t="shared" si="137"/>
        <v>256172.5158331737</v>
      </c>
      <c r="ER67" s="135">
        <f t="shared" si="137"/>
        <v>293914.67062131711</v>
      </c>
      <c r="ES67" s="135">
        <f t="shared" si="137"/>
        <v>330284.46696464601</v>
      </c>
      <c r="ET67" s="135">
        <f t="shared" si="137"/>
        <v>351894.79319502576</v>
      </c>
      <c r="EU67" s="135">
        <f t="shared" si="137"/>
        <v>432872.50891551608</v>
      </c>
      <c r="EV67" s="135">
        <f t="shared" si="137"/>
        <v>457035.08922973217</v>
      </c>
      <c r="EW67" s="135">
        <f>SUM(EW46:EW50)</f>
        <v>483322.02930360648</v>
      </c>
      <c r="EX67" s="135">
        <f t="shared" si="137"/>
        <v>513775.71889269503</v>
      </c>
      <c r="EY67" s="135">
        <f>SUM(EY46:EY50)</f>
        <v>602724.10040126543</v>
      </c>
      <c r="EZ67" s="135">
        <f t="shared" si="137"/>
        <v>638587.67649992602</v>
      </c>
      <c r="FA67" s="135">
        <f t="shared" si="137"/>
        <v>677203.85689420416</v>
      </c>
      <c r="FB67" s="135">
        <f t="shared" si="137"/>
        <v>702388.48572701309</v>
      </c>
      <c r="FC67" s="931">
        <f>SUM(FC46:FC50)</f>
        <v>751922.05431297678</v>
      </c>
      <c r="FD67" s="135">
        <f t="shared" ref="FD67:FV67" si="138">SUM(FD46:FD50)</f>
        <v>776892.08032837673</v>
      </c>
      <c r="FE67" s="135">
        <f t="shared" si="138"/>
        <v>798707.72227704665</v>
      </c>
      <c r="FF67" s="932">
        <f>SUM(FF46:FF50)</f>
        <v>820523.36422571656</v>
      </c>
      <c r="FG67" s="931">
        <f>SUM(FG46:FG50)</f>
        <v>687812.39127587061</v>
      </c>
      <c r="FH67" s="135">
        <f>SUM(FH46:FH50)</f>
        <v>687812.39127587073</v>
      </c>
      <c r="FI67" s="135">
        <f t="shared" si="138"/>
        <v>676764.73222173704</v>
      </c>
      <c r="FJ67" s="932">
        <f t="shared" si="138"/>
        <v>672860.88943781238</v>
      </c>
      <c r="FK67" s="931">
        <f t="shared" si="138"/>
        <v>868947.92289916682</v>
      </c>
      <c r="FL67" s="135">
        <f t="shared" si="138"/>
        <v>868947.92289916682</v>
      </c>
      <c r="FM67" s="135">
        <f t="shared" si="138"/>
        <v>886042.67122838832</v>
      </c>
      <c r="FN67" s="932">
        <f t="shared" si="138"/>
        <v>888211.31027426536</v>
      </c>
      <c r="FO67" s="931">
        <f t="shared" si="138"/>
        <v>902406.4136072367</v>
      </c>
      <c r="FP67" s="135">
        <f t="shared" si="138"/>
        <v>897170.65953955613</v>
      </c>
      <c r="FQ67" s="135">
        <f t="shared" si="138"/>
        <v>897170.65953955613</v>
      </c>
      <c r="FR67" s="932">
        <f t="shared" si="138"/>
        <v>899339.29858543305</v>
      </c>
      <c r="FS67" s="931">
        <f t="shared" si="138"/>
        <v>2196863.3766383673</v>
      </c>
      <c r="FT67" s="135">
        <f t="shared" si="138"/>
        <v>2196863.3766383673</v>
      </c>
      <c r="FU67" s="135">
        <f t="shared" si="138"/>
        <v>2196863.3766383673</v>
      </c>
      <c r="FV67" s="932">
        <f t="shared" si="138"/>
        <v>2199032.0156842442</v>
      </c>
      <c r="FW67" s="135"/>
      <c r="FY67" s="135">
        <f>SUM(EI67:FB67)</f>
        <v>3697578.9860839257</v>
      </c>
      <c r="FZ67" s="135">
        <f>FY67*90</f>
        <v>332782108.74755329</v>
      </c>
      <c r="GG67" s="137"/>
    </row>
    <row r="68" spans="1:201" ht="15" customHeight="1">
      <c r="A68" s="1691" t="s">
        <v>650</v>
      </c>
      <c r="B68" s="1288"/>
      <c r="C68" s="128" cm="1">
        <f t="array" ref="C68:V68">BQ67:CJ67</f>
        <v>7695800.8306819983</v>
      </c>
      <c r="D68" s="128">
        <v>7695800.8306819983</v>
      </c>
      <c r="E68" s="129">
        <v>7695800.8306819983</v>
      </c>
      <c r="F68" s="129">
        <v>7695800.8306819983</v>
      </c>
      <c r="G68" s="129">
        <v>7724740.7098360397</v>
      </c>
      <c r="H68" s="129">
        <v>7724740.7098360397</v>
      </c>
      <c r="I68" s="129">
        <v>7724740.7098360397</v>
      </c>
      <c r="J68" s="129">
        <v>7724740.7098360397</v>
      </c>
      <c r="K68" s="129">
        <v>12001242.792040396</v>
      </c>
      <c r="L68" s="129">
        <v>12001242.792040396</v>
      </c>
      <c r="M68" s="129">
        <v>12001242.792040396</v>
      </c>
      <c r="N68" s="129">
        <v>12001242.792040396</v>
      </c>
      <c r="O68" s="129">
        <v>16206728.799984409</v>
      </c>
      <c r="P68" s="129">
        <v>16206728.799984409</v>
      </c>
      <c r="Q68" s="129">
        <v>16206728.799984409</v>
      </c>
      <c r="R68" s="129">
        <v>16206728.799984409</v>
      </c>
      <c r="S68" s="129">
        <v>16033142.07671359</v>
      </c>
      <c r="T68" s="129">
        <v>16033142.07671359</v>
      </c>
      <c r="U68" s="129">
        <v>16033142.07671359</v>
      </c>
      <c r="V68" s="130">
        <v>16033142.07671359</v>
      </c>
      <c r="W68" s="129"/>
      <c r="X68" s="129"/>
      <c r="Y68" s="129"/>
      <c r="Z68" s="129"/>
      <c r="AA68" s="129"/>
      <c r="AB68" s="129"/>
      <c r="AC68" s="129"/>
      <c r="AD68" s="129"/>
      <c r="AE68" s="129"/>
      <c r="AF68" s="129"/>
      <c r="AG68" s="129"/>
      <c r="AH68" s="129"/>
      <c r="AI68" s="129"/>
      <c r="AJ68" s="129"/>
      <c r="AK68" s="129"/>
      <c r="AL68" s="129"/>
      <c r="AM68" s="129"/>
      <c r="AN68" s="129"/>
      <c r="AO68" s="129"/>
      <c r="AP68" s="129" t="s">
        <v>652</v>
      </c>
      <c r="AQ68" s="135">
        <f>0.2%*AQ67/5</f>
        <v>10173.594038386258</v>
      </c>
      <c r="AR68" s="135">
        <f>0.1%*AR67/9</f>
        <v>3211.4695397894666</v>
      </c>
      <c r="AS68" s="135">
        <f>0.1%*AS67/13</f>
        <v>3657.8595593281811</v>
      </c>
      <c r="AT68" s="135">
        <f>0.1%*AT67/17</f>
        <v>3886.2609160159773</v>
      </c>
      <c r="AU68" s="135">
        <f>0.1%*AU67/17</f>
        <v>4118.0499982865376</v>
      </c>
      <c r="AV68" s="135"/>
      <c r="AW68" s="135"/>
      <c r="AX68" s="135"/>
      <c r="AY68" s="135"/>
      <c r="AZ68" s="135"/>
      <c r="BA68" s="135"/>
      <c r="BB68" s="135"/>
      <c r="BC68" s="135"/>
      <c r="BD68" s="135"/>
      <c r="BE68" s="135"/>
      <c r="BF68" s="135"/>
      <c r="BG68" t="s">
        <v>653</v>
      </c>
      <c r="BI68">
        <v>10723716.788109282</v>
      </c>
      <c r="BJ68">
        <v>10723716.788109282</v>
      </c>
      <c r="BK68">
        <v>10723716.788109282</v>
      </c>
      <c r="BL68">
        <v>10723716.788109282</v>
      </c>
      <c r="BO68" s="136"/>
      <c r="CJ68" s="137"/>
      <c r="DE68" s="147"/>
      <c r="DF68" s="147"/>
      <c r="DG68" s="147"/>
      <c r="DH68" s="147"/>
      <c r="DI68" s="147"/>
      <c r="DJ68" s="147"/>
      <c r="DK68" s="147"/>
      <c r="DL68" s="147"/>
      <c r="DM68" s="147"/>
      <c r="DN68" s="1139" t="s">
        <v>654</v>
      </c>
      <c r="DO68" s="1138">
        <f t="shared" ref="DO68:DX68" si="139">DO67/AQ67</f>
        <v>-0.21031773851321631</v>
      </c>
      <c r="DP68" s="1138">
        <f t="shared" si="139"/>
        <v>-6.9048935611431425E-2</v>
      </c>
      <c r="DQ68" s="1138">
        <f t="shared" si="139"/>
        <v>-9.5221071135927881E-3</v>
      </c>
      <c r="DR68" s="1138">
        <f t="shared" si="139"/>
        <v>1.8761726156363578E-2</v>
      </c>
      <c r="DS68" s="1138">
        <f t="shared" si="139"/>
        <v>8.3910098318392842E-2</v>
      </c>
      <c r="DT68" s="1138">
        <f t="shared" si="139"/>
        <v>0.12436523349155522</v>
      </c>
      <c r="DU68" s="1138">
        <f t="shared" si="139"/>
        <v>0.13117560318987986</v>
      </c>
      <c r="DV68" s="1138">
        <f t="shared" si="139"/>
        <v>0.15679124626036073</v>
      </c>
      <c r="DW68" s="1138">
        <f t="shared" si="139"/>
        <v>0.17432496995145164</v>
      </c>
      <c r="DX68" s="1138">
        <f t="shared" si="139"/>
        <v>0.64857546328501292</v>
      </c>
      <c r="DY68" s="147"/>
      <c r="DZ68" s="147"/>
      <c r="EA68" s="147"/>
      <c r="EB68" s="147"/>
      <c r="EC68" s="147"/>
      <c r="ED68" s="147"/>
      <c r="EE68" s="147"/>
      <c r="EF68" s="147"/>
      <c r="EG68" s="136">
        <v>2</v>
      </c>
      <c r="EH68" t="s">
        <v>651</v>
      </c>
      <c r="EI68" s="135">
        <f>SUM(EI51:EI54)</f>
        <v>-917544.19679938769</v>
      </c>
      <c r="EJ68" s="135">
        <f>SUM(EJ51:EJ54)</f>
        <v>-867019.57564835274</v>
      </c>
      <c r="EK68" s="135">
        <f t="shared" ref="EK68:FB68" si="140">SUM(EK51:EK54)</f>
        <v>-816494.95449731848</v>
      </c>
      <c r="EL68" s="135">
        <f t="shared" si="140"/>
        <v>-765970.33334628423</v>
      </c>
      <c r="EM68" s="135">
        <f t="shared" si="140"/>
        <v>-563393.47661539272</v>
      </c>
      <c r="EN68" s="135">
        <f t="shared" si="140"/>
        <v>-510352.69575775939</v>
      </c>
      <c r="EO68" s="135">
        <f t="shared" si="140"/>
        <v>-457311.9149001257</v>
      </c>
      <c r="EP68" s="135">
        <f t="shared" si="140"/>
        <v>-404271.13404249214</v>
      </c>
      <c r="EQ68" s="135">
        <f t="shared" si="140"/>
        <v>-172336.30615405412</v>
      </c>
      <c r="ER68" s="135">
        <f t="shared" si="140"/>
        <v>-117123.08386500343</v>
      </c>
      <c r="ES68" s="135">
        <f t="shared" si="140"/>
        <v>-61909.861575952964</v>
      </c>
      <c r="ET68" s="135">
        <f t="shared" si="140"/>
        <v>-6696.6392869025003</v>
      </c>
      <c r="EU68" s="135">
        <f t="shared" si="140"/>
        <v>266955.15794982354</v>
      </c>
      <c r="EV68" s="135">
        <f t="shared" si="140"/>
        <v>325415.24905650667</v>
      </c>
      <c r="EW68" s="135">
        <f t="shared" si="140"/>
        <v>383875.34016318922</v>
      </c>
      <c r="EX68" s="135">
        <f t="shared" si="140"/>
        <v>442335.43126987084</v>
      </c>
      <c r="EY68" s="135">
        <f t="shared" si="140"/>
        <v>611788.99446075712</v>
      </c>
      <c r="EZ68" s="135">
        <f t="shared" si="140"/>
        <v>647098.62729913287</v>
      </c>
      <c r="FA68" s="135">
        <f t="shared" si="140"/>
        <v>682408.26013750886</v>
      </c>
      <c r="FB68" s="135">
        <f t="shared" si="140"/>
        <v>717717.89297588507</v>
      </c>
      <c r="FC68" s="931">
        <f>SUM(FC51:FC54)</f>
        <v>875503.60930335615</v>
      </c>
      <c r="FD68" s="135">
        <f t="shared" ref="FD68:FV68" si="141">SUM(FD51:FD54)</f>
        <v>884929.76611893275</v>
      </c>
      <c r="FE68" s="135">
        <f t="shared" si="141"/>
        <v>894374.77524814149</v>
      </c>
      <c r="FF68" s="932">
        <f t="shared" si="141"/>
        <v>903838.67439560697</v>
      </c>
      <c r="FG68" s="931">
        <f t="shared" si="141"/>
        <v>935268.40300617111</v>
      </c>
      <c r="FH68" s="135">
        <f t="shared" si="141"/>
        <v>954290.86293102324</v>
      </c>
      <c r="FI68" s="135">
        <f t="shared" si="141"/>
        <v>973389.41269557516</v>
      </c>
      <c r="FJ68" s="932">
        <f t="shared" si="141"/>
        <v>992564.35665918514</v>
      </c>
      <c r="FK68" s="931">
        <f t="shared" si="141"/>
        <v>1071994.0168661121</v>
      </c>
      <c r="FL68" s="135">
        <f t="shared" si="141"/>
        <v>1101516.0134464412</v>
      </c>
      <c r="FM68" s="135">
        <f t="shared" si="141"/>
        <v>1121886.5327233893</v>
      </c>
      <c r="FN68" s="932">
        <f t="shared" si="141"/>
        <v>1151712.9382833675</v>
      </c>
      <c r="FO68" s="931">
        <f t="shared" si="141"/>
        <v>1182232.9801373389</v>
      </c>
      <c r="FP68" s="135">
        <f t="shared" si="141"/>
        <v>1219474.1704127546</v>
      </c>
      <c r="FQ68" s="135">
        <f t="shared" si="141"/>
        <v>1256990.9454962092</v>
      </c>
      <c r="FR68" s="932">
        <f t="shared" si="141"/>
        <v>1276684.9629259459</v>
      </c>
      <c r="FS68" s="931">
        <f t="shared" si="141"/>
        <v>3857327.5529693188</v>
      </c>
      <c r="FT68" s="135">
        <f t="shared" si="141"/>
        <v>3857327.5529693188</v>
      </c>
      <c r="FU68" s="135">
        <f t="shared" si="141"/>
        <v>3857327.5529693188</v>
      </c>
      <c r="FV68" s="932">
        <f t="shared" si="141"/>
        <v>3857327.5529693183</v>
      </c>
      <c r="FW68" s="135"/>
      <c r="GG68" s="137"/>
      <c r="GI68" s="294" t="s">
        <v>655</v>
      </c>
    </row>
    <row r="69" spans="1:201" ht="15" customHeight="1">
      <c r="A69" s="316"/>
      <c r="B69" s="58"/>
      <c r="C69" s="128"/>
      <c r="D69" s="128"/>
      <c r="E69" s="129"/>
      <c r="F69" s="129"/>
      <c r="G69" s="129"/>
      <c r="H69" s="129"/>
      <c r="I69" s="129"/>
      <c r="J69" s="129"/>
      <c r="K69" s="129"/>
      <c r="L69" s="129"/>
      <c r="M69" s="129"/>
      <c r="N69" s="129"/>
      <c r="O69" s="129"/>
      <c r="P69" s="129"/>
      <c r="Q69" s="129"/>
      <c r="R69" s="129"/>
      <c r="S69" s="129"/>
      <c r="T69" s="129"/>
      <c r="U69" s="129"/>
      <c r="V69" s="130"/>
      <c r="W69" s="129"/>
      <c r="X69" s="129"/>
      <c r="Y69" s="129"/>
      <c r="Z69" s="129"/>
      <c r="AA69" s="129"/>
      <c r="AB69" s="129"/>
      <c r="AC69" s="129"/>
      <c r="AD69" s="129"/>
      <c r="AE69" s="129"/>
      <c r="AF69" s="129"/>
      <c r="AG69" s="129"/>
      <c r="AH69" s="129"/>
      <c r="AI69" s="129"/>
      <c r="AJ69" s="129"/>
      <c r="AK69" s="129"/>
      <c r="AL69" s="129"/>
      <c r="AM69" s="129"/>
      <c r="AN69" s="129"/>
      <c r="AO69" s="129"/>
      <c r="AP69" s="129"/>
      <c r="AQ69" s="135">
        <f>AQ68/12</f>
        <v>847.79950319885484</v>
      </c>
      <c r="AR69" s="135">
        <f t="shared" ref="AR69:AU69" si="142">AR68/12</f>
        <v>267.62246164912222</v>
      </c>
      <c r="AS69" s="135">
        <f t="shared" si="142"/>
        <v>304.82162994401511</v>
      </c>
      <c r="AT69" s="135">
        <f t="shared" si="142"/>
        <v>323.85507633466477</v>
      </c>
      <c r="AU69" s="135">
        <f t="shared" si="142"/>
        <v>343.17083319054478</v>
      </c>
      <c r="AV69" s="135"/>
      <c r="AW69" s="135"/>
      <c r="AX69" s="135"/>
      <c r="AY69" s="135"/>
      <c r="AZ69" s="135"/>
      <c r="BA69" s="135"/>
      <c r="BB69" s="135"/>
      <c r="BC69" s="135"/>
      <c r="BD69" s="135"/>
      <c r="BE69" s="135"/>
      <c r="BF69" s="135"/>
      <c r="BI69">
        <v>11849150.367833782</v>
      </c>
      <c r="BJ69">
        <v>11849150.367833782</v>
      </c>
      <c r="BK69">
        <v>11849150.367833782</v>
      </c>
      <c r="BL69">
        <v>11849150.367833782</v>
      </c>
      <c r="BO69" s="136"/>
      <c r="CJ69" s="137"/>
      <c r="DE69" s="147"/>
      <c r="DF69" s="147"/>
      <c r="DG69" s="147"/>
      <c r="DH69" s="147"/>
      <c r="DI69" s="147"/>
      <c r="DJ69" s="147"/>
      <c r="DK69" s="147"/>
      <c r="DL69" s="147"/>
      <c r="DM69" s="147"/>
      <c r="DN69" s="1139" t="s">
        <v>656</v>
      </c>
      <c r="DO69" s="1138">
        <f>DO67/DE67</f>
        <v>-0.1737706817150145</v>
      </c>
      <c r="DP69" s="1138">
        <f t="shared" ref="DP69:DX69" si="143">DP67/DF67</f>
        <v>-6.4589125260145E-2</v>
      </c>
      <c r="DQ69" s="1138">
        <f t="shared" si="143"/>
        <v>-9.432291820550838E-3</v>
      </c>
      <c r="DR69" s="1138">
        <f t="shared" si="143"/>
        <v>1.9120458971572194E-2</v>
      </c>
      <c r="DS69" s="1138">
        <f t="shared" si="143"/>
        <v>9.1595921060110483E-2</v>
      </c>
      <c r="DT69" s="1138">
        <f t="shared" si="143"/>
        <v>0.14202866109057791</v>
      </c>
      <c r="DU69" s="1138">
        <f t="shared" si="143"/>
        <v>0.15098057060953832</v>
      </c>
      <c r="DV69" s="1138">
        <f t="shared" si="143"/>
        <v>0.18594594228889344</v>
      </c>
      <c r="DW69" s="1138">
        <f t="shared" si="143"/>
        <v>0.21113024326435259</v>
      </c>
      <c r="DX69" s="1138">
        <f t="shared" si="143"/>
        <v>1.8455611248653983</v>
      </c>
      <c r="DY69" s="147"/>
      <c r="DZ69" s="147"/>
      <c r="EA69" s="147"/>
      <c r="EB69" s="147"/>
      <c r="EC69" s="147"/>
      <c r="ED69" s="147"/>
      <c r="EE69" s="147"/>
      <c r="EF69" s="147"/>
      <c r="EG69" s="136">
        <v>3</v>
      </c>
      <c r="EH69" t="s">
        <v>651</v>
      </c>
      <c r="EI69" s="135">
        <f>SUM(EI55:EI58)</f>
        <v>0</v>
      </c>
      <c r="EJ69" s="135">
        <f t="shared" ref="EJ69:EP69" si="144">SUM(EJ55:EJ59)</f>
        <v>0</v>
      </c>
      <c r="EK69" s="135">
        <f t="shared" si="144"/>
        <v>0</v>
      </c>
      <c r="EL69" s="135">
        <f t="shared" si="144"/>
        <v>0</v>
      </c>
      <c r="EM69" s="135">
        <f t="shared" si="144"/>
        <v>0</v>
      </c>
      <c r="EN69" s="135">
        <f t="shared" si="144"/>
        <v>0</v>
      </c>
      <c r="EO69" s="135">
        <f t="shared" si="144"/>
        <v>0</v>
      </c>
      <c r="EP69" s="135">
        <f t="shared" si="144"/>
        <v>0</v>
      </c>
      <c r="EQ69" s="135">
        <f>SUM(EQ55:EQ58)</f>
        <v>-419990.49381499051</v>
      </c>
      <c r="ER69" s="135">
        <f>SUM(ER55:ER58)</f>
        <v>-361163.07337624289</v>
      </c>
      <c r="ES69" s="135">
        <f t="shared" ref="ES69:FB69" si="145">SUM(ES55:ES58)</f>
        <v>-302335.65293749585</v>
      </c>
      <c r="ET69" s="135">
        <f>SUM(ET55:ET58)</f>
        <v>-243508.23249874846</v>
      </c>
      <c r="EU69" s="135">
        <f>SUM(EU55:EU58)</f>
        <v>-133980.16655516706</v>
      </c>
      <c r="EV69" s="135">
        <f t="shared" si="145"/>
        <v>-74431.753534583491</v>
      </c>
      <c r="EW69" s="135">
        <f t="shared" si="145"/>
        <v>-14883.34051400004</v>
      </c>
      <c r="EX69" s="135">
        <f t="shared" si="145"/>
        <v>44665.07250658283</v>
      </c>
      <c r="EY69" s="135">
        <f t="shared" si="145"/>
        <v>151644.60033479193</v>
      </c>
      <c r="EZ69" s="135">
        <f t="shared" si="145"/>
        <v>211120.71005710354</v>
      </c>
      <c r="FA69" s="135">
        <f t="shared" si="145"/>
        <v>270596.81977941364</v>
      </c>
      <c r="FB69" s="135">
        <f t="shared" si="145"/>
        <v>330072.92950172501</v>
      </c>
      <c r="FC69" s="931">
        <f t="shared" ref="FC69:FV69" si="146">SUM(FC55:FC58)</f>
        <v>378584.96257697546</v>
      </c>
      <c r="FD69" s="135">
        <f t="shared" si="146"/>
        <v>423983.51089436258</v>
      </c>
      <c r="FE69" s="135">
        <f t="shared" si="146"/>
        <v>469442.18753942731</v>
      </c>
      <c r="FF69" s="932">
        <f t="shared" si="146"/>
        <v>514961.16334002092</v>
      </c>
      <c r="FG69" s="931">
        <f t="shared" si="146"/>
        <v>370106.50587848399</v>
      </c>
      <c r="FH69" s="135">
        <f t="shared" si="146"/>
        <v>379209.32938967668</v>
      </c>
      <c r="FI69" s="135">
        <f t="shared" si="146"/>
        <v>388348.56419491384</v>
      </c>
      <c r="FJ69" s="932">
        <f t="shared" si="146"/>
        <v>454861.15141243767</v>
      </c>
      <c r="FK69" s="931">
        <f t="shared" si="146"/>
        <v>582538.39520233835</v>
      </c>
      <c r="FL69" s="135">
        <f t="shared" si="146"/>
        <v>598805.79781446536</v>
      </c>
      <c r="FM69" s="135">
        <f t="shared" si="146"/>
        <v>615150.16528731526</v>
      </c>
      <c r="FN69" s="932">
        <f t="shared" si="146"/>
        <v>631572.0478173804</v>
      </c>
      <c r="FO69" s="931">
        <f t="shared" si="146"/>
        <v>651792.67988774052</v>
      </c>
      <c r="FP69" s="135">
        <f t="shared" si="146"/>
        <v>670314.96431169729</v>
      </c>
      <c r="FQ69" s="135">
        <f t="shared" si="146"/>
        <v>670504.17386021954</v>
      </c>
      <c r="FR69" s="932">
        <f t="shared" si="146"/>
        <v>676377.1868481175</v>
      </c>
      <c r="FS69" s="931">
        <f t="shared" si="146"/>
        <v>3411751.1983913574</v>
      </c>
      <c r="FT69" s="135">
        <f t="shared" si="146"/>
        <v>3411751.1983913574</v>
      </c>
      <c r="FU69" s="135">
        <f t="shared" si="146"/>
        <v>3407219.4400460497</v>
      </c>
      <c r="FV69" s="932">
        <f t="shared" si="146"/>
        <v>3407219.4400460497</v>
      </c>
      <c r="FW69" s="135"/>
      <c r="GG69" s="137"/>
      <c r="GI69" s="294"/>
    </row>
    <row r="70" spans="1:201" ht="15" customHeight="1">
      <c r="A70" s="316"/>
      <c r="B70" s="58"/>
      <c r="C70" s="128"/>
      <c r="D70" s="128"/>
      <c r="E70" s="129"/>
      <c r="F70" s="129"/>
      <c r="G70" s="129"/>
      <c r="H70" s="129"/>
      <c r="I70" s="129"/>
      <c r="J70" s="129"/>
      <c r="K70" s="129"/>
      <c r="L70" s="129"/>
      <c r="M70" s="129"/>
      <c r="N70" s="129"/>
      <c r="O70" s="129"/>
      <c r="P70" s="129"/>
      <c r="Q70" s="129"/>
      <c r="R70" s="129"/>
      <c r="S70" s="129"/>
      <c r="T70" s="129"/>
      <c r="U70" s="129"/>
      <c r="V70" s="130"/>
      <c r="W70" s="129"/>
      <c r="X70" s="129"/>
      <c r="Y70" s="129"/>
      <c r="Z70" s="129"/>
      <c r="AA70" s="129"/>
      <c r="AB70" s="129"/>
      <c r="AC70" s="129"/>
      <c r="AD70" s="129"/>
      <c r="AE70" s="129"/>
      <c r="AF70" s="129"/>
      <c r="AG70" s="129"/>
      <c r="AH70" s="129"/>
      <c r="AI70" s="129"/>
      <c r="AJ70" s="129"/>
      <c r="AK70" s="129"/>
      <c r="AL70" s="129"/>
      <c r="AM70" s="129"/>
      <c r="AN70" s="129"/>
      <c r="AO70" s="129"/>
      <c r="AP70" s="129"/>
      <c r="AR70" s="92"/>
      <c r="BJ70">
        <v>20637693.573480573</v>
      </c>
      <c r="BK70">
        <v>20637693.573480573</v>
      </c>
      <c r="BL70">
        <v>20637693.573480573</v>
      </c>
      <c r="BO70" s="136"/>
      <c r="CJ70" s="137"/>
      <c r="DE70" s="147"/>
      <c r="DF70" s="147"/>
      <c r="DG70" s="147"/>
      <c r="DH70" s="147"/>
      <c r="DI70" s="777"/>
      <c r="DJ70" s="777"/>
      <c r="DK70" s="777"/>
      <c r="DL70" s="777"/>
      <c r="DM70" s="777"/>
      <c r="DN70" s="927" t="s">
        <v>657</v>
      </c>
      <c r="DO70" s="111">
        <f>SUM(DO67:DX67)</f>
        <v>94840680.386246547</v>
      </c>
      <c r="DQ70" s="776"/>
      <c r="DR70" s="147"/>
      <c r="DS70" s="147"/>
      <c r="DT70" s="147"/>
      <c r="DU70" s="147"/>
      <c r="DV70" s="147"/>
      <c r="DW70" s="147"/>
      <c r="DX70" s="147"/>
      <c r="DY70" s="147"/>
      <c r="DZ70" s="147"/>
      <c r="EA70" s="147"/>
      <c r="EB70" s="147"/>
      <c r="EC70" s="147"/>
      <c r="ED70" s="147"/>
      <c r="EE70" s="147"/>
      <c r="EF70" s="147"/>
      <c r="EG70" s="136">
        <v>4</v>
      </c>
      <c r="EH70" t="s">
        <v>651</v>
      </c>
      <c r="EI70" s="135">
        <f>SUM(EI59:EI62)</f>
        <v>0</v>
      </c>
      <c r="EJ70" s="135">
        <f t="shared" ref="EJ70:FB70" si="147">SUM(EJ59:EJ62)</f>
        <v>0</v>
      </c>
      <c r="EK70" s="135">
        <f t="shared" si="147"/>
        <v>0</v>
      </c>
      <c r="EL70" s="135">
        <f t="shared" si="147"/>
        <v>0</v>
      </c>
      <c r="EM70" s="135">
        <f t="shared" si="147"/>
        <v>0</v>
      </c>
      <c r="EN70" s="135">
        <f t="shared" si="147"/>
        <v>0</v>
      </c>
      <c r="EO70" s="135">
        <f t="shared" si="147"/>
        <v>0</v>
      </c>
      <c r="EP70" s="135">
        <f t="shared" si="147"/>
        <v>0</v>
      </c>
      <c r="EQ70" s="135">
        <f t="shared" si="147"/>
        <v>0</v>
      </c>
      <c r="ER70" s="135">
        <f t="shared" si="147"/>
        <v>0</v>
      </c>
      <c r="ES70" s="135">
        <f t="shared" si="147"/>
        <v>0</v>
      </c>
      <c r="ET70" s="135">
        <f t="shared" si="147"/>
        <v>0</v>
      </c>
      <c r="EU70" s="135">
        <f t="shared" si="147"/>
        <v>-601772.84891013929</v>
      </c>
      <c r="EV70" s="135">
        <f t="shared" si="147"/>
        <v>-515709.63244778279</v>
      </c>
      <c r="EW70" s="135">
        <f t="shared" si="147"/>
        <v>-428554.37181321275</v>
      </c>
      <c r="EX70" s="135">
        <f t="shared" si="147"/>
        <v>-341399.11117864132</v>
      </c>
      <c r="EY70" s="135">
        <f t="shared" si="147"/>
        <v>-185558.05037242314</v>
      </c>
      <c r="EZ70" s="135">
        <f t="shared" si="147"/>
        <v>-123364.56513279967</v>
      </c>
      <c r="FA70" s="135">
        <f t="shared" si="147"/>
        <v>-61171.079893175629</v>
      </c>
      <c r="FB70" s="135">
        <f t="shared" si="147"/>
        <v>1022.4053464477183</v>
      </c>
      <c r="FC70" s="931">
        <f>SUM(FC59:FC62)</f>
        <v>90092.756946693407</v>
      </c>
      <c r="FD70" s="135">
        <f t="shared" ref="FD70:FV70" si="148">SUM(FD59:FD62)</f>
        <v>136475.06126828585</v>
      </c>
      <c r="FE70" s="135">
        <f t="shared" si="148"/>
        <v>218113.02500634396</v>
      </c>
      <c r="FF70" s="932">
        <f t="shared" si="148"/>
        <v>254416.55047246825</v>
      </c>
      <c r="FG70" s="931">
        <f t="shared" si="148"/>
        <v>324318.71494926827</v>
      </c>
      <c r="FH70" s="135">
        <f t="shared" si="148"/>
        <v>342942.48469025339</v>
      </c>
      <c r="FI70" s="135">
        <f t="shared" si="148"/>
        <v>364769.64255235868</v>
      </c>
      <c r="FJ70" s="932">
        <f t="shared" si="148"/>
        <v>386684.10904591775</v>
      </c>
      <c r="FK70" s="931">
        <f t="shared" si="148"/>
        <v>339804.865774162</v>
      </c>
      <c r="FL70" s="135">
        <f t="shared" si="148"/>
        <v>365108.24974471668</v>
      </c>
      <c r="FM70" s="135">
        <f t="shared" si="148"/>
        <v>396580.52095858287</v>
      </c>
      <c r="FN70" s="932">
        <f t="shared" si="148"/>
        <v>432425.8034534083</v>
      </c>
      <c r="FO70" s="931">
        <f t="shared" si="148"/>
        <v>575518.43748977326</v>
      </c>
      <c r="FP70" s="135">
        <f t="shared" si="148"/>
        <v>606265.81605613604</v>
      </c>
      <c r="FQ70" s="135">
        <f t="shared" si="148"/>
        <v>641548.24977103982</v>
      </c>
      <c r="FR70" s="932">
        <f t="shared" si="148"/>
        <v>641548.24977103982</v>
      </c>
      <c r="FS70" s="931">
        <f t="shared" si="148"/>
        <v>3328070.6274564108</v>
      </c>
      <c r="FT70" s="135">
        <f t="shared" si="148"/>
        <v>3327033.7270817985</v>
      </c>
      <c r="FU70" s="135">
        <f t="shared" si="148"/>
        <v>3327033.7270817985</v>
      </c>
      <c r="FV70" s="932">
        <f t="shared" si="148"/>
        <v>3314268.5100371232</v>
      </c>
      <c r="FW70" s="135"/>
      <c r="GG70" s="137"/>
      <c r="GI70" s="294"/>
    </row>
    <row r="71" spans="1:201" ht="15" customHeight="1">
      <c r="A71" s="316"/>
      <c r="B71" s="58"/>
      <c r="C71" s="128"/>
      <c r="D71" s="128"/>
      <c r="E71" s="129"/>
      <c r="F71" s="129"/>
      <c r="G71" s="129"/>
      <c r="H71" s="129"/>
      <c r="I71" s="129"/>
      <c r="J71" s="129"/>
      <c r="K71" s="129"/>
      <c r="L71" s="129"/>
      <c r="M71" s="129"/>
      <c r="N71" s="129"/>
      <c r="O71" s="129"/>
      <c r="P71" s="129"/>
      <c r="Q71" s="129"/>
      <c r="R71" s="129"/>
      <c r="S71" s="129"/>
      <c r="T71" s="129"/>
      <c r="U71" s="129"/>
      <c r="V71" s="130"/>
      <c r="W71" s="129"/>
      <c r="X71" s="129"/>
      <c r="Y71" s="129"/>
      <c r="Z71" s="129"/>
      <c r="AA71" s="129"/>
      <c r="AB71" s="129"/>
      <c r="AC71" s="129"/>
      <c r="AD71" s="129"/>
      <c r="AE71" s="129"/>
      <c r="AF71" s="129"/>
      <c r="AG71" s="129"/>
      <c r="AH71" s="129"/>
      <c r="AI71" s="129"/>
      <c r="AJ71" s="129"/>
      <c r="AK71" s="129"/>
      <c r="AL71" s="129"/>
      <c r="AM71" s="129"/>
      <c r="AN71" s="129"/>
      <c r="AO71" s="129"/>
      <c r="AP71" s="129"/>
      <c r="AR71" s="92"/>
      <c r="BJ71">
        <v>5282827.5558933448</v>
      </c>
      <c r="BK71">
        <v>5282827.5558933448</v>
      </c>
      <c r="BL71">
        <v>5282827.5558933448</v>
      </c>
      <c r="BO71" s="136"/>
      <c r="CJ71" s="137"/>
      <c r="DE71" s="147"/>
      <c r="DF71" s="147"/>
      <c r="DG71" s="147"/>
      <c r="DH71" s="147"/>
      <c r="DI71" s="147"/>
      <c r="DJ71" s="147"/>
      <c r="DK71" s="147"/>
      <c r="DL71" s="147"/>
      <c r="DM71" s="147"/>
      <c r="DN71" s="147"/>
      <c r="DO71" s="776"/>
      <c r="DP71" s="147"/>
      <c r="DQ71" s="776"/>
      <c r="DR71" s="147"/>
      <c r="DS71" s="147"/>
      <c r="DT71" s="147"/>
      <c r="DU71" s="147"/>
      <c r="DV71" s="147"/>
      <c r="DW71" s="147"/>
      <c r="DX71" s="147"/>
      <c r="DY71" s="147"/>
      <c r="DZ71" s="147"/>
      <c r="EA71" s="147"/>
      <c r="EB71" s="147"/>
      <c r="EC71" s="147"/>
      <c r="ED71" s="147"/>
      <c r="EE71" s="147"/>
      <c r="EF71" s="147"/>
      <c r="EG71" s="1288" t="s">
        <v>658</v>
      </c>
      <c r="EH71" s="1288"/>
      <c r="EI71" s="1288"/>
      <c r="EJ71" s="1288"/>
      <c r="EK71" s="1288"/>
      <c r="EL71" s="1288"/>
      <c r="EM71" s="1288"/>
      <c r="EN71" s="1288"/>
      <c r="EO71" s="1288"/>
      <c r="EP71" s="1288"/>
      <c r="EQ71" s="1288"/>
      <c r="ER71" s="1288"/>
      <c r="ES71" s="1288"/>
      <c r="ET71" s="1288"/>
      <c r="EU71" s="1288"/>
      <c r="EV71" s="1288"/>
      <c r="EW71" s="1288"/>
      <c r="EX71" s="1288"/>
      <c r="EY71" s="1288"/>
      <c r="EZ71" s="1288"/>
      <c r="FA71" s="1288"/>
      <c r="FB71" s="1288"/>
      <c r="FC71" s="316"/>
      <c r="FD71" s="58"/>
      <c r="FE71" s="58"/>
      <c r="FF71" s="18"/>
      <c r="FG71" s="316"/>
      <c r="FH71" s="58"/>
      <c r="FI71" s="58"/>
      <c r="FJ71" s="18"/>
      <c r="FK71" s="316"/>
      <c r="FL71" s="58"/>
      <c r="FM71" s="58"/>
      <c r="FN71" s="18"/>
      <c r="FO71" s="316"/>
      <c r="FP71" s="58"/>
      <c r="FQ71" s="58"/>
      <c r="FR71" s="18"/>
      <c r="FS71" s="316"/>
      <c r="FT71" s="58"/>
      <c r="FU71" s="58"/>
      <c r="FV71" s="18"/>
      <c r="FW71" s="58"/>
      <c r="FY71" t="s">
        <v>659</v>
      </c>
      <c r="GA71" t="s">
        <v>660</v>
      </c>
      <c r="GG71" s="137"/>
      <c r="GI71" s="294"/>
    </row>
    <row r="72" spans="1:201" ht="15" customHeight="1" thickBot="1">
      <c r="A72" s="1660" t="s">
        <v>661</v>
      </c>
      <c r="B72" s="1661"/>
      <c r="C72" s="131">
        <f>C67-C68</f>
        <v>-1475625.5425478034</v>
      </c>
      <c r="D72" s="131">
        <f t="shared" ref="D72:V72" si="149">D67-D68</f>
        <v>-1428229.5760971587</v>
      </c>
      <c r="E72" s="131">
        <f t="shared" si="149"/>
        <v>-1291069.1735688653</v>
      </c>
      <c r="F72" s="131">
        <f t="shared" si="149"/>
        <v>-1154293.9345485214</v>
      </c>
      <c r="G72" s="131">
        <f t="shared" si="149"/>
        <v>-689543.3469261229</v>
      </c>
      <c r="H72" s="131">
        <f t="shared" si="149"/>
        <v>-546601.30859792046</v>
      </c>
      <c r="I72" s="131">
        <f t="shared" si="149"/>
        <v>-441992.68289176375</v>
      </c>
      <c r="J72" s="131">
        <f t="shared" si="149"/>
        <v>-317599.64282315876</v>
      </c>
      <c r="K72" s="131">
        <f t="shared" si="149"/>
        <v>-336154.28413587064</v>
      </c>
      <c r="L72" s="131">
        <f t="shared" si="149"/>
        <v>-184371.48661993071</v>
      </c>
      <c r="M72" s="131">
        <f t="shared" si="149"/>
        <v>-33961.04754880257</v>
      </c>
      <c r="N72" s="131">
        <f t="shared" si="149"/>
        <v>101689.92140937597</v>
      </c>
      <c r="O72" s="131">
        <f t="shared" si="149"/>
        <v>-35925.348599968478</v>
      </c>
      <c r="P72" s="131">
        <f t="shared" si="149"/>
        <v>192308.95230387338</v>
      </c>
      <c r="Q72" s="131">
        <f t="shared" si="149"/>
        <v>423759.65713958256</v>
      </c>
      <c r="R72" s="131">
        <f t="shared" si="149"/>
        <v>659377.11149050482</v>
      </c>
      <c r="S72" s="131">
        <f t="shared" si="149"/>
        <v>1180599.6448243912</v>
      </c>
      <c r="T72" s="131">
        <f t="shared" si="149"/>
        <v>1373442.4487233628</v>
      </c>
      <c r="U72" s="131">
        <f t="shared" si="149"/>
        <v>1569037.8569179494</v>
      </c>
      <c r="V72" s="132">
        <f t="shared" si="149"/>
        <v>1751201.7135510687</v>
      </c>
      <c r="W72" s="128"/>
      <c r="X72" s="128"/>
      <c r="Y72" s="128"/>
      <c r="Z72" s="128"/>
      <c r="AA72" s="128"/>
      <c r="AB72" s="128"/>
      <c r="AC72" s="128"/>
      <c r="AD72" s="128"/>
      <c r="AE72" s="128"/>
      <c r="AF72" s="128"/>
      <c r="AG72" s="128"/>
      <c r="AH72" s="128"/>
      <c r="AI72" s="128"/>
      <c r="AJ72" s="128"/>
      <c r="AK72" s="128"/>
      <c r="AL72" s="128"/>
      <c r="AM72" s="128"/>
      <c r="AN72" s="128"/>
      <c r="AO72" s="128"/>
      <c r="AP72" s="128"/>
      <c r="AR72" s="92"/>
      <c r="BJ72">
        <v>8529089.1540058888</v>
      </c>
      <c r="BK72">
        <v>8529089.1540058888</v>
      </c>
      <c r="BL72">
        <v>8529089.1540058888</v>
      </c>
      <c r="BO72" s="136"/>
      <c r="CJ72" s="137"/>
      <c r="DE72" s="147"/>
      <c r="DF72" s="147"/>
      <c r="DG72" s="147"/>
      <c r="DH72" s="147"/>
      <c r="DI72" s="147"/>
      <c r="DJ72" s="147"/>
      <c r="DK72" s="147"/>
      <c r="DL72" s="147"/>
      <c r="DM72" s="147"/>
      <c r="DN72" s="147"/>
      <c r="DO72" s="147"/>
      <c r="DP72" s="147"/>
      <c r="DQ72" s="776"/>
      <c r="DR72" s="147"/>
      <c r="DS72" s="147"/>
      <c r="DT72" s="147"/>
      <c r="DU72" s="147"/>
      <c r="DV72" s="147"/>
      <c r="DW72" s="147"/>
      <c r="DX72" s="147"/>
      <c r="DY72" s="147"/>
      <c r="DZ72" s="147"/>
      <c r="EA72" s="147"/>
      <c r="EB72" s="147"/>
      <c r="EC72" s="147"/>
      <c r="ED72" s="147"/>
      <c r="EE72" s="147"/>
      <c r="EF72" s="147"/>
      <c r="EG72" s="136">
        <v>1</v>
      </c>
      <c r="EH72" t="s">
        <v>651</v>
      </c>
      <c r="EI72" s="135" cm="1">
        <f t="array" ref="EI72:FB75">EI67:FB70</f>
        <v>-558081.34574841429</v>
      </c>
      <c r="EJ72" s="135">
        <v>-561210.00044880435</v>
      </c>
      <c r="EK72" s="135">
        <v>-474574.21907154517</v>
      </c>
      <c r="EL72" s="135">
        <v>-388323.60120223602</v>
      </c>
      <c r="EM72" s="135">
        <v>-126149.87031072995</v>
      </c>
      <c r="EN72" s="135">
        <v>-36248.612840160844</v>
      </c>
      <c r="EO72" s="135">
        <v>15319.232008361258</v>
      </c>
      <c r="EP72" s="135">
        <v>86671.491219333489</v>
      </c>
      <c r="EQ72" s="135">
        <v>256172.5158331737</v>
      </c>
      <c r="ER72" s="135">
        <v>293914.67062131711</v>
      </c>
      <c r="ES72" s="135">
        <v>330284.46696464601</v>
      </c>
      <c r="ET72" s="135">
        <v>351894.79319502576</v>
      </c>
      <c r="EU72" s="135">
        <v>432872.50891551608</v>
      </c>
      <c r="EV72" s="135">
        <v>457035.08922973217</v>
      </c>
      <c r="EW72" s="135">
        <v>483322.02930360648</v>
      </c>
      <c r="EX72" s="135">
        <v>513775.71889269503</v>
      </c>
      <c r="EY72" s="135">
        <v>602724.10040126543</v>
      </c>
      <c r="EZ72" s="135">
        <v>638587.67649992602</v>
      </c>
      <c r="FA72" s="135">
        <v>677203.85689420416</v>
      </c>
      <c r="FB72" s="135">
        <v>702388.48572701309</v>
      </c>
      <c r="FC72" s="931" cm="1">
        <f t="array" ref="FC72:FV75">FC67:FV70</f>
        <v>751922.05431297678</v>
      </c>
      <c r="FD72" s="135">
        <v>776892.08032837673</v>
      </c>
      <c r="FE72" s="135">
        <v>798707.72227704665</v>
      </c>
      <c r="FF72" s="932">
        <v>820523.36422571656</v>
      </c>
      <c r="FG72" s="931">
        <v>687812.39127587061</v>
      </c>
      <c r="FH72" s="135">
        <v>687812.39127587073</v>
      </c>
      <c r="FI72" s="135">
        <v>676764.73222173704</v>
      </c>
      <c r="FJ72" s="932">
        <v>672860.88943781238</v>
      </c>
      <c r="FK72" s="931">
        <v>868947.92289916682</v>
      </c>
      <c r="FL72" s="135">
        <v>868947.92289916682</v>
      </c>
      <c r="FM72" s="135">
        <v>886042.67122838832</v>
      </c>
      <c r="FN72" s="932">
        <v>888211.31027426536</v>
      </c>
      <c r="FO72" s="931">
        <v>902406.4136072367</v>
      </c>
      <c r="FP72" s="135">
        <v>897170.65953955613</v>
      </c>
      <c r="FQ72" s="135">
        <v>897170.65953955613</v>
      </c>
      <c r="FR72" s="932">
        <v>899339.29858543305</v>
      </c>
      <c r="FS72" s="931">
        <v>2196863.3766383673</v>
      </c>
      <c r="FT72" s="135">
        <v>2196863.3766383673</v>
      </c>
      <c r="FU72" s="135">
        <v>2196863.3766383673</v>
      </c>
      <c r="FV72" s="932">
        <v>2199032.0156842442</v>
      </c>
      <c r="FW72" s="135"/>
      <c r="FY72" s="135">
        <f>SUM(EI67:FV67)</f>
        <v>25468733.615611445</v>
      </c>
      <c r="GA72" s="135">
        <f>SUM(FY72:FY75)</f>
        <v>94840680.386246532</v>
      </c>
      <c r="GG72" s="137"/>
      <c r="GI72" s="351" t="s">
        <v>328</v>
      </c>
      <c r="GJ72" s="352">
        <f>GJ42</f>
        <v>0</v>
      </c>
      <c r="GK72" s="352">
        <f>GL42</f>
        <v>0</v>
      </c>
      <c r="GL72" s="352">
        <f>GN42</f>
        <v>0</v>
      </c>
      <c r="GM72" s="352">
        <f>GP42</f>
        <v>0</v>
      </c>
      <c r="GN72" s="351">
        <f>GR42</f>
        <v>0</v>
      </c>
      <c r="GO72" s="353">
        <f>NPV($GO$53,GJ72:GN72)</f>
        <v>0</v>
      </c>
    </row>
    <row r="73" spans="1:201" ht="15" customHeight="1">
      <c r="A73" s="1140"/>
      <c r="B73" s="1104"/>
      <c r="C73" s="1106"/>
      <c r="D73" s="1106"/>
      <c r="E73" s="1106"/>
      <c r="F73" s="1106"/>
      <c r="G73" s="1106"/>
      <c r="H73" s="1106"/>
      <c r="I73" s="1106"/>
      <c r="J73" s="1106"/>
      <c r="K73" s="1106"/>
      <c r="L73" s="1106"/>
      <c r="M73" s="1106"/>
      <c r="N73" s="1106"/>
      <c r="O73" s="1106"/>
      <c r="P73" s="1106"/>
      <c r="Q73" s="1106"/>
      <c r="R73" s="1106"/>
      <c r="S73" s="1106"/>
      <c r="T73" s="1106"/>
      <c r="U73" s="1106"/>
      <c r="V73" s="1141"/>
      <c r="W73" s="1106"/>
      <c r="X73" s="1106"/>
      <c r="Y73" s="1106"/>
      <c r="Z73" s="1106"/>
      <c r="AA73" s="1106"/>
      <c r="AB73" s="1106"/>
      <c r="AC73" s="1106"/>
      <c r="AD73" s="1106"/>
      <c r="AE73" s="1106"/>
      <c r="AF73" s="1106"/>
      <c r="AG73" s="1106"/>
      <c r="AH73" s="1106"/>
      <c r="AI73" s="1106"/>
      <c r="AJ73" s="1106"/>
      <c r="AK73" s="1106"/>
      <c r="AL73" s="1106"/>
      <c r="AM73" s="1106"/>
      <c r="AN73" s="1106"/>
      <c r="AO73" s="1106"/>
      <c r="AP73" s="1106"/>
      <c r="AQ73" s="93"/>
      <c r="AR73" s="1142"/>
      <c r="AS73" s="93"/>
      <c r="AT73" s="93"/>
      <c r="AU73" s="93"/>
      <c r="AV73" s="93"/>
      <c r="AW73" s="93"/>
      <c r="AX73" s="93"/>
      <c r="AY73" s="93"/>
      <c r="AZ73" s="93"/>
      <c r="BA73" s="93"/>
      <c r="BB73" s="93"/>
      <c r="BC73" s="93"/>
      <c r="BD73" s="93"/>
      <c r="BE73" s="93"/>
      <c r="BF73" s="93"/>
      <c r="BG73" s="93"/>
      <c r="BH73" s="93"/>
      <c r="BI73" s="93"/>
      <c r="BJ73" s="93">
        <v>10146939.523858313</v>
      </c>
      <c r="BK73" s="93">
        <v>10146939.523858313</v>
      </c>
      <c r="BL73" s="93">
        <v>10146939.523858313</v>
      </c>
      <c r="BM73" s="93"/>
      <c r="BN73" s="93"/>
      <c r="BO73" s="1143"/>
      <c r="BP73" s="93"/>
      <c r="BQ73" s="93"/>
      <c r="BR73" s="93"/>
      <c r="BS73" s="93"/>
      <c r="BT73" s="93"/>
      <c r="BU73" s="93"/>
      <c r="BV73" s="93"/>
      <c r="BW73" s="93"/>
      <c r="BX73" s="93"/>
      <c r="BY73" s="93"/>
      <c r="BZ73" s="93"/>
      <c r="CA73" s="93"/>
      <c r="CB73" s="93"/>
      <c r="CC73" s="93"/>
      <c r="CD73" s="93"/>
      <c r="CE73" s="93"/>
      <c r="CF73" s="93"/>
      <c r="CG73" s="93"/>
      <c r="CH73" s="93"/>
      <c r="CI73" s="93"/>
      <c r="CJ73" s="1144"/>
      <c r="CK73" s="93"/>
      <c r="CL73" s="93"/>
      <c r="CM73" s="93"/>
      <c r="CN73" s="93"/>
      <c r="CO73" s="93"/>
      <c r="CP73" s="93"/>
      <c r="CQ73" s="93"/>
      <c r="CR73" s="93"/>
      <c r="CS73" s="93"/>
      <c r="CT73" s="93"/>
      <c r="CU73" s="93"/>
      <c r="CV73" s="93"/>
      <c r="CW73" s="93"/>
      <c r="CX73" s="93"/>
      <c r="CY73" s="93"/>
      <c r="CZ73" s="93"/>
      <c r="DA73" s="93"/>
      <c r="DB73" s="93"/>
      <c r="DC73" s="93"/>
      <c r="DD73" s="93"/>
      <c r="DE73" s="1145"/>
      <c r="DF73" s="1145"/>
      <c r="DG73" s="1145"/>
      <c r="DH73" s="1145"/>
      <c r="DI73" s="1145"/>
      <c r="DJ73" s="1145"/>
      <c r="DK73" s="1145"/>
      <c r="DL73" s="1145"/>
      <c r="DM73" s="1145"/>
      <c r="DN73" s="1145"/>
      <c r="DO73" s="1145"/>
      <c r="DP73" s="1145"/>
      <c r="DQ73" s="1146"/>
      <c r="DR73" s="1145"/>
      <c r="DS73" s="1145"/>
      <c r="DT73" s="1145"/>
      <c r="DU73" s="1145"/>
      <c r="DV73" s="1145"/>
      <c r="DW73" s="1145"/>
      <c r="DX73" s="1145"/>
      <c r="DY73" s="1145"/>
      <c r="DZ73" s="1145"/>
      <c r="EA73" s="1145"/>
      <c r="EB73" s="1145"/>
      <c r="EC73" s="1145"/>
      <c r="ED73" s="1145"/>
      <c r="EE73" s="1145"/>
      <c r="EF73" s="1145"/>
      <c r="EG73" s="136">
        <v>2</v>
      </c>
      <c r="EH73" t="s">
        <v>651</v>
      </c>
      <c r="EI73" s="135">
        <v>-917544.19679938769</v>
      </c>
      <c r="EJ73" s="135">
        <v>-867019.57564835274</v>
      </c>
      <c r="EK73" s="135">
        <v>-816494.95449731848</v>
      </c>
      <c r="EL73" s="135">
        <v>-765970.33334628423</v>
      </c>
      <c r="EM73" s="135">
        <v>-563393.47661539272</v>
      </c>
      <c r="EN73" s="135">
        <v>-510352.69575775939</v>
      </c>
      <c r="EO73" s="135">
        <v>-457311.9149001257</v>
      </c>
      <c r="EP73" s="135">
        <v>-404271.13404249214</v>
      </c>
      <c r="EQ73" s="135">
        <v>-172336.30615405412</v>
      </c>
      <c r="ER73" s="135">
        <v>-117123.08386500343</v>
      </c>
      <c r="ES73" s="135">
        <v>-61909.861575952964</v>
      </c>
      <c r="ET73" s="135">
        <v>-6696.6392869025003</v>
      </c>
      <c r="EU73" s="135">
        <v>266955.15794982354</v>
      </c>
      <c r="EV73" s="135">
        <v>325415.24905650667</v>
      </c>
      <c r="EW73" s="135">
        <v>383875.34016318922</v>
      </c>
      <c r="EX73" s="135">
        <v>442335.43126987084</v>
      </c>
      <c r="EY73" s="135">
        <v>611788.99446075712</v>
      </c>
      <c r="EZ73" s="135">
        <v>647098.62729913287</v>
      </c>
      <c r="FA73" s="135">
        <v>682408.26013750886</v>
      </c>
      <c r="FB73" s="135">
        <v>717717.89297588507</v>
      </c>
      <c r="FC73" s="931">
        <v>875503.60930335615</v>
      </c>
      <c r="FD73" s="135">
        <v>884929.76611893275</v>
      </c>
      <c r="FE73" s="135">
        <v>894374.77524814149</v>
      </c>
      <c r="FF73" s="932">
        <v>903838.67439560697</v>
      </c>
      <c r="FG73" s="931">
        <v>935268.40300617111</v>
      </c>
      <c r="FH73" s="135">
        <v>954290.86293102324</v>
      </c>
      <c r="FI73" s="135">
        <v>973389.41269557516</v>
      </c>
      <c r="FJ73" s="932">
        <v>992564.35665918514</v>
      </c>
      <c r="FK73" s="931">
        <v>1071994.0168661121</v>
      </c>
      <c r="FL73" s="135">
        <v>1101516.0134464412</v>
      </c>
      <c r="FM73" s="135">
        <v>1121886.5327233893</v>
      </c>
      <c r="FN73" s="932">
        <v>1151712.9382833675</v>
      </c>
      <c r="FO73" s="931">
        <v>1182232.9801373389</v>
      </c>
      <c r="FP73" s="135">
        <v>1219474.1704127546</v>
      </c>
      <c r="FQ73" s="135">
        <v>1256990.9454962092</v>
      </c>
      <c r="FR73" s="932">
        <v>1276684.9629259459</v>
      </c>
      <c r="FS73" s="931">
        <v>3857327.5529693188</v>
      </c>
      <c r="FT73" s="135">
        <v>3857327.5529693188</v>
      </c>
      <c r="FU73" s="135">
        <v>3857327.5529693188</v>
      </c>
      <c r="FV73" s="932">
        <v>3857327.5529693183</v>
      </c>
      <c r="FW73" s="135"/>
      <c r="FY73" s="135">
        <f t="shared" ref="FY73:FY75" si="150">SUM(EI68:FV68)</f>
        <v>30643133.41335047</v>
      </c>
      <c r="GG73" s="137"/>
      <c r="GH73" s="93"/>
      <c r="GI73" s="93"/>
      <c r="GJ73" s="1147"/>
      <c r="GK73" s="1147"/>
      <c r="GL73" s="1147"/>
      <c r="GM73" s="1147"/>
      <c r="GN73" s="93"/>
      <c r="GO73" s="1148"/>
      <c r="GP73" s="93"/>
      <c r="GQ73" s="93"/>
      <c r="GR73" s="93"/>
      <c r="GS73" s="93"/>
    </row>
    <row r="74" spans="1:201" ht="15" customHeight="1">
      <c r="A74" s="1140"/>
      <c r="B74" s="1104"/>
      <c r="C74" s="1106"/>
      <c r="D74" s="1106"/>
      <c r="E74" s="1106"/>
      <c r="F74" s="1106"/>
      <c r="G74" s="1106"/>
      <c r="H74" s="1106"/>
      <c r="I74" s="1106"/>
      <c r="J74" s="1106"/>
      <c r="K74" s="1106"/>
      <c r="L74" s="1106"/>
      <c r="M74" s="1106"/>
      <c r="N74" s="1106"/>
      <c r="O74" s="1106"/>
      <c r="P74" s="1106"/>
      <c r="Q74" s="1106"/>
      <c r="R74" s="1106"/>
      <c r="S74" s="1106"/>
      <c r="T74" s="1106"/>
      <c r="U74" s="1106"/>
      <c r="V74" s="1141"/>
      <c r="W74" s="1106"/>
      <c r="X74" s="1106"/>
      <c r="Y74" s="1106"/>
      <c r="Z74" s="1106"/>
      <c r="AA74" s="1106"/>
      <c r="AB74" s="1106"/>
      <c r="AC74" s="1106"/>
      <c r="AD74" s="1106"/>
      <c r="AE74" s="1106"/>
      <c r="AF74" s="1106"/>
      <c r="AG74" s="1106"/>
      <c r="AH74" s="1106"/>
      <c r="AI74" s="1106"/>
      <c r="AJ74" s="1106"/>
      <c r="AK74" s="1106"/>
      <c r="AL74" s="1106"/>
      <c r="AM74" s="1106"/>
      <c r="AN74" s="1106"/>
      <c r="AO74" s="1106"/>
      <c r="AP74" s="1106"/>
      <c r="AQ74" s="93"/>
      <c r="AR74" s="1142"/>
      <c r="AS74" s="93"/>
      <c r="AT74" s="93"/>
      <c r="AU74" s="93"/>
      <c r="AV74" s="93"/>
      <c r="AW74" s="93"/>
      <c r="AX74" s="93"/>
      <c r="AY74" s="93"/>
      <c r="AZ74" s="93"/>
      <c r="BA74" s="93"/>
      <c r="BB74" s="93"/>
      <c r="BC74" s="93"/>
      <c r="BD74" s="93"/>
      <c r="BE74" s="93"/>
      <c r="BF74" s="93"/>
      <c r="BG74" s="93"/>
      <c r="BH74" s="93"/>
      <c r="BI74" s="93"/>
      <c r="BJ74" s="93"/>
      <c r="BK74" s="93">
        <v>14756376.947594089</v>
      </c>
      <c r="BL74" s="93">
        <v>14756376.947594089</v>
      </c>
      <c r="BM74" s="93"/>
      <c r="BN74" s="93"/>
      <c r="BO74" s="1143"/>
      <c r="BP74" s="93"/>
      <c r="BQ74" s="93"/>
      <c r="BR74" s="93"/>
      <c r="BS74" s="93"/>
      <c r="BT74" s="93"/>
      <c r="BU74" s="93"/>
      <c r="BV74" s="93"/>
      <c r="BW74" s="93"/>
      <c r="BX74" s="93"/>
      <c r="BY74" s="93"/>
      <c r="BZ74" s="93"/>
      <c r="CA74" s="93"/>
      <c r="CB74" s="93"/>
      <c r="CC74" s="93"/>
      <c r="CD74" s="93"/>
      <c r="CE74" s="93"/>
      <c r="CF74" s="93"/>
      <c r="CG74" s="93"/>
      <c r="CH74" s="93"/>
      <c r="CI74" s="93"/>
      <c r="CJ74" s="1144"/>
      <c r="CK74" s="93"/>
      <c r="CL74" s="93"/>
      <c r="CM74" s="93"/>
      <c r="CN74" s="93"/>
      <c r="CO74" s="93"/>
      <c r="CP74" s="93"/>
      <c r="CQ74" s="93"/>
      <c r="CR74" s="93"/>
      <c r="CS74" s="93"/>
      <c r="CT74" s="93"/>
      <c r="CU74" s="93"/>
      <c r="CV74" s="93"/>
      <c r="CW74" s="93"/>
      <c r="CX74" s="93"/>
      <c r="CY74" s="93"/>
      <c r="CZ74" s="93"/>
      <c r="DA74" s="93"/>
      <c r="DB74" s="93"/>
      <c r="DC74" s="93"/>
      <c r="DD74" s="93"/>
      <c r="DE74" s="1145"/>
      <c r="DF74" s="1145"/>
      <c r="DG74" s="1145"/>
      <c r="DH74" s="1145"/>
      <c r="DI74" s="1145"/>
      <c r="DJ74" s="1145"/>
      <c r="DK74" s="1145"/>
      <c r="DL74" s="1145"/>
      <c r="DM74" s="1145"/>
      <c r="DN74" s="1145"/>
      <c r="DO74" s="1145"/>
      <c r="DP74" s="1145"/>
      <c r="DQ74" s="1145"/>
      <c r="DR74" s="1145"/>
      <c r="DS74" s="1145"/>
      <c r="DT74" s="1145"/>
      <c r="DU74" s="1145"/>
      <c r="DV74" s="1145"/>
      <c r="DW74" s="1145"/>
      <c r="DX74" s="1145"/>
      <c r="DY74" s="1145"/>
      <c r="DZ74" s="1145"/>
      <c r="EA74" s="1145"/>
      <c r="EB74" s="1145"/>
      <c r="EC74" s="1145"/>
      <c r="ED74" s="1145"/>
      <c r="EE74" s="1145"/>
      <c r="EF74" s="1145"/>
      <c r="EG74" s="136">
        <v>3</v>
      </c>
      <c r="EH74" t="s">
        <v>651</v>
      </c>
      <c r="EI74" s="135">
        <v>0</v>
      </c>
      <c r="EJ74" s="135">
        <v>0</v>
      </c>
      <c r="EK74" s="135">
        <v>0</v>
      </c>
      <c r="EL74" s="135">
        <v>0</v>
      </c>
      <c r="EM74" s="135">
        <v>0</v>
      </c>
      <c r="EN74" s="135">
        <v>0</v>
      </c>
      <c r="EO74" s="135">
        <v>0</v>
      </c>
      <c r="EP74" s="135">
        <v>0</v>
      </c>
      <c r="EQ74" s="135">
        <v>-419990.49381499051</v>
      </c>
      <c r="ER74" s="135">
        <v>-361163.07337624289</v>
      </c>
      <c r="ES74" s="135">
        <v>-302335.65293749585</v>
      </c>
      <c r="ET74" s="135">
        <v>-243508.23249874846</v>
      </c>
      <c r="EU74" s="135">
        <v>-133980.16655516706</v>
      </c>
      <c r="EV74" s="135">
        <v>-74431.753534583491</v>
      </c>
      <c r="EW74" s="135">
        <v>-14883.34051400004</v>
      </c>
      <c r="EX74" s="135">
        <v>44665.07250658283</v>
      </c>
      <c r="EY74" s="135">
        <v>151644.60033479193</v>
      </c>
      <c r="EZ74" s="135">
        <v>211120.71005710354</v>
      </c>
      <c r="FA74" s="135">
        <v>270596.81977941364</v>
      </c>
      <c r="FB74" s="135">
        <v>330072.92950172501</v>
      </c>
      <c r="FC74" s="931">
        <v>378584.96257697546</v>
      </c>
      <c r="FD74" s="135">
        <v>423983.51089436258</v>
      </c>
      <c r="FE74" s="135">
        <v>469442.18753942731</v>
      </c>
      <c r="FF74" s="932">
        <v>514961.16334002092</v>
      </c>
      <c r="FG74" s="931">
        <v>370106.50587848399</v>
      </c>
      <c r="FH74" s="135">
        <v>379209.32938967668</v>
      </c>
      <c r="FI74" s="135">
        <v>388348.56419491384</v>
      </c>
      <c r="FJ74" s="932">
        <v>454861.15141243767</v>
      </c>
      <c r="FK74" s="931">
        <v>582538.39520233835</v>
      </c>
      <c r="FL74" s="135">
        <v>598805.79781446536</v>
      </c>
      <c r="FM74" s="135">
        <v>615150.16528731526</v>
      </c>
      <c r="FN74" s="932">
        <v>631572.0478173804</v>
      </c>
      <c r="FO74" s="931">
        <v>651792.67988774052</v>
      </c>
      <c r="FP74" s="135">
        <v>670314.96431169729</v>
      </c>
      <c r="FQ74" s="135">
        <v>670504.17386021954</v>
      </c>
      <c r="FR74" s="932">
        <v>676377.1868481175</v>
      </c>
      <c r="FS74" s="931">
        <v>3411751.1983913574</v>
      </c>
      <c r="FT74" s="135">
        <v>3411751.1983913574</v>
      </c>
      <c r="FU74" s="135">
        <v>3407219.4400460497</v>
      </c>
      <c r="FV74" s="932">
        <v>3407219.4400460497</v>
      </c>
      <c r="FW74" s="135"/>
      <c r="FY74" s="135">
        <f t="shared" si="150"/>
        <v>21572301.482078776</v>
      </c>
      <c r="GG74" s="137"/>
      <c r="GH74" s="93"/>
      <c r="GI74" s="93" t="s">
        <v>662</v>
      </c>
      <c r="GJ74" s="1147">
        <f>GJ43</f>
        <v>0</v>
      </c>
      <c r="GK74" s="1147">
        <f>GL43</f>
        <v>0</v>
      </c>
      <c r="GL74" s="1147">
        <f>GN43</f>
        <v>0</v>
      </c>
      <c r="GM74" s="1147">
        <f>GP43</f>
        <v>0</v>
      </c>
      <c r="GN74" s="93">
        <f>GR43</f>
        <v>0</v>
      </c>
      <c r="GO74" s="1148">
        <f>NPV($GO$53,GJ74:GN74)</f>
        <v>0</v>
      </c>
      <c r="GP74" s="93"/>
      <c r="GQ74" s="93"/>
      <c r="GR74" s="93"/>
      <c r="GS74" s="93"/>
    </row>
    <row r="75" spans="1:201" ht="15" customHeight="1" thickBot="1">
      <c r="A75" s="1140"/>
      <c r="B75" s="1104"/>
      <c r="C75" s="1106"/>
      <c r="D75" s="1106"/>
      <c r="E75" s="1106"/>
      <c r="F75" s="1106"/>
      <c r="G75" s="1106"/>
      <c r="H75" s="1106"/>
      <c r="I75" s="1106"/>
      <c r="J75" s="1106"/>
      <c r="K75" s="1106"/>
      <c r="L75" s="1106"/>
      <c r="M75" s="1106"/>
      <c r="N75" s="1106"/>
      <c r="O75" s="1106"/>
      <c r="P75" s="1106"/>
      <c r="Q75" s="1106"/>
      <c r="R75" s="1106"/>
      <c r="S75" s="1106"/>
      <c r="T75" s="1106"/>
      <c r="U75" s="1106"/>
      <c r="V75" s="1141"/>
      <c r="W75" s="1106"/>
      <c r="X75" s="1106"/>
      <c r="Y75" s="1106"/>
      <c r="Z75" s="1106"/>
      <c r="AA75" s="1106"/>
      <c r="AB75" s="1106"/>
      <c r="AC75" s="1106"/>
      <c r="AD75" s="1106"/>
      <c r="AE75" s="1106"/>
      <c r="AF75" s="1106"/>
      <c r="AG75" s="1106"/>
      <c r="AH75" s="1106"/>
      <c r="AI75" s="1106"/>
      <c r="AJ75" s="1106"/>
      <c r="AK75" s="1106"/>
      <c r="AL75" s="1106"/>
      <c r="AM75" s="1106"/>
      <c r="AN75" s="1106"/>
      <c r="AO75" s="1106"/>
      <c r="AP75" s="1106"/>
      <c r="AQ75" s="93"/>
      <c r="AR75" s="1142"/>
      <c r="AS75" s="93"/>
      <c r="AT75" s="93"/>
      <c r="AU75" s="93"/>
      <c r="AV75" s="93"/>
      <c r="AW75" s="93"/>
      <c r="AX75" s="93"/>
      <c r="AY75" s="93"/>
      <c r="AZ75" s="93"/>
      <c r="BA75" s="93"/>
      <c r="BB75" s="93"/>
      <c r="BC75" s="93"/>
      <c r="BD75" s="93"/>
      <c r="BE75" s="93"/>
      <c r="BF75" s="93"/>
      <c r="BG75" s="93"/>
      <c r="BH75" s="93"/>
      <c r="BI75" s="93"/>
      <c r="BJ75" s="93"/>
      <c r="BK75" s="93">
        <v>7646247.3233314259</v>
      </c>
      <c r="BL75" s="93">
        <v>7646247.3233314259</v>
      </c>
      <c r="BM75" s="93"/>
      <c r="BN75" s="93"/>
      <c r="BO75" s="1143"/>
      <c r="BP75" s="93"/>
      <c r="BQ75" s="93"/>
      <c r="BR75" s="93"/>
      <c r="BS75" s="93"/>
      <c r="BT75" s="93"/>
      <c r="BU75" s="93"/>
      <c r="BV75" s="93"/>
      <c r="BW75" s="93"/>
      <c r="BX75" s="93"/>
      <c r="BY75" s="93"/>
      <c r="BZ75" s="93"/>
      <c r="CA75" s="93"/>
      <c r="CB75" s="93"/>
      <c r="CC75" s="93"/>
      <c r="CD75" s="93"/>
      <c r="CE75" s="93"/>
      <c r="CF75" s="93"/>
      <c r="CG75" s="93"/>
      <c r="CH75" s="93"/>
      <c r="CI75" s="93"/>
      <c r="CJ75" s="1144"/>
      <c r="CK75" s="93"/>
      <c r="CL75" s="93"/>
      <c r="CM75" s="93"/>
      <c r="CN75" s="93"/>
      <c r="CO75" s="93"/>
      <c r="CP75" s="93"/>
      <c r="CQ75" s="93"/>
      <c r="CR75" s="93"/>
      <c r="CS75" s="93"/>
      <c r="CT75" s="93"/>
      <c r="CU75" s="93"/>
      <c r="CV75" s="93"/>
      <c r="CW75" s="93"/>
      <c r="CX75" s="93"/>
      <c r="CY75" s="93"/>
      <c r="CZ75" s="93"/>
      <c r="DA75" s="93"/>
      <c r="DB75" s="93"/>
      <c r="DC75" s="93"/>
      <c r="DD75" s="93"/>
      <c r="DE75" s="1145"/>
      <c r="DF75" s="1145"/>
      <c r="DG75" s="1145"/>
      <c r="DH75" s="1145"/>
      <c r="DI75" s="1145"/>
      <c r="DJ75" s="1145"/>
      <c r="DK75" s="1145"/>
      <c r="DL75" s="1145"/>
      <c r="DM75" s="1145"/>
      <c r="DN75" s="1145"/>
      <c r="DO75" s="1145"/>
      <c r="DP75" s="1145"/>
      <c r="DQ75" s="1145"/>
      <c r="DR75" s="1145"/>
      <c r="DS75" s="1145"/>
      <c r="DT75" s="1145"/>
      <c r="DU75" s="1145"/>
      <c r="DV75" s="1145"/>
      <c r="DW75" s="1145"/>
      <c r="DX75" s="1145"/>
      <c r="DY75" s="1145"/>
      <c r="DZ75" s="1145"/>
      <c r="EA75" s="1145"/>
      <c r="EB75" s="1145"/>
      <c r="EC75" s="1145"/>
      <c r="ED75" s="1145"/>
      <c r="EE75" s="1145"/>
      <c r="EF75" s="1145"/>
      <c r="EG75" s="136">
        <v>4</v>
      </c>
      <c r="EH75" t="s">
        <v>651</v>
      </c>
      <c r="EI75" s="135">
        <v>0</v>
      </c>
      <c r="EJ75" s="135">
        <v>0</v>
      </c>
      <c r="EK75" s="135">
        <v>0</v>
      </c>
      <c r="EL75" s="135">
        <v>0</v>
      </c>
      <c r="EM75" s="135">
        <v>0</v>
      </c>
      <c r="EN75" s="135">
        <v>0</v>
      </c>
      <c r="EO75" s="135">
        <v>0</v>
      </c>
      <c r="EP75" s="135">
        <v>0</v>
      </c>
      <c r="EQ75" s="135">
        <v>0</v>
      </c>
      <c r="ER75" s="135">
        <v>0</v>
      </c>
      <c r="ES75" s="135">
        <v>0</v>
      </c>
      <c r="ET75" s="135">
        <v>0</v>
      </c>
      <c r="EU75" s="135">
        <v>-601772.84891013929</v>
      </c>
      <c r="EV75" s="135">
        <v>-515709.63244778279</v>
      </c>
      <c r="EW75" s="135">
        <v>-428554.37181321275</v>
      </c>
      <c r="EX75" s="135">
        <v>-341399.11117864132</v>
      </c>
      <c r="EY75" s="135">
        <v>-185558.05037242314</v>
      </c>
      <c r="EZ75" s="135">
        <v>-123364.56513279967</v>
      </c>
      <c r="FA75" s="135">
        <v>-61171.079893175629</v>
      </c>
      <c r="FB75" s="135">
        <v>1022.4053464477183</v>
      </c>
      <c r="FC75" s="584">
        <v>90092.756946693407</v>
      </c>
      <c r="FD75" s="138">
        <v>136475.06126828585</v>
      </c>
      <c r="FE75" s="138">
        <v>218113.02500634396</v>
      </c>
      <c r="FF75" s="1201">
        <v>254416.55047246825</v>
      </c>
      <c r="FG75" s="584">
        <v>324318.71494926827</v>
      </c>
      <c r="FH75" s="138">
        <v>342942.48469025339</v>
      </c>
      <c r="FI75" s="138">
        <v>364769.64255235868</v>
      </c>
      <c r="FJ75" s="1201">
        <v>386684.10904591775</v>
      </c>
      <c r="FK75" s="584">
        <v>339804.865774162</v>
      </c>
      <c r="FL75" s="138">
        <v>365108.24974471668</v>
      </c>
      <c r="FM75" s="138">
        <v>396580.52095858287</v>
      </c>
      <c r="FN75" s="1201">
        <v>432425.8034534083</v>
      </c>
      <c r="FO75" s="584">
        <v>575518.43748977326</v>
      </c>
      <c r="FP75" s="138">
        <v>606265.81605613604</v>
      </c>
      <c r="FQ75" s="138">
        <v>641548.24977103982</v>
      </c>
      <c r="FR75" s="1201">
        <v>641548.24977103982</v>
      </c>
      <c r="FS75" s="584">
        <v>3328070.6274564108</v>
      </c>
      <c r="FT75" s="138">
        <v>3327033.7270817985</v>
      </c>
      <c r="FU75" s="138">
        <v>3327033.7270817985</v>
      </c>
      <c r="FV75" s="1201">
        <v>3314268.5100371232</v>
      </c>
      <c r="FW75" s="135"/>
      <c r="FY75" s="135">
        <f t="shared" si="150"/>
        <v>17156511.875205852</v>
      </c>
      <c r="GG75" s="137"/>
      <c r="GH75" s="93"/>
      <c r="GI75" s="93" t="s">
        <v>283</v>
      </c>
      <c r="GJ75" s="1147">
        <f>GJ44</f>
        <v>0</v>
      </c>
      <c r="GK75" s="1147">
        <f>GL44</f>
        <v>0</v>
      </c>
      <c r="GL75" s="1147">
        <f>GN44</f>
        <v>0</v>
      </c>
      <c r="GM75" s="1147">
        <f>GP44</f>
        <v>0</v>
      </c>
      <c r="GN75" s="93">
        <f>GR44</f>
        <v>0</v>
      </c>
      <c r="GO75" s="1148">
        <f>NPV($GO$53,GJ75:GN75)</f>
        <v>0</v>
      </c>
      <c r="GP75" s="93"/>
      <c r="GQ75" s="93"/>
      <c r="GR75" s="93"/>
      <c r="GS75" s="93"/>
    </row>
    <row r="76" spans="1:201" ht="15" customHeight="1" thickBot="1">
      <c r="A76" s="1151"/>
      <c r="B76" s="1152"/>
      <c r="C76" s="1152"/>
      <c r="D76" s="1152"/>
      <c r="E76" s="1152"/>
      <c r="F76" s="1152"/>
      <c r="G76" s="1152"/>
      <c r="H76" s="1152"/>
      <c r="I76" s="1152"/>
      <c r="J76" s="1152"/>
      <c r="K76" s="1152"/>
      <c r="L76" s="1152"/>
      <c r="M76" s="1152"/>
      <c r="N76" s="1152"/>
      <c r="O76" s="1152"/>
      <c r="P76" s="1152"/>
      <c r="Q76" s="1152"/>
      <c r="R76" s="1152"/>
      <c r="S76" s="1152"/>
      <c r="T76" s="1152"/>
      <c r="U76" s="1152"/>
      <c r="V76" s="1153"/>
      <c r="W76" s="1104"/>
      <c r="X76" s="1104"/>
      <c r="Y76" s="1104"/>
      <c r="Z76" s="1104"/>
      <c r="AA76" s="1104"/>
      <c r="AB76" s="1104"/>
      <c r="AC76" s="1104"/>
      <c r="AD76" s="1104"/>
      <c r="AE76" s="1104"/>
      <c r="AF76" s="1104"/>
      <c r="AG76" s="1104"/>
      <c r="AH76" s="1104"/>
      <c r="AI76" s="1104"/>
      <c r="AJ76" s="1104"/>
      <c r="AK76" s="1104"/>
      <c r="AL76" s="1104"/>
      <c r="AM76" s="1104"/>
      <c r="AN76" s="1104"/>
      <c r="AO76" s="1104"/>
      <c r="AP76" s="1104"/>
      <c r="AQ76" s="93"/>
      <c r="AR76" s="93"/>
      <c r="AS76" s="93"/>
      <c r="AT76" s="93"/>
      <c r="AU76" s="93"/>
      <c r="AV76" s="93"/>
      <c r="AW76" s="93"/>
      <c r="AX76" s="93"/>
      <c r="AY76" s="93"/>
      <c r="AZ76" s="93"/>
      <c r="BA76" s="93"/>
      <c r="BB76" s="93"/>
      <c r="BC76" s="93"/>
      <c r="BD76" s="93"/>
      <c r="BE76" s="93"/>
      <c r="BF76" s="93"/>
      <c r="BG76" s="93"/>
      <c r="BH76" s="93"/>
      <c r="BI76" s="93"/>
      <c r="BJ76" s="93"/>
      <c r="BK76" s="93">
        <v>15180541.686983306</v>
      </c>
      <c r="BL76" s="93">
        <v>15180541.686983306</v>
      </c>
      <c r="BM76" s="93"/>
      <c r="BN76" s="93"/>
      <c r="BO76" s="1143"/>
      <c r="BP76" s="93"/>
      <c r="BQ76" s="93"/>
      <c r="BR76" s="93"/>
      <c r="BS76" s="93"/>
      <c r="BT76" s="93"/>
      <c r="BU76" s="93"/>
      <c r="BV76" s="93"/>
      <c r="BW76" s="93"/>
      <c r="BX76" s="93"/>
      <c r="BY76" s="93"/>
      <c r="BZ76" s="93"/>
      <c r="CA76" s="93"/>
      <c r="CB76" s="93"/>
      <c r="CC76" s="93"/>
      <c r="CD76" s="93"/>
      <c r="CE76" s="93"/>
      <c r="CF76" s="93"/>
      <c r="CG76" s="93"/>
      <c r="CH76" s="93"/>
      <c r="CI76" s="93"/>
      <c r="CJ76" s="1144"/>
      <c r="CK76" s="93"/>
      <c r="CL76" s="93"/>
      <c r="CM76" s="93"/>
      <c r="CN76" s="93"/>
      <c r="CO76" s="93"/>
      <c r="CP76" s="93"/>
      <c r="CQ76" s="93"/>
      <c r="CR76" s="93"/>
      <c r="CS76" s="93"/>
      <c r="CT76" s="93"/>
      <c r="CU76" s="93"/>
      <c r="CV76" s="93"/>
      <c r="CW76" s="93"/>
      <c r="CX76" s="93"/>
      <c r="CY76" s="93"/>
      <c r="CZ76" s="93"/>
      <c r="DA76" s="93"/>
      <c r="DB76" s="93"/>
      <c r="DC76" s="93"/>
      <c r="DD76" s="93"/>
      <c r="DE76" s="1145"/>
      <c r="DF76" s="1145"/>
      <c r="DG76" s="1145"/>
      <c r="DH76" s="1145"/>
      <c r="DI76" s="1145"/>
      <c r="DJ76" s="1145"/>
      <c r="DK76" s="1145"/>
      <c r="DL76" s="1145"/>
      <c r="DM76" s="1145"/>
      <c r="DN76" s="1145"/>
      <c r="DO76" s="1145"/>
      <c r="DP76" s="1145"/>
      <c r="DQ76" s="1145"/>
      <c r="DR76" s="1145"/>
      <c r="DS76" s="1145"/>
      <c r="DT76" s="1145"/>
      <c r="DU76" s="1145"/>
      <c r="DV76" s="1145"/>
      <c r="DW76" s="1145"/>
      <c r="DX76" s="1145"/>
      <c r="DY76" s="1145"/>
      <c r="DZ76" s="1145"/>
      <c r="EA76" s="1145"/>
      <c r="EB76" s="1145"/>
      <c r="EC76" s="1145"/>
      <c r="ED76" s="1145"/>
      <c r="EE76" s="1145"/>
      <c r="EF76" s="1145"/>
      <c r="EG76" s="136"/>
      <c r="EQ76" s="135">
        <f>SUM(EQ72:ET75)</f>
        <v>-452796.89689522819</v>
      </c>
      <c r="GG76" s="137"/>
      <c r="GH76" s="93"/>
      <c r="GI76" s="93" t="s">
        <v>326</v>
      </c>
      <c r="GJ76" s="1147">
        <f>GJ45</f>
        <v>0</v>
      </c>
      <c r="GK76" s="1147">
        <f>GL45</f>
        <v>0</v>
      </c>
      <c r="GL76" s="1147">
        <f>GN45</f>
        <v>0</v>
      </c>
      <c r="GM76" s="1147">
        <f>GP45</f>
        <v>0</v>
      </c>
      <c r="GN76" s="93">
        <f>GR45</f>
        <v>0</v>
      </c>
      <c r="GO76" s="1148">
        <f>NPV($GO$53,GJ76:GN76)</f>
        <v>0</v>
      </c>
      <c r="GP76" s="93"/>
      <c r="GQ76" s="93"/>
      <c r="GR76" s="93"/>
      <c r="GS76" s="93"/>
    </row>
    <row r="77" spans="1:201" ht="15" customHeight="1" thickBot="1">
      <c r="A77" s="1631" t="s">
        <v>663</v>
      </c>
      <c r="B77" s="1632"/>
      <c r="C77" s="1632"/>
      <c r="D77" s="1632"/>
      <c r="E77" s="1632"/>
      <c r="F77" s="1632"/>
      <c r="G77" s="1632"/>
      <c r="H77" s="1632"/>
      <c r="I77" s="1632"/>
      <c r="J77" s="1632"/>
      <c r="K77" s="1632"/>
      <c r="L77" s="1632"/>
      <c r="M77" s="1632"/>
      <c r="N77" s="1632"/>
      <c r="O77" s="1632"/>
      <c r="P77" s="1632"/>
      <c r="Q77" s="1632"/>
      <c r="R77" s="1632"/>
      <c r="S77" s="1632"/>
      <c r="T77" s="1632"/>
      <c r="U77" s="1632"/>
      <c r="V77" s="1633"/>
      <c r="W77" s="1154"/>
      <c r="X77" s="1154"/>
      <c r="Y77" s="1154"/>
      <c r="Z77" s="1154"/>
      <c r="AA77" s="1154"/>
      <c r="AB77" s="1154"/>
      <c r="AC77" s="1154"/>
      <c r="AD77" s="1154"/>
      <c r="AE77" s="1154"/>
      <c r="AF77" s="1154"/>
      <c r="AG77" s="1154"/>
      <c r="AH77" s="1154"/>
      <c r="AI77" s="1154"/>
      <c r="AJ77" s="1154"/>
      <c r="AK77" s="1154"/>
      <c r="AL77" s="1154"/>
      <c r="AM77" s="1154"/>
      <c r="AN77" s="1154"/>
      <c r="AO77" s="1154"/>
      <c r="AP77" s="1154"/>
      <c r="AQ77" s="1623" t="s">
        <v>622</v>
      </c>
      <c r="AR77" s="1623"/>
      <c r="AS77" s="1623"/>
      <c r="AT77" s="1623"/>
      <c r="AU77" s="1624"/>
      <c r="AV77" s="1155"/>
      <c r="AW77" s="1155"/>
      <c r="AX77" s="1155"/>
      <c r="AY77" s="1155"/>
      <c r="AZ77" s="1155"/>
      <c r="BA77" s="1155"/>
      <c r="BB77" s="1155"/>
      <c r="BC77" s="1155"/>
      <c r="BD77" s="1155"/>
      <c r="BE77" s="1155"/>
      <c r="BF77" s="1155"/>
      <c r="BG77" s="93"/>
      <c r="BH77" s="93"/>
      <c r="BI77" s="93"/>
      <c r="BJ77" s="93"/>
      <c r="BK77" s="93">
        <v>8264576.7998082032</v>
      </c>
      <c r="BL77" s="93">
        <v>8264576.7998082032</v>
      </c>
      <c r="BM77" s="93"/>
      <c r="BN77" s="93"/>
      <c r="BO77" s="1653" t="s">
        <v>664</v>
      </c>
      <c r="BP77" s="1654"/>
      <c r="BQ77" s="1654"/>
      <c r="BR77" s="1654"/>
      <c r="BS77" s="1654"/>
      <c r="BT77" s="1654"/>
      <c r="BU77" s="1654"/>
      <c r="BV77" s="1654"/>
      <c r="BW77" s="1654"/>
      <c r="BX77" s="1654"/>
      <c r="BY77" s="1654"/>
      <c r="BZ77" s="1654"/>
      <c r="CA77" s="1654"/>
      <c r="CB77" s="1654"/>
      <c r="CC77" s="1654"/>
      <c r="CD77" s="1654"/>
      <c r="CE77" s="1654"/>
      <c r="CF77" s="1654"/>
      <c r="CG77" s="1654"/>
      <c r="CH77" s="1654"/>
      <c r="CI77" s="1654"/>
      <c r="CJ77" s="1655"/>
      <c r="CK77" s="1156"/>
      <c r="CL77" s="1156"/>
      <c r="CM77" s="1156"/>
      <c r="CN77" s="1156"/>
      <c r="CO77" s="1156"/>
      <c r="CP77" s="1156"/>
      <c r="CQ77" s="1156"/>
      <c r="CR77" s="1156"/>
      <c r="CS77" s="1156"/>
      <c r="CT77" s="1156"/>
      <c r="CU77" s="1156"/>
      <c r="CV77" s="1156"/>
      <c r="CW77" s="1156"/>
      <c r="CX77" s="1156"/>
      <c r="CY77" s="1156"/>
      <c r="CZ77" s="1156"/>
      <c r="DA77" s="1156"/>
      <c r="DB77" s="1156"/>
      <c r="DC77" s="1156"/>
      <c r="DD77" s="1156"/>
      <c r="DE77" s="1622" t="s">
        <v>624</v>
      </c>
      <c r="DF77" s="1623"/>
      <c r="DG77" s="1623"/>
      <c r="DH77" s="1623"/>
      <c r="DI77" s="1624"/>
      <c r="DJ77" s="1042"/>
      <c r="DK77" s="1042"/>
      <c r="DL77" s="1042"/>
      <c r="DM77" s="1042"/>
      <c r="DN77" s="1042"/>
      <c r="DO77" s="1622" t="s">
        <v>665</v>
      </c>
      <c r="DP77" s="1623"/>
      <c r="DQ77" s="1623"/>
      <c r="DR77" s="1623"/>
      <c r="DS77" s="1624"/>
      <c r="DT77" s="1155"/>
      <c r="DU77" s="1155"/>
      <c r="DV77" s="1155"/>
      <c r="DW77" s="1155"/>
      <c r="DX77" s="1155"/>
      <c r="DY77" s="1155"/>
      <c r="DZ77" s="1145"/>
      <c r="EA77" s="1622" t="s">
        <v>626</v>
      </c>
      <c r="EB77" s="1623"/>
      <c r="EC77" s="1623"/>
      <c r="ED77" s="1623"/>
      <c r="EE77" s="1624"/>
      <c r="EF77" s="1145"/>
      <c r="EG77" s="1666" t="s">
        <v>666</v>
      </c>
      <c r="EH77" s="1667"/>
      <c r="EI77" s="1667"/>
      <c r="EJ77" s="1667"/>
      <c r="EK77" s="1667"/>
      <c r="EL77" s="1667"/>
      <c r="EM77" s="1667"/>
      <c r="EN77" s="1667"/>
      <c r="EO77" s="1667"/>
      <c r="EP77" s="1667"/>
      <c r="EQ77" s="1667"/>
      <c r="ER77" s="1667"/>
      <c r="ES77" s="1667"/>
      <c r="ET77" s="1667"/>
      <c r="EU77" s="1667"/>
      <c r="EV77" s="1667"/>
      <c r="EW77" s="1667"/>
      <c r="EX77" s="1667"/>
      <c r="EY77" s="1667"/>
      <c r="EZ77" s="1667"/>
      <c r="FA77" s="1667"/>
      <c r="FB77" s="1667"/>
      <c r="FC77" s="1667"/>
      <c r="FD77" s="1667"/>
      <c r="FE77" s="1667"/>
      <c r="FF77" s="1667"/>
      <c r="FG77" s="1667"/>
      <c r="FH77" s="1667"/>
      <c r="FI77" s="1667"/>
      <c r="FJ77" s="1667"/>
      <c r="FK77" s="1667"/>
      <c r="FL77" s="1667"/>
      <c r="FM77" s="1667"/>
      <c r="FN77" s="1667"/>
      <c r="FO77" s="1667"/>
      <c r="FP77" s="1667"/>
      <c r="FQ77" s="1667"/>
      <c r="FR77" s="1667"/>
      <c r="FS77" s="1667"/>
      <c r="FT77" s="1667"/>
      <c r="FU77" s="1667"/>
      <c r="FV77" s="1667"/>
      <c r="FW77" s="1667"/>
      <c r="FX77" s="1667"/>
      <c r="FY77" s="1667"/>
      <c r="FZ77" s="1667"/>
      <c r="GA77" s="1667"/>
      <c r="GB77" s="1667"/>
      <c r="GC77" s="1667"/>
      <c r="GD77" s="1667"/>
      <c r="GE77" s="1667"/>
      <c r="GF77" s="1667"/>
      <c r="GG77" s="1668"/>
      <c r="GH77" s="93"/>
      <c r="GI77" s="93"/>
      <c r="GJ77" s="93"/>
      <c r="GK77" s="93"/>
      <c r="GL77" s="93"/>
      <c r="GM77" s="93"/>
      <c r="GN77" s="93"/>
      <c r="GO77" s="93"/>
      <c r="GP77" s="93"/>
      <c r="GQ77" s="93"/>
      <c r="GR77" s="93"/>
      <c r="GS77" s="93"/>
    </row>
    <row r="78" spans="1:201" ht="14.65" customHeight="1" thickBot="1">
      <c r="A78" s="1157"/>
      <c r="B78" s="1158"/>
      <c r="C78" s="1634">
        <v>2023</v>
      </c>
      <c r="D78" s="1635"/>
      <c r="E78" s="1635"/>
      <c r="F78" s="1636"/>
      <c r="G78" s="1634">
        <v>2024</v>
      </c>
      <c r="H78" s="1635"/>
      <c r="I78" s="1635"/>
      <c r="J78" s="1636"/>
      <c r="K78" s="1634">
        <v>2025</v>
      </c>
      <c r="L78" s="1635"/>
      <c r="M78" s="1635"/>
      <c r="N78" s="1636"/>
      <c r="O78" s="1634">
        <v>2026</v>
      </c>
      <c r="P78" s="1635"/>
      <c r="Q78" s="1635"/>
      <c r="R78" s="1636"/>
      <c r="S78" s="1637">
        <v>2027</v>
      </c>
      <c r="T78" s="1638"/>
      <c r="U78" s="1638"/>
      <c r="V78" s="1639"/>
      <c r="W78" s="1159"/>
      <c r="X78" s="1159"/>
      <c r="Y78" s="1159"/>
      <c r="Z78" s="1159"/>
      <c r="AA78" s="1159"/>
      <c r="AB78" s="1159"/>
      <c r="AC78" s="1159"/>
      <c r="AD78" s="1159"/>
      <c r="AE78" s="1159"/>
      <c r="AF78" s="1159"/>
      <c r="AG78" s="1159"/>
      <c r="AH78" s="1159"/>
      <c r="AI78" s="1159"/>
      <c r="AJ78" s="1159"/>
      <c r="AK78" s="1159"/>
      <c r="AL78" s="1159"/>
      <c r="AM78" s="1159"/>
      <c r="AN78" s="1159"/>
      <c r="AO78" s="1159"/>
      <c r="AP78" s="1159"/>
      <c r="AQ78" s="1626"/>
      <c r="AR78" s="1626"/>
      <c r="AS78" s="1626"/>
      <c r="AT78" s="1626"/>
      <c r="AU78" s="1626"/>
      <c r="AV78" s="1155"/>
      <c r="AW78" s="1155"/>
      <c r="AX78" s="1155"/>
      <c r="AY78" s="1155"/>
      <c r="AZ78" s="1155"/>
      <c r="BA78" s="1155"/>
      <c r="BB78" s="1155"/>
      <c r="BC78" s="1155"/>
      <c r="BD78" s="1155"/>
      <c r="BE78" s="1155"/>
      <c r="BF78" s="1155"/>
      <c r="BG78" s="93"/>
      <c r="BH78" s="93"/>
      <c r="BI78" s="93"/>
      <c r="BJ78" s="93"/>
      <c r="BK78" s="93"/>
      <c r="BL78" s="93"/>
      <c r="BM78" s="93"/>
      <c r="BN78" s="93"/>
      <c r="BO78" s="1160"/>
      <c r="BP78" s="1161"/>
      <c r="BQ78" s="1549">
        <v>2022</v>
      </c>
      <c r="BR78" s="1549"/>
      <c r="BS78" s="1549"/>
      <c r="BT78" s="1549"/>
      <c r="BU78" s="1549">
        <v>2023</v>
      </c>
      <c r="BV78" s="1549"/>
      <c r="BW78" s="1549"/>
      <c r="BX78" s="1549"/>
      <c r="BY78" s="1549">
        <v>2024</v>
      </c>
      <c r="BZ78" s="1549"/>
      <c r="CA78" s="1549"/>
      <c r="CB78" s="1549"/>
      <c r="CC78" s="1549">
        <v>2025</v>
      </c>
      <c r="CD78" s="1549"/>
      <c r="CE78" s="1549"/>
      <c r="CF78" s="1549"/>
      <c r="CG78" s="1550">
        <v>2026</v>
      </c>
      <c r="CH78" s="1550"/>
      <c r="CI78" s="1550"/>
      <c r="CJ78" s="1551"/>
      <c r="CK78" s="1159"/>
      <c r="CL78" s="1159"/>
      <c r="CM78" s="1159"/>
      <c r="CN78" s="1159"/>
      <c r="CO78" s="1159"/>
      <c r="CP78" s="1159"/>
      <c r="CQ78" s="1159"/>
      <c r="CR78" s="1159"/>
      <c r="CS78" s="1159"/>
      <c r="CT78" s="1159"/>
      <c r="CU78" s="1159"/>
      <c r="CV78" s="1159"/>
      <c r="CW78" s="1159"/>
      <c r="CX78" s="1159"/>
      <c r="CY78" s="1159"/>
      <c r="CZ78" s="1159"/>
      <c r="DA78" s="1159"/>
      <c r="DB78" s="1159"/>
      <c r="DC78" s="1159"/>
      <c r="DD78" s="1159"/>
      <c r="DE78" s="1625"/>
      <c r="DF78" s="1626"/>
      <c r="DG78" s="1626"/>
      <c r="DH78" s="1626"/>
      <c r="DI78" s="1627"/>
      <c r="DJ78" s="1044"/>
      <c r="DK78" s="1044"/>
      <c r="DL78" s="1044"/>
      <c r="DM78" s="1044"/>
      <c r="DN78" s="1044"/>
      <c r="DO78" s="1625"/>
      <c r="DP78" s="1626"/>
      <c r="DQ78" s="1626"/>
      <c r="DR78" s="1626"/>
      <c r="DS78" s="1627"/>
      <c r="DT78" s="1155"/>
      <c r="DU78" s="1155"/>
      <c r="DV78" s="1155"/>
      <c r="DW78" s="1155"/>
      <c r="DX78" s="1155"/>
      <c r="DY78" s="1155"/>
      <c r="DZ78" s="1145"/>
      <c r="EA78" s="1625"/>
      <c r="EB78" s="1626"/>
      <c r="EC78" s="1626"/>
      <c r="ED78" s="1626"/>
      <c r="EE78" s="1627"/>
      <c r="EF78" s="1145"/>
      <c r="EG78" s="113"/>
      <c r="EH78" s="57"/>
      <c r="EI78" s="1367">
        <v>2022</v>
      </c>
      <c r="EJ78" s="1367"/>
      <c r="EK78" s="1367"/>
      <c r="EL78" s="1367"/>
      <c r="EM78" s="1367">
        <v>2023</v>
      </c>
      <c r="EN78" s="1367"/>
      <c r="EO78" s="1367"/>
      <c r="EP78" s="1367"/>
      <c r="EQ78" s="1367">
        <v>2024</v>
      </c>
      <c r="ER78" s="1367"/>
      <c r="ES78" s="1367"/>
      <c r="ET78" s="1367"/>
      <c r="EU78" s="1367">
        <v>2025</v>
      </c>
      <c r="EV78" s="1367"/>
      <c r="EW78" s="1367"/>
      <c r="EX78" s="1367"/>
      <c r="EY78" s="1393">
        <v>2026</v>
      </c>
      <c r="EZ78" s="1393"/>
      <c r="FA78" s="1393"/>
      <c r="FB78" s="1393"/>
      <c r="FC78" s="133"/>
      <c r="FD78" s="133"/>
      <c r="FE78" s="133"/>
      <c r="FF78" s="133"/>
      <c r="FG78" s="133"/>
      <c r="FH78" s="133"/>
      <c r="FI78" s="133"/>
      <c r="FJ78" s="133"/>
      <c r="FK78" s="133"/>
      <c r="FL78" s="133"/>
      <c r="FM78" s="133"/>
      <c r="FN78" s="133"/>
      <c r="FO78" s="133"/>
      <c r="FP78" s="133"/>
      <c r="FQ78" s="133"/>
      <c r="FR78" s="133"/>
      <c r="FS78" s="133"/>
      <c r="FT78" s="133"/>
      <c r="FU78" s="133"/>
      <c r="FV78" s="133"/>
      <c r="FW78" s="133"/>
      <c r="FX78" s="1582" t="s">
        <v>629</v>
      </c>
      <c r="FY78" s="1652"/>
      <c r="FZ78" s="1582" t="s">
        <v>630</v>
      </c>
      <c r="GA78" s="1583"/>
      <c r="GB78" s="1582" t="s">
        <v>631</v>
      </c>
      <c r="GC78" s="1583"/>
      <c r="GD78" s="1582" t="s">
        <v>632</v>
      </c>
      <c r="GE78" s="1583"/>
      <c r="GF78" s="1582" t="s">
        <v>633</v>
      </c>
      <c r="GG78" s="1583"/>
      <c r="GH78" s="1561" t="s">
        <v>634</v>
      </c>
      <c r="GI78" s="93"/>
      <c r="GJ78" s="93"/>
      <c r="GK78" s="93"/>
      <c r="GL78" s="93"/>
      <c r="GM78" s="93"/>
      <c r="GN78" s="93"/>
      <c r="GO78" s="93"/>
      <c r="GP78" s="1567" t="s">
        <v>635</v>
      </c>
      <c r="GQ78" s="93"/>
      <c r="GR78" s="93"/>
      <c r="GS78" s="93"/>
    </row>
    <row r="79" spans="1:201" ht="15" customHeight="1" thickBot="1">
      <c r="A79" s="1157"/>
      <c r="B79" s="1158"/>
      <c r="C79" s="1158">
        <v>1</v>
      </c>
      <c r="D79" s="1158">
        <v>2</v>
      </c>
      <c r="E79" s="1158">
        <v>3</v>
      </c>
      <c r="F79" s="1158">
        <v>4</v>
      </c>
      <c r="G79" s="1158">
        <v>1</v>
      </c>
      <c r="H79" s="1158">
        <v>2</v>
      </c>
      <c r="I79" s="1158">
        <v>3</v>
      </c>
      <c r="J79" s="1158">
        <v>4</v>
      </c>
      <c r="K79" s="1158">
        <v>1</v>
      </c>
      <c r="L79" s="1158">
        <v>2</v>
      </c>
      <c r="M79" s="1158">
        <v>3</v>
      </c>
      <c r="N79" s="1158">
        <v>4</v>
      </c>
      <c r="O79" s="1158">
        <v>1</v>
      </c>
      <c r="P79" s="1158">
        <v>2</v>
      </c>
      <c r="Q79" s="1158">
        <v>3</v>
      </c>
      <c r="R79" s="1158">
        <v>4</v>
      </c>
      <c r="S79" s="1158">
        <v>1</v>
      </c>
      <c r="T79" s="1158">
        <v>2</v>
      </c>
      <c r="U79" s="1158">
        <v>3</v>
      </c>
      <c r="V79" s="1162">
        <v>4</v>
      </c>
      <c r="W79" s="1162"/>
      <c r="X79" s="1162"/>
      <c r="Y79" s="1162"/>
      <c r="Z79" s="1162"/>
      <c r="AA79" s="1162"/>
      <c r="AB79" s="1162"/>
      <c r="AC79" s="1162"/>
      <c r="AD79" s="1162"/>
      <c r="AE79" s="1162"/>
      <c r="AF79" s="1162"/>
      <c r="AG79" s="1162"/>
      <c r="AH79" s="1162"/>
      <c r="AI79" s="1162"/>
      <c r="AJ79" s="1162"/>
      <c r="AK79" s="1162"/>
      <c r="AL79" s="1162"/>
      <c r="AM79" s="1162"/>
      <c r="AN79" s="1162"/>
      <c r="AO79" s="1162"/>
      <c r="AP79" s="1162"/>
      <c r="AQ79" s="1043" t="s">
        <v>667</v>
      </c>
      <c r="AR79" s="856" t="s">
        <v>668</v>
      </c>
      <c r="AS79" s="856" t="s">
        <v>669</v>
      </c>
      <c r="AT79" s="856" t="s">
        <v>670</v>
      </c>
      <c r="AU79" s="1041" t="s">
        <v>671</v>
      </c>
      <c r="AV79" s="1155"/>
      <c r="AW79" s="1155"/>
      <c r="AX79" s="1155"/>
      <c r="AY79" s="1155"/>
      <c r="AZ79" s="1155"/>
      <c r="BA79" s="1155"/>
      <c r="BB79" s="1155"/>
      <c r="BC79" s="1155"/>
      <c r="BD79" s="1155"/>
      <c r="BE79" s="1155"/>
      <c r="BF79" s="1155"/>
      <c r="BG79" s="93"/>
      <c r="BH79" s="1147">
        <f t="shared" ref="BH79:BH84" si="151">BH61-AQ46</f>
        <v>7767542.5302814413</v>
      </c>
      <c r="BI79" s="93"/>
      <c r="BJ79" s="93"/>
      <c r="BK79" s="1147">
        <f t="shared" ref="BK79:BK95" si="152">BK61-AT46</f>
        <v>7245519.3727471502</v>
      </c>
      <c r="BL79" s="1147">
        <f t="shared" ref="BL79:BL95" si="153">BL61-AU46</f>
        <v>6921919.8981172983</v>
      </c>
      <c r="BM79" s="93"/>
      <c r="BN79" s="93"/>
      <c r="BO79" s="1160"/>
      <c r="BP79" s="1161"/>
      <c r="BQ79" s="1161">
        <v>1</v>
      </c>
      <c r="BR79" s="1161">
        <v>2</v>
      </c>
      <c r="BS79" s="1161">
        <v>3</v>
      </c>
      <c r="BT79" s="1161">
        <v>4</v>
      </c>
      <c r="BU79" s="1161">
        <v>1</v>
      </c>
      <c r="BV79" s="1161">
        <v>2</v>
      </c>
      <c r="BW79" s="1161">
        <v>3</v>
      </c>
      <c r="BX79" s="1161">
        <v>4</v>
      </c>
      <c r="BY79" s="1161">
        <v>1</v>
      </c>
      <c r="BZ79" s="1161">
        <v>2</v>
      </c>
      <c r="CA79" s="1161">
        <v>3</v>
      </c>
      <c r="CB79" s="1161">
        <v>4</v>
      </c>
      <c r="CC79" s="1161">
        <v>1</v>
      </c>
      <c r="CD79" s="1161">
        <v>2</v>
      </c>
      <c r="CE79" s="1161">
        <v>3</v>
      </c>
      <c r="CF79" s="1161">
        <v>4</v>
      </c>
      <c r="CG79" s="1161">
        <v>1</v>
      </c>
      <c r="CH79" s="1161">
        <v>2</v>
      </c>
      <c r="CI79" s="1161">
        <v>3</v>
      </c>
      <c r="CJ79" s="1163">
        <v>4</v>
      </c>
      <c r="CK79" s="1163"/>
      <c r="CL79" s="1163"/>
      <c r="CM79" s="1163"/>
      <c r="CN79" s="1163"/>
      <c r="CO79" s="1163"/>
      <c r="CP79" s="1163"/>
      <c r="CQ79" s="1163"/>
      <c r="CR79" s="1163"/>
      <c r="CS79" s="1163"/>
      <c r="CT79" s="1163"/>
      <c r="CU79" s="1163"/>
      <c r="CV79" s="1163"/>
      <c r="CW79" s="1163"/>
      <c r="CX79" s="1163"/>
      <c r="CY79" s="1163"/>
      <c r="CZ79" s="1163"/>
      <c r="DA79" s="1163"/>
      <c r="DB79" s="1163"/>
      <c r="DC79" s="1163"/>
      <c r="DD79" s="1163"/>
      <c r="DE79" s="856" t="s">
        <v>667</v>
      </c>
      <c r="DF79" s="856" t="s">
        <v>668</v>
      </c>
      <c r="DG79" s="856" t="s">
        <v>669</v>
      </c>
      <c r="DH79" s="856" t="s">
        <v>670</v>
      </c>
      <c r="DI79" s="856" t="s">
        <v>671</v>
      </c>
      <c r="DJ79" s="856"/>
      <c r="DK79" s="856"/>
      <c r="DL79" s="856"/>
      <c r="DM79" s="856"/>
      <c r="DN79" s="856"/>
      <c r="DO79" s="856" t="s">
        <v>667</v>
      </c>
      <c r="DP79" s="856" t="s">
        <v>668</v>
      </c>
      <c r="DQ79" s="856" t="s">
        <v>669</v>
      </c>
      <c r="DR79" s="856" t="s">
        <v>670</v>
      </c>
      <c r="DS79" s="856" t="s">
        <v>671</v>
      </c>
      <c r="DT79" s="1155"/>
      <c r="DU79" s="1155"/>
      <c r="DV79" s="1155"/>
      <c r="DW79" s="1155"/>
      <c r="DX79" s="1155"/>
      <c r="DY79" s="1155"/>
      <c r="DZ79" s="1145"/>
      <c r="EA79" s="1164" t="s">
        <v>637</v>
      </c>
      <c r="EB79" s="1164" t="s">
        <v>638</v>
      </c>
      <c r="EC79" s="1164" t="s">
        <v>639</v>
      </c>
      <c r="ED79" s="1164" t="s">
        <v>640</v>
      </c>
      <c r="EE79" s="1164" t="s">
        <v>641</v>
      </c>
      <c r="EF79" s="1165"/>
      <c r="EG79" s="113"/>
      <c r="EH79" s="57"/>
      <c r="EI79" s="57">
        <v>1</v>
      </c>
      <c r="EJ79" s="57">
        <v>2</v>
      </c>
      <c r="EK79" s="57">
        <v>3</v>
      </c>
      <c r="EL79" s="57">
        <v>4</v>
      </c>
      <c r="EM79" s="57">
        <v>1</v>
      </c>
      <c r="EN79" s="57">
        <v>2</v>
      </c>
      <c r="EO79" s="57">
        <v>3</v>
      </c>
      <c r="EP79" s="57">
        <v>4</v>
      </c>
      <c r="EQ79" s="57">
        <v>1</v>
      </c>
      <c r="ER79" s="57">
        <v>2</v>
      </c>
      <c r="ES79" s="57">
        <v>3</v>
      </c>
      <c r="ET79" s="57">
        <v>4</v>
      </c>
      <c r="EU79" s="57">
        <v>1</v>
      </c>
      <c r="EV79" s="57">
        <v>2</v>
      </c>
      <c r="EW79" s="57">
        <v>3</v>
      </c>
      <c r="EX79" s="57">
        <v>4</v>
      </c>
      <c r="EY79" s="57">
        <v>1</v>
      </c>
      <c r="EZ79" s="57">
        <v>2</v>
      </c>
      <c r="FA79" s="57">
        <v>3</v>
      </c>
      <c r="FB79" s="57">
        <v>4</v>
      </c>
      <c r="FC79" s="57"/>
      <c r="FD79" s="57"/>
      <c r="FE79" s="57"/>
      <c r="FF79" s="57"/>
      <c r="FG79" s="57"/>
      <c r="FH79" s="57"/>
      <c r="FI79" s="57"/>
      <c r="FJ79" s="57"/>
      <c r="FK79" s="57"/>
      <c r="FL79" s="57"/>
      <c r="FM79" s="57"/>
      <c r="FN79" s="57"/>
      <c r="FO79" s="57"/>
      <c r="FP79" s="57"/>
      <c r="FQ79" s="57"/>
      <c r="FR79" s="57"/>
      <c r="FS79" s="57"/>
      <c r="FT79" s="57"/>
      <c r="FU79" s="57"/>
      <c r="FV79" s="57"/>
      <c r="FW79" s="57"/>
      <c r="FX79" s="1326"/>
      <c r="FY79" s="1614"/>
      <c r="FZ79" s="1326"/>
      <c r="GA79" s="1328"/>
      <c r="GB79" s="1326"/>
      <c r="GC79" s="1328"/>
      <c r="GD79" s="1326"/>
      <c r="GE79" s="1328"/>
      <c r="GF79" s="1326"/>
      <c r="GG79" s="1328"/>
      <c r="GH79" s="1561"/>
      <c r="GI79" s="1166" t="s">
        <v>672</v>
      </c>
      <c r="GJ79" s="93">
        <v>2023</v>
      </c>
      <c r="GK79" s="93">
        <f>GJ79+1</f>
        <v>2024</v>
      </c>
      <c r="GL79" s="93">
        <f>GK79+1</f>
        <v>2025</v>
      </c>
      <c r="GM79" s="93">
        <f>GL79+1</f>
        <v>2026</v>
      </c>
      <c r="GN79" s="93" t="s">
        <v>673</v>
      </c>
      <c r="GO79" s="93"/>
      <c r="GP79" s="1567"/>
      <c r="GQ79" s="93"/>
      <c r="GR79" s="93"/>
      <c r="GS79" s="93"/>
    </row>
    <row r="80" spans="1:201" ht="14.65" customHeight="1" thickBot="1">
      <c r="A80" s="1571">
        <v>1</v>
      </c>
      <c r="B80" s="593" t="s">
        <v>209</v>
      </c>
      <c r="C80" s="661">
        <f t="shared" ref="C80:C96" si="154">(IF(EB4=1,IF(C4&lt;=$BJ$47,C4*1000*$BI4,$BJ$47*1000*$BI4),IF(EB4*$BJ$47&gt;=C4,C4*1000*$BI4,EB4*1000*$BJ$47*$BI4)))*90*$C$26</f>
        <v>0</v>
      </c>
      <c r="D80" s="661">
        <f t="shared" ref="D80:D96" si="155">(IF(EC4=1,IF(D4&lt;=$BJ$47,D4*1000*$BI4,$BJ$47*1000*$BI4),IF(EC4*$BJ$47&gt;=D4,D4*1000*$BI4,EC4*1000*$BJ$47*$BI4)))*90*$C$26</f>
        <v>0</v>
      </c>
      <c r="E80" s="661">
        <f t="shared" ref="E80:E96" si="156">(IF(ED4=1,IF(E4&lt;=$BJ$47,E4*1000*$BI4,$BJ$47*1000*$BI4),IF(ED4*$BJ$47&gt;=E4,E4*1000*$BI4,ED4*1000*$BJ$47*$BI4)))*90*$C$26</f>
        <v>0</v>
      </c>
      <c r="F80" s="661">
        <f t="shared" ref="F80:F96" si="157">(IF(EE4=1,IF(F4&lt;=$BJ$47,F4*1000*$BI4,$BJ$47*1000*$BI4),IF(EE4*$BJ$47&gt;=F4,F4*1000*$BI4,EE4*1000*$BJ$47*$BI4)))*90*$C$26</f>
        <v>0</v>
      </c>
      <c r="G80" s="661">
        <f t="shared" ref="G80:G96" si="158">(IF(EF4=1,IF(G4&lt;=$BJ$47,G4*1000*$BI4,$BJ$47*1000*$BI4),IF(EF4*$BJ$47&gt;=G4,G4*1000*$BI4,EF4*1000*$BJ$47*$BI4)))*90*$C$26</f>
        <v>0</v>
      </c>
      <c r="H80" s="661">
        <f t="shared" ref="H80:H96" si="159">(IF(EG4=1,IF(H4&lt;=$BJ$47,H4*1000*$BI4,$BJ$47*1000*$BI4),IF(EG4*$BJ$47&gt;=H4,H4*1000*$BI4,EG4*1000*$BJ$47*$BI4)))*90*$C$26</f>
        <v>0</v>
      </c>
      <c r="I80" s="661">
        <f t="shared" ref="I80:I96" si="160">(IF(EH4=1,IF(I4&lt;=$BJ$47,I4*1000*$BI4,$BJ$47*1000*$BI4),IF(EH4*$BJ$47&gt;=I4,I4*1000*$BI4,EH4*1000*$BJ$47*$BI4)))*90*$C$26</f>
        <v>0</v>
      </c>
      <c r="J80" s="661">
        <f t="shared" ref="J80:J96" si="161">(IF(EI4=1,IF(J4&lt;=$BJ$47,J4*1000*$BI4,$BJ$47*1000*$BI4),IF(EI4*$BJ$47&gt;=J4,J4*1000*$BI4,EI4*1000*$BJ$47*$BI4)))*90*$C$26</f>
        <v>0</v>
      </c>
      <c r="K80" s="661">
        <f t="shared" ref="K80:K96" si="162">(IF(EJ4=1,IF(K4&lt;=$BJ$47,K4*1000*$BI4,$BJ$47*1000*$BI4),IF(EJ4*$BJ$47&gt;=K4,K4*1000*$BI4,EJ4*1000*$BJ$47*$BI4)))*90*$C$26</f>
        <v>0</v>
      </c>
      <c r="L80" s="661">
        <f t="shared" ref="L80:L96" si="163">(IF(EK4=1,IF(L4&lt;=$BJ$47,L4*1000*$BI4,$BJ$47*1000*$BI4),IF(EK4*$BJ$47&gt;=L4,L4*1000*$BI4,EK4*1000*$BJ$47*$BI4)))*90*$C$26</f>
        <v>0</v>
      </c>
      <c r="M80" s="661">
        <f t="shared" ref="M80:M96" si="164">(IF(EL4=1,IF(M4&lt;=$BJ$47,M4*1000*$BI4,$BJ$47*1000*$BI4),IF(EL4*$BJ$47&gt;=M4,M4*1000*$BI4,EL4*1000*$BJ$47*$BI4)))*90*$C$26</f>
        <v>0</v>
      </c>
      <c r="N80" s="661">
        <f t="shared" ref="N80:N96" si="165">(IF(EM4=1,IF(N4&lt;=$BJ$47,N4*1000*$BI4,$BJ$47*1000*$BI4),IF(EM4*$BJ$47&gt;=N4,N4*1000*$BI4,EM4*1000*$BJ$47*$BI4)))*90*$C$26</f>
        <v>0</v>
      </c>
      <c r="O80" s="661">
        <f t="shared" ref="O80:O96" si="166">(IF(EN4=1,IF(O4&lt;=$BJ$47,O4*1000*$BI4,$BJ$47*1000*$BI4),IF(EN4*$BJ$47&gt;=O4,O4*1000*$BI4,EN4*1000*$BJ$47*$BI4)))*90*$C$26</f>
        <v>0</v>
      </c>
      <c r="P80" s="661">
        <f t="shared" ref="P80:P96" si="167">(IF(EO4=1,IF(P4&lt;=$BJ$47,P4*1000*$BI4,$BJ$47*1000*$BI4),IF(EO4*$BJ$47&gt;=P4,P4*1000*$BI4,EO4*1000*$BJ$47*$BI4)))*90*$C$26</f>
        <v>0</v>
      </c>
      <c r="Q80" s="661">
        <f t="shared" ref="Q80:Q96" si="168">(IF(EP4=1,IF(Q4&lt;=$BJ$47,Q4*1000*$BI4,$BJ$47*1000*$BI4),IF(EP4*$BJ$47&gt;=Q4,Q4*1000*$BI4,EP4*1000*$BJ$47*$BI4)))*90*$C$26</f>
        <v>0</v>
      </c>
      <c r="R80" s="661">
        <f t="shared" ref="R80:R96" si="169">(IF(EQ4=1,IF(R4&lt;=$BJ$47,R4*1000*$BI4,$BJ$47*1000*$BI4),IF(EQ4*$BJ$47&gt;=R4,R4*1000*$BI4,EQ4*1000*$BJ$47*$BI4)))*90*$C$26</f>
        <v>0</v>
      </c>
      <c r="S80" s="661">
        <f t="shared" ref="S80:S96" si="170">(IF(ER4=1,IF(S4&lt;=$BJ$47,S4*1000*$BI4,$BJ$47*1000*$BI4),IF(ER4*$BJ$47&gt;=S4,S4*1000*$BI4,ER4*1000*$BJ$47*$BI4)))*90*$C$26</f>
        <v>0</v>
      </c>
      <c r="T80" s="661">
        <f t="shared" ref="T80:T96" si="171">(IF(ES4=1,IF(T4&lt;=$BJ$47,T4*1000*$BI4,$BJ$47*1000*$BI4),IF(ES4*$BJ$47&gt;=T4,T4*1000*$BI4,ES4*1000*$BJ$47*$BI4)))*90*$C$26</f>
        <v>0</v>
      </c>
      <c r="U80" s="661">
        <f t="shared" ref="U80:U96" si="172">(IF(ET4=1,IF(U4&lt;=$BJ$47,U4*1000*$BI4,$BJ$47*1000*$BI4),IF(ET4*$BJ$47&gt;=U4,U4*1000*$BI4,ET4*1000*$BJ$47*$BI4)))*90*$C$26</f>
        <v>0</v>
      </c>
      <c r="V80" s="661">
        <f t="shared" ref="V80:V96" si="173">(IF(EU4=1,IF(V4&lt;=$BJ$47,V4*1000*$BI4,$BJ$47*1000*$BI4),IF(EU4*$BJ$47&gt;=V4,V4*1000*$BI4,EU4*1000*$BJ$47*$BI4)))*90*$C$26</f>
        <v>0</v>
      </c>
      <c r="W80" s="661"/>
      <c r="X80" s="661"/>
      <c r="Y80" s="661"/>
      <c r="Z80" s="661"/>
      <c r="AA80" s="661"/>
      <c r="AB80" s="661"/>
      <c r="AC80" s="661"/>
      <c r="AD80" s="661"/>
      <c r="AE80" s="661"/>
      <c r="AF80" s="661"/>
      <c r="AG80" s="661"/>
      <c r="AH80" s="661"/>
      <c r="AI80" s="661"/>
      <c r="AJ80" s="661"/>
      <c r="AK80" s="661"/>
      <c r="AL80" s="661"/>
      <c r="AM80" s="661"/>
      <c r="AN80" s="661"/>
      <c r="AO80" s="661"/>
      <c r="AP80" s="661"/>
      <c r="AQ80" s="858">
        <f>SUM(C80:F80)</f>
        <v>0</v>
      </c>
      <c r="AR80" s="858">
        <f t="shared" ref="AR80:AR88" si="174">SUM(G80:J80)</f>
        <v>0</v>
      </c>
      <c r="AS80" s="858">
        <f t="shared" ref="AS80:AS93" si="175">SUM(K80:N80)</f>
        <v>0</v>
      </c>
      <c r="AT80" s="858">
        <f t="shared" ref="AT80:AT99" si="176">SUM(O80:R80)</f>
        <v>0</v>
      </c>
      <c r="AU80" s="858">
        <f t="shared" ref="AU80:AU99" si="177">SUM(S80:V80)</f>
        <v>0</v>
      </c>
      <c r="AV80" s="1167"/>
      <c r="AW80" s="1167"/>
      <c r="AX80" s="1167"/>
      <c r="AY80" s="1167"/>
      <c r="AZ80" s="1167"/>
      <c r="BA80" s="1167"/>
      <c r="BB80" s="1167"/>
      <c r="BC80" s="1167"/>
      <c r="BD80" s="1167"/>
      <c r="BE80" s="1167"/>
      <c r="BF80" s="1167"/>
      <c r="BG80" s="93"/>
      <c r="BH80" s="1147">
        <f t="shared" si="151"/>
        <v>6554346.9539381647</v>
      </c>
      <c r="BI80" s="93"/>
      <c r="BJ80" s="93"/>
      <c r="BK80" s="1147">
        <f t="shared" si="152"/>
        <v>5810102.9688116079</v>
      </c>
      <c r="BL80" s="1147">
        <f t="shared" si="153"/>
        <v>5487474.7841664245</v>
      </c>
      <c r="BM80" s="93"/>
      <c r="BN80" s="93"/>
      <c r="BO80" s="1571">
        <v>1</v>
      </c>
      <c r="BP80" s="593" t="s">
        <v>209</v>
      </c>
      <c r="BQ80" s="1168">
        <f t="shared" ref="BQ80:BQ95" si="178">EB4*$DP4*90</f>
        <v>0</v>
      </c>
      <c r="BR80" s="1168">
        <f t="shared" ref="BR80:BR95" si="179">EC4*$DP4*90</f>
        <v>0</v>
      </c>
      <c r="BS80" s="1168">
        <f t="shared" ref="BS80:BS95" si="180">ED4*$DP4*90</f>
        <v>0</v>
      </c>
      <c r="BT80" s="1168">
        <f t="shared" ref="BT80:BT95" si="181">EE4*$DP4*90</f>
        <v>0</v>
      </c>
      <c r="BU80" s="1168">
        <f t="shared" ref="BU80:BU95" si="182">EF4*$DP4*90</f>
        <v>0</v>
      </c>
      <c r="BV80" s="1168">
        <f t="shared" ref="BV80:BV95" si="183">EG4*$DP4*90</f>
        <v>0</v>
      </c>
      <c r="BW80" s="1168">
        <f t="shared" ref="BW80:BW95" si="184">EH4*$DP4*90</f>
        <v>0</v>
      </c>
      <c r="BX80" s="1168">
        <f t="shared" ref="BX80:BX95" si="185">EI4*$DP4*90</f>
        <v>0</v>
      </c>
      <c r="BY80" s="1168">
        <f t="shared" ref="BY80:BY95" si="186">EJ4*$DP4*90</f>
        <v>0</v>
      </c>
      <c r="BZ80" s="1168">
        <f t="shared" ref="BZ80:BZ95" si="187">EK4*$DP4*90</f>
        <v>0</v>
      </c>
      <c r="CA80" s="1168">
        <f t="shared" ref="CA80:CA95" si="188">EL4*$DP4*90</f>
        <v>0</v>
      </c>
      <c r="CB80" s="1168">
        <f t="shared" ref="CB80:CB95" si="189">EM4*$DP4*90</f>
        <v>0</v>
      </c>
      <c r="CC80" s="1168">
        <f t="shared" ref="CC80:CC95" si="190">EN4*$DP4*90</f>
        <v>0</v>
      </c>
      <c r="CD80" s="1168">
        <f t="shared" ref="CD80:CD95" si="191">EO4*$DP4*90</f>
        <v>0</v>
      </c>
      <c r="CE80" s="1168">
        <f t="shared" ref="CE80:CE95" si="192">EP4*$DP4*90</f>
        <v>0</v>
      </c>
      <c r="CF80" s="1168">
        <f t="shared" ref="CF80:CF95" si="193">EQ4*$DP4*90</f>
        <v>0</v>
      </c>
      <c r="CG80" s="1168">
        <f t="shared" ref="CG80:CG95" si="194">ER4*$DP4*90</f>
        <v>0</v>
      </c>
      <c r="CH80" s="1168">
        <f t="shared" ref="CH80:CH95" si="195">ES4*$DP4*90</f>
        <v>0</v>
      </c>
      <c r="CI80" s="1168">
        <f t="shared" ref="CI80:CI95" si="196">ET4*$DP4*90</f>
        <v>0</v>
      </c>
      <c r="CJ80" s="1168">
        <f t="shared" ref="CJ80:CJ95" si="197">EU4*$DP4*90</f>
        <v>0</v>
      </c>
      <c r="CK80" s="1168"/>
      <c r="CL80" s="1168"/>
      <c r="CM80" s="1168"/>
      <c r="CN80" s="1168"/>
      <c r="CO80" s="1168"/>
      <c r="CP80" s="1168"/>
      <c r="CQ80" s="1168"/>
      <c r="CR80" s="1168"/>
      <c r="CS80" s="1168"/>
      <c r="CT80" s="1168"/>
      <c r="CU80" s="1168"/>
      <c r="CV80" s="1168"/>
      <c r="CW80" s="1168"/>
      <c r="CX80" s="1168"/>
      <c r="CY80" s="1168"/>
      <c r="CZ80" s="1168"/>
      <c r="DA80" s="1168"/>
      <c r="DB80" s="1168"/>
      <c r="DC80" s="1168"/>
      <c r="DD80" s="1168"/>
      <c r="DE80" s="857">
        <f>SUM(BQ80:BT80)</f>
        <v>0</v>
      </c>
      <c r="DF80" s="858">
        <f>SUM(BU80:BX80)</f>
        <v>0</v>
      </c>
      <c r="DG80" s="858">
        <f>SUM(BY80:CB80)</f>
        <v>0</v>
      </c>
      <c r="DH80" s="858">
        <f>SUM(CC80:CF80)</f>
        <v>0</v>
      </c>
      <c r="DI80" s="859">
        <f>SUM(CG80:CJ80)</f>
        <v>0</v>
      </c>
      <c r="DJ80" s="1169"/>
      <c r="DK80" s="1169"/>
      <c r="DL80" s="1169"/>
      <c r="DM80" s="1169"/>
      <c r="DN80" s="1169"/>
      <c r="DO80" s="857">
        <f t="shared" ref="DO80:DS84" si="198">AQ80-DE80</f>
        <v>0</v>
      </c>
      <c r="DP80" s="858">
        <f t="shared" si="198"/>
        <v>0</v>
      </c>
      <c r="DQ80" s="858">
        <f t="shared" si="198"/>
        <v>0</v>
      </c>
      <c r="DR80" s="858">
        <f t="shared" si="198"/>
        <v>0</v>
      </c>
      <c r="DS80" s="859">
        <f t="shared" si="198"/>
        <v>0</v>
      </c>
      <c r="DT80" s="1170"/>
      <c r="DU80" s="1170"/>
      <c r="DV80" s="1170"/>
      <c r="DW80" s="1170"/>
      <c r="DX80" s="1170"/>
      <c r="DY80" s="1170"/>
      <c r="DZ80" s="1641">
        <v>1</v>
      </c>
      <c r="EA80" s="1171">
        <f>1.1*DE80</f>
        <v>0</v>
      </c>
      <c r="EB80" s="1171">
        <f>1.1*DG80</f>
        <v>0</v>
      </c>
      <c r="EC80" s="1171">
        <f>1.1*DI80</f>
        <v>0</v>
      </c>
      <c r="ED80" s="1171">
        <f>1.1*DP80</f>
        <v>0</v>
      </c>
      <c r="EE80" s="1171">
        <f>1.1*DR80</f>
        <v>0</v>
      </c>
      <c r="EF80" s="1145"/>
      <c r="EG80" s="1592">
        <v>1</v>
      </c>
      <c r="EH80" s="1172" t="s">
        <v>209</v>
      </c>
      <c r="EI80" s="1168">
        <f t="shared" ref="EI80:EI96" si="199">C80-BQ80</f>
        <v>0</v>
      </c>
      <c r="EJ80" s="1168">
        <f t="shared" ref="EJ80:EJ96" si="200">D80-BR80</f>
        <v>0</v>
      </c>
      <c r="EK80" s="1168">
        <f t="shared" ref="EK80:EK96" si="201">E80-BS80</f>
        <v>0</v>
      </c>
      <c r="EL80" s="1168">
        <f t="shared" ref="EL80:EL96" si="202">F80-BT80</f>
        <v>0</v>
      </c>
      <c r="EM80" s="1168">
        <f t="shared" ref="EM80:EM96" si="203">G80-BU80</f>
        <v>0</v>
      </c>
      <c r="EN80" s="1168">
        <f t="shared" ref="EN80:EN96" si="204">H80-BV80</f>
        <v>0</v>
      </c>
      <c r="EO80" s="1168">
        <f t="shared" ref="EO80:EO96" si="205">I80-BW80</f>
        <v>0</v>
      </c>
      <c r="EP80" s="1168">
        <f t="shared" ref="EP80:EP96" si="206">J80-BX80</f>
        <v>0</v>
      </c>
      <c r="EQ80" s="1168">
        <f t="shared" ref="EQ80:EQ96" si="207">K80-BY80</f>
        <v>0</v>
      </c>
      <c r="ER80" s="1168">
        <f t="shared" ref="ER80:ER96" si="208">L80-BZ80</f>
        <v>0</v>
      </c>
      <c r="ES80" s="1168">
        <f t="shared" ref="ES80:ES96" si="209">M80-CA80</f>
        <v>0</v>
      </c>
      <c r="ET80" s="1168">
        <f t="shared" ref="ET80:ET96" si="210">N80-CB80</f>
        <v>0</v>
      </c>
      <c r="EU80" s="1168">
        <f t="shared" ref="EU80:EU96" si="211">O80-CC80</f>
        <v>0</v>
      </c>
      <c r="EV80" s="1168">
        <f t="shared" ref="EV80:EV96" si="212">P80-CD80</f>
        <v>0</v>
      </c>
      <c r="EW80" s="1168">
        <f t="shared" ref="EW80:EW96" si="213">Q80-CE80</f>
        <v>0</v>
      </c>
      <c r="EX80" s="1168">
        <f t="shared" ref="EX80:EX96" si="214">R80-CF80</f>
        <v>0</v>
      </c>
      <c r="EY80" s="1168">
        <f t="shared" ref="EY80:EY96" si="215">S80-CG80</f>
        <v>0</v>
      </c>
      <c r="EZ80" s="1168">
        <f t="shared" ref="EZ80:EZ96" si="216">T80-CH80</f>
        <v>0</v>
      </c>
      <c r="FA80" s="1168">
        <f t="shared" ref="FA80:FA96" si="217">U80-CI80</f>
        <v>0</v>
      </c>
      <c r="FB80" s="1168">
        <f t="shared" ref="FB80:FB96" si="218">V80-CJ80</f>
        <v>0</v>
      </c>
      <c r="FC80" s="1168"/>
      <c r="FD80" s="1168"/>
      <c r="FE80" s="1168"/>
      <c r="FF80" s="1168"/>
      <c r="FG80" s="1168"/>
      <c r="FH80" s="1168"/>
      <c r="FI80" s="1168"/>
      <c r="FJ80" s="1168"/>
      <c r="FK80" s="1168"/>
      <c r="FL80" s="1168"/>
      <c r="FM80" s="1168"/>
      <c r="FN80" s="1168"/>
      <c r="FO80" s="1168"/>
      <c r="FP80" s="1168"/>
      <c r="FQ80" s="1168"/>
      <c r="FR80" s="1168"/>
      <c r="FS80" s="1168"/>
      <c r="FT80" s="1168"/>
      <c r="FU80" s="1168"/>
      <c r="FV80" s="1168"/>
      <c r="FW80" s="1168"/>
      <c r="FX80" s="1173">
        <f>AVERAGE(EI80:EL80)</f>
        <v>0</v>
      </c>
      <c r="FY80" s="1584">
        <f>SUM(FX80:FX84)</f>
        <v>0</v>
      </c>
      <c r="FZ80" s="1173">
        <f t="shared" ref="FZ80:FZ88" si="219">AVERAGE(EM80:EP80)</f>
        <v>0</v>
      </c>
      <c r="GA80" s="1584">
        <f>SUM(FZ80:FZ84)</f>
        <v>0</v>
      </c>
      <c r="GB80" s="1173">
        <f t="shared" ref="GB80:GB92" si="220">AVERAGE(EQ80:ET80)</f>
        <v>0</v>
      </c>
      <c r="GC80" s="1584">
        <f>SUM(GB80:GB84)</f>
        <v>0</v>
      </c>
      <c r="GD80" s="1173">
        <f t="shared" ref="GD80:GD96" si="221">AVERAGE(EU80:EX80)</f>
        <v>0</v>
      </c>
      <c r="GE80" s="1584">
        <f>SUM(GD80:GD84)</f>
        <v>0</v>
      </c>
      <c r="GF80" s="1173">
        <f t="shared" ref="GF80:GF96" si="222">AVERAGE(EY80:FB80)</f>
        <v>0</v>
      </c>
      <c r="GG80" s="1584">
        <f>SUM(GF80:GF84)</f>
        <v>0</v>
      </c>
      <c r="GH80" s="1558">
        <f>GG80+GE80+GC80+GA80+FY80</f>
        <v>0</v>
      </c>
      <c r="GI80" s="93" t="s">
        <v>328</v>
      </c>
      <c r="GJ80" s="1147">
        <f>GJ49</f>
        <v>0</v>
      </c>
      <c r="GK80" s="1147">
        <f>GL49</f>
        <v>0</v>
      </c>
      <c r="GL80" s="1147">
        <f>GN49</f>
        <v>0</v>
      </c>
      <c r="GM80" s="1147">
        <f>GP49</f>
        <v>0</v>
      </c>
      <c r="GN80" s="1148">
        <f>NPV($GO$53,GJ80:GM80)</f>
        <v>0</v>
      </c>
      <c r="GO80" s="1148"/>
      <c r="GP80" s="1568">
        <f>SUM(EI80:FB84)</f>
        <v>0</v>
      </c>
      <c r="GQ80" s="93"/>
      <c r="GR80" s="93"/>
      <c r="GS80" s="93"/>
    </row>
    <row r="81" spans="1:201" ht="14.65" customHeight="1" thickBot="1">
      <c r="A81" s="1571"/>
      <c r="B81" s="593" t="s">
        <v>210</v>
      </c>
      <c r="C81" s="661">
        <f t="shared" si="154"/>
        <v>0</v>
      </c>
      <c r="D81" s="661">
        <f t="shared" si="155"/>
        <v>0</v>
      </c>
      <c r="E81" s="661">
        <f t="shared" si="156"/>
        <v>0</v>
      </c>
      <c r="F81" s="661">
        <f t="shared" si="157"/>
        <v>0</v>
      </c>
      <c r="G81" s="661">
        <f t="shared" si="158"/>
        <v>0</v>
      </c>
      <c r="H81" s="661">
        <f t="shared" si="159"/>
        <v>0</v>
      </c>
      <c r="I81" s="661">
        <f t="shared" si="160"/>
        <v>0</v>
      </c>
      <c r="J81" s="661">
        <f t="shared" si="161"/>
        <v>0</v>
      </c>
      <c r="K81" s="661">
        <f t="shared" si="162"/>
        <v>0</v>
      </c>
      <c r="L81" s="661">
        <f t="shared" si="163"/>
        <v>0</v>
      </c>
      <c r="M81" s="661">
        <f t="shared" si="164"/>
        <v>0</v>
      </c>
      <c r="N81" s="661">
        <f t="shared" si="165"/>
        <v>0</v>
      </c>
      <c r="O81" s="661">
        <f t="shared" si="166"/>
        <v>0</v>
      </c>
      <c r="P81" s="661">
        <f t="shared" si="167"/>
        <v>0</v>
      </c>
      <c r="Q81" s="661">
        <f t="shared" si="168"/>
        <v>0</v>
      </c>
      <c r="R81" s="661">
        <f t="shared" si="169"/>
        <v>0</v>
      </c>
      <c r="S81" s="661">
        <f t="shared" si="170"/>
        <v>0</v>
      </c>
      <c r="T81" s="661">
        <f t="shared" si="171"/>
        <v>0</v>
      </c>
      <c r="U81" s="661">
        <f t="shared" si="172"/>
        <v>0</v>
      </c>
      <c r="V81" s="661">
        <f t="shared" si="173"/>
        <v>0</v>
      </c>
      <c r="W81" s="661"/>
      <c r="X81" s="661"/>
      <c r="Y81" s="661"/>
      <c r="Z81" s="661"/>
      <c r="AA81" s="661"/>
      <c r="AB81" s="661"/>
      <c r="AC81" s="661"/>
      <c r="AD81" s="661"/>
      <c r="AE81" s="661"/>
      <c r="AF81" s="661"/>
      <c r="AG81" s="661"/>
      <c r="AH81" s="661"/>
      <c r="AI81" s="661"/>
      <c r="AJ81" s="661"/>
      <c r="AK81" s="661"/>
      <c r="AL81" s="661"/>
      <c r="AM81" s="661"/>
      <c r="AN81" s="661"/>
      <c r="AO81" s="661"/>
      <c r="AP81" s="661"/>
      <c r="AQ81" s="858">
        <f>SUM(C81:F81)</f>
        <v>0</v>
      </c>
      <c r="AR81" s="858">
        <f t="shared" si="174"/>
        <v>0</v>
      </c>
      <c r="AS81" s="858">
        <f t="shared" si="175"/>
        <v>0</v>
      </c>
      <c r="AT81" s="858">
        <f t="shared" si="176"/>
        <v>0</v>
      </c>
      <c r="AU81" s="858">
        <f t="shared" si="177"/>
        <v>0</v>
      </c>
      <c r="AV81" s="1167"/>
      <c r="AW81" s="1167"/>
      <c r="AX81" s="1167"/>
      <c r="AY81" s="1167"/>
      <c r="AZ81" s="1167"/>
      <c r="BA81" s="1167"/>
      <c r="BB81" s="1167"/>
      <c r="BC81" s="1167"/>
      <c r="BD81" s="1167"/>
      <c r="BE81" s="1167"/>
      <c r="BF81" s="1167"/>
      <c r="BG81" s="93"/>
      <c r="BH81" s="1147">
        <f t="shared" si="151"/>
        <v>6347257.252680663</v>
      </c>
      <c r="BI81" s="93"/>
      <c r="BJ81" s="93"/>
      <c r="BK81" s="1147">
        <f t="shared" si="152"/>
        <v>5328470.1751055829</v>
      </c>
      <c r="BL81" s="1147">
        <f t="shared" si="153"/>
        <v>5247107.8281723456</v>
      </c>
      <c r="BM81" s="93"/>
      <c r="BN81" s="93"/>
      <c r="BO81" s="1571"/>
      <c r="BP81" s="593" t="s">
        <v>210</v>
      </c>
      <c r="BQ81" s="1168">
        <f t="shared" si="178"/>
        <v>0</v>
      </c>
      <c r="BR81" s="1168">
        <f t="shared" si="179"/>
        <v>0</v>
      </c>
      <c r="BS81" s="1168">
        <f t="shared" si="180"/>
        <v>0</v>
      </c>
      <c r="BT81" s="1168">
        <f t="shared" si="181"/>
        <v>0</v>
      </c>
      <c r="BU81" s="1168">
        <f t="shared" si="182"/>
        <v>0</v>
      </c>
      <c r="BV81" s="1168">
        <f t="shared" si="183"/>
        <v>0</v>
      </c>
      <c r="BW81" s="1168">
        <f t="shared" si="184"/>
        <v>0</v>
      </c>
      <c r="BX81" s="1168">
        <f t="shared" si="185"/>
        <v>0</v>
      </c>
      <c r="BY81" s="1168">
        <f t="shared" si="186"/>
        <v>0</v>
      </c>
      <c r="BZ81" s="1168">
        <f t="shared" si="187"/>
        <v>0</v>
      </c>
      <c r="CA81" s="1168">
        <f t="shared" si="188"/>
        <v>0</v>
      </c>
      <c r="CB81" s="1168">
        <f t="shared" si="189"/>
        <v>0</v>
      </c>
      <c r="CC81" s="1168">
        <f t="shared" si="190"/>
        <v>0</v>
      </c>
      <c r="CD81" s="1168">
        <f t="shared" si="191"/>
        <v>0</v>
      </c>
      <c r="CE81" s="1168">
        <f t="shared" si="192"/>
        <v>0</v>
      </c>
      <c r="CF81" s="1168">
        <f t="shared" si="193"/>
        <v>0</v>
      </c>
      <c r="CG81" s="1168">
        <f t="shared" si="194"/>
        <v>0</v>
      </c>
      <c r="CH81" s="1168">
        <f t="shared" si="195"/>
        <v>0</v>
      </c>
      <c r="CI81" s="1168">
        <f t="shared" si="196"/>
        <v>0</v>
      </c>
      <c r="CJ81" s="1168">
        <f t="shared" si="197"/>
        <v>0</v>
      </c>
      <c r="CK81" s="1168"/>
      <c r="CL81" s="1168"/>
      <c r="CM81" s="1168"/>
      <c r="CN81" s="1168"/>
      <c r="CO81" s="1168"/>
      <c r="CP81" s="1168"/>
      <c r="CQ81" s="1168"/>
      <c r="CR81" s="1168"/>
      <c r="CS81" s="1168"/>
      <c r="CT81" s="1168"/>
      <c r="CU81" s="1168"/>
      <c r="CV81" s="1168"/>
      <c r="CW81" s="1168"/>
      <c r="CX81" s="1168"/>
      <c r="CY81" s="1168"/>
      <c r="CZ81" s="1168"/>
      <c r="DA81" s="1168"/>
      <c r="DB81" s="1168"/>
      <c r="DC81" s="1168"/>
      <c r="DD81" s="1168"/>
      <c r="DE81" s="857">
        <f t="shared" ref="DE81:DE84" si="223">SUM(BQ81:BT81)</f>
        <v>0</v>
      </c>
      <c r="DF81" s="858">
        <f t="shared" ref="DF81:DF88" si="224">SUM(BU81:BX81)</f>
        <v>0</v>
      </c>
      <c r="DG81" s="858">
        <f t="shared" ref="DG81:DG92" si="225">SUM(BY81:CB81)</f>
        <v>0</v>
      </c>
      <c r="DH81" s="858">
        <f t="shared" ref="DH81:DH96" si="226">SUM(CC81:CF81)</f>
        <v>0</v>
      </c>
      <c r="DI81" s="859">
        <f t="shared" ref="DI81:DI96" si="227">SUM(CG81:CJ81)</f>
        <v>0</v>
      </c>
      <c r="DJ81" s="1169"/>
      <c r="DK81" s="1169"/>
      <c r="DL81" s="1169"/>
      <c r="DM81" s="1169"/>
      <c r="DN81" s="1169"/>
      <c r="DO81" s="857">
        <f t="shared" si="198"/>
        <v>0</v>
      </c>
      <c r="DP81" s="858">
        <f t="shared" si="198"/>
        <v>0</v>
      </c>
      <c r="DQ81" s="858">
        <f t="shared" si="198"/>
        <v>0</v>
      </c>
      <c r="DR81" s="858">
        <f t="shared" si="198"/>
        <v>0</v>
      </c>
      <c r="DS81" s="859">
        <f t="shared" si="198"/>
        <v>0</v>
      </c>
      <c r="DT81" s="1170"/>
      <c r="DU81" s="1170"/>
      <c r="DV81" s="1170"/>
      <c r="DW81" s="1170"/>
      <c r="DX81" s="1170"/>
      <c r="DY81" s="1170"/>
      <c r="DZ81" s="1642"/>
      <c r="EA81" s="1171">
        <f t="shared" ref="EA81:EA83" si="228">1.1*DE81</f>
        <v>0</v>
      </c>
      <c r="EB81" s="1171">
        <f t="shared" ref="EB81:EB87" si="229">1.1*DG81</f>
        <v>0</v>
      </c>
      <c r="EC81" s="1171">
        <f t="shared" ref="EC81:EC90" si="230">1.1*DI81</f>
        <v>0</v>
      </c>
      <c r="ED81" s="1171">
        <f t="shared" ref="ED81:ED94" si="231">1.1*DP81</f>
        <v>0</v>
      </c>
      <c r="EE81" s="1171">
        <f t="shared" ref="EE81:EE94" si="232">1.1*DR81</f>
        <v>0</v>
      </c>
      <c r="EF81" s="1145"/>
      <c r="EG81" s="1571"/>
      <c r="EH81" s="1174" t="s">
        <v>210</v>
      </c>
      <c r="EI81" s="1168">
        <f t="shared" si="199"/>
        <v>0</v>
      </c>
      <c r="EJ81" s="1168">
        <f t="shared" si="200"/>
        <v>0</v>
      </c>
      <c r="EK81" s="1168">
        <f t="shared" si="201"/>
        <v>0</v>
      </c>
      <c r="EL81" s="1168">
        <f t="shared" si="202"/>
        <v>0</v>
      </c>
      <c r="EM81" s="1168">
        <f t="shared" si="203"/>
        <v>0</v>
      </c>
      <c r="EN81" s="1168">
        <f t="shared" si="204"/>
        <v>0</v>
      </c>
      <c r="EO81" s="1168">
        <f t="shared" si="205"/>
        <v>0</v>
      </c>
      <c r="EP81" s="1168">
        <f t="shared" si="206"/>
        <v>0</v>
      </c>
      <c r="EQ81" s="1168">
        <f t="shared" si="207"/>
        <v>0</v>
      </c>
      <c r="ER81" s="1168">
        <f t="shared" si="208"/>
        <v>0</v>
      </c>
      <c r="ES81" s="1168">
        <f t="shared" si="209"/>
        <v>0</v>
      </c>
      <c r="ET81" s="1168">
        <f t="shared" si="210"/>
        <v>0</v>
      </c>
      <c r="EU81" s="1168">
        <f t="shared" si="211"/>
        <v>0</v>
      </c>
      <c r="EV81" s="1168">
        <f t="shared" si="212"/>
        <v>0</v>
      </c>
      <c r="EW81" s="1168">
        <f t="shared" si="213"/>
        <v>0</v>
      </c>
      <c r="EX81" s="1168">
        <f t="shared" si="214"/>
        <v>0</v>
      </c>
      <c r="EY81" s="1168">
        <f t="shared" si="215"/>
        <v>0</v>
      </c>
      <c r="EZ81" s="1168">
        <f t="shared" si="216"/>
        <v>0</v>
      </c>
      <c r="FA81" s="1168">
        <f t="shared" si="217"/>
        <v>0</v>
      </c>
      <c r="FB81" s="1168">
        <f t="shared" si="218"/>
        <v>0</v>
      </c>
      <c r="FC81" s="1168"/>
      <c r="FD81" s="1168"/>
      <c r="FE81" s="1168"/>
      <c r="FF81" s="1168"/>
      <c r="FG81" s="1168"/>
      <c r="FH81" s="1168"/>
      <c r="FI81" s="1168"/>
      <c r="FJ81" s="1168"/>
      <c r="FK81" s="1168"/>
      <c r="FL81" s="1168"/>
      <c r="FM81" s="1168"/>
      <c r="FN81" s="1168"/>
      <c r="FO81" s="1168"/>
      <c r="FP81" s="1168"/>
      <c r="FQ81" s="1168"/>
      <c r="FR81" s="1168"/>
      <c r="FS81" s="1168"/>
      <c r="FT81" s="1168"/>
      <c r="FU81" s="1168"/>
      <c r="FV81" s="1168"/>
      <c r="FW81" s="1168"/>
      <c r="FX81" s="1173">
        <f>AVERAGE(EI81:EL81)</f>
        <v>0</v>
      </c>
      <c r="FY81" s="1573"/>
      <c r="FZ81" s="1173">
        <f t="shared" si="219"/>
        <v>0</v>
      </c>
      <c r="GA81" s="1573"/>
      <c r="GB81" s="1173">
        <f t="shared" si="220"/>
        <v>0</v>
      </c>
      <c r="GC81" s="1573"/>
      <c r="GD81" s="1173">
        <f t="shared" si="221"/>
        <v>0</v>
      </c>
      <c r="GE81" s="1573"/>
      <c r="GF81" s="1173">
        <f t="shared" si="222"/>
        <v>0</v>
      </c>
      <c r="GG81" s="1573"/>
      <c r="GH81" s="1559"/>
      <c r="GI81" s="93" t="s">
        <v>662</v>
      </c>
      <c r="GJ81" s="1147">
        <f>GJ50</f>
        <v>0</v>
      </c>
      <c r="GK81" s="1147">
        <f>GL50</f>
        <v>0</v>
      </c>
      <c r="GL81" s="1147">
        <f>GN50</f>
        <v>0</v>
      </c>
      <c r="GM81" s="1147">
        <f>GP50</f>
        <v>0</v>
      </c>
      <c r="GN81" s="1148">
        <f>NPV($GO$53,GJ81:GM81)</f>
        <v>0</v>
      </c>
      <c r="GO81" s="1148"/>
      <c r="GP81" s="1568"/>
      <c r="GQ81" s="93"/>
      <c r="GR81" s="93"/>
      <c r="GS81" s="93"/>
    </row>
    <row r="82" spans="1:201" ht="14.65" customHeight="1" thickBot="1">
      <c r="A82" s="1571"/>
      <c r="B82" s="593" t="s">
        <v>211</v>
      </c>
      <c r="C82" s="661">
        <f t="shared" si="154"/>
        <v>0</v>
      </c>
      <c r="D82" s="661">
        <f t="shared" si="155"/>
        <v>0</v>
      </c>
      <c r="E82" s="661">
        <f t="shared" si="156"/>
        <v>0</v>
      </c>
      <c r="F82" s="661">
        <f t="shared" si="157"/>
        <v>0</v>
      </c>
      <c r="G82" s="661">
        <f t="shared" si="158"/>
        <v>0</v>
      </c>
      <c r="H82" s="661">
        <f t="shared" si="159"/>
        <v>0</v>
      </c>
      <c r="I82" s="661">
        <f t="shared" si="160"/>
        <v>0</v>
      </c>
      <c r="J82" s="661">
        <f t="shared" si="161"/>
        <v>0</v>
      </c>
      <c r="K82" s="661">
        <f t="shared" si="162"/>
        <v>0</v>
      </c>
      <c r="L82" s="661">
        <f t="shared" si="163"/>
        <v>0</v>
      </c>
      <c r="M82" s="661">
        <f t="shared" si="164"/>
        <v>0</v>
      </c>
      <c r="N82" s="661">
        <f t="shared" si="165"/>
        <v>0</v>
      </c>
      <c r="O82" s="661">
        <f t="shared" si="166"/>
        <v>0</v>
      </c>
      <c r="P82" s="661">
        <f t="shared" si="167"/>
        <v>0</v>
      </c>
      <c r="Q82" s="661">
        <f t="shared" si="168"/>
        <v>0</v>
      </c>
      <c r="R82" s="661">
        <f t="shared" si="169"/>
        <v>0</v>
      </c>
      <c r="S82" s="661">
        <f t="shared" si="170"/>
        <v>0</v>
      </c>
      <c r="T82" s="661">
        <f t="shared" si="171"/>
        <v>0</v>
      </c>
      <c r="U82" s="661">
        <f t="shared" si="172"/>
        <v>0</v>
      </c>
      <c r="V82" s="661">
        <f t="shared" si="173"/>
        <v>0</v>
      </c>
      <c r="W82" s="661"/>
      <c r="X82" s="661"/>
      <c r="Y82" s="661"/>
      <c r="Z82" s="661"/>
      <c r="AA82" s="661"/>
      <c r="AB82" s="661"/>
      <c r="AC82" s="661"/>
      <c r="AD82" s="661"/>
      <c r="AE82" s="661"/>
      <c r="AF82" s="661"/>
      <c r="AG82" s="661"/>
      <c r="AH82" s="661"/>
      <c r="AI82" s="661"/>
      <c r="AJ82" s="661"/>
      <c r="AK82" s="661"/>
      <c r="AL82" s="661"/>
      <c r="AM82" s="661"/>
      <c r="AN82" s="661"/>
      <c r="AO82" s="661"/>
      <c r="AP82" s="661"/>
      <c r="AQ82" s="858">
        <f>SUM(C82:F82)</f>
        <v>0</v>
      </c>
      <c r="AR82" s="858">
        <f t="shared" si="174"/>
        <v>0</v>
      </c>
      <c r="AS82" s="858">
        <f t="shared" si="175"/>
        <v>0</v>
      </c>
      <c r="AT82" s="858">
        <f t="shared" si="176"/>
        <v>0</v>
      </c>
      <c r="AU82" s="858">
        <f t="shared" si="177"/>
        <v>0</v>
      </c>
      <c r="AV82" s="1167"/>
      <c r="AW82" s="1167"/>
      <c r="AX82" s="1167"/>
      <c r="AY82" s="1167"/>
      <c r="AZ82" s="1167"/>
      <c r="BA82" s="1167"/>
      <c r="BB82" s="1167"/>
      <c r="BC82" s="1167"/>
      <c r="BD82" s="1167"/>
      <c r="BE82" s="1167"/>
      <c r="BF82" s="1167"/>
      <c r="BG82" s="93"/>
      <c r="BH82" s="1147">
        <f t="shared" si="151"/>
        <v>7983518.9714099821</v>
      </c>
      <c r="BI82" s="93"/>
      <c r="BJ82" s="93"/>
      <c r="BK82" s="1147">
        <f t="shared" si="152"/>
        <v>7529529.6306182779</v>
      </c>
      <c r="BL82" s="1147">
        <f t="shared" si="153"/>
        <v>7523220.8624848174</v>
      </c>
      <c r="BM82" s="93"/>
      <c r="BN82" s="93"/>
      <c r="BO82" s="1571"/>
      <c r="BP82" s="593" t="s">
        <v>211</v>
      </c>
      <c r="BQ82" s="1168">
        <f t="shared" si="178"/>
        <v>0</v>
      </c>
      <c r="BR82" s="1168">
        <f t="shared" si="179"/>
        <v>0</v>
      </c>
      <c r="BS82" s="1168">
        <f t="shared" si="180"/>
        <v>0</v>
      </c>
      <c r="BT82" s="1168">
        <f t="shared" si="181"/>
        <v>0</v>
      </c>
      <c r="BU82" s="1168">
        <f t="shared" si="182"/>
        <v>0</v>
      </c>
      <c r="BV82" s="1168">
        <f t="shared" si="183"/>
        <v>0</v>
      </c>
      <c r="BW82" s="1168">
        <f t="shared" si="184"/>
        <v>0</v>
      </c>
      <c r="BX82" s="1168">
        <f t="shared" si="185"/>
        <v>0</v>
      </c>
      <c r="BY82" s="1168">
        <f t="shared" si="186"/>
        <v>0</v>
      </c>
      <c r="BZ82" s="1168">
        <f t="shared" si="187"/>
        <v>0</v>
      </c>
      <c r="CA82" s="1168">
        <f t="shared" si="188"/>
        <v>0</v>
      </c>
      <c r="CB82" s="1168">
        <f t="shared" si="189"/>
        <v>0</v>
      </c>
      <c r="CC82" s="1168">
        <f t="shared" si="190"/>
        <v>0</v>
      </c>
      <c r="CD82" s="1168">
        <f t="shared" si="191"/>
        <v>0</v>
      </c>
      <c r="CE82" s="1168">
        <f t="shared" si="192"/>
        <v>0</v>
      </c>
      <c r="CF82" s="1168">
        <f t="shared" si="193"/>
        <v>0</v>
      </c>
      <c r="CG82" s="1168">
        <f t="shared" si="194"/>
        <v>0</v>
      </c>
      <c r="CH82" s="1168">
        <f t="shared" si="195"/>
        <v>0</v>
      </c>
      <c r="CI82" s="1168">
        <f t="shared" si="196"/>
        <v>0</v>
      </c>
      <c r="CJ82" s="1168">
        <f t="shared" si="197"/>
        <v>0</v>
      </c>
      <c r="CK82" s="1168"/>
      <c r="CL82" s="1168"/>
      <c r="CM82" s="1168"/>
      <c r="CN82" s="1168"/>
      <c r="CO82" s="1168"/>
      <c r="CP82" s="1168"/>
      <c r="CQ82" s="1168"/>
      <c r="CR82" s="1168"/>
      <c r="CS82" s="1168"/>
      <c r="CT82" s="1168"/>
      <c r="CU82" s="1168"/>
      <c r="CV82" s="1168"/>
      <c r="CW82" s="1168"/>
      <c r="CX82" s="1168"/>
      <c r="CY82" s="1168"/>
      <c r="CZ82" s="1168"/>
      <c r="DA82" s="1168"/>
      <c r="DB82" s="1168"/>
      <c r="DC82" s="1168"/>
      <c r="DD82" s="1168"/>
      <c r="DE82" s="857">
        <f t="shared" si="223"/>
        <v>0</v>
      </c>
      <c r="DF82" s="858">
        <f t="shared" si="224"/>
        <v>0</v>
      </c>
      <c r="DG82" s="858">
        <f t="shared" si="225"/>
        <v>0</v>
      </c>
      <c r="DH82" s="858">
        <f t="shared" si="226"/>
        <v>0</v>
      </c>
      <c r="DI82" s="859">
        <f t="shared" si="227"/>
        <v>0</v>
      </c>
      <c r="DJ82" s="1169"/>
      <c r="DK82" s="1169"/>
      <c r="DL82" s="1169"/>
      <c r="DM82" s="1169"/>
      <c r="DN82" s="1169"/>
      <c r="DO82" s="857">
        <f t="shared" si="198"/>
        <v>0</v>
      </c>
      <c r="DP82" s="858">
        <f t="shared" si="198"/>
        <v>0</v>
      </c>
      <c r="DQ82" s="858">
        <f t="shared" si="198"/>
        <v>0</v>
      </c>
      <c r="DR82" s="858">
        <f t="shared" si="198"/>
        <v>0</v>
      </c>
      <c r="DS82" s="859">
        <f t="shared" si="198"/>
        <v>0</v>
      </c>
      <c r="DT82" s="1170"/>
      <c r="DU82" s="1170"/>
      <c r="DV82" s="1170"/>
      <c r="DW82" s="1170"/>
      <c r="DX82" s="1170"/>
      <c r="DY82" s="1170"/>
      <c r="DZ82" s="1642"/>
      <c r="EA82" s="1171">
        <f t="shared" si="228"/>
        <v>0</v>
      </c>
      <c r="EB82" s="1171">
        <f t="shared" si="229"/>
        <v>0</v>
      </c>
      <c r="EC82" s="1171">
        <f t="shared" si="230"/>
        <v>0</v>
      </c>
      <c r="ED82" s="1171">
        <f t="shared" si="231"/>
        <v>0</v>
      </c>
      <c r="EE82" s="1171">
        <f t="shared" si="232"/>
        <v>0</v>
      </c>
      <c r="EF82" s="1145"/>
      <c r="EG82" s="1571"/>
      <c r="EH82" s="1174" t="s">
        <v>211</v>
      </c>
      <c r="EI82" s="1168">
        <f t="shared" si="199"/>
        <v>0</v>
      </c>
      <c r="EJ82" s="1168">
        <f t="shared" si="200"/>
        <v>0</v>
      </c>
      <c r="EK82" s="1168">
        <f t="shared" si="201"/>
        <v>0</v>
      </c>
      <c r="EL82" s="1168">
        <f t="shared" si="202"/>
        <v>0</v>
      </c>
      <c r="EM82" s="1168">
        <f t="shared" si="203"/>
        <v>0</v>
      </c>
      <c r="EN82" s="1168">
        <f t="shared" si="204"/>
        <v>0</v>
      </c>
      <c r="EO82" s="1168">
        <f t="shared" si="205"/>
        <v>0</v>
      </c>
      <c r="EP82" s="1168">
        <f t="shared" si="206"/>
        <v>0</v>
      </c>
      <c r="EQ82" s="1168">
        <f t="shared" si="207"/>
        <v>0</v>
      </c>
      <c r="ER82" s="1168">
        <f t="shared" si="208"/>
        <v>0</v>
      </c>
      <c r="ES82" s="1168">
        <f t="shared" si="209"/>
        <v>0</v>
      </c>
      <c r="ET82" s="1168">
        <f t="shared" si="210"/>
        <v>0</v>
      </c>
      <c r="EU82" s="1168">
        <f t="shared" si="211"/>
        <v>0</v>
      </c>
      <c r="EV82" s="1168">
        <f t="shared" si="212"/>
        <v>0</v>
      </c>
      <c r="EW82" s="1168">
        <f t="shared" si="213"/>
        <v>0</v>
      </c>
      <c r="EX82" s="1168">
        <f t="shared" si="214"/>
        <v>0</v>
      </c>
      <c r="EY82" s="1168">
        <f t="shared" si="215"/>
        <v>0</v>
      </c>
      <c r="EZ82" s="1168">
        <f t="shared" si="216"/>
        <v>0</v>
      </c>
      <c r="FA82" s="1168">
        <f t="shared" si="217"/>
        <v>0</v>
      </c>
      <c r="FB82" s="1168">
        <f t="shared" si="218"/>
        <v>0</v>
      </c>
      <c r="FC82" s="1168"/>
      <c r="FD82" s="1168"/>
      <c r="FE82" s="1168"/>
      <c r="FF82" s="1168"/>
      <c r="FG82" s="1168"/>
      <c r="FH82" s="1168"/>
      <c r="FI82" s="1168"/>
      <c r="FJ82" s="1168"/>
      <c r="FK82" s="1168"/>
      <c r="FL82" s="1168"/>
      <c r="FM82" s="1168"/>
      <c r="FN82" s="1168"/>
      <c r="FO82" s="1168"/>
      <c r="FP82" s="1168"/>
      <c r="FQ82" s="1168"/>
      <c r="FR82" s="1168"/>
      <c r="FS82" s="1168"/>
      <c r="FT82" s="1168"/>
      <c r="FU82" s="1168"/>
      <c r="FV82" s="1168"/>
      <c r="FW82" s="1168"/>
      <c r="FX82" s="1173">
        <f>AVERAGE(EI82:EL82)</f>
        <v>0</v>
      </c>
      <c r="FY82" s="1573"/>
      <c r="FZ82" s="1173">
        <f t="shared" si="219"/>
        <v>0</v>
      </c>
      <c r="GA82" s="1573"/>
      <c r="GB82" s="1173">
        <f t="shared" si="220"/>
        <v>0</v>
      </c>
      <c r="GC82" s="1573"/>
      <c r="GD82" s="1173">
        <f t="shared" si="221"/>
        <v>0</v>
      </c>
      <c r="GE82" s="1573"/>
      <c r="GF82" s="1173">
        <f t="shared" si="222"/>
        <v>0</v>
      </c>
      <c r="GG82" s="1573"/>
      <c r="GH82" s="1559"/>
      <c r="GI82" s="93" t="s">
        <v>283</v>
      </c>
      <c r="GJ82" s="1147">
        <f>GJ51</f>
        <v>0</v>
      </c>
      <c r="GK82" s="1147">
        <f>GL51</f>
        <v>0</v>
      </c>
      <c r="GL82" s="1147">
        <f>GN51</f>
        <v>0</v>
      </c>
      <c r="GM82" s="1147">
        <f>GP51</f>
        <v>0</v>
      </c>
      <c r="GN82" s="1148">
        <f>NPV($GO$53,GJ82:GM82)</f>
        <v>0</v>
      </c>
      <c r="GO82" s="1148"/>
      <c r="GP82" s="1568"/>
      <c r="GQ82" s="93"/>
      <c r="GR82" s="93"/>
      <c r="GS82" s="93"/>
    </row>
    <row r="83" spans="1:201" ht="15" customHeight="1" thickBot="1">
      <c r="A83" s="1571"/>
      <c r="B83" s="593" t="s">
        <v>212</v>
      </c>
      <c r="C83" s="661">
        <f t="shared" si="154"/>
        <v>0</v>
      </c>
      <c r="D83" s="661">
        <f t="shared" si="155"/>
        <v>0</v>
      </c>
      <c r="E83" s="661">
        <f t="shared" si="156"/>
        <v>0</v>
      </c>
      <c r="F83" s="661">
        <f t="shared" si="157"/>
        <v>0</v>
      </c>
      <c r="G83" s="661">
        <f t="shared" si="158"/>
        <v>0</v>
      </c>
      <c r="H83" s="661">
        <f t="shared" si="159"/>
        <v>0</v>
      </c>
      <c r="I83" s="661">
        <f t="shared" si="160"/>
        <v>0</v>
      </c>
      <c r="J83" s="661">
        <f t="shared" si="161"/>
        <v>0</v>
      </c>
      <c r="K83" s="661">
        <f t="shared" si="162"/>
        <v>0</v>
      </c>
      <c r="L83" s="661">
        <f t="shared" si="163"/>
        <v>0</v>
      </c>
      <c r="M83" s="661">
        <f t="shared" si="164"/>
        <v>0</v>
      </c>
      <c r="N83" s="661">
        <f t="shared" si="165"/>
        <v>0</v>
      </c>
      <c r="O83" s="661">
        <f t="shared" si="166"/>
        <v>0</v>
      </c>
      <c r="P83" s="661">
        <f t="shared" si="167"/>
        <v>0</v>
      </c>
      <c r="Q83" s="661">
        <f t="shared" si="168"/>
        <v>0</v>
      </c>
      <c r="R83" s="661">
        <f t="shared" si="169"/>
        <v>0</v>
      </c>
      <c r="S83" s="661">
        <f t="shared" si="170"/>
        <v>0</v>
      </c>
      <c r="T83" s="661">
        <f t="shared" si="171"/>
        <v>0</v>
      </c>
      <c r="U83" s="661">
        <f t="shared" si="172"/>
        <v>0</v>
      </c>
      <c r="V83" s="661">
        <f t="shared" si="173"/>
        <v>0</v>
      </c>
      <c r="W83" s="661"/>
      <c r="X83" s="661"/>
      <c r="Y83" s="661"/>
      <c r="Z83" s="661"/>
      <c r="AA83" s="661"/>
      <c r="AB83" s="661"/>
      <c r="AC83" s="661"/>
      <c r="AD83" s="661"/>
      <c r="AE83" s="661"/>
      <c r="AF83" s="661"/>
      <c r="AG83" s="661"/>
      <c r="AH83" s="661"/>
      <c r="AI83" s="661"/>
      <c r="AJ83" s="661"/>
      <c r="AK83" s="661"/>
      <c r="AL83" s="661"/>
      <c r="AM83" s="661"/>
      <c r="AN83" s="661"/>
      <c r="AO83" s="661"/>
      <c r="AP83" s="661"/>
      <c r="AQ83" s="858">
        <f>SUM(C83:F83)</f>
        <v>0</v>
      </c>
      <c r="AR83" s="858">
        <f t="shared" si="174"/>
        <v>0</v>
      </c>
      <c r="AS83" s="858">
        <f t="shared" si="175"/>
        <v>0</v>
      </c>
      <c r="AT83" s="858">
        <f t="shared" si="176"/>
        <v>0</v>
      </c>
      <c r="AU83" s="858">
        <f t="shared" si="177"/>
        <v>0</v>
      </c>
      <c r="AV83" s="1167"/>
      <c r="AW83" s="1167"/>
      <c r="AX83" s="1167"/>
      <c r="AY83" s="1167"/>
      <c r="AZ83" s="1167"/>
      <c r="BA83" s="1167"/>
      <c r="BB83" s="1167"/>
      <c r="BC83" s="1167"/>
      <c r="BD83" s="1167"/>
      <c r="BE83" s="1167"/>
      <c r="BF83" s="1167"/>
      <c r="BG83" s="93"/>
      <c r="BH83" s="1147">
        <f t="shared" si="151"/>
        <v>1839151.0984345861</v>
      </c>
      <c r="BI83" s="93"/>
      <c r="BJ83" s="93"/>
      <c r="BK83" s="1147">
        <f t="shared" si="152"/>
        <v>709000.14664966799</v>
      </c>
      <c r="BL83" s="1147">
        <f t="shared" si="153"/>
        <v>709000.14664966799</v>
      </c>
      <c r="BM83" s="93"/>
      <c r="BN83" s="93"/>
      <c r="BO83" s="1571"/>
      <c r="BP83" s="593" t="s">
        <v>212</v>
      </c>
      <c r="BQ83" s="1168">
        <f t="shared" si="178"/>
        <v>0</v>
      </c>
      <c r="BR83" s="1168">
        <f t="shared" si="179"/>
        <v>0</v>
      </c>
      <c r="BS83" s="1168">
        <f t="shared" si="180"/>
        <v>0</v>
      </c>
      <c r="BT83" s="1168">
        <f t="shared" si="181"/>
        <v>0</v>
      </c>
      <c r="BU83" s="1168">
        <f t="shared" si="182"/>
        <v>0</v>
      </c>
      <c r="BV83" s="1168">
        <f t="shared" si="183"/>
        <v>0</v>
      </c>
      <c r="BW83" s="1168">
        <f t="shared" si="184"/>
        <v>0</v>
      </c>
      <c r="BX83" s="1168">
        <f t="shared" si="185"/>
        <v>0</v>
      </c>
      <c r="BY83" s="1168">
        <f t="shared" si="186"/>
        <v>0</v>
      </c>
      <c r="BZ83" s="1168">
        <f t="shared" si="187"/>
        <v>0</v>
      </c>
      <c r="CA83" s="1168">
        <f t="shared" si="188"/>
        <v>0</v>
      </c>
      <c r="CB83" s="1168">
        <f t="shared" si="189"/>
        <v>0</v>
      </c>
      <c r="CC83" s="1168">
        <f t="shared" si="190"/>
        <v>0</v>
      </c>
      <c r="CD83" s="1168">
        <f t="shared" si="191"/>
        <v>0</v>
      </c>
      <c r="CE83" s="1168">
        <f t="shared" si="192"/>
        <v>0</v>
      </c>
      <c r="CF83" s="1168">
        <f t="shared" si="193"/>
        <v>0</v>
      </c>
      <c r="CG83" s="1168">
        <f t="shared" si="194"/>
        <v>0</v>
      </c>
      <c r="CH83" s="1168">
        <f t="shared" si="195"/>
        <v>0</v>
      </c>
      <c r="CI83" s="1168">
        <f t="shared" si="196"/>
        <v>0</v>
      </c>
      <c r="CJ83" s="1168">
        <f t="shared" si="197"/>
        <v>0</v>
      </c>
      <c r="CK83" s="1168"/>
      <c r="CL83" s="1168"/>
      <c r="CM83" s="1168"/>
      <c r="CN83" s="1168"/>
      <c r="CO83" s="1168"/>
      <c r="CP83" s="1168"/>
      <c r="CQ83" s="1168"/>
      <c r="CR83" s="1168"/>
      <c r="CS83" s="1168"/>
      <c r="CT83" s="1168"/>
      <c r="CU83" s="1168"/>
      <c r="CV83" s="1168"/>
      <c r="CW83" s="1168"/>
      <c r="CX83" s="1168"/>
      <c r="CY83" s="1168"/>
      <c r="CZ83" s="1168"/>
      <c r="DA83" s="1168"/>
      <c r="DB83" s="1168"/>
      <c r="DC83" s="1168"/>
      <c r="DD83" s="1168"/>
      <c r="DE83" s="857">
        <f t="shared" si="223"/>
        <v>0</v>
      </c>
      <c r="DF83" s="858">
        <f t="shared" si="224"/>
        <v>0</v>
      </c>
      <c r="DG83" s="858">
        <f t="shared" si="225"/>
        <v>0</v>
      </c>
      <c r="DH83" s="858">
        <f t="shared" si="226"/>
        <v>0</v>
      </c>
      <c r="DI83" s="859">
        <f t="shared" si="227"/>
        <v>0</v>
      </c>
      <c r="DJ83" s="1169"/>
      <c r="DK83" s="1169"/>
      <c r="DL83" s="1169"/>
      <c r="DM83" s="1169"/>
      <c r="DN83" s="1169"/>
      <c r="DO83" s="857">
        <f t="shared" si="198"/>
        <v>0</v>
      </c>
      <c r="DP83" s="858">
        <f t="shared" si="198"/>
        <v>0</v>
      </c>
      <c r="DQ83" s="858">
        <f t="shared" si="198"/>
        <v>0</v>
      </c>
      <c r="DR83" s="858">
        <f t="shared" si="198"/>
        <v>0</v>
      </c>
      <c r="DS83" s="859">
        <f t="shared" si="198"/>
        <v>0</v>
      </c>
      <c r="DT83" s="1170"/>
      <c r="DU83" s="1170"/>
      <c r="DV83" s="1170"/>
      <c r="DW83" s="1170"/>
      <c r="DX83" s="1170"/>
      <c r="DY83" s="1170"/>
      <c r="DZ83" s="1643"/>
      <c r="EA83" s="1175">
        <f t="shared" si="228"/>
        <v>0</v>
      </c>
      <c r="EB83" s="1171">
        <f t="shared" si="229"/>
        <v>0</v>
      </c>
      <c r="EC83" s="1171">
        <f t="shared" si="230"/>
        <v>0</v>
      </c>
      <c r="ED83" s="1171">
        <f t="shared" si="231"/>
        <v>0</v>
      </c>
      <c r="EE83" s="1171">
        <f t="shared" si="232"/>
        <v>0</v>
      </c>
      <c r="EF83" s="1145"/>
      <c r="EG83" s="1571"/>
      <c r="EH83" s="1174" t="s">
        <v>212</v>
      </c>
      <c r="EI83" s="1168">
        <f t="shared" si="199"/>
        <v>0</v>
      </c>
      <c r="EJ83" s="1168">
        <f t="shared" si="200"/>
        <v>0</v>
      </c>
      <c r="EK83" s="1168">
        <f t="shared" si="201"/>
        <v>0</v>
      </c>
      <c r="EL83" s="1168">
        <f t="shared" si="202"/>
        <v>0</v>
      </c>
      <c r="EM83" s="1168">
        <f t="shared" si="203"/>
        <v>0</v>
      </c>
      <c r="EN83" s="1168">
        <f t="shared" si="204"/>
        <v>0</v>
      </c>
      <c r="EO83" s="1168">
        <f t="shared" si="205"/>
        <v>0</v>
      </c>
      <c r="EP83" s="1168">
        <f t="shared" si="206"/>
        <v>0</v>
      </c>
      <c r="EQ83" s="1168">
        <f t="shared" si="207"/>
        <v>0</v>
      </c>
      <c r="ER83" s="1168">
        <f t="shared" si="208"/>
        <v>0</v>
      </c>
      <c r="ES83" s="1168">
        <f t="shared" si="209"/>
        <v>0</v>
      </c>
      <c r="ET83" s="1168">
        <f t="shared" si="210"/>
        <v>0</v>
      </c>
      <c r="EU83" s="1168">
        <f t="shared" si="211"/>
        <v>0</v>
      </c>
      <c r="EV83" s="1168">
        <f t="shared" si="212"/>
        <v>0</v>
      </c>
      <c r="EW83" s="1168">
        <f t="shared" si="213"/>
        <v>0</v>
      </c>
      <c r="EX83" s="1168">
        <f t="shared" si="214"/>
        <v>0</v>
      </c>
      <c r="EY83" s="1168">
        <f t="shared" si="215"/>
        <v>0</v>
      </c>
      <c r="EZ83" s="1168">
        <f t="shared" si="216"/>
        <v>0</v>
      </c>
      <c r="FA83" s="1168">
        <f t="shared" si="217"/>
        <v>0</v>
      </c>
      <c r="FB83" s="1168">
        <f t="shared" si="218"/>
        <v>0</v>
      </c>
      <c r="FC83" s="1168"/>
      <c r="FD83" s="1168"/>
      <c r="FE83" s="1168"/>
      <c r="FF83" s="1168"/>
      <c r="FG83" s="1168"/>
      <c r="FH83" s="1168"/>
      <c r="FI83" s="1168"/>
      <c r="FJ83" s="1168"/>
      <c r="FK83" s="1168"/>
      <c r="FL83" s="1168"/>
      <c r="FM83" s="1168"/>
      <c r="FN83" s="1168"/>
      <c r="FO83" s="1168"/>
      <c r="FP83" s="1168"/>
      <c r="FQ83" s="1168"/>
      <c r="FR83" s="1168"/>
      <c r="FS83" s="1168"/>
      <c r="FT83" s="1168"/>
      <c r="FU83" s="1168"/>
      <c r="FV83" s="1168"/>
      <c r="FW83" s="1168"/>
      <c r="FX83" s="1173">
        <f>AVERAGE(EI83:EL83)</f>
        <v>0</v>
      </c>
      <c r="FY83" s="1573"/>
      <c r="FZ83" s="1176">
        <f t="shared" si="219"/>
        <v>0</v>
      </c>
      <c r="GA83" s="1573"/>
      <c r="GB83" s="1177">
        <f t="shared" si="220"/>
        <v>0</v>
      </c>
      <c r="GC83" s="1573"/>
      <c r="GD83" s="1177">
        <f t="shared" si="221"/>
        <v>0</v>
      </c>
      <c r="GE83" s="1573"/>
      <c r="GF83" s="1177">
        <f t="shared" si="222"/>
        <v>0</v>
      </c>
      <c r="GG83" s="1573"/>
      <c r="GH83" s="1559"/>
      <c r="GI83" s="93" t="s">
        <v>326</v>
      </c>
      <c r="GJ83" s="1147">
        <f>GJ52</f>
        <v>0</v>
      </c>
      <c r="GK83" s="1147">
        <f>GL52</f>
        <v>0</v>
      </c>
      <c r="GL83" s="1147">
        <f>GN52</f>
        <v>0</v>
      </c>
      <c r="GM83" s="1147">
        <f>GP52</f>
        <v>0</v>
      </c>
      <c r="GN83" s="1148">
        <f>NPV($GO$53,GJ83:GM83)</f>
        <v>0</v>
      </c>
      <c r="GO83" s="1148"/>
      <c r="GP83" s="1568"/>
      <c r="GQ83" s="93"/>
      <c r="GR83" s="93"/>
      <c r="GS83" s="93"/>
    </row>
    <row r="84" spans="1:201" ht="15" customHeight="1" thickBot="1">
      <c r="A84" s="1571"/>
      <c r="B84" s="593" t="s">
        <v>213</v>
      </c>
      <c r="C84" s="661">
        <f t="shared" si="154"/>
        <v>0</v>
      </c>
      <c r="D84" s="661">
        <f t="shared" si="155"/>
        <v>0</v>
      </c>
      <c r="E84" s="661">
        <f t="shared" si="156"/>
        <v>0</v>
      </c>
      <c r="F84" s="661">
        <f t="shared" si="157"/>
        <v>0</v>
      </c>
      <c r="G84" s="661">
        <f t="shared" si="158"/>
        <v>0</v>
      </c>
      <c r="H84" s="661">
        <f t="shared" si="159"/>
        <v>0</v>
      </c>
      <c r="I84" s="661">
        <f t="shared" si="160"/>
        <v>0</v>
      </c>
      <c r="J84" s="661">
        <f t="shared" si="161"/>
        <v>0</v>
      </c>
      <c r="K84" s="661">
        <f t="shared" si="162"/>
        <v>0</v>
      </c>
      <c r="L84" s="661">
        <f t="shared" si="163"/>
        <v>0</v>
      </c>
      <c r="M84" s="661">
        <f t="shared" si="164"/>
        <v>0</v>
      </c>
      <c r="N84" s="661">
        <f t="shared" si="165"/>
        <v>0</v>
      </c>
      <c r="O84" s="661">
        <f t="shared" si="166"/>
        <v>0</v>
      </c>
      <c r="P84" s="661">
        <f t="shared" si="167"/>
        <v>0</v>
      </c>
      <c r="Q84" s="661">
        <f t="shared" si="168"/>
        <v>0</v>
      </c>
      <c r="R84" s="661">
        <f t="shared" si="169"/>
        <v>0</v>
      </c>
      <c r="S84" s="661">
        <f t="shared" si="170"/>
        <v>0</v>
      </c>
      <c r="T84" s="661">
        <f t="shared" si="171"/>
        <v>0</v>
      </c>
      <c r="U84" s="661">
        <f t="shared" si="172"/>
        <v>0</v>
      </c>
      <c r="V84" s="661">
        <f t="shared" si="173"/>
        <v>0</v>
      </c>
      <c r="W84" s="661"/>
      <c r="X84" s="661"/>
      <c r="Y84" s="661"/>
      <c r="Z84" s="661"/>
      <c r="AA84" s="661"/>
      <c r="AB84" s="661"/>
      <c r="AC84" s="661"/>
      <c r="AD84" s="661"/>
      <c r="AE84" s="661"/>
      <c r="AF84" s="661"/>
      <c r="AG84" s="661"/>
      <c r="AH84" s="661"/>
      <c r="AI84" s="661"/>
      <c r="AJ84" s="661"/>
      <c r="AK84" s="661"/>
      <c r="AL84" s="661"/>
      <c r="AM84" s="661"/>
      <c r="AN84" s="661"/>
      <c r="AO84" s="661"/>
      <c r="AP84" s="661"/>
      <c r="AQ84" s="858">
        <f>SUM(C84:F84)</f>
        <v>0</v>
      </c>
      <c r="AR84" s="858">
        <f t="shared" si="174"/>
        <v>0</v>
      </c>
      <c r="AS84" s="858">
        <f t="shared" si="175"/>
        <v>0</v>
      </c>
      <c r="AT84" s="858">
        <f t="shared" si="176"/>
        <v>0</v>
      </c>
      <c r="AU84" s="858">
        <f t="shared" si="177"/>
        <v>0</v>
      </c>
      <c r="AV84" s="1167"/>
      <c r="AW84" s="1167"/>
      <c r="AX84" s="1167"/>
      <c r="AY84" s="1167"/>
      <c r="AZ84" s="1167"/>
      <c r="BA84" s="1167"/>
      <c r="BB84" s="1167"/>
      <c r="BC84" s="1167"/>
      <c r="BD84" s="1167"/>
      <c r="BE84" s="1167"/>
      <c r="BF84" s="1167"/>
      <c r="BG84" s="93"/>
      <c r="BH84" s="1147">
        <f t="shared" si="151"/>
        <v>-1207856.4495770435</v>
      </c>
      <c r="BI84" s="93"/>
      <c r="BJ84" s="93"/>
      <c r="BK84" s="1147">
        <f t="shared" si="152"/>
        <v>11076848.664401464</v>
      </c>
      <c r="BL84" s="1147">
        <f t="shared" si="153"/>
        <v>10990903.621712225</v>
      </c>
      <c r="BM84" s="93"/>
      <c r="BN84" s="93"/>
      <c r="BO84" s="1571"/>
      <c r="BP84" s="593" t="s">
        <v>213</v>
      </c>
      <c r="BQ84" s="1168">
        <f t="shared" si="178"/>
        <v>0</v>
      </c>
      <c r="BR84" s="1168">
        <f t="shared" si="179"/>
        <v>0</v>
      </c>
      <c r="BS84" s="1168">
        <f t="shared" si="180"/>
        <v>0</v>
      </c>
      <c r="BT84" s="1168">
        <f t="shared" si="181"/>
        <v>0</v>
      </c>
      <c r="BU84" s="1168">
        <f t="shared" si="182"/>
        <v>0</v>
      </c>
      <c r="BV84" s="1168">
        <f t="shared" si="183"/>
        <v>0</v>
      </c>
      <c r="BW84" s="1168">
        <f t="shared" si="184"/>
        <v>0</v>
      </c>
      <c r="BX84" s="1168">
        <f t="shared" si="185"/>
        <v>0</v>
      </c>
      <c r="BY84" s="1168">
        <f t="shared" si="186"/>
        <v>0</v>
      </c>
      <c r="BZ84" s="1168">
        <f t="shared" si="187"/>
        <v>0</v>
      </c>
      <c r="CA84" s="1168">
        <f t="shared" si="188"/>
        <v>0</v>
      </c>
      <c r="CB84" s="1168">
        <f t="shared" si="189"/>
        <v>0</v>
      </c>
      <c r="CC84" s="1168">
        <f t="shared" si="190"/>
        <v>0</v>
      </c>
      <c r="CD84" s="1168">
        <f t="shared" si="191"/>
        <v>0</v>
      </c>
      <c r="CE84" s="1168">
        <f t="shared" si="192"/>
        <v>0</v>
      </c>
      <c r="CF84" s="1168">
        <f t="shared" si="193"/>
        <v>0</v>
      </c>
      <c r="CG84" s="1168">
        <f t="shared" si="194"/>
        <v>0</v>
      </c>
      <c r="CH84" s="1168">
        <f t="shared" si="195"/>
        <v>0</v>
      </c>
      <c r="CI84" s="1168">
        <f t="shared" si="196"/>
        <v>0</v>
      </c>
      <c r="CJ84" s="1168">
        <f t="shared" si="197"/>
        <v>0</v>
      </c>
      <c r="CK84" s="1168"/>
      <c r="CL84" s="1168"/>
      <c r="CM84" s="1168"/>
      <c r="CN84" s="1168"/>
      <c r="CO84" s="1168"/>
      <c r="CP84" s="1168"/>
      <c r="CQ84" s="1168"/>
      <c r="CR84" s="1168"/>
      <c r="CS84" s="1168"/>
      <c r="CT84" s="1168"/>
      <c r="CU84" s="1168"/>
      <c r="CV84" s="1168"/>
      <c r="CW84" s="1168"/>
      <c r="CX84" s="1168"/>
      <c r="CY84" s="1168"/>
      <c r="CZ84" s="1168"/>
      <c r="DA84" s="1168"/>
      <c r="DB84" s="1168"/>
      <c r="DC84" s="1168"/>
      <c r="DD84" s="1168"/>
      <c r="DE84" s="857">
        <f t="shared" si="223"/>
        <v>0</v>
      </c>
      <c r="DF84" s="858">
        <f t="shared" si="224"/>
        <v>0</v>
      </c>
      <c r="DG84" s="858">
        <f t="shared" si="225"/>
        <v>0</v>
      </c>
      <c r="DH84" s="858">
        <f t="shared" si="226"/>
        <v>0</v>
      </c>
      <c r="DI84" s="859">
        <f t="shared" si="227"/>
        <v>0</v>
      </c>
      <c r="DJ84" s="1169"/>
      <c r="DK84" s="1169"/>
      <c r="DL84" s="1169"/>
      <c r="DM84" s="1169"/>
      <c r="DN84" s="1169"/>
      <c r="DO84" s="857">
        <f t="shared" si="198"/>
        <v>0</v>
      </c>
      <c r="DP84" s="858">
        <f t="shared" si="198"/>
        <v>0</v>
      </c>
      <c r="DQ84" s="858">
        <f t="shared" si="198"/>
        <v>0</v>
      </c>
      <c r="DR84" s="858">
        <f t="shared" si="198"/>
        <v>0</v>
      </c>
      <c r="DS84" s="859">
        <f t="shared" si="198"/>
        <v>0</v>
      </c>
      <c r="DT84" s="1170"/>
      <c r="DU84" s="1170"/>
      <c r="DV84" s="1170"/>
      <c r="DW84" s="1170"/>
      <c r="DX84" s="1170"/>
      <c r="DY84" s="1170"/>
      <c r="DZ84" s="1641">
        <v>2</v>
      </c>
      <c r="EA84" s="1178"/>
      <c r="EB84" s="1171">
        <f t="shared" si="229"/>
        <v>0</v>
      </c>
      <c r="EC84" s="1171">
        <f t="shared" si="230"/>
        <v>0</v>
      </c>
      <c r="ED84" s="1171">
        <f t="shared" si="231"/>
        <v>0</v>
      </c>
      <c r="EE84" s="1171">
        <f t="shared" si="232"/>
        <v>0</v>
      </c>
      <c r="EF84" s="1145"/>
      <c r="EG84" s="1571"/>
      <c r="EH84" s="1174" t="s">
        <v>213</v>
      </c>
      <c r="EI84" s="1168">
        <f t="shared" si="199"/>
        <v>0</v>
      </c>
      <c r="EJ84" s="1168">
        <f t="shared" si="200"/>
        <v>0</v>
      </c>
      <c r="EK84" s="1168">
        <f t="shared" si="201"/>
        <v>0</v>
      </c>
      <c r="EL84" s="1168">
        <f t="shared" si="202"/>
        <v>0</v>
      </c>
      <c r="EM84" s="1168">
        <f t="shared" si="203"/>
        <v>0</v>
      </c>
      <c r="EN84" s="1168">
        <f t="shared" si="204"/>
        <v>0</v>
      </c>
      <c r="EO84" s="1168">
        <f t="shared" si="205"/>
        <v>0</v>
      </c>
      <c r="EP84" s="1168">
        <f t="shared" si="206"/>
        <v>0</v>
      </c>
      <c r="EQ84" s="1168">
        <f t="shared" si="207"/>
        <v>0</v>
      </c>
      <c r="ER84" s="1168">
        <f t="shared" si="208"/>
        <v>0</v>
      </c>
      <c r="ES84" s="1168">
        <f t="shared" si="209"/>
        <v>0</v>
      </c>
      <c r="ET84" s="1168">
        <f t="shared" si="210"/>
        <v>0</v>
      </c>
      <c r="EU84" s="1168">
        <f t="shared" si="211"/>
        <v>0</v>
      </c>
      <c r="EV84" s="1168">
        <f t="shared" si="212"/>
        <v>0</v>
      </c>
      <c r="EW84" s="1168">
        <f t="shared" si="213"/>
        <v>0</v>
      </c>
      <c r="EX84" s="1168">
        <f t="shared" si="214"/>
        <v>0</v>
      </c>
      <c r="EY84" s="1168">
        <f t="shared" si="215"/>
        <v>0</v>
      </c>
      <c r="EZ84" s="1168">
        <f t="shared" si="216"/>
        <v>0</v>
      </c>
      <c r="FA84" s="1168">
        <f t="shared" si="217"/>
        <v>0</v>
      </c>
      <c r="FB84" s="1168">
        <f t="shared" si="218"/>
        <v>0</v>
      </c>
      <c r="FC84" s="1168"/>
      <c r="FD84" s="1168"/>
      <c r="FE84" s="1168"/>
      <c r="FF84" s="1168"/>
      <c r="FG84" s="1168"/>
      <c r="FH84" s="1168"/>
      <c r="FI84" s="1168"/>
      <c r="FJ84" s="1168"/>
      <c r="FK84" s="1168"/>
      <c r="FL84" s="1168"/>
      <c r="FM84" s="1168"/>
      <c r="FN84" s="1168"/>
      <c r="FO84" s="1168"/>
      <c r="FP84" s="1168"/>
      <c r="FQ84" s="1168"/>
      <c r="FR84" s="1168"/>
      <c r="FS84" s="1168"/>
      <c r="FT84" s="1168"/>
      <c r="FU84" s="1168"/>
      <c r="FV84" s="1168"/>
      <c r="FW84" s="1168"/>
      <c r="FX84" s="1173">
        <f>AVERAGE(EI84:EL84)</f>
        <v>0</v>
      </c>
      <c r="FY84" s="1573"/>
      <c r="FZ84" s="1179">
        <f t="shared" si="219"/>
        <v>0</v>
      </c>
      <c r="GA84" s="1585"/>
      <c r="GB84" s="1180">
        <f t="shared" si="220"/>
        <v>0</v>
      </c>
      <c r="GC84" s="1585"/>
      <c r="GD84" s="1180">
        <f t="shared" si="221"/>
        <v>0</v>
      </c>
      <c r="GE84" s="1585"/>
      <c r="GF84" s="1180">
        <f t="shared" si="222"/>
        <v>0</v>
      </c>
      <c r="GG84" s="1585"/>
      <c r="GH84" s="1560"/>
      <c r="GI84" s="93"/>
      <c r="GJ84" s="93"/>
      <c r="GK84" s="93"/>
      <c r="GL84" s="93"/>
      <c r="GM84" s="93"/>
      <c r="GN84" s="93"/>
      <c r="GO84" s="93"/>
      <c r="GP84" s="1568"/>
      <c r="GQ84" s="93"/>
      <c r="GR84" s="93"/>
      <c r="GS84" s="93"/>
    </row>
    <row r="85" spans="1:201" ht="15" customHeight="1" thickBot="1">
      <c r="A85" s="1571">
        <v>2</v>
      </c>
      <c r="B85" s="593" t="s">
        <v>214</v>
      </c>
      <c r="C85" s="661">
        <f t="shared" si="154"/>
        <v>0</v>
      </c>
      <c r="D85" s="661">
        <f t="shared" si="155"/>
        <v>0</v>
      </c>
      <c r="E85" s="661">
        <f t="shared" si="156"/>
        <v>0</v>
      </c>
      <c r="F85" s="661">
        <f t="shared" si="157"/>
        <v>0</v>
      </c>
      <c r="G85" s="661">
        <f t="shared" si="158"/>
        <v>0</v>
      </c>
      <c r="H85" s="661">
        <f t="shared" si="159"/>
        <v>0</v>
      </c>
      <c r="I85" s="661">
        <f t="shared" si="160"/>
        <v>0</v>
      </c>
      <c r="J85" s="661">
        <f t="shared" si="161"/>
        <v>0</v>
      </c>
      <c r="K85" s="661">
        <f t="shared" si="162"/>
        <v>0</v>
      </c>
      <c r="L85" s="661">
        <f t="shared" si="163"/>
        <v>0</v>
      </c>
      <c r="M85" s="661">
        <f t="shared" si="164"/>
        <v>0</v>
      </c>
      <c r="N85" s="661">
        <f t="shared" si="165"/>
        <v>0</v>
      </c>
      <c r="O85" s="661">
        <f t="shared" si="166"/>
        <v>0</v>
      </c>
      <c r="P85" s="661">
        <f t="shared" si="167"/>
        <v>0</v>
      </c>
      <c r="Q85" s="661">
        <f t="shared" si="168"/>
        <v>0</v>
      </c>
      <c r="R85" s="661">
        <f t="shared" si="169"/>
        <v>0</v>
      </c>
      <c r="S85" s="661">
        <f t="shared" si="170"/>
        <v>0</v>
      </c>
      <c r="T85" s="661">
        <f t="shared" si="171"/>
        <v>0</v>
      </c>
      <c r="U85" s="661">
        <f t="shared" si="172"/>
        <v>0</v>
      </c>
      <c r="V85" s="661">
        <f t="shared" si="173"/>
        <v>0</v>
      </c>
      <c r="W85" s="661"/>
      <c r="X85" s="661"/>
      <c r="Y85" s="661"/>
      <c r="Z85" s="661"/>
      <c r="AA85" s="661"/>
      <c r="AB85" s="661"/>
      <c r="AC85" s="661"/>
      <c r="AD85" s="661"/>
      <c r="AE85" s="661"/>
      <c r="AF85" s="661"/>
      <c r="AG85" s="661"/>
      <c r="AH85" s="661"/>
      <c r="AI85" s="661"/>
      <c r="AJ85" s="661"/>
      <c r="AK85" s="661"/>
      <c r="AL85" s="661"/>
      <c r="AM85" s="661"/>
      <c r="AN85" s="661"/>
      <c r="AO85" s="661"/>
      <c r="AP85" s="661"/>
      <c r="AQ85" s="1552"/>
      <c r="AR85" s="858">
        <f t="shared" si="174"/>
        <v>0</v>
      </c>
      <c r="AS85" s="858">
        <f t="shared" si="175"/>
        <v>0</v>
      </c>
      <c r="AT85" s="858">
        <f t="shared" si="176"/>
        <v>0</v>
      </c>
      <c r="AU85" s="858">
        <f t="shared" si="177"/>
        <v>0</v>
      </c>
      <c r="AV85" s="1167"/>
      <c r="AW85" s="1167"/>
      <c r="AX85" s="1167"/>
      <c r="AY85" s="1167"/>
      <c r="AZ85" s="1167"/>
      <c r="BA85" s="1167"/>
      <c r="BB85" s="1167"/>
      <c r="BC85" s="1167"/>
      <c r="BD85" s="1167"/>
      <c r="BE85" s="1167"/>
      <c r="BF85" s="1167"/>
      <c r="BG85" s="93"/>
      <c r="BH85" s="1147"/>
      <c r="BI85" s="93"/>
      <c r="BJ85" s="93"/>
      <c r="BK85" s="1147">
        <f t="shared" si="152"/>
        <v>6734881.3603380006</v>
      </c>
      <c r="BL85" s="1147">
        <f t="shared" si="153"/>
        <v>6602088.8025349602</v>
      </c>
      <c r="BM85" s="93"/>
      <c r="BN85" s="93"/>
      <c r="BO85" s="1571">
        <v>2</v>
      </c>
      <c r="BP85" s="593" t="s">
        <v>214</v>
      </c>
      <c r="BQ85" s="1168">
        <f t="shared" si="178"/>
        <v>0</v>
      </c>
      <c r="BR85" s="1168">
        <f t="shared" si="179"/>
        <v>0</v>
      </c>
      <c r="BS85" s="1168">
        <f t="shared" si="180"/>
        <v>0</v>
      </c>
      <c r="BT85" s="1168">
        <f t="shared" si="181"/>
        <v>0</v>
      </c>
      <c r="BU85" s="1168">
        <f t="shared" si="182"/>
        <v>0</v>
      </c>
      <c r="BV85" s="1168">
        <f t="shared" si="183"/>
        <v>0</v>
      </c>
      <c r="BW85" s="1168">
        <f t="shared" si="184"/>
        <v>0</v>
      </c>
      <c r="BX85" s="1168">
        <f t="shared" si="185"/>
        <v>0</v>
      </c>
      <c r="BY85" s="1168">
        <f t="shared" si="186"/>
        <v>0</v>
      </c>
      <c r="BZ85" s="1168">
        <f t="shared" si="187"/>
        <v>0</v>
      </c>
      <c r="CA85" s="1168">
        <f t="shared" si="188"/>
        <v>0</v>
      </c>
      <c r="CB85" s="1168">
        <f t="shared" si="189"/>
        <v>0</v>
      </c>
      <c r="CC85" s="1168">
        <f t="shared" si="190"/>
        <v>0</v>
      </c>
      <c r="CD85" s="1168">
        <f t="shared" si="191"/>
        <v>0</v>
      </c>
      <c r="CE85" s="1168">
        <f t="shared" si="192"/>
        <v>0</v>
      </c>
      <c r="CF85" s="1168">
        <f t="shared" si="193"/>
        <v>0</v>
      </c>
      <c r="CG85" s="1168">
        <f t="shared" si="194"/>
        <v>0</v>
      </c>
      <c r="CH85" s="1168">
        <f t="shared" si="195"/>
        <v>0</v>
      </c>
      <c r="CI85" s="1168">
        <f t="shared" si="196"/>
        <v>0</v>
      </c>
      <c r="CJ85" s="1168">
        <f t="shared" si="197"/>
        <v>0</v>
      </c>
      <c r="CK85" s="1168"/>
      <c r="CL85" s="1168"/>
      <c r="CM85" s="1168"/>
      <c r="CN85" s="1168"/>
      <c r="CO85" s="1168"/>
      <c r="CP85" s="1168"/>
      <c r="CQ85" s="1168"/>
      <c r="CR85" s="1168"/>
      <c r="CS85" s="1168"/>
      <c r="CT85" s="1168"/>
      <c r="CU85" s="1168"/>
      <c r="CV85" s="1168"/>
      <c r="CW85" s="1168"/>
      <c r="CX85" s="1168"/>
      <c r="CY85" s="1168"/>
      <c r="CZ85" s="1168"/>
      <c r="DA85" s="1168"/>
      <c r="DB85" s="1168"/>
      <c r="DC85" s="1168"/>
      <c r="DD85" s="1168"/>
      <c r="DE85" s="1554"/>
      <c r="DF85" s="858">
        <f t="shared" si="224"/>
        <v>0</v>
      </c>
      <c r="DG85" s="858">
        <f t="shared" si="225"/>
        <v>0</v>
      </c>
      <c r="DH85" s="858">
        <f t="shared" si="226"/>
        <v>0</v>
      </c>
      <c r="DI85" s="859">
        <f t="shared" si="227"/>
        <v>0</v>
      </c>
      <c r="DJ85" s="1181"/>
      <c r="DK85" s="1181"/>
      <c r="DL85" s="1181"/>
      <c r="DM85" s="1181"/>
      <c r="DN85" s="1181"/>
      <c r="DO85" s="1554"/>
      <c r="DP85" s="858">
        <f t="shared" ref="DP85:DS88" si="233">AR85-DF85</f>
        <v>0</v>
      </c>
      <c r="DQ85" s="858">
        <f t="shared" si="233"/>
        <v>0</v>
      </c>
      <c r="DR85" s="858">
        <f t="shared" si="233"/>
        <v>0</v>
      </c>
      <c r="DS85" s="859">
        <f t="shared" si="233"/>
        <v>0</v>
      </c>
      <c r="DT85" s="1170"/>
      <c r="DU85" s="1170"/>
      <c r="DV85" s="1170"/>
      <c r="DW85" s="1170"/>
      <c r="DX85" s="1170"/>
      <c r="DY85" s="1170"/>
      <c r="DZ85" s="1642"/>
      <c r="EA85" s="1178"/>
      <c r="EB85" s="1171">
        <f t="shared" si="229"/>
        <v>0</v>
      </c>
      <c r="EC85" s="1171">
        <f t="shared" si="230"/>
        <v>0</v>
      </c>
      <c r="ED85" s="1171">
        <f t="shared" si="231"/>
        <v>0</v>
      </c>
      <c r="EE85" s="1171">
        <f t="shared" si="232"/>
        <v>0</v>
      </c>
      <c r="EF85" s="1145"/>
      <c r="EG85" s="1571">
        <v>2</v>
      </c>
      <c r="EH85" s="1174" t="s">
        <v>214</v>
      </c>
      <c r="EI85" s="1168">
        <f t="shared" si="199"/>
        <v>0</v>
      </c>
      <c r="EJ85" s="1168">
        <f t="shared" si="200"/>
        <v>0</v>
      </c>
      <c r="EK85" s="1168">
        <f t="shared" si="201"/>
        <v>0</v>
      </c>
      <c r="EL85" s="1168">
        <f t="shared" si="202"/>
        <v>0</v>
      </c>
      <c r="EM85" s="1168">
        <f t="shared" si="203"/>
        <v>0</v>
      </c>
      <c r="EN85" s="1168">
        <f t="shared" si="204"/>
        <v>0</v>
      </c>
      <c r="EO85" s="1168">
        <f t="shared" si="205"/>
        <v>0</v>
      </c>
      <c r="EP85" s="1168">
        <f t="shared" si="206"/>
        <v>0</v>
      </c>
      <c r="EQ85" s="1168">
        <f t="shared" si="207"/>
        <v>0</v>
      </c>
      <c r="ER85" s="1168">
        <f t="shared" si="208"/>
        <v>0</v>
      </c>
      <c r="ES85" s="1168">
        <f t="shared" si="209"/>
        <v>0</v>
      </c>
      <c r="ET85" s="1168">
        <f t="shared" si="210"/>
        <v>0</v>
      </c>
      <c r="EU85" s="1168">
        <f t="shared" si="211"/>
        <v>0</v>
      </c>
      <c r="EV85" s="1168">
        <f t="shared" si="212"/>
        <v>0</v>
      </c>
      <c r="EW85" s="1168">
        <f t="shared" si="213"/>
        <v>0</v>
      </c>
      <c r="EX85" s="1168">
        <f t="shared" si="214"/>
        <v>0</v>
      </c>
      <c r="EY85" s="1168">
        <f t="shared" si="215"/>
        <v>0</v>
      </c>
      <c r="EZ85" s="1168">
        <f t="shared" si="216"/>
        <v>0</v>
      </c>
      <c r="FA85" s="1168">
        <f t="shared" si="217"/>
        <v>0</v>
      </c>
      <c r="FB85" s="1168">
        <f t="shared" si="218"/>
        <v>0</v>
      </c>
      <c r="FC85" s="1168"/>
      <c r="FD85" s="1168"/>
      <c r="FE85" s="1168"/>
      <c r="FF85" s="1168"/>
      <c r="FG85" s="1168"/>
      <c r="FH85" s="1168"/>
      <c r="FI85" s="1168"/>
      <c r="FJ85" s="1168"/>
      <c r="FK85" s="1168"/>
      <c r="FL85" s="1168"/>
      <c r="FM85" s="1168"/>
      <c r="FN85" s="1168"/>
      <c r="FO85" s="1168"/>
      <c r="FP85" s="1168"/>
      <c r="FQ85" s="1168"/>
      <c r="FR85" s="1168"/>
      <c r="FS85" s="1168"/>
      <c r="FT85" s="1168"/>
      <c r="FU85" s="1168"/>
      <c r="FV85" s="1168"/>
      <c r="FW85" s="1168"/>
      <c r="FX85" s="1182"/>
      <c r="FY85" s="1183"/>
      <c r="FZ85" s="1179">
        <f t="shared" si="219"/>
        <v>0</v>
      </c>
      <c r="GA85" s="1572">
        <f>SUM(FZ85:FZ88)</f>
        <v>0</v>
      </c>
      <c r="GB85" s="1177">
        <f t="shared" si="220"/>
        <v>0</v>
      </c>
      <c r="GC85" s="1572">
        <f>SUM(GB85:GB88)</f>
        <v>0</v>
      </c>
      <c r="GD85" s="1177">
        <f t="shared" si="221"/>
        <v>0</v>
      </c>
      <c r="GE85" s="1572">
        <f>SUM(GD85:GD88)</f>
        <v>0</v>
      </c>
      <c r="GF85" s="1177">
        <f t="shared" si="222"/>
        <v>0</v>
      </c>
      <c r="GG85" s="1572">
        <f>SUM(GF85:GF88)</f>
        <v>0</v>
      </c>
      <c r="GH85" s="1558">
        <f>GG85+GE85+GC85+GA85</f>
        <v>0</v>
      </c>
      <c r="GI85" s="93"/>
      <c r="GJ85" s="93"/>
      <c r="GK85" s="93"/>
      <c r="GL85" s="93"/>
      <c r="GM85" s="93"/>
      <c r="GN85" s="93"/>
      <c r="GO85" s="93"/>
      <c r="GP85" s="1568">
        <f>SUM(EI85:FB88)</f>
        <v>0</v>
      </c>
      <c r="GQ85" s="93"/>
      <c r="GR85" s="93"/>
      <c r="GS85" s="93"/>
    </row>
    <row r="86" spans="1:201" ht="15" customHeight="1" thickBot="1">
      <c r="A86" s="1571"/>
      <c r="B86" s="593" t="s">
        <v>215</v>
      </c>
      <c r="C86" s="661">
        <f t="shared" si="154"/>
        <v>0</v>
      </c>
      <c r="D86" s="661">
        <f t="shared" si="155"/>
        <v>0</v>
      </c>
      <c r="E86" s="661">
        <f t="shared" si="156"/>
        <v>0</v>
      </c>
      <c r="F86" s="661">
        <f t="shared" si="157"/>
        <v>0</v>
      </c>
      <c r="G86" s="661">
        <f t="shared" si="158"/>
        <v>0</v>
      </c>
      <c r="H86" s="661">
        <f t="shared" si="159"/>
        <v>0</v>
      </c>
      <c r="I86" s="661">
        <f t="shared" si="160"/>
        <v>0</v>
      </c>
      <c r="J86" s="661">
        <f t="shared" si="161"/>
        <v>0</v>
      </c>
      <c r="K86" s="661">
        <f t="shared" si="162"/>
        <v>0</v>
      </c>
      <c r="L86" s="661">
        <f t="shared" si="163"/>
        <v>0</v>
      </c>
      <c r="M86" s="661">
        <f t="shared" si="164"/>
        <v>0</v>
      </c>
      <c r="N86" s="661">
        <f t="shared" si="165"/>
        <v>0</v>
      </c>
      <c r="O86" s="661">
        <f t="shared" si="166"/>
        <v>0</v>
      </c>
      <c r="P86" s="661">
        <f t="shared" si="167"/>
        <v>0</v>
      </c>
      <c r="Q86" s="661">
        <f t="shared" si="168"/>
        <v>0</v>
      </c>
      <c r="R86" s="661">
        <f t="shared" si="169"/>
        <v>0</v>
      </c>
      <c r="S86" s="661">
        <f t="shared" si="170"/>
        <v>0</v>
      </c>
      <c r="T86" s="661">
        <f t="shared" si="171"/>
        <v>0</v>
      </c>
      <c r="U86" s="661">
        <f t="shared" si="172"/>
        <v>0</v>
      </c>
      <c r="V86" s="661">
        <f t="shared" si="173"/>
        <v>0</v>
      </c>
      <c r="W86" s="661"/>
      <c r="X86" s="661"/>
      <c r="Y86" s="661"/>
      <c r="Z86" s="661"/>
      <c r="AA86" s="661"/>
      <c r="AB86" s="661"/>
      <c r="AC86" s="661"/>
      <c r="AD86" s="661"/>
      <c r="AE86" s="661"/>
      <c r="AF86" s="661"/>
      <c r="AG86" s="661"/>
      <c r="AH86" s="661"/>
      <c r="AI86" s="661"/>
      <c r="AJ86" s="661"/>
      <c r="AK86" s="661"/>
      <c r="AL86" s="661"/>
      <c r="AM86" s="661"/>
      <c r="AN86" s="661"/>
      <c r="AO86" s="661"/>
      <c r="AP86" s="661"/>
      <c r="AQ86" s="1553"/>
      <c r="AR86" s="858">
        <f t="shared" si="174"/>
        <v>0</v>
      </c>
      <c r="AS86" s="858">
        <f t="shared" si="175"/>
        <v>0</v>
      </c>
      <c r="AT86" s="858">
        <f t="shared" si="176"/>
        <v>0</v>
      </c>
      <c r="AU86" s="858">
        <f t="shared" si="177"/>
        <v>0</v>
      </c>
      <c r="AV86" s="1167"/>
      <c r="AW86" s="1167"/>
      <c r="AX86" s="1167"/>
      <c r="AY86" s="1167"/>
      <c r="AZ86" s="1167"/>
      <c r="BA86" s="1167"/>
      <c r="BB86" s="1167"/>
      <c r="BC86" s="1167"/>
      <c r="BD86" s="1167"/>
      <c r="BE86" s="1167"/>
      <c r="BF86" s="1167"/>
      <c r="BG86" s="93"/>
      <c r="BH86" s="1147"/>
      <c r="BI86" s="93"/>
      <c r="BJ86" s="93"/>
      <c r="BK86" s="1147">
        <f t="shared" si="152"/>
        <v>4776690.0615645107</v>
      </c>
      <c r="BL86" s="1147">
        <f t="shared" si="153"/>
        <v>4435805.948964335</v>
      </c>
      <c r="BM86" s="93"/>
      <c r="BN86" s="93"/>
      <c r="BO86" s="1571"/>
      <c r="BP86" s="593" t="s">
        <v>215</v>
      </c>
      <c r="BQ86" s="1168">
        <f t="shared" si="178"/>
        <v>0</v>
      </c>
      <c r="BR86" s="1168">
        <f t="shared" si="179"/>
        <v>0</v>
      </c>
      <c r="BS86" s="1168">
        <f t="shared" si="180"/>
        <v>0</v>
      </c>
      <c r="BT86" s="1168">
        <f t="shared" si="181"/>
        <v>0</v>
      </c>
      <c r="BU86" s="1168">
        <f t="shared" si="182"/>
        <v>0</v>
      </c>
      <c r="BV86" s="1168">
        <f t="shared" si="183"/>
        <v>0</v>
      </c>
      <c r="BW86" s="1168">
        <f t="shared" si="184"/>
        <v>0</v>
      </c>
      <c r="BX86" s="1168">
        <f t="shared" si="185"/>
        <v>0</v>
      </c>
      <c r="BY86" s="1168">
        <f t="shared" si="186"/>
        <v>0</v>
      </c>
      <c r="BZ86" s="1168">
        <f t="shared" si="187"/>
        <v>0</v>
      </c>
      <c r="CA86" s="1168">
        <f t="shared" si="188"/>
        <v>0</v>
      </c>
      <c r="CB86" s="1168">
        <f t="shared" si="189"/>
        <v>0</v>
      </c>
      <c r="CC86" s="1168">
        <f t="shared" si="190"/>
        <v>0</v>
      </c>
      <c r="CD86" s="1168">
        <f t="shared" si="191"/>
        <v>0</v>
      </c>
      <c r="CE86" s="1168">
        <f t="shared" si="192"/>
        <v>0</v>
      </c>
      <c r="CF86" s="1168">
        <f t="shared" si="193"/>
        <v>0</v>
      </c>
      <c r="CG86" s="1168">
        <f t="shared" si="194"/>
        <v>0</v>
      </c>
      <c r="CH86" s="1168">
        <f t="shared" si="195"/>
        <v>0</v>
      </c>
      <c r="CI86" s="1168">
        <f t="shared" si="196"/>
        <v>0</v>
      </c>
      <c r="CJ86" s="1168">
        <f t="shared" si="197"/>
        <v>0</v>
      </c>
      <c r="CK86" s="1168"/>
      <c r="CL86" s="1168"/>
      <c r="CM86" s="1168"/>
      <c r="CN86" s="1168"/>
      <c r="CO86" s="1168"/>
      <c r="CP86" s="1168"/>
      <c r="CQ86" s="1168"/>
      <c r="CR86" s="1168"/>
      <c r="CS86" s="1168"/>
      <c r="CT86" s="1168"/>
      <c r="CU86" s="1168"/>
      <c r="CV86" s="1168"/>
      <c r="CW86" s="1168"/>
      <c r="CX86" s="1168"/>
      <c r="CY86" s="1168"/>
      <c r="CZ86" s="1168"/>
      <c r="DA86" s="1168"/>
      <c r="DB86" s="1168"/>
      <c r="DC86" s="1168"/>
      <c r="DD86" s="1168"/>
      <c r="DE86" s="1555"/>
      <c r="DF86" s="858">
        <f t="shared" si="224"/>
        <v>0</v>
      </c>
      <c r="DG86" s="858">
        <f t="shared" si="225"/>
        <v>0</v>
      </c>
      <c r="DH86" s="858">
        <f t="shared" si="226"/>
        <v>0</v>
      </c>
      <c r="DI86" s="859">
        <f t="shared" si="227"/>
        <v>0</v>
      </c>
      <c r="DJ86" s="1167"/>
      <c r="DK86" s="1167"/>
      <c r="DL86" s="1167"/>
      <c r="DM86" s="1167"/>
      <c r="DN86" s="1167"/>
      <c r="DO86" s="1555"/>
      <c r="DP86" s="858">
        <f t="shared" si="233"/>
        <v>0</v>
      </c>
      <c r="DQ86" s="858">
        <f t="shared" si="233"/>
        <v>0</v>
      </c>
      <c r="DR86" s="858">
        <f t="shared" si="233"/>
        <v>0</v>
      </c>
      <c r="DS86" s="859">
        <f t="shared" si="233"/>
        <v>0</v>
      </c>
      <c r="DT86" s="1170"/>
      <c r="DU86" s="1170"/>
      <c r="DV86" s="1170"/>
      <c r="DW86" s="1170"/>
      <c r="DX86" s="1170"/>
      <c r="DY86" s="1170"/>
      <c r="DZ86" s="1642"/>
      <c r="EA86" s="1178"/>
      <c r="EB86" s="1171">
        <f t="shared" si="229"/>
        <v>0</v>
      </c>
      <c r="EC86" s="1171">
        <f t="shared" si="230"/>
        <v>0</v>
      </c>
      <c r="ED86" s="1171">
        <f t="shared" si="231"/>
        <v>0</v>
      </c>
      <c r="EE86" s="1171">
        <f t="shared" si="232"/>
        <v>0</v>
      </c>
      <c r="EF86" s="1145"/>
      <c r="EG86" s="1571"/>
      <c r="EH86" s="1174" t="s">
        <v>215</v>
      </c>
      <c r="EI86" s="1168">
        <f t="shared" si="199"/>
        <v>0</v>
      </c>
      <c r="EJ86" s="1168">
        <f t="shared" si="200"/>
        <v>0</v>
      </c>
      <c r="EK86" s="1168">
        <f t="shared" si="201"/>
        <v>0</v>
      </c>
      <c r="EL86" s="1168">
        <f t="shared" si="202"/>
        <v>0</v>
      </c>
      <c r="EM86" s="1168">
        <f t="shared" si="203"/>
        <v>0</v>
      </c>
      <c r="EN86" s="1168">
        <f t="shared" si="204"/>
        <v>0</v>
      </c>
      <c r="EO86" s="1168">
        <f t="shared" si="205"/>
        <v>0</v>
      </c>
      <c r="EP86" s="1168">
        <f t="shared" si="206"/>
        <v>0</v>
      </c>
      <c r="EQ86" s="1168">
        <f t="shared" si="207"/>
        <v>0</v>
      </c>
      <c r="ER86" s="1168">
        <f t="shared" si="208"/>
        <v>0</v>
      </c>
      <c r="ES86" s="1168">
        <f t="shared" si="209"/>
        <v>0</v>
      </c>
      <c r="ET86" s="1168">
        <f t="shared" si="210"/>
        <v>0</v>
      </c>
      <c r="EU86" s="1168">
        <f t="shared" si="211"/>
        <v>0</v>
      </c>
      <c r="EV86" s="1168">
        <f t="shared" si="212"/>
        <v>0</v>
      </c>
      <c r="EW86" s="1168">
        <f t="shared" si="213"/>
        <v>0</v>
      </c>
      <c r="EX86" s="1168">
        <f t="shared" si="214"/>
        <v>0</v>
      </c>
      <c r="EY86" s="1168">
        <f t="shared" si="215"/>
        <v>0</v>
      </c>
      <c r="EZ86" s="1168">
        <f t="shared" si="216"/>
        <v>0</v>
      </c>
      <c r="FA86" s="1168">
        <f t="shared" si="217"/>
        <v>0</v>
      </c>
      <c r="FB86" s="1168">
        <f t="shared" si="218"/>
        <v>0</v>
      </c>
      <c r="FC86" s="1168"/>
      <c r="FD86" s="1168"/>
      <c r="FE86" s="1168"/>
      <c r="FF86" s="1168"/>
      <c r="FG86" s="1168"/>
      <c r="FH86" s="1168"/>
      <c r="FI86" s="1168"/>
      <c r="FJ86" s="1168"/>
      <c r="FK86" s="1168"/>
      <c r="FL86" s="1168"/>
      <c r="FM86" s="1168"/>
      <c r="FN86" s="1168"/>
      <c r="FO86" s="1168"/>
      <c r="FP86" s="1168"/>
      <c r="FQ86" s="1168"/>
      <c r="FR86" s="1168"/>
      <c r="FS86" s="1168"/>
      <c r="FT86" s="1168"/>
      <c r="FU86" s="1168"/>
      <c r="FV86" s="1168"/>
      <c r="FW86" s="1168"/>
      <c r="FX86" s="1182"/>
      <c r="FY86" s="1183"/>
      <c r="FZ86" s="1179">
        <f t="shared" si="219"/>
        <v>0</v>
      </c>
      <c r="GA86" s="1573"/>
      <c r="GB86" s="1177">
        <f t="shared" si="220"/>
        <v>0</v>
      </c>
      <c r="GC86" s="1573"/>
      <c r="GD86" s="1177">
        <f t="shared" si="221"/>
        <v>0</v>
      </c>
      <c r="GE86" s="1573"/>
      <c r="GF86" s="1177">
        <f t="shared" si="222"/>
        <v>0</v>
      </c>
      <c r="GG86" s="1573"/>
      <c r="GH86" s="1559"/>
      <c r="GI86" s="1166" t="s">
        <v>674</v>
      </c>
      <c r="GJ86" s="93">
        <v>2024</v>
      </c>
      <c r="GK86" s="93">
        <f>GJ86+1</f>
        <v>2025</v>
      </c>
      <c r="GL86" s="93">
        <f>GK86+1</f>
        <v>2026</v>
      </c>
      <c r="GM86" s="93" t="s">
        <v>673</v>
      </c>
      <c r="GN86" s="93"/>
      <c r="GO86" s="93"/>
      <c r="GP86" s="1568"/>
      <c r="GQ86" s="93"/>
      <c r="GR86" s="93"/>
      <c r="GS86" s="93"/>
    </row>
    <row r="87" spans="1:201" ht="15" customHeight="1" thickBot="1">
      <c r="A87" s="1571"/>
      <c r="B87" s="593" t="s">
        <v>216</v>
      </c>
      <c r="C87" s="661">
        <f t="shared" si="154"/>
        <v>0</v>
      </c>
      <c r="D87" s="661">
        <f t="shared" si="155"/>
        <v>0</v>
      </c>
      <c r="E87" s="661">
        <f t="shared" si="156"/>
        <v>0</v>
      </c>
      <c r="F87" s="661">
        <f t="shared" si="157"/>
        <v>0</v>
      </c>
      <c r="G87" s="661">
        <f t="shared" si="158"/>
        <v>0</v>
      </c>
      <c r="H87" s="661">
        <f t="shared" si="159"/>
        <v>0</v>
      </c>
      <c r="I87" s="661">
        <f t="shared" si="160"/>
        <v>0</v>
      </c>
      <c r="J87" s="661">
        <f t="shared" si="161"/>
        <v>0</v>
      </c>
      <c r="K87" s="661">
        <f t="shared" si="162"/>
        <v>0</v>
      </c>
      <c r="L87" s="661">
        <f t="shared" si="163"/>
        <v>0</v>
      </c>
      <c r="M87" s="661">
        <f t="shared" si="164"/>
        <v>0</v>
      </c>
      <c r="N87" s="661">
        <f t="shared" si="165"/>
        <v>0</v>
      </c>
      <c r="O87" s="661">
        <f t="shared" si="166"/>
        <v>0</v>
      </c>
      <c r="P87" s="661">
        <f t="shared" si="167"/>
        <v>0</v>
      </c>
      <c r="Q87" s="661">
        <f t="shared" si="168"/>
        <v>0</v>
      </c>
      <c r="R87" s="661">
        <f t="shared" si="169"/>
        <v>0</v>
      </c>
      <c r="S87" s="661">
        <f t="shared" si="170"/>
        <v>0</v>
      </c>
      <c r="T87" s="661">
        <f t="shared" si="171"/>
        <v>0</v>
      </c>
      <c r="U87" s="661">
        <f t="shared" si="172"/>
        <v>0</v>
      </c>
      <c r="V87" s="661">
        <f t="shared" si="173"/>
        <v>0</v>
      </c>
      <c r="W87" s="661"/>
      <c r="X87" s="661"/>
      <c r="Y87" s="661"/>
      <c r="Z87" s="661"/>
      <c r="AA87" s="661"/>
      <c r="AB87" s="661"/>
      <c r="AC87" s="661"/>
      <c r="AD87" s="661"/>
      <c r="AE87" s="661"/>
      <c r="AF87" s="661"/>
      <c r="AG87" s="661"/>
      <c r="AH87" s="661"/>
      <c r="AI87" s="661"/>
      <c r="AJ87" s="661"/>
      <c r="AK87" s="661"/>
      <c r="AL87" s="661"/>
      <c r="AM87" s="661"/>
      <c r="AN87" s="661"/>
      <c r="AO87" s="661"/>
      <c r="AP87" s="661"/>
      <c r="AQ87" s="1553"/>
      <c r="AR87" s="858">
        <f t="shared" si="174"/>
        <v>0</v>
      </c>
      <c r="AS87" s="858">
        <f t="shared" si="175"/>
        <v>0</v>
      </c>
      <c r="AT87" s="858">
        <f t="shared" si="176"/>
        <v>0</v>
      </c>
      <c r="AU87" s="858">
        <f t="shared" si="177"/>
        <v>0</v>
      </c>
      <c r="AV87" s="1167"/>
      <c r="AW87" s="1167"/>
      <c r="AX87" s="1167"/>
      <c r="AY87" s="1167"/>
      <c r="AZ87" s="1167"/>
      <c r="BA87" s="1167"/>
      <c r="BB87" s="1167"/>
      <c r="BC87" s="1167"/>
      <c r="BD87" s="1167"/>
      <c r="BE87" s="1167"/>
      <c r="BF87" s="1167"/>
      <c r="BG87" s="93"/>
      <c r="BH87" s="1147"/>
      <c r="BI87" s="93"/>
      <c r="BJ87" s="93"/>
      <c r="BK87" s="1147">
        <f t="shared" si="152"/>
        <v>4816283.8249319522</v>
      </c>
      <c r="BL87" s="1147">
        <f t="shared" si="153"/>
        <v>4829819.8346737996</v>
      </c>
      <c r="BM87" s="93"/>
      <c r="BN87" s="93"/>
      <c r="BO87" s="1571"/>
      <c r="BP87" s="593" t="s">
        <v>216</v>
      </c>
      <c r="BQ87" s="1168">
        <f t="shared" si="178"/>
        <v>0</v>
      </c>
      <c r="BR87" s="1168">
        <f t="shared" si="179"/>
        <v>0</v>
      </c>
      <c r="BS87" s="1168">
        <f t="shared" si="180"/>
        <v>0</v>
      </c>
      <c r="BT87" s="1168">
        <f t="shared" si="181"/>
        <v>0</v>
      </c>
      <c r="BU87" s="1168">
        <f t="shared" si="182"/>
        <v>0</v>
      </c>
      <c r="BV87" s="1168">
        <f t="shared" si="183"/>
        <v>0</v>
      </c>
      <c r="BW87" s="1168">
        <f t="shared" si="184"/>
        <v>0</v>
      </c>
      <c r="BX87" s="1168">
        <f t="shared" si="185"/>
        <v>0</v>
      </c>
      <c r="BY87" s="1168">
        <f t="shared" si="186"/>
        <v>0</v>
      </c>
      <c r="BZ87" s="1168">
        <f t="shared" si="187"/>
        <v>0</v>
      </c>
      <c r="CA87" s="1168">
        <f t="shared" si="188"/>
        <v>0</v>
      </c>
      <c r="CB87" s="1168">
        <f t="shared" si="189"/>
        <v>0</v>
      </c>
      <c r="CC87" s="1168">
        <f t="shared" si="190"/>
        <v>0</v>
      </c>
      <c r="CD87" s="1168">
        <f t="shared" si="191"/>
        <v>0</v>
      </c>
      <c r="CE87" s="1168">
        <f t="shared" si="192"/>
        <v>0</v>
      </c>
      <c r="CF87" s="1168">
        <f t="shared" si="193"/>
        <v>0</v>
      </c>
      <c r="CG87" s="1168">
        <f t="shared" si="194"/>
        <v>0</v>
      </c>
      <c r="CH87" s="1168">
        <f t="shared" si="195"/>
        <v>0</v>
      </c>
      <c r="CI87" s="1168">
        <f t="shared" si="196"/>
        <v>0</v>
      </c>
      <c r="CJ87" s="1168">
        <f t="shared" si="197"/>
        <v>0</v>
      </c>
      <c r="CK87" s="1168"/>
      <c r="CL87" s="1168"/>
      <c r="CM87" s="1168"/>
      <c r="CN87" s="1168"/>
      <c r="CO87" s="1168"/>
      <c r="CP87" s="1168"/>
      <c r="CQ87" s="1168"/>
      <c r="CR87" s="1168"/>
      <c r="CS87" s="1168"/>
      <c r="CT87" s="1168"/>
      <c r="CU87" s="1168"/>
      <c r="CV87" s="1168"/>
      <c r="CW87" s="1168"/>
      <c r="CX87" s="1168"/>
      <c r="CY87" s="1168"/>
      <c r="CZ87" s="1168"/>
      <c r="DA87" s="1168"/>
      <c r="DB87" s="1168"/>
      <c r="DC87" s="1168"/>
      <c r="DD87" s="1168"/>
      <c r="DE87" s="1555"/>
      <c r="DF87" s="858">
        <f t="shared" si="224"/>
        <v>0</v>
      </c>
      <c r="DG87" s="858">
        <f t="shared" si="225"/>
        <v>0</v>
      </c>
      <c r="DH87" s="858">
        <f t="shared" si="226"/>
        <v>0</v>
      </c>
      <c r="DI87" s="859">
        <f t="shared" si="227"/>
        <v>0</v>
      </c>
      <c r="DJ87" s="1167"/>
      <c r="DK87" s="1167"/>
      <c r="DL87" s="1167"/>
      <c r="DM87" s="1167"/>
      <c r="DN87" s="1167"/>
      <c r="DO87" s="1555"/>
      <c r="DP87" s="858">
        <f t="shared" si="233"/>
        <v>0</v>
      </c>
      <c r="DQ87" s="858">
        <f t="shared" si="233"/>
        <v>0</v>
      </c>
      <c r="DR87" s="858">
        <f t="shared" si="233"/>
        <v>0</v>
      </c>
      <c r="DS87" s="859">
        <f t="shared" si="233"/>
        <v>0</v>
      </c>
      <c r="DT87" s="1170"/>
      <c r="DU87" s="1170"/>
      <c r="DV87" s="1170"/>
      <c r="DW87" s="1170"/>
      <c r="DX87" s="1170"/>
      <c r="DY87" s="1170"/>
      <c r="DZ87" s="1643"/>
      <c r="EA87" s="1178"/>
      <c r="EB87" s="1175">
        <f t="shared" si="229"/>
        <v>0</v>
      </c>
      <c r="EC87" s="1171">
        <f t="shared" si="230"/>
        <v>0</v>
      </c>
      <c r="ED87" s="1171">
        <f t="shared" si="231"/>
        <v>0</v>
      </c>
      <c r="EE87" s="1171">
        <f t="shared" si="232"/>
        <v>0</v>
      </c>
      <c r="EF87" s="1145"/>
      <c r="EG87" s="1571"/>
      <c r="EH87" s="1174" t="s">
        <v>216</v>
      </c>
      <c r="EI87" s="1168">
        <f t="shared" si="199"/>
        <v>0</v>
      </c>
      <c r="EJ87" s="1168">
        <f t="shared" si="200"/>
        <v>0</v>
      </c>
      <c r="EK87" s="1168">
        <f t="shared" si="201"/>
        <v>0</v>
      </c>
      <c r="EL87" s="1168">
        <f t="shared" si="202"/>
        <v>0</v>
      </c>
      <c r="EM87" s="1168">
        <f t="shared" si="203"/>
        <v>0</v>
      </c>
      <c r="EN87" s="1168">
        <f t="shared" si="204"/>
        <v>0</v>
      </c>
      <c r="EO87" s="1168">
        <f t="shared" si="205"/>
        <v>0</v>
      </c>
      <c r="EP87" s="1168">
        <f t="shared" si="206"/>
        <v>0</v>
      </c>
      <c r="EQ87" s="1168">
        <f t="shared" si="207"/>
        <v>0</v>
      </c>
      <c r="ER87" s="1168">
        <f t="shared" si="208"/>
        <v>0</v>
      </c>
      <c r="ES87" s="1168">
        <f t="shared" si="209"/>
        <v>0</v>
      </c>
      <c r="ET87" s="1168">
        <f t="shared" si="210"/>
        <v>0</v>
      </c>
      <c r="EU87" s="1168">
        <f t="shared" si="211"/>
        <v>0</v>
      </c>
      <c r="EV87" s="1168">
        <f t="shared" si="212"/>
        <v>0</v>
      </c>
      <c r="EW87" s="1168">
        <f t="shared" si="213"/>
        <v>0</v>
      </c>
      <c r="EX87" s="1168">
        <f t="shared" si="214"/>
        <v>0</v>
      </c>
      <c r="EY87" s="1168">
        <f t="shared" si="215"/>
        <v>0</v>
      </c>
      <c r="EZ87" s="1168">
        <f t="shared" si="216"/>
        <v>0</v>
      </c>
      <c r="FA87" s="1168">
        <f t="shared" si="217"/>
        <v>0</v>
      </c>
      <c r="FB87" s="1168">
        <f t="shared" si="218"/>
        <v>0</v>
      </c>
      <c r="FC87" s="1168"/>
      <c r="FD87" s="1168"/>
      <c r="FE87" s="1168"/>
      <c r="FF87" s="1168"/>
      <c r="FG87" s="1168"/>
      <c r="FH87" s="1168"/>
      <c r="FI87" s="1168"/>
      <c r="FJ87" s="1168"/>
      <c r="FK87" s="1168"/>
      <c r="FL87" s="1168"/>
      <c r="FM87" s="1168"/>
      <c r="FN87" s="1168"/>
      <c r="FO87" s="1168"/>
      <c r="FP87" s="1168"/>
      <c r="FQ87" s="1168"/>
      <c r="FR87" s="1168"/>
      <c r="FS87" s="1168"/>
      <c r="FT87" s="1168"/>
      <c r="FU87" s="1168"/>
      <c r="FV87" s="1168"/>
      <c r="FW87" s="1168"/>
      <c r="FX87" s="1182"/>
      <c r="FY87" s="1183"/>
      <c r="FZ87" s="1184">
        <f t="shared" si="219"/>
        <v>0</v>
      </c>
      <c r="GA87" s="1573"/>
      <c r="GB87" s="1177">
        <f t="shared" si="220"/>
        <v>0</v>
      </c>
      <c r="GC87" s="1573"/>
      <c r="GD87" s="1177">
        <f t="shared" si="221"/>
        <v>0</v>
      </c>
      <c r="GE87" s="1573"/>
      <c r="GF87" s="1177">
        <f t="shared" si="222"/>
        <v>0</v>
      </c>
      <c r="GG87" s="1573"/>
      <c r="GH87" s="1559"/>
      <c r="GI87" s="93" t="s">
        <v>328</v>
      </c>
      <c r="GJ87" s="1147">
        <f>GJ56</f>
        <v>0</v>
      </c>
      <c r="GK87" s="1147">
        <f>GL56</f>
        <v>0</v>
      </c>
      <c r="GL87" s="1147">
        <f>GN56</f>
        <v>0</v>
      </c>
      <c r="GM87" s="1148">
        <f>NPV($GO$53,GJ87:GL87)</f>
        <v>0</v>
      </c>
      <c r="GN87" s="93"/>
      <c r="GO87" s="93"/>
      <c r="GP87" s="1568"/>
      <c r="GQ87" s="93"/>
      <c r="GR87" s="93"/>
      <c r="GS87" s="93"/>
    </row>
    <row r="88" spans="1:201" ht="15" customHeight="1" thickBot="1">
      <c r="A88" s="1571"/>
      <c r="B88" s="601" t="s">
        <v>217</v>
      </c>
      <c r="C88" s="661">
        <f t="shared" si="154"/>
        <v>0</v>
      </c>
      <c r="D88" s="661">
        <f t="shared" si="155"/>
        <v>0</v>
      </c>
      <c r="E88" s="661">
        <f t="shared" si="156"/>
        <v>0</v>
      </c>
      <c r="F88" s="661">
        <f t="shared" si="157"/>
        <v>0</v>
      </c>
      <c r="G88" s="661">
        <f t="shared" si="158"/>
        <v>0</v>
      </c>
      <c r="H88" s="661">
        <f t="shared" si="159"/>
        <v>0</v>
      </c>
      <c r="I88" s="661">
        <f t="shared" si="160"/>
        <v>0</v>
      </c>
      <c r="J88" s="661">
        <f t="shared" si="161"/>
        <v>0</v>
      </c>
      <c r="K88" s="661">
        <f t="shared" si="162"/>
        <v>0</v>
      </c>
      <c r="L88" s="661">
        <f t="shared" si="163"/>
        <v>0</v>
      </c>
      <c r="M88" s="661">
        <f t="shared" si="164"/>
        <v>0</v>
      </c>
      <c r="N88" s="661">
        <f t="shared" si="165"/>
        <v>0</v>
      </c>
      <c r="O88" s="661">
        <f t="shared" si="166"/>
        <v>0</v>
      </c>
      <c r="P88" s="661">
        <f t="shared" si="167"/>
        <v>0</v>
      </c>
      <c r="Q88" s="661">
        <f t="shared" si="168"/>
        <v>0</v>
      </c>
      <c r="R88" s="661">
        <f t="shared" si="169"/>
        <v>0</v>
      </c>
      <c r="S88" s="661">
        <f t="shared" si="170"/>
        <v>0</v>
      </c>
      <c r="T88" s="661">
        <f t="shared" si="171"/>
        <v>0</v>
      </c>
      <c r="U88" s="661">
        <f t="shared" si="172"/>
        <v>0</v>
      </c>
      <c r="V88" s="661">
        <f t="shared" si="173"/>
        <v>0</v>
      </c>
      <c r="W88" s="661"/>
      <c r="X88" s="661"/>
      <c r="Y88" s="661"/>
      <c r="Z88" s="661"/>
      <c r="AA88" s="661"/>
      <c r="AB88" s="661"/>
      <c r="AC88" s="661"/>
      <c r="AD88" s="661"/>
      <c r="AE88" s="661"/>
      <c r="AF88" s="661"/>
      <c r="AG88" s="661"/>
      <c r="AH88" s="661"/>
      <c r="AI88" s="661"/>
      <c r="AJ88" s="661"/>
      <c r="AK88" s="661"/>
      <c r="AL88" s="661"/>
      <c r="AM88" s="661"/>
      <c r="AN88" s="661"/>
      <c r="AO88" s="661"/>
      <c r="AP88" s="661"/>
      <c r="AQ88" s="1553"/>
      <c r="AR88" s="858">
        <f t="shared" si="174"/>
        <v>0</v>
      </c>
      <c r="AS88" s="858">
        <f t="shared" si="175"/>
        <v>0</v>
      </c>
      <c r="AT88" s="858">
        <f t="shared" si="176"/>
        <v>0</v>
      </c>
      <c r="AU88" s="858">
        <f t="shared" si="177"/>
        <v>0</v>
      </c>
      <c r="AV88" s="1167"/>
      <c r="AW88" s="1167"/>
      <c r="AX88" s="1167"/>
      <c r="AY88" s="1167"/>
      <c r="AZ88" s="1167"/>
      <c r="BA88" s="1167"/>
      <c r="BB88" s="1167"/>
      <c r="BC88" s="1167"/>
      <c r="BD88" s="1167"/>
      <c r="BE88" s="1167"/>
      <c r="BF88" s="1167"/>
      <c r="BG88" s="93"/>
      <c r="BH88" s="93"/>
      <c r="BI88" s="93"/>
      <c r="BJ88" s="93"/>
      <c r="BK88" s="1147">
        <f t="shared" si="152"/>
        <v>10504900.580653824</v>
      </c>
      <c r="BL88" s="1147">
        <f t="shared" si="153"/>
        <v>10004531.070041254</v>
      </c>
      <c r="BM88" s="93"/>
      <c r="BN88" s="93"/>
      <c r="BO88" s="1571"/>
      <c r="BP88" s="601" t="s">
        <v>217</v>
      </c>
      <c r="BQ88" s="1168">
        <f t="shared" si="178"/>
        <v>0</v>
      </c>
      <c r="BR88" s="1168">
        <f t="shared" si="179"/>
        <v>0</v>
      </c>
      <c r="BS88" s="1168">
        <f t="shared" si="180"/>
        <v>0</v>
      </c>
      <c r="BT88" s="1168">
        <f t="shared" si="181"/>
        <v>0</v>
      </c>
      <c r="BU88" s="1168">
        <f t="shared" si="182"/>
        <v>0</v>
      </c>
      <c r="BV88" s="1168">
        <f t="shared" si="183"/>
        <v>0</v>
      </c>
      <c r="BW88" s="1168">
        <f t="shared" si="184"/>
        <v>0</v>
      </c>
      <c r="BX88" s="1168">
        <f t="shared" si="185"/>
        <v>0</v>
      </c>
      <c r="BY88" s="1168">
        <f t="shared" si="186"/>
        <v>0</v>
      </c>
      <c r="BZ88" s="1168">
        <f t="shared" si="187"/>
        <v>0</v>
      </c>
      <c r="CA88" s="1168">
        <f t="shared" si="188"/>
        <v>0</v>
      </c>
      <c r="CB88" s="1168">
        <f t="shared" si="189"/>
        <v>0</v>
      </c>
      <c r="CC88" s="1168">
        <f t="shared" si="190"/>
        <v>0</v>
      </c>
      <c r="CD88" s="1168">
        <f t="shared" si="191"/>
        <v>0</v>
      </c>
      <c r="CE88" s="1168">
        <f t="shared" si="192"/>
        <v>0</v>
      </c>
      <c r="CF88" s="1168">
        <f t="shared" si="193"/>
        <v>0</v>
      </c>
      <c r="CG88" s="1168">
        <f t="shared" si="194"/>
        <v>0</v>
      </c>
      <c r="CH88" s="1168">
        <f t="shared" si="195"/>
        <v>0</v>
      </c>
      <c r="CI88" s="1168">
        <f t="shared" si="196"/>
        <v>0</v>
      </c>
      <c r="CJ88" s="1168">
        <f t="shared" si="197"/>
        <v>0</v>
      </c>
      <c r="CK88" s="1168"/>
      <c r="CL88" s="1168"/>
      <c r="CM88" s="1168"/>
      <c r="CN88" s="1168"/>
      <c r="CO88" s="1168"/>
      <c r="CP88" s="1168"/>
      <c r="CQ88" s="1168"/>
      <c r="CR88" s="1168"/>
      <c r="CS88" s="1168"/>
      <c r="CT88" s="1168"/>
      <c r="CU88" s="1168"/>
      <c r="CV88" s="1168"/>
      <c r="CW88" s="1168"/>
      <c r="CX88" s="1168"/>
      <c r="CY88" s="1168"/>
      <c r="CZ88" s="1168"/>
      <c r="DA88" s="1168"/>
      <c r="DB88" s="1168"/>
      <c r="DC88" s="1168"/>
      <c r="DD88" s="1168"/>
      <c r="DE88" s="1555"/>
      <c r="DF88" s="858">
        <f t="shared" si="224"/>
        <v>0</v>
      </c>
      <c r="DG88" s="858">
        <f t="shared" si="225"/>
        <v>0</v>
      </c>
      <c r="DH88" s="858">
        <f t="shared" si="226"/>
        <v>0</v>
      </c>
      <c r="DI88" s="859">
        <f t="shared" si="227"/>
        <v>0</v>
      </c>
      <c r="DJ88" s="1167"/>
      <c r="DK88" s="1167"/>
      <c r="DL88" s="1167"/>
      <c r="DM88" s="1167"/>
      <c r="DN88" s="1167"/>
      <c r="DO88" s="1555"/>
      <c r="DP88" s="858">
        <f t="shared" si="233"/>
        <v>0</v>
      </c>
      <c r="DQ88" s="858">
        <f t="shared" si="233"/>
        <v>0</v>
      </c>
      <c r="DR88" s="858">
        <f t="shared" si="233"/>
        <v>0</v>
      </c>
      <c r="DS88" s="859">
        <f t="shared" si="233"/>
        <v>0</v>
      </c>
      <c r="DT88" s="1170"/>
      <c r="DU88" s="1170"/>
      <c r="DV88" s="1170"/>
      <c r="DW88" s="1170"/>
      <c r="DX88" s="1170"/>
      <c r="DY88" s="1170"/>
      <c r="DZ88" s="1641">
        <v>3</v>
      </c>
      <c r="EA88" s="1178"/>
      <c r="EB88" s="1178"/>
      <c r="EC88" s="1171">
        <f t="shared" si="230"/>
        <v>0</v>
      </c>
      <c r="ED88" s="1171">
        <f t="shared" si="231"/>
        <v>0</v>
      </c>
      <c r="EE88" s="1171">
        <f t="shared" si="232"/>
        <v>0</v>
      </c>
      <c r="EF88" s="1145"/>
      <c r="EG88" s="1571"/>
      <c r="EH88" s="1185" t="s">
        <v>217</v>
      </c>
      <c r="EI88" s="1168">
        <f t="shared" si="199"/>
        <v>0</v>
      </c>
      <c r="EJ88" s="1168">
        <f t="shared" si="200"/>
        <v>0</v>
      </c>
      <c r="EK88" s="1168">
        <f t="shared" si="201"/>
        <v>0</v>
      </c>
      <c r="EL88" s="1168">
        <f t="shared" si="202"/>
        <v>0</v>
      </c>
      <c r="EM88" s="1168">
        <f t="shared" si="203"/>
        <v>0</v>
      </c>
      <c r="EN88" s="1168">
        <f t="shared" si="204"/>
        <v>0</v>
      </c>
      <c r="EO88" s="1168">
        <f t="shared" si="205"/>
        <v>0</v>
      </c>
      <c r="EP88" s="1168">
        <f t="shared" si="206"/>
        <v>0</v>
      </c>
      <c r="EQ88" s="1168">
        <f t="shared" si="207"/>
        <v>0</v>
      </c>
      <c r="ER88" s="1168">
        <f t="shared" si="208"/>
        <v>0</v>
      </c>
      <c r="ES88" s="1168">
        <f t="shared" si="209"/>
        <v>0</v>
      </c>
      <c r="ET88" s="1168">
        <f t="shared" si="210"/>
        <v>0</v>
      </c>
      <c r="EU88" s="1168">
        <f t="shared" si="211"/>
        <v>0</v>
      </c>
      <c r="EV88" s="1168">
        <f t="shared" si="212"/>
        <v>0</v>
      </c>
      <c r="EW88" s="1168">
        <f t="shared" si="213"/>
        <v>0</v>
      </c>
      <c r="EX88" s="1168">
        <f t="shared" si="214"/>
        <v>0</v>
      </c>
      <c r="EY88" s="1168">
        <f t="shared" si="215"/>
        <v>0</v>
      </c>
      <c r="EZ88" s="1168">
        <f t="shared" si="216"/>
        <v>0</v>
      </c>
      <c r="FA88" s="1168">
        <f t="shared" si="217"/>
        <v>0</v>
      </c>
      <c r="FB88" s="1168">
        <f t="shared" si="218"/>
        <v>0</v>
      </c>
      <c r="FC88" s="1168"/>
      <c r="FD88" s="1168"/>
      <c r="FE88" s="1168"/>
      <c r="FF88" s="1168"/>
      <c r="FG88" s="1168"/>
      <c r="FH88" s="1168"/>
      <c r="FI88" s="1168"/>
      <c r="FJ88" s="1168"/>
      <c r="FK88" s="1168"/>
      <c r="FL88" s="1168"/>
      <c r="FM88" s="1168"/>
      <c r="FN88" s="1168"/>
      <c r="FO88" s="1168"/>
      <c r="FP88" s="1168"/>
      <c r="FQ88" s="1168"/>
      <c r="FR88" s="1168"/>
      <c r="FS88" s="1168"/>
      <c r="FT88" s="1168"/>
      <c r="FU88" s="1168"/>
      <c r="FV88" s="1168"/>
      <c r="FW88" s="1168"/>
      <c r="FX88" s="1182"/>
      <c r="FY88" s="1183"/>
      <c r="FZ88" s="1184">
        <f t="shared" si="219"/>
        <v>0</v>
      </c>
      <c r="GA88" s="1573"/>
      <c r="GB88" s="1177">
        <f t="shared" si="220"/>
        <v>0</v>
      </c>
      <c r="GC88" s="1573"/>
      <c r="GD88" s="1177">
        <f t="shared" si="221"/>
        <v>0</v>
      </c>
      <c r="GE88" s="1573"/>
      <c r="GF88" s="1177">
        <f t="shared" si="222"/>
        <v>0</v>
      </c>
      <c r="GG88" s="1573"/>
      <c r="GH88" s="1560"/>
      <c r="GI88" s="93" t="s">
        <v>662</v>
      </c>
      <c r="GJ88" s="1147">
        <f>GJ57</f>
        <v>0</v>
      </c>
      <c r="GK88" s="1147">
        <f>GL57</f>
        <v>0</v>
      </c>
      <c r="GL88" s="1147">
        <f>GN57</f>
        <v>0</v>
      </c>
      <c r="GM88" s="1148">
        <f>NPV($GO$53,GJ88:GL88)</f>
        <v>0</v>
      </c>
      <c r="GN88" s="93"/>
      <c r="GO88" s="93"/>
      <c r="GP88" s="1568"/>
      <c r="GQ88" s="93"/>
      <c r="GR88" s="93"/>
      <c r="GS88" s="93"/>
    </row>
    <row r="89" spans="1:201" ht="15" customHeight="1" thickBot="1">
      <c r="A89" s="1571">
        <v>3</v>
      </c>
      <c r="B89" s="601" t="s">
        <v>218</v>
      </c>
      <c r="C89" s="661">
        <f t="shared" si="154"/>
        <v>0</v>
      </c>
      <c r="D89" s="661">
        <f t="shared" si="155"/>
        <v>0</v>
      </c>
      <c r="E89" s="661">
        <f t="shared" si="156"/>
        <v>0</v>
      </c>
      <c r="F89" s="661">
        <f t="shared" si="157"/>
        <v>0</v>
      </c>
      <c r="G89" s="661">
        <f t="shared" si="158"/>
        <v>0</v>
      </c>
      <c r="H89" s="661">
        <f t="shared" si="159"/>
        <v>0</v>
      </c>
      <c r="I89" s="661">
        <f t="shared" si="160"/>
        <v>0</v>
      </c>
      <c r="J89" s="661">
        <f t="shared" si="161"/>
        <v>0</v>
      </c>
      <c r="K89" s="661">
        <f t="shared" si="162"/>
        <v>0</v>
      </c>
      <c r="L89" s="661">
        <f t="shared" si="163"/>
        <v>0</v>
      </c>
      <c r="M89" s="661">
        <f t="shared" si="164"/>
        <v>0</v>
      </c>
      <c r="N89" s="661">
        <f t="shared" si="165"/>
        <v>0</v>
      </c>
      <c r="O89" s="661">
        <f t="shared" si="166"/>
        <v>0</v>
      </c>
      <c r="P89" s="661">
        <f t="shared" si="167"/>
        <v>0</v>
      </c>
      <c r="Q89" s="661">
        <f t="shared" si="168"/>
        <v>0</v>
      </c>
      <c r="R89" s="661">
        <f t="shared" si="169"/>
        <v>0</v>
      </c>
      <c r="S89" s="661">
        <f t="shared" si="170"/>
        <v>0</v>
      </c>
      <c r="T89" s="661">
        <f t="shared" si="171"/>
        <v>0</v>
      </c>
      <c r="U89" s="661">
        <f t="shared" si="172"/>
        <v>0</v>
      </c>
      <c r="V89" s="661">
        <f t="shared" si="173"/>
        <v>0</v>
      </c>
      <c r="W89" s="661"/>
      <c r="X89" s="661"/>
      <c r="Y89" s="661"/>
      <c r="Z89" s="661"/>
      <c r="AA89" s="661"/>
      <c r="AB89" s="661"/>
      <c r="AC89" s="661"/>
      <c r="AD89" s="661"/>
      <c r="AE89" s="661"/>
      <c r="AF89" s="661"/>
      <c r="AG89" s="661"/>
      <c r="AH89" s="661"/>
      <c r="AI89" s="661"/>
      <c r="AJ89" s="661"/>
      <c r="AK89" s="661"/>
      <c r="AL89" s="661"/>
      <c r="AM89" s="661"/>
      <c r="AN89" s="661"/>
      <c r="AO89" s="661"/>
      <c r="AP89" s="661"/>
      <c r="AQ89" s="1553"/>
      <c r="AR89" s="1552"/>
      <c r="AS89" s="858">
        <f t="shared" si="175"/>
        <v>0</v>
      </c>
      <c r="AT89" s="858">
        <f t="shared" si="176"/>
        <v>0</v>
      </c>
      <c r="AU89" s="858">
        <f t="shared" si="177"/>
        <v>0</v>
      </c>
      <c r="AV89" s="1167"/>
      <c r="AW89" s="1167"/>
      <c r="AX89" s="1167"/>
      <c r="AY89" s="1167"/>
      <c r="AZ89" s="1167"/>
      <c r="BA89" s="1167"/>
      <c r="BB89" s="1167"/>
      <c r="BC89" s="1167"/>
      <c r="BD89" s="1167"/>
      <c r="BE89" s="1167"/>
      <c r="BF89" s="1167"/>
      <c r="BG89" s="93"/>
      <c r="BH89" s="93"/>
      <c r="BI89" s="1147"/>
      <c r="BJ89" s="93"/>
      <c r="BK89" s="1147">
        <f t="shared" si="152"/>
        <v>2258085.6810093098</v>
      </c>
      <c r="BL89" s="1147">
        <f t="shared" si="153"/>
        <v>2024252.1700350018</v>
      </c>
      <c r="BM89" s="93"/>
      <c r="BN89" s="93"/>
      <c r="BO89" s="1571">
        <v>3</v>
      </c>
      <c r="BP89" s="601" t="s">
        <v>218</v>
      </c>
      <c r="BQ89" s="1168">
        <f t="shared" si="178"/>
        <v>0</v>
      </c>
      <c r="BR89" s="1168">
        <f t="shared" si="179"/>
        <v>0</v>
      </c>
      <c r="BS89" s="1168">
        <f t="shared" si="180"/>
        <v>0</v>
      </c>
      <c r="BT89" s="1168">
        <f t="shared" si="181"/>
        <v>0</v>
      </c>
      <c r="BU89" s="1168">
        <f t="shared" si="182"/>
        <v>0</v>
      </c>
      <c r="BV89" s="1168">
        <f t="shared" si="183"/>
        <v>0</v>
      </c>
      <c r="BW89" s="1168">
        <f t="shared" si="184"/>
        <v>0</v>
      </c>
      <c r="BX89" s="1168">
        <f t="shared" si="185"/>
        <v>0</v>
      </c>
      <c r="BY89" s="1168">
        <f t="shared" si="186"/>
        <v>0</v>
      </c>
      <c r="BZ89" s="1168">
        <f t="shared" si="187"/>
        <v>0</v>
      </c>
      <c r="CA89" s="1168">
        <f t="shared" si="188"/>
        <v>0</v>
      </c>
      <c r="CB89" s="1168">
        <f t="shared" si="189"/>
        <v>0</v>
      </c>
      <c r="CC89" s="1168">
        <f t="shared" si="190"/>
        <v>0</v>
      </c>
      <c r="CD89" s="1168">
        <f t="shared" si="191"/>
        <v>0</v>
      </c>
      <c r="CE89" s="1168">
        <f t="shared" si="192"/>
        <v>0</v>
      </c>
      <c r="CF89" s="1168">
        <f t="shared" si="193"/>
        <v>0</v>
      </c>
      <c r="CG89" s="1168">
        <f t="shared" si="194"/>
        <v>0</v>
      </c>
      <c r="CH89" s="1168">
        <f t="shared" si="195"/>
        <v>0</v>
      </c>
      <c r="CI89" s="1168">
        <f t="shared" si="196"/>
        <v>0</v>
      </c>
      <c r="CJ89" s="1168">
        <f t="shared" si="197"/>
        <v>0</v>
      </c>
      <c r="CK89" s="1168"/>
      <c r="CL89" s="1168"/>
      <c r="CM89" s="1168"/>
      <c r="CN89" s="1168"/>
      <c r="CO89" s="1168"/>
      <c r="CP89" s="1168"/>
      <c r="CQ89" s="1168"/>
      <c r="CR89" s="1168"/>
      <c r="CS89" s="1168"/>
      <c r="CT89" s="1168"/>
      <c r="CU89" s="1168"/>
      <c r="CV89" s="1168"/>
      <c r="CW89" s="1168"/>
      <c r="CX89" s="1168"/>
      <c r="CY89" s="1168"/>
      <c r="CZ89" s="1168"/>
      <c r="DA89" s="1168"/>
      <c r="DB89" s="1168"/>
      <c r="DC89" s="1168"/>
      <c r="DD89" s="1168"/>
      <c r="DE89" s="1555"/>
      <c r="DF89" s="1552"/>
      <c r="DG89" s="858">
        <f t="shared" si="225"/>
        <v>0</v>
      </c>
      <c r="DH89" s="858">
        <f t="shared" si="226"/>
        <v>0</v>
      </c>
      <c r="DI89" s="859">
        <f t="shared" si="227"/>
        <v>0</v>
      </c>
      <c r="DJ89" s="1167"/>
      <c r="DK89" s="1167"/>
      <c r="DL89" s="1167"/>
      <c r="DM89" s="1167"/>
      <c r="DN89" s="1167"/>
      <c r="DO89" s="1555"/>
      <c r="DP89" s="1552"/>
      <c r="DQ89" s="858">
        <f t="shared" ref="DQ89:DS92" si="234">AS89-DG89</f>
        <v>0</v>
      </c>
      <c r="DR89" s="858">
        <f t="shared" si="234"/>
        <v>0</v>
      </c>
      <c r="DS89" s="859">
        <f t="shared" si="234"/>
        <v>0</v>
      </c>
      <c r="DT89" s="1170"/>
      <c r="DU89" s="1170"/>
      <c r="DV89" s="1170"/>
      <c r="DW89" s="1170"/>
      <c r="DX89" s="1170"/>
      <c r="DY89" s="1170"/>
      <c r="DZ89" s="1642"/>
      <c r="EA89" s="1178"/>
      <c r="EB89" s="1178"/>
      <c r="EC89" s="1171">
        <f t="shared" si="230"/>
        <v>0</v>
      </c>
      <c r="ED89" s="1171">
        <f t="shared" si="231"/>
        <v>0</v>
      </c>
      <c r="EE89" s="1171">
        <f t="shared" si="232"/>
        <v>0</v>
      </c>
      <c r="EF89" s="1145"/>
      <c r="EG89" s="1571">
        <v>3</v>
      </c>
      <c r="EH89" s="1185" t="s">
        <v>218</v>
      </c>
      <c r="EI89" s="1168">
        <f t="shared" si="199"/>
        <v>0</v>
      </c>
      <c r="EJ89" s="1168">
        <f t="shared" si="200"/>
        <v>0</v>
      </c>
      <c r="EK89" s="1168">
        <f t="shared" si="201"/>
        <v>0</v>
      </c>
      <c r="EL89" s="1168">
        <f t="shared" si="202"/>
        <v>0</v>
      </c>
      <c r="EM89" s="1168">
        <f t="shared" si="203"/>
        <v>0</v>
      </c>
      <c r="EN89" s="1168">
        <f t="shared" si="204"/>
        <v>0</v>
      </c>
      <c r="EO89" s="1168">
        <f t="shared" si="205"/>
        <v>0</v>
      </c>
      <c r="EP89" s="1168">
        <f t="shared" si="206"/>
        <v>0</v>
      </c>
      <c r="EQ89" s="1168">
        <f t="shared" si="207"/>
        <v>0</v>
      </c>
      <c r="ER89" s="1168">
        <f t="shared" si="208"/>
        <v>0</v>
      </c>
      <c r="ES89" s="1168">
        <f t="shared" si="209"/>
        <v>0</v>
      </c>
      <c r="ET89" s="1168">
        <f t="shared" si="210"/>
        <v>0</v>
      </c>
      <c r="EU89" s="1168">
        <f t="shared" si="211"/>
        <v>0</v>
      </c>
      <c r="EV89" s="1168">
        <f t="shared" si="212"/>
        <v>0</v>
      </c>
      <c r="EW89" s="1168">
        <f t="shared" si="213"/>
        <v>0</v>
      </c>
      <c r="EX89" s="1168">
        <f t="shared" si="214"/>
        <v>0</v>
      </c>
      <c r="EY89" s="1168">
        <f t="shared" si="215"/>
        <v>0</v>
      </c>
      <c r="EZ89" s="1168">
        <f t="shared" si="216"/>
        <v>0</v>
      </c>
      <c r="FA89" s="1168">
        <f t="shared" si="217"/>
        <v>0</v>
      </c>
      <c r="FB89" s="1168">
        <f t="shared" si="218"/>
        <v>0</v>
      </c>
      <c r="FC89" s="1168"/>
      <c r="FD89" s="1168"/>
      <c r="FE89" s="1168"/>
      <c r="FF89" s="1168"/>
      <c r="FG89" s="1168"/>
      <c r="FH89" s="1168"/>
      <c r="FI89" s="1168"/>
      <c r="FJ89" s="1168"/>
      <c r="FK89" s="1168"/>
      <c r="FL89" s="1168"/>
      <c r="FM89" s="1168"/>
      <c r="FN89" s="1168"/>
      <c r="FO89" s="1168"/>
      <c r="FP89" s="1168"/>
      <c r="FQ89" s="1168"/>
      <c r="FR89" s="1168"/>
      <c r="FS89" s="1168"/>
      <c r="FT89" s="1168"/>
      <c r="FU89" s="1168"/>
      <c r="FV89" s="1168"/>
      <c r="FW89" s="1168"/>
      <c r="FX89" s="1182"/>
      <c r="FY89" s="1183"/>
      <c r="FZ89" s="93"/>
      <c r="GA89" s="93"/>
      <c r="GB89" s="1177">
        <f t="shared" si="220"/>
        <v>0</v>
      </c>
      <c r="GC89" s="1573">
        <f>SUM(GB89:GB92)</f>
        <v>0</v>
      </c>
      <c r="GD89" s="1177">
        <f t="shared" si="221"/>
        <v>0</v>
      </c>
      <c r="GE89" s="1573">
        <f>SUM(GD89:GD92)</f>
        <v>0</v>
      </c>
      <c r="GF89" s="1177">
        <f t="shared" si="222"/>
        <v>0</v>
      </c>
      <c r="GG89" s="1573">
        <f>SUM(GF89:GF92)</f>
        <v>0</v>
      </c>
      <c r="GH89" s="1558">
        <f>GG89+GE89+GC89</f>
        <v>0</v>
      </c>
      <c r="GI89" s="93" t="s">
        <v>283</v>
      </c>
      <c r="GJ89" s="1147">
        <f>GJ58</f>
        <v>0</v>
      </c>
      <c r="GK89" s="1147">
        <f>GL58</f>
        <v>0</v>
      </c>
      <c r="GL89" s="1147">
        <f>GN58</f>
        <v>0</v>
      </c>
      <c r="GM89" s="1148">
        <f>NPV($GO$53,GJ89:GL89)</f>
        <v>0</v>
      </c>
      <c r="GN89" s="93"/>
      <c r="GO89" s="93"/>
      <c r="GP89" s="1568">
        <f>SUM(EI89:FB92)</f>
        <v>0</v>
      </c>
      <c r="GQ89" s="93"/>
      <c r="GR89" s="93"/>
      <c r="GS89" s="93"/>
    </row>
    <row r="90" spans="1:201" ht="15" customHeight="1" thickBot="1">
      <c r="A90" s="1571"/>
      <c r="B90" s="601" t="s">
        <v>219</v>
      </c>
      <c r="C90" s="661">
        <f t="shared" si="154"/>
        <v>0</v>
      </c>
      <c r="D90" s="661">
        <f t="shared" si="155"/>
        <v>0</v>
      </c>
      <c r="E90" s="661">
        <f t="shared" si="156"/>
        <v>0</v>
      </c>
      <c r="F90" s="661">
        <f t="shared" si="157"/>
        <v>0</v>
      </c>
      <c r="G90" s="661">
        <f t="shared" si="158"/>
        <v>0</v>
      </c>
      <c r="H90" s="661">
        <f t="shared" si="159"/>
        <v>0</v>
      </c>
      <c r="I90" s="661">
        <f t="shared" si="160"/>
        <v>0</v>
      </c>
      <c r="J90" s="661">
        <f t="shared" si="161"/>
        <v>0</v>
      </c>
      <c r="K90" s="661">
        <f t="shared" si="162"/>
        <v>0</v>
      </c>
      <c r="L90" s="661">
        <f t="shared" si="163"/>
        <v>0</v>
      </c>
      <c r="M90" s="661">
        <f t="shared" si="164"/>
        <v>0</v>
      </c>
      <c r="N90" s="661">
        <f t="shared" si="165"/>
        <v>0</v>
      </c>
      <c r="O90" s="661">
        <f t="shared" si="166"/>
        <v>0</v>
      </c>
      <c r="P90" s="661">
        <f t="shared" si="167"/>
        <v>0</v>
      </c>
      <c r="Q90" s="661">
        <f t="shared" si="168"/>
        <v>0</v>
      </c>
      <c r="R90" s="661">
        <f t="shared" si="169"/>
        <v>0</v>
      </c>
      <c r="S90" s="661">
        <f t="shared" si="170"/>
        <v>0</v>
      </c>
      <c r="T90" s="661">
        <f t="shared" si="171"/>
        <v>0</v>
      </c>
      <c r="U90" s="661">
        <f t="shared" si="172"/>
        <v>0</v>
      </c>
      <c r="V90" s="661">
        <f t="shared" si="173"/>
        <v>0</v>
      </c>
      <c r="W90" s="661"/>
      <c r="X90" s="661"/>
      <c r="Y90" s="661"/>
      <c r="Z90" s="661"/>
      <c r="AA90" s="661"/>
      <c r="AB90" s="661"/>
      <c r="AC90" s="661"/>
      <c r="AD90" s="661"/>
      <c r="AE90" s="661"/>
      <c r="AF90" s="661"/>
      <c r="AG90" s="661"/>
      <c r="AH90" s="661"/>
      <c r="AI90" s="661"/>
      <c r="AJ90" s="661"/>
      <c r="AK90" s="661"/>
      <c r="AL90" s="661"/>
      <c r="AM90" s="661"/>
      <c r="AN90" s="661"/>
      <c r="AO90" s="661"/>
      <c r="AP90" s="661"/>
      <c r="AQ90" s="1553"/>
      <c r="AR90" s="1553"/>
      <c r="AS90" s="858">
        <f t="shared" si="175"/>
        <v>0</v>
      </c>
      <c r="AT90" s="858">
        <f t="shared" si="176"/>
        <v>0</v>
      </c>
      <c r="AU90" s="858">
        <f t="shared" si="177"/>
        <v>0</v>
      </c>
      <c r="AV90" s="1167"/>
      <c r="AW90" s="1167"/>
      <c r="AX90" s="1167"/>
      <c r="AY90" s="1167"/>
      <c r="AZ90" s="1167"/>
      <c r="BA90" s="1167"/>
      <c r="BB90" s="1167"/>
      <c r="BC90" s="1167"/>
      <c r="BD90" s="1167"/>
      <c r="BE90" s="1167"/>
      <c r="BF90" s="1167"/>
      <c r="BG90" s="93"/>
      <c r="BH90" s="93"/>
      <c r="BI90" s="1147"/>
      <c r="BJ90" s="93"/>
      <c r="BK90" s="1147">
        <f t="shared" si="152"/>
        <v>8000219.3555474151</v>
      </c>
      <c r="BL90" s="1147">
        <f t="shared" si="153"/>
        <v>7940389.6351138707</v>
      </c>
      <c r="BM90" s="93"/>
      <c r="BN90" s="93"/>
      <c r="BO90" s="1571"/>
      <c r="BP90" s="601" t="s">
        <v>219</v>
      </c>
      <c r="BQ90" s="1168">
        <f t="shared" si="178"/>
        <v>0</v>
      </c>
      <c r="BR90" s="1168">
        <f t="shared" si="179"/>
        <v>0</v>
      </c>
      <c r="BS90" s="1168">
        <f t="shared" si="180"/>
        <v>0</v>
      </c>
      <c r="BT90" s="1168">
        <f t="shared" si="181"/>
        <v>0</v>
      </c>
      <c r="BU90" s="1168">
        <f t="shared" si="182"/>
        <v>0</v>
      </c>
      <c r="BV90" s="1168">
        <f t="shared" si="183"/>
        <v>0</v>
      </c>
      <c r="BW90" s="1168">
        <f t="shared" si="184"/>
        <v>0</v>
      </c>
      <c r="BX90" s="1168">
        <f t="shared" si="185"/>
        <v>0</v>
      </c>
      <c r="BY90" s="1168">
        <f t="shared" si="186"/>
        <v>0</v>
      </c>
      <c r="BZ90" s="1168">
        <f t="shared" si="187"/>
        <v>0</v>
      </c>
      <c r="CA90" s="1168">
        <f t="shared" si="188"/>
        <v>0</v>
      </c>
      <c r="CB90" s="1168">
        <f t="shared" si="189"/>
        <v>0</v>
      </c>
      <c r="CC90" s="1168">
        <f t="shared" si="190"/>
        <v>0</v>
      </c>
      <c r="CD90" s="1168">
        <f t="shared" si="191"/>
        <v>0</v>
      </c>
      <c r="CE90" s="1168">
        <f t="shared" si="192"/>
        <v>0</v>
      </c>
      <c r="CF90" s="1168">
        <f t="shared" si="193"/>
        <v>0</v>
      </c>
      <c r="CG90" s="1168">
        <f t="shared" si="194"/>
        <v>0</v>
      </c>
      <c r="CH90" s="1168">
        <f t="shared" si="195"/>
        <v>0</v>
      </c>
      <c r="CI90" s="1168">
        <f t="shared" si="196"/>
        <v>0</v>
      </c>
      <c r="CJ90" s="1168">
        <f t="shared" si="197"/>
        <v>0</v>
      </c>
      <c r="CK90" s="1168"/>
      <c r="CL90" s="1168"/>
      <c r="CM90" s="1168"/>
      <c r="CN90" s="1168"/>
      <c r="CO90" s="1168"/>
      <c r="CP90" s="1168"/>
      <c r="CQ90" s="1168"/>
      <c r="CR90" s="1168"/>
      <c r="CS90" s="1168"/>
      <c r="CT90" s="1168"/>
      <c r="CU90" s="1168"/>
      <c r="CV90" s="1168"/>
      <c r="CW90" s="1168"/>
      <c r="CX90" s="1168"/>
      <c r="CY90" s="1168"/>
      <c r="CZ90" s="1168"/>
      <c r="DA90" s="1168"/>
      <c r="DB90" s="1168"/>
      <c r="DC90" s="1168"/>
      <c r="DD90" s="1168"/>
      <c r="DE90" s="1555"/>
      <c r="DF90" s="1553"/>
      <c r="DG90" s="858">
        <f t="shared" si="225"/>
        <v>0</v>
      </c>
      <c r="DH90" s="858">
        <f t="shared" si="226"/>
        <v>0</v>
      </c>
      <c r="DI90" s="859">
        <f t="shared" si="227"/>
        <v>0</v>
      </c>
      <c r="DJ90" s="1167"/>
      <c r="DK90" s="1167"/>
      <c r="DL90" s="1167"/>
      <c r="DM90" s="1167"/>
      <c r="DN90" s="1167"/>
      <c r="DO90" s="1555"/>
      <c r="DP90" s="1553"/>
      <c r="DQ90" s="858">
        <f t="shared" si="234"/>
        <v>0</v>
      </c>
      <c r="DR90" s="858">
        <f t="shared" si="234"/>
        <v>0</v>
      </c>
      <c r="DS90" s="859">
        <f t="shared" si="234"/>
        <v>0</v>
      </c>
      <c r="DT90" s="1170"/>
      <c r="DU90" s="1170"/>
      <c r="DV90" s="1170"/>
      <c r="DW90" s="1170"/>
      <c r="DX90" s="1170"/>
      <c r="DY90" s="1170"/>
      <c r="DZ90" s="1643"/>
      <c r="EA90" s="1178"/>
      <c r="EB90" s="1178"/>
      <c r="EC90" s="1175">
        <f t="shared" si="230"/>
        <v>0</v>
      </c>
      <c r="ED90" s="1171">
        <f t="shared" si="231"/>
        <v>0</v>
      </c>
      <c r="EE90" s="1171">
        <f t="shared" si="232"/>
        <v>0</v>
      </c>
      <c r="EF90" s="1145"/>
      <c r="EG90" s="1571"/>
      <c r="EH90" s="1185" t="s">
        <v>219</v>
      </c>
      <c r="EI90" s="1168">
        <f t="shared" si="199"/>
        <v>0</v>
      </c>
      <c r="EJ90" s="1168">
        <f t="shared" si="200"/>
        <v>0</v>
      </c>
      <c r="EK90" s="1168">
        <f t="shared" si="201"/>
        <v>0</v>
      </c>
      <c r="EL90" s="1168">
        <f t="shared" si="202"/>
        <v>0</v>
      </c>
      <c r="EM90" s="1168">
        <f t="shared" si="203"/>
        <v>0</v>
      </c>
      <c r="EN90" s="1168">
        <f t="shared" si="204"/>
        <v>0</v>
      </c>
      <c r="EO90" s="1168">
        <f t="shared" si="205"/>
        <v>0</v>
      </c>
      <c r="EP90" s="1168">
        <f t="shared" si="206"/>
        <v>0</v>
      </c>
      <c r="EQ90" s="1168">
        <f t="shared" si="207"/>
        <v>0</v>
      </c>
      <c r="ER90" s="1168">
        <f t="shared" si="208"/>
        <v>0</v>
      </c>
      <c r="ES90" s="1168">
        <f t="shared" si="209"/>
        <v>0</v>
      </c>
      <c r="ET90" s="1168">
        <f t="shared" si="210"/>
        <v>0</v>
      </c>
      <c r="EU90" s="1168">
        <f t="shared" si="211"/>
        <v>0</v>
      </c>
      <c r="EV90" s="1168">
        <f t="shared" si="212"/>
        <v>0</v>
      </c>
      <c r="EW90" s="1168">
        <f t="shared" si="213"/>
        <v>0</v>
      </c>
      <c r="EX90" s="1168">
        <f t="shared" si="214"/>
        <v>0</v>
      </c>
      <c r="EY90" s="1168">
        <f t="shared" si="215"/>
        <v>0</v>
      </c>
      <c r="EZ90" s="1168">
        <f t="shared" si="216"/>
        <v>0</v>
      </c>
      <c r="FA90" s="1168">
        <f t="shared" si="217"/>
        <v>0</v>
      </c>
      <c r="FB90" s="1168">
        <f t="shared" si="218"/>
        <v>0</v>
      </c>
      <c r="FC90" s="1168"/>
      <c r="FD90" s="1168"/>
      <c r="FE90" s="1168"/>
      <c r="FF90" s="1168"/>
      <c r="FG90" s="1168"/>
      <c r="FH90" s="1168"/>
      <c r="FI90" s="1168"/>
      <c r="FJ90" s="1168"/>
      <c r="FK90" s="1168"/>
      <c r="FL90" s="1168"/>
      <c r="FM90" s="1168"/>
      <c r="FN90" s="1168"/>
      <c r="FO90" s="1168"/>
      <c r="FP90" s="1168"/>
      <c r="FQ90" s="1168"/>
      <c r="FR90" s="1168"/>
      <c r="FS90" s="1168"/>
      <c r="FT90" s="1168"/>
      <c r="FU90" s="1168"/>
      <c r="FV90" s="1168"/>
      <c r="FW90" s="1168"/>
      <c r="FX90" s="1182"/>
      <c r="FY90" s="1183"/>
      <c r="FZ90" s="93"/>
      <c r="GA90" s="93"/>
      <c r="GB90" s="1177">
        <f t="shared" si="220"/>
        <v>0</v>
      </c>
      <c r="GC90" s="1573"/>
      <c r="GD90" s="1177">
        <f t="shared" si="221"/>
        <v>0</v>
      </c>
      <c r="GE90" s="1573"/>
      <c r="GF90" s="1177">
        <f t="shared" si="222"/>
        <v>0</v>
      </c>
      <c r="GG90" s="1573"/>
      <c r="GH90" s="1559"/>
      <c r="GI90" s="93" t="s">
        <v>326</v>
      </c>
      <c r="GJ90" s="1147">
        <f>GJ59</f>
        <v>0</v>
      </c>
      <c r="GK90" s="1147">
        <f>GL59</f>
        <v>0</v>
      </c>
      <c r="GL90" s="1147">
        <f>GN59</f>
        <v>0</v>
      </c>
      <c r="GM90" s="1148">
        <f>NPV($GO$53,GJ90:GL90)</f>
        <v>0</v>
      </c>
      <c r="GN90" s="93"/>
      <c r="GO90" s="93"/>
      <c r="GP90" s="1568"/>
      <c r="GQ90" s="93"/>
      <c r="GR90" s="93"/>
      <c r="GS90" s="93"/>
    </row>
    <row r="91" spans="1:201" ht="15" customHeight="1" thickBot="1">
      <c r="A91" s="1571"/>
      <c r="B91" s="601" t="s">
        <v>220</v>
      </c>
      <c r="C91" s="661">
        <f t="shared" si="154"/>
        <v>0</v>
      </c>
      <c r="D91" s="661">
        <f t="shared" si="155"/>
        <v>0</v>
      </c>
      <c r="E91" s="661">
        <f t="shared" si="156"/>
        <v>0</v>
      </c>
      <c r="F91" s="661">
        <f t="shared" si="157"/>
        <v>0</v>
      </c>
      <c r="G91" s="661">
        <f t="shared" si="158"/>
        <v>0</v>
      </c>
      <c r="H91" s="661">
        <f t="shared" si="159"/>
        <v>0</v>
      </c>
      <c r="I91" s="661">
        <f t="shared" si="160"/>
        <v>0</v>
      </c>
      <c r="J91" s="661">
        <f t="shared" si="161"/>
        <v>0</v>
      </c>
      <c r="K91" s="661">
        <f t="shared" si="162"/>
        <v>0</v>
      </c>
      <c r="L91" s="661">
        <f t="shared" si="163"/>
        <v>0</v>
      </c>
      <c r="M91" s="661">
        <f t="shared" si="164"/>
        <v>0</v>
      </c>
      <c r="N91" s="661">
        <f t="shared" si="165"/>
        <v>0</v>
      </c>
      <c r="O91" s="661">
        <f t="shared" si="166"/>
        <v>0</v>
      </c>
      <c r="P91" s="661">
        <f t="shared" si="167"/>
        <v>0</v>
      </c>
      <c r="Q91" s="661">
        <f t="shared" si="168"/>
        <v>0</v>
      </c>
      <c r="R91" s="661">
        <f t="shared" si="169"/>
        <v>0</v>
      </c>
      <c r="S91" s="661">
        <f t="shared" si="170"/>
        <v>0</v>
      </c>
      <c r="T91" s="661">
        <f t="shared" si="171"/>
        <v>0</v>
      </c>
      <c r="U91" s="661">
        <f t="shared" si="172"/>
        <v>0</v>
      </c>
      <c r="V91" s="661">
        <f t="shared" si="173"/>
        <v>0</v>
      </c>
      <c r="W91" s="661"/>
      <c r="X91" s="661"/>
      <c r="Y91" s="661"/>
      <c r="Z91" s="661"/>
      <c r="AA91" s="661"/>
      <c r="AB91" s="661"/>
      <c r="AC91" s="661"/>
      <c r="AD91" s="661"/>
      <c r="AE91" s="661"/>
      <c r="AF91" s="661"/>
      <c r="AG91" s="661"/>
      <c r="AH91" s="661"/>
      <c r="AI91" s="661"/>
      <c r="AJ91" s="661"/>
      <c r="AK91" s="661"/>
      <c r="AL91" s="661"/>
      <c r="AM91" s="661"/>
      <c r="AN91" s="661"/>
      <c r="AO91" s="661"/>
      <c r="AP91" s="661"/>
      <c r="AQ91" s="1553"/>
      <c r="AR91" s="1553"/>
      <c r="AS91" s="858">
        <f t="shared" si="175"/>
        <v>0</v>
      </c>
      <c r="AT91" s="858">
        <f t="shared" si="176"/>
        <v>0</v>
      </c>
      <c r="AU91" s="858">
        <f t="shared" si="177"/>
        <v>0</v>
      </c>
      <c r="AV91" s="1167"/>
      <c r="AW91" s="1167"/>
      <c r="AX91" s="1167"/>
      <c r="AY91" s="1167"/>
      <c r="AZ91" s="1167"/>
      <c r="BA91" s="1167"/>
      <c r="BB91" s="1167"/>
      <c r="BC91" s="1167"/>
      <c r="BD91" s="1167"/>
      <c r="BE91" s="1167"/>
      <c r="BF91" s="1167"/>
      <c r="BG91" s="93"/>
      <c r="BH91" s="93"/>
      <c r="BI91" s="1147"/>
      <c r="BJ91" s="93"/>
      <c r="BK91" s="1147">
        <f t="shared" si="152"/>
        <v>6782313.5065537551</v>
      </c>
      <c r="BL91" s="1147">
        <f t="shared" si="153"/>
        <v>6434281.0008039773</v>
      </c>
      <c r="BM91" s="93"/>
      <c r="BN91" s="93"/>
      <c r="BO91" s="1571"/>
      <c r="BP91" s="601" t="s">
        <v>220</v>
      </c>
      <c r="BQ91" s="1168">
        <f t="shared" si="178"/>
        <v>0</v>
      </c>
      <c r="BR91" s="1168">
        <f t="shared" si="179"/>
        <v>0</v>
      </c>
      <c r="BS91" s="1168">
        <f t="shared" si="180"/>
        <v>0</v>
      </c>
      <c r="BT91" s="1168">
        <f t="shared" si="181"/>
        <v>0</v>
      </c>
      <c r="BU91" s="1168">
        <f t="shared" si="182"/>
        <v>0</v>
      </c>
      <c r="BV91" s="1168">
        <f t="shared" si="183"/>
        <v>0</v>
      </c>
      <c r="BW91" s="1168">
        <f t="shared" si="184"/>
        <v>0</v>
      </c>
      <c r="BX91" s="1168">
        <f t="shared" si="185"/>
        <v>0</v>
      </c>
      <c r="BY91" s="1168">
        <f t="shared" si="186"/>
        <v>0</v>
      </c>
      <c r="BZ91" s="1168">
        <f t="shared" si="187"/>
        <v>0</v>
      </c>
      <c r="CA91" s="1168">
        <f t="shared" si="188"/>
        <v>0</v>
      </c>
      <c r="CB91" s="1168">
        <f t="shared" si="189"/>
        <v>0</v>
      </c>
      <c r="CC91" s="1168">
        <f t="shared" si="190"/>
        <v>0</v>
      </c>
      <c r="CD91" s="1168">
        <f t="shared" si="191"/>
        <v>0</v>
      </c>
      <c r="CE91" s="1168">
        <f t="shared" si="192"/>
        <v>0</v>
      </c>
      <c r="CF91" s="1168">
        <f t="shared" si="193"/>
        <v>0</v>
      </c>
      <c r="CG91" s="1168">
        <f t="shared" si="194"/>
        <v>0</v>
      </c>
      <c r="CH91" s="1168">
        <f t="shared" si="195"/>
        <v>0</v>
      </c>
      <c r="CI91" s="1168">
        <f t="shared" si="196"/>
        <v>0</v>
      </c>
      <c r="CJ91" s="1168">
        <f t="shared" si="197"/>
        <v>0</v>
      </c>
      <c r="CK91" s="1168"/>
      <c r="CL91" s="1168"/>
      <c r="CM91" s="1168"/>
      <c r="CN91" s="1168"/>
      <c r="CO91" s="1168"/>
      <c r="CP91" s="1168"/>
      <c r="CQ91" s="1168"/>
      <c r="CR91" s="1168"/>
      <c r="CS91" s="1168"/>
      <c r="CT91" s="1168"/>
      <c r="CU91" s="1168"/>
      <c r="CV91" s="1168"/>
      <c r="CW91" s="1168"/>
      <c r="CX91" s="1168"/>
      <c r="CY91" s="1168"/>
      <c r="CZ91" s="1168"/>
      <c r="DA91" s="1168"/>
      <c r="DB91" s="1168"/>
      <c r="DC91" s="1168"/>
      <c r="DD91" s="1168"/>
      <c r="DE91" s="1555"/>
      <c r="DF91" s="1553"/>
      <c r="DG91" s="858">
        <f t="shared" si="225"/>
        <v>0</v>
      </c>
      <c r="DH91" s="858">
        <f t="shared" si="226"/>
        <v>0</v>
      </c>
      <c r="DI91" s="859">
        <f t="shared" si="227"/>
        <v>0</v>
      </c>
      <c r="DJ91" s="1167"/>
      <c r="DK91" s="1167"/>
      <c r="DL91" s="1167"/>
      <c r="DM91" s="1167"/>
      <c r="DN91" s="1167"/>
      <c r="DO91" s="1555"/>
      <c r="DP91" s="1553"/>
      <c r="DQ91" s="858">
        <f t="shared" si="234"/>
        <v>0</v>
      </c>
      <c r="DR91" s="858">
        <f t="shared" si="234"/>
        <v>0</v>
      </c>
      <c r="DS91" s="859">
        <f t="shared" si="234"/>
        <v>0</v>
      </c>
      <c r="DT91" s="1170"/>
      <c r="DU91" s="1170"/>
      <c r="DV91" s="1170"/>
      <c r="DW91" s="1170"/>
      <c r="DX91" s="1170"/>
      <c r="DY91" s="1170"/>
      <c r="DZ91" s="1642">
        <v>4</v>
      </c>
      <c r="EA91" s="1178"/>
      <c r="EB91" s="1178"/>
      <c r="EC91" s="1178"/>
      <c r="ED91" s="1171">
        <f t="shared" si="231"/>
        <v>0</v>
      </c>
      <c r="EE91" s="1171">
        <f t="shared" si="232"/>
        <v>0</v>
      </c>
      <c r="EF91" s="1145"/>
      <c r="EG91" s="1571"/>
      <c r="EH91" s="1185" t="s">
        <v>220</v>
      </c>
      <c r="EI91" s="1168">
        <f t="shared" si="199"/>
        <v>0</v>
      </c>
      <c r="EJ91" s="1168">
        <f t="shared" si="200"/>
        <v>0</v>
      </c>
      <c r="EK91" s="1168">
        <f t="shared" si="201"/>
        <v>0</v>
      </c>
      <c r="EL91" s="1168">
        <f t="shared" si="202"/>
        <v>0</v>
      </c>
      <c r="EM91" s="1168">
        <f t="shared" si="203"/>
        <v>0</v>
      </c>
      <c r="EN91" s="1168">
        <f t="shared" si="204"/>
        <v>0</v>
      </c>
      <c r="EO91" s="1168">
        <f t="shared" si="205"/>
        <v>0</v>
      </c>
      <c r="EP91" s="1168">
        <f t="shared" si="206"/>
        <v>0</v>
      </c>
      <c r="EQ91" s="1168">
        <f t="shared" si="207"/>
        <v>0</v>
      </c>
      <c r="ER91" s="1168">
        <f t="shared" si="208"/>
        <v>0</v>
      </c>
      <c r="ES91" s="1168">
        <f t="shared" si="209"/>
        <v>0</v>
      </c>
      <c r="ET91" s="1168">
        <f t="shared" si="210"/>
        <v>0</v>
      </c>
      <c r="EU91" s="1168">
        <f t="shared" si="211"/>
        <v>0</v>
      </c>
      <c r="EV91" s="1168">
        <f t="shared" si="212"/>
        <v>0</v>
      </c>
      <c r="EW91" s="1168">
        <f t="shared" si="213"/>
        <v>0</v>
      </c>
      <c r="EX91" s="1168">
        <f t="shared" si="214"/>
        <v>0</v>
      </c>
      <c r="EY91" s="1168">
        <f t="shared" si="215"/>
        <v>0</v>
      </c>
      <c r="EZ91" s="1168">
        <f t="shared" si="216"/>
        <v>0</v>
      </c>
      <c r="FA91" s="1168">
        <f t="shared" si="217"/>
        <v>0</v>
      </c>
      <c r="FB91" s="1168">
        <f t="shared" si="218"/>
        <v>0</v>
      </c>
      <c r="FC91" s="1168"/>
      <c r="FD91" s="1168"/>
      <c r="FE91" s="1168"/>
      <c r="FF91" s="1168"/>
      <c r="FG91" s="1168"/>
      <c r="FH91" s="1168"/>
      <c r="FI91" s="1168"/>
      <c r="FJ91" s="1168"/>
      <c r="FK91" s="1168"/>
      <c r="FL91" s="1168"/>
      <c r="FM91" s="1168"/>
      <c r="FN91" s="1168"/>
      <c r="FO91" s="1168"/>
      <c r="FP91" s="1168"/>
      <c r="FQ91" s="1168"/>
      <c r="FR91" s="1168"/>
      <c r="FS91" s="1168"/>
      <c r="FT91" s="1168"/>
      <c r="FU91" s="1168"/>
      <c r="FV91" s="1168"/>
      <c r="FW91" s="1168"/>
      <c r="FX91" s="1182"/>
      <c r="FY91" s="1183"/>
      <c r="FZ91" s="93"/>
      <c r="GA91" s="93"/>
      <c r="GB91" s="1177">
        <f t="shared" si="220"/>
        <v>0</v>
      </c>
      <c r="GC91" s="1573"/>
      <c r="GD91" s="1177">
        <f t="shared" si="221"/>
        <v>0</v>
      </c>
      <c r="GE91" s="1573"/>
      <c r="GF91" s="1177">
        <f t="shared" si="222"/>
        <v>0</v>
      </c>
      <c r="GG91" s="1573"/>
      <c r="GH91" s="1559"/>
      <c r="GI91" s="93"/>
      <c r="GJ91" s="93"/>
      <c r="GK91" s="93"/>
      <c r="GL91" s="93"/>
      <c r="GM91" s="93"/>
      <c r="GN91" s="93"/>
      <c r="GO91" s="93"/>
      <c r="GP91" s="1568"/>
      <c r="GQ91" s="93"/>
      <c r="GR91" s="93"/>
      <c r="GS91" s="93"/>
    </row>
    <row r="92" spans="1:201" ht="15" customHeight="1" thickBot="1">
      <c r="A92" s="1571"/>
      <c r="B92" s="601" t="s">
        <v>221</v>
      </c>
      <c r="C92" s="661">
        <f t="shared" si="154"/>
        <v>0</v>
      </c>
      <c r="D92" s="661">
        <f t="shared" si="155"/>
        <v>0</v>
      </c>
      <c r="E92" s="661">
        <f t="shared" si="156"/>
        <v>0</v>
      </c>
      <c r="F92" s="661">
        <f t="shared" si="157"/>
        <v>0</v>
      </c>
      <c r="G92" s="661">
        <f t="shared" si="158"/>
        <v>0</v>
      </c>
      <c r="H92" s="661">
        <f t="shared" si="159"/>
        <v>0</v>
      </c>
      <c r="I92" s="661">
        <f t="shared" si="160"/>
        <v>0</v>
      </c>
      <c r="J92" s="661">
        <f t="shared" si="161"/>
        <v>0</v>
      </c>
      <c r="K92" s="661">
        <f t="shared" si="162"/>
        <v>0</v>
      </c>
      <c r="L92" s="661">
        <f t="shared" si="163"/>
        <v>0</v>
      </c>
      <c r="M92" s="661">
        <f t="shared" si="164"/>
        <v>0</v>
      </c>
      <c r="N92" s="661">
        <f t="shared" si="165"/>
        <v>0</v>
      </c>
      <c r="O92" s="661">
        <f t="shared" si="166"/>
        <v>0</v>
      </c>
      <c r="P92" s="661">
        <f t="shared" si="167"/>
        <v>0</v>
      </c>
      <c r="Q92" s="661">
        <f t="shared" si="168"/>
        <v>0</v>
      </c>
      <c r="R92" s="661">
        <f t="shared" si="169"/>
        <v>0</v>
      </c>
      <c r="S92" s="661">
        <f t="shared" si="170"/>
        <v>0</v>
      </c>
      <c r="T92" s="661">
        <f t="shared" si="171"/>
        <v>0</v>
      </c>
      <c r="U92" s="661">
        <f t="shared" si="172"/>
        <v>0</v>
      </c>
      <c r="V92" s="661">
        <f t="shared" si="173"/>
        <v>0</v>
      </c>
      <c r="W92" s="661"/>
      <c r="X92" s="661"/>
      <c r="Y92" s="661"/>
      <c r="Z92" s="661"/>
      <c r="AA92" s="661"/>
      <c r="AB92" s="661"/>
      <c r="AC92" s="661"/>
      <c r="AD92" s="661"/>
      <c r="AE92" s="661"/>
      <c r="AF92" s="661"/>
      <c r="AG92" s="661"/>
      <c r="AH92" s="661"/>
      <c r="AI92" s="661"/>
      <c r="AJ92" s="661"/>
      <c r="AK92" s="661"/>
      <c r="AL92" s="661"/>
      <c r="AM92" s="661"/>
      <c r="AN92" s="661"/>
      <c r="AO92" s="661"/>
      <c r="AP92" s="661"/>
      <c r="AQ92" s="1553"/>
      <c r="AR92" s="1553"/>
      <c r="AS92" s="858">
        <f t="shared" si="175"/>
        <v>0</v>
      </c>
      <c r="AT92" s="858">
        <f t="shared" si="176"/>
        <v>0</v>
      </c>
      <c r="AU92" s="858">
        <f t="shared" si="177"/>
        <v>0</v>
      </c>
      <c r="AV92" s="1167"/>
      <c r="AW92" s="1167"/>
      <c r="AX92" s="1167"/>
      <c r="AY92" s="1167"/>
      <c r="AZ92" s="1167"/>
      <c r="BA92" s="1167"/>
      <c r="BB92" s="1167"/>
      <c r="BC92" s="1167"/>
      <c r="BD92" s="1167"/>
      <c r="BE92" s="1167"/>
      <c r="BF92" s="1167"/>
      <c r="BG92" s="93"/>
      <c r="BH92" s="93"/>
      <c r="BI92" s="1147"/>
      <c r="BJ92" s="93"/>
      <c r="BK92" s="1147">
        <f t="shared" si="152"/>
        <v>8255301.5183625482</v>
      </c>
      <c r="BL92" s="1147">
        <f t="shared" si="153"/>
        <v>7717356.3701107558</v>
      </c>
      <c r="BM92" s="93"/>
      <c r="BN92" s="93"/>
      <c r="BO92" s="1571"/>
      <c r="BP92" s="601" t="s">
        <v>221</v>
      </c>
      <c r="BQ92" s="1168">
        <f t="shared" si="178"/>
        <v>0</v>
      </c>
      <c r="BR92" s="1168">
        <f t="shared" si="179"/>
        <v>0</v>
      </c>
      <c r="BS92" s="1168">
        <f t="shared" si="180"/>
        <v>0</v>
      </c>
      <c r="BT92" s="1168">
        <f t="shared" si="181"/>
        <v>0</v>
      </c>
      <c r="BU92" s="1168">
        <f t="shared" si="182"/>
        <v>0</v>
      </c>
      <c r="BV92" s="1168">
        <f t="shared" si="183"/>
        <v>0</v>
      </c>
      <c r="BW92" s="1168">
        <f t="shared" si="184"/>
        <v>0</v>
      </c>
      <c r="BX92" s="1168">
        <f t="shared" si="185"/>
        <v>0</v>
      </c>
      <c r="BY92" s="1168">
        <f t="shared" si="186"/>
        <v>0</v>
      </c>
      <c r="BZ92" s="1168">
        <f t="shared" si="187"/>
        <v>0</v>
      </c>
      <c r="CA92" s="1168">
        <f t="shared" si="188"/>
        <v>0</v>
      </c>
      <c r="CB92" s="1168">
        <f t="shared" si="189"/>
        <v>0</v>
      </c>
      <c r="CC92" s="1168">
        <f t="shared" si="190"/>
        <v>0</v>
      </c>
      <c r="CD92" s="1168">
        <f t="shared" si="191"/>
        <v>0</v>
      </c>
      <c r="CE92" s="1168">
        <f t="shared" si="192"/>
        <v>0</v>
      </c>
      <c r="CF92" s="1168">
        <f t="shared" si="193"/>
        <v>0</v>
      </c>
      <c r="CG92" s="1168">
        <f t="shared" si="194"/>
        <v>0</v>
      </c>
      <c r="CH92" s="1168">
        <f t="shared" si="195"/>
        <v>0</v>
      </c>
      <c r="CI92" s="1168">
        <f t="shared" si="196"/>
        <v>0</v>
      </c>
      <c r="CJ92" s="1168">
        <f t="shared" si="197"/>
        <v>0</v>
      </c>
      <c r="CK92" s="1168"/>
      <c r="CL92" s="1168"/>
      <c r="CM92" s="1168"/>
      <c r="CN92" s="1168"/>
      <c r="CO92" s="1168"/>
      <c r="CP92" s="1168"/>
      <c r="CQ92" s="1168"/>
      <c r="CR92" s="1168"/>
      <c r="CS92" s="1168"/>
      <c r="CT92" s="1168"/>
      <c r="CU92" s="1168"/>
      <c r="CV92" s="1168"/>
      <c r="CW92" s="1168"/>
      <c r="CX92" s="1168"/>
      <c r="CY92" s="1168"/>
      <c r="CZ92" s="1168"/>
      <c r="DA92" s="1168"/>
      <c r="DB92" s="1168"/>
      <c r="DC92" s="1168"/>
      <c r="DD92" s="1168"/>
      <c r="DE92" s="1555"/>
      <c r="DF92" s="1553"/>
      <c r="DG92" s="858">
        <f t="shared" si="225"/>
        <v>0</v>
      </c>
      <c r="DH92" s="858">
        <f t="shared" si="226"/>
        <v>0</v>
      </c>
      <c r="DI92" s="859">
        <f t="shared" si="227"/>
        <v>0</v>
      </c>
      <c r="DJ92" s="1167"/>
      <c r="DK92" s="1167"/>
      <c r="DL92" s="1167"/>
      <c r="DM92" s="1167"/>
      <c r="DN92" s="1167"/>
      <c r="DO92" s="1555"/>
      <c r="DP92" s="1553"/>
      <c r="DQ92" s="858">
        <f t="shared" si="234"/>
        <v>0</v>
      </c>
      <c r="DR92" s="858">
        <f t="shared" si="234"/>
        <v>0</v>
      </c>
      <c r="DS92" s="859">
        <f t="shared" si="234"/>
        <v>0</v>
      </c>
      <c r="DT92" s="1170"/>
      <c r="DU92" s="1170"/>
      <c r="DV92" s="1170"/>
      <c r="DW92" s="1170"/>
      <c r="DX92" s="1170"/>
      <c r="DY92" s="1170"/>
      <c r="DZ92" s="1642"/>
      <c r="EA92" s="1178"/>
      <c r="EB92" s="1178"/>
      <c r="EC92" s="1178"/>
      <c r="ED92" s="1171">
        <f t="shared" si="231"/>
        <v>0</v>
      </c>
      <c r="EE92" s="1171">
        <f t="shared" si="232"/>
        <v>0</v>
      </c>
      <c r="EF92" s="1145"/>
      <c r="EG92" s="1571"/>
      <c r="EH92" s="1185" t="s">
        <v>221</v>
      </c>
      <c r="EI92" s="1168">
        <f t="shared" si="199"/>
        <v>0</v>
      </c>
      <c r="EJ92" s="1168">
        <f t="shared" si="200"/>
        <v>0</v>
      </c>
      <c r="EK92" s="1168">
        <f t="shared" si="201"/>
        <v>0</v>
      </c>
      <c r="EL92" s="1168">
        <f t="shared" si="202"/>
        <v>0</v>
      </c>
      <c r="EM92" s="1168">
        <f t="shared" si="203"/>
        <v>0</v>
      </c>
      <c r="EN92" s="1168">
        <f t="shared" si="204"/>
        <v>0</v>
      </c>
      <c r="EO92" s="1168">
        <f t="shared" si="205"/>
        <v>0</v>
      </c>
      <c r="EP92" s="1168">
        <f t="shared" si="206"/>
        <v>0</v>
      </c>
      <c r="EQ92" s="1168">
        <f t="shared" si="207"/>
        <v>0</v>
      </c>
      <c r="ER92" s="1168">
        <f t="shared" si="208"/>
        <v>0</v>
      </c>
      <c r="ES92" s="1168">
        <f t="shared" si="209"/>
        <v>0</v>
      </c>
      <c r="ET92" s="1168">
        <f t="shared" si="210"/>
        <v>0</v>
      </c>
      <c r="EU92" s="1168">
        <f t="shared" si="211"/>
        <v>0</v>
      </c>
      <c r="EV92" s="1168">
        <f t="shared" si="212"/>
        <v>0</v>
      </c>
      <c r="EW92" s="1168">
        <f t="shared" si="213"/>
        <v>0</v>
      </c>
      <c r="EX92" s="1168">
        <f t="shared" si="214"/>
        <v>0</v>
      </c>
      <c r="EY92" s="1168">
        <f t="shared" si="215"/>
        <v>0</v>
      </c>
      <c r="EZ92" s="1168">
        <f t="shared" si="216"/>
        <v>0</v>
      </c>
      <c r="FA92" s="1168">
        <f t="shared" si="217"/>
        <v>0</v>
      </c>
      <c r="FB92" s="1168">
        <f t="shared" si="218"/>
        <v>0</v>
      </c>
      <c r="FC92" s="1168"/>
      <c r="FD92" s="1168"/>
      <c r="FE92" s="1168"/>
      <c r="FF92" s="1168"/>
      <c r="FG92" s="1168"/>
      <c r="FH92" s="1168"/>
      <c r="FI92" s="1168"/>
      <c r="FJ92" s="1168"/>
      <c r="FK92" s="1168"/>
      <c r="FL92" s="1168"/>
      <c r="FM92" s="1168"/>
      <c r="FN92" s="1168"/>
      <c r="FO92" s="1168"/>
      <c r="FP92" s="1168"/>
      <c r="FQ92" s="1168"/>
      <c r="FR92" s="1168"/>
      <c r="FS92" s="1168"/>
      <c r="FT92" s="1168"/>
      <c r="FU92" s="1168"/>
      <c r="FV92" s="1168"/>
      <c r="FW92" s="1168"/>
      <c r="FX92" s="1182"/>
      <c r="FY92" s="1183"/>
      <c r="FZ92" s="93"/>
      <c r="GA92" s="93"/>
      <c r="GB92" s="1176">
        <f t="shared" si="220"/>
        <v>0</v>
      </c>
      <c r="GC92" s="1573"/>
      <c r="GD92" s="1177">
        <f t="shared" si="221"/>
        <v>0</v>
      </c>
      <c r="GE92" s="1573"/>
      <c r="GF92" s="1177">
        <f t="shared" si="222"/>
        <v>0</v>
      </c>
      <c r="GG92" s="1573"/>
      <c r="GH92" s="1559"/>
      <c r="GI92" s="93"/>
      <c r="GJ92" s="93"/>
      <c r="GK92" s="93"/>
      <c r="GL92" s="93"/>
      <c r="GM92" s="93"/>
      <c r="GN92" s="93"/>
      <c r="GO92" s="93"/>
      <c r="GP92" s="1568"/>
      <c r="GQ92" s="93"/>
      <c r="GR92" s="93"/>
      <c r="GS92" s="93"/>
    </row>
    <row r="93" spans="1:201" ht="15" customHeight="1" thickBot="1">
      <c r="A93" s="1571">
        <v>4</v>
      </c>
      <c r="B93" s="601" t="s">
        <v>222</v>
      </c>
      <c r="C93" s="661">
        <f t="shared" si="154"/>
        <v>0</v>
      </c>
      <c r="D93" s="661">
        <f t="shared" si="155"/>
        <v>0</v>
      </c>
      <c r="E93" s="661">
        <f t="shared" si="156"/>
        <v>0</v>
      </c>
      <c r="F93" s="661">
        <f t="shared" si="157"/>
        <v>0</v>
      </c>
      <c r="G93" s="661">
        <f t="shared" si="158"/>
        <v>0</v>
      </c>
      <c r="H93" s="661">
        <f t="shared" si="159"/>
        <v>0</v>
      </c>
      <c r="I93" s="661">
        <f t="shared" si="160"/>
        <v>0</v>
      </c>
      <c r="J93" s="661">
        <f t="shared" si="161"/>
        <v>0</v>
      </c>
      <c r="K93" s="661">
        <f t="shared" si="162"/>
        <v>0</v>
      </c>
      <c r="L93" s="661">
        <f t="shared" si="163"/>
        <v>0</v>
      </c>
      <c r="M93" s="661">
        <f t="shared" si="164"/>
        <v>0</v>
      </c>
      <c r="N93" s="661">
        <f t="shared" si="165"/>
        <v>0</v>
      </c>
      <c r="O93" s="661">
        <f t="shared" si="166"/>
        <v>0</v>
      </c>
      <c r="P93" s="661">
        <f t="shared" si="167"/>
        <v>0</v>
      </c>
      <c r="Q93" s="661">
        <f t="shared" si="168"/>
        <v>0</v>
      </c>
      <c r="R93" s="661">
        <f t="shared" si="169"/>
        <v>0</v>
      </c>
      <c r="S93" s="661">
        <f t="shared" si="170"/>
        <v>0</v>
      </c>
      <c r="T93" s="661">
        <f t="shared" si="171"/>
        <v>0</v>
      </c>
      <c r="U93" s="661">
        <f t="shared" si="172"/>
        <v>0</v>
      </c>
      <c r="V93" s="661">
        <f t="shared" si="173"/>
        <v>0</v>
      </c>
      <c r="W93" s="661"/>
      <c r="X93" s="661"/>
      <c r="Y93" s="661"/>
      <c r="Z93" s="661"/>
      <c r="AA93" s="661"/>
      <c r="AB93" s="661"/>
      <c r="AC93" s="661"/>
      <c r="AD93" s="661"/>
      <c r="AE93" s="661"/>
      <c r="AF93" s="661"/>
      <c r="AG93" s="661"/>
      <c r="AH93" s="661"/>
      <c r="AI93" s="661"/>
      <c r="AJ93" s="661"/>
      <c r="AK93" s="661"/>
      <c r="AL93" s="661"/>
      <c r="AM93" s="661"/>
      <c r="AN93" s="661"/>
      <c r="AO93" s="661"/>
      <c r="AP93" s="661"/>
      <c r="AQ93" s="1553"/>
      <c r="AR93" s="1553"/>
      <c r="AS93" s="858">
        <f t="shared" si="175"/>
        <v>0</v>
      </c>
      <c r="AT93" s="858">
        <f t="shared" si="176"/>
        <v>0</v>
      </c>
      <c r="AU93" s="858">
        <f t="shared" si="177"/>
        <v>0</v>
      </c>
      <c r="AV93" s="1167"/>
      <c r="AW93" s="1167"/>
      <c r="AX93" s="1167"/>
      <c r="AY93" s="1167"/>
      <c r="AZ93" s="1167"/>
      <c r="BA93" s="1167"/>
      <c r="BB93" s="1167"/>
      <c r="BC93" s="1167"/>
      <c r="BD93" s="1167"/>
      <c r="BE93" s="1167"/>
      <c r="BF93" s="1167"/>
      <c r="BG93" s="93"/>
      <c r="BH93" s="93"/>
      <c r="BI93" s="1147"/>
      <c r="BJ93" s="93"/>
      <c r="BK93" s="1147">
        <f t="shared" si="152"/>
        <v>5587517.2118884251</v>
      </c>
      <c r="BL93" s="1147">
        <f t="shared" si="153"/>
        <v>5180886.2328759264</v>
      </c>
      <c r="BM93" s="93"/>
      <c r="BN93" s="93"/>
      <c r="BO93" s="1571">
        <v>4</v>
      </c>
      <c r="BP93" s="601" t="s">
        <v>222</v>
      </c>
      <c r="BQ93" s="1168">
        <f t="shared" si="178"/>
        <v>0</v>
      </c>
      <c r="BR93" s="1168">
        <f t="shared" si="179"/>
        <v>0</v>
      </c>
      <c r="BS93" s="1168">
        <f t="shared" si="180"/>
        <v>0</v>
      </c>
      <c r="BT93" s="1168">
        <f t="shared" si="181"/>
        <v>0</v>
      </c>
      <c r="BU93" s="1168">
        <f t="shared" si="182"/>
        <v>0</v>
      </c>
      <c r="BV93" s="1168">
        <f t="shared" si="183"/>
        <v>0</v>
      </c>
      <c r="BW93" s="1168">
        <f t="shared" si="184"/>
        <v>0</v>
      </c>
      <c r="BX93" s="1168">
        <f t="shared" si="185"/>
        <v>0</v>
      </c>
      <c r="BY93" s="1168">
        <f t="shared" si="186"/>
        <v>0</v>
      </c>
      <c r="BZ93" s="1168">
        <f t="shared" si="187"/>
        <v>0</v>
      </c>
      <c r="CA93" s="1168">
        <f t="shared" si="188"/>
        <v>0</v>
      </c>
      <c r="CB93" s="1168">
        <f t="shared" si="189"/>
        <v>0</v>
      </c>
      <c r="CC93" s="1168">
        <f t="shared" si="190"/>
        <v>0</v>
      </c>
      <c r="CD93" s="1168">
        <f t="shared" si="191"/>
        <v>0</v>
      </c>
      <c r="CE93" s="1168">
        <f t="shared" si="192"/>
        <v>0</v>
      </c>
      <c r="CF93" s="1168">
        <f t="shared" si="193"/>
        <v>0</v>
      </c>
      <c r="CG93" s="1168">
        <f t="shared" si="194"/>
        <v>0</v>
      </c>
      <c r="CH93" s="1168">
        <f t="shared" si="195"/>
        <v>0</v>
      </c>
      <c r="CI93" s="1168">
        <f t="shared" si="196"/>
        <v>0</v>
      </c>
      <c r="CJ93" s="1168">
        <f t="shared" si="197"/>
        <v>0</v>
      </c>
      <c r="CK93" s="1168"/>
      <c r="CL93" s="1168"/>
      <c r="CM93" s="1168"/>
      <c r="CN93" s="1168"/>
      <c r="CO93" s="1168"/>
      <c r="CP93" s="1168"/>
      <c r="CQ93" s="1168"/>
      <c r="CR93" s="1168"/>
      <c r="CS93" s="1168"/>
      <c r="CT93" s="1168"/>
      <c r="CU93" s="1168"/>
      <c r="CV93" s="1168"/>
      <c r="CW93" s="1168"/>
      <c r="CX93" s="1168"/>
      <c r="CY93" s="1168"/>
      <c r="CZ93" s="1168"/>
      <c r="DA93" s="1168"/>
      <c r="DB93" s="1168"/>
      <c r="DC93" s="1168"/>
      <c r="DD93" s="1168"/>
      <c r="DE93" s="1555"/>
      <c r="DF93" s="1553"/>
      <c r="DG93" s="1588"/>
      <c r="DH93" s="858">
        <f t="shared" si="226"/>
        <v>0</v>
      </c>
      <c r="DI93" s="859">
        <f t="shared" si="227"/>
        <v>0</v>
      </c>
      <c r="DJ93" s="1167"/>
      <c r="DK93" s="1167"/>
      <c r="DL93" s="1167"/>
      <c r="DM93" s="1167"/>
      <c r="DN93" s="1167"/>
      <c r="DO93" s="1555"/>
      <c r="DP93" s="1553"/>
      <c r="DQ93" s="1588"/>
      <c r="DR93" s="858">
        <f t="shared" ref="DR93:DS96" si="235">AT93-DH93</f>
        <v>0</v>
      </c>
      <c r="DS93" s="859">
        <f t="shared" si="235"/>
        <v>0</v>
      </c>
      <c r="DT93" s="1170"/>
      <c r="DU93" s="1170"/>
      <c r="DV93" s="1170"/>
      <c r="DW93" s="1170"/>
      <c r="DX93" s="1170"/>
      <c r="DY93" s="1170"/>
      <c r="DZ93" s="1642"/>
      <c r="EA93" s="1178"/>
      <c r="EB93" s="1178"/>
      <c r="EC93" s="1178"/>
      <c r="ED93" s="1171">
        <f t="shared" si="231"/>
        <v>0</v>
      </c>
      <c r="EE93" s="1171">
        <f t="shared" si="232"/>
        <v>0</v>
      </c>
      <c r="EF93" s="1145"/>
      <c r="EG93" s="1571">
        <v>4</v>
      </c>
      <c r="EH93" s="1185" t="s">
        <v>222</v>
      </c>
      <c r="EI93" s="1168">
        <f t="shared" si="199"/>
        <v>0</v>
      </c>
      <c r="EJ93" s="1168">
        <f t="shared" si="200"/>
        <v>0</v>
      </c>
      <c r="EK93" s="1168">
        <f t="shared" si="201"/>
        <v>0</v>
      </c>
      <c r="EL93" s="1168">
        <f t="shared" si="202"/>
        <v>0</v>
      </c>
      <c r="EM93" s="1168">
        <f t="shared" si="203"/>
        <v>0</v>
      </c>
      <c r="EN93" s="1168">
        <f t="shared" si="204"/>
        <v>0</v>
      </c>
      <c r="EO93" s="1168">
        <f t="shared" si="205"/>
        <v>0</v>
      </c>
      <c r="EP93" s="1168">
        <f t="shared" si="206"/>
        <v>0</v>
      </c>
      <c r="EQ93" s="1168">
        <f t="shared" si="207"/>
        <v>0</v>
      </c>
      <c r="ER93" s="1168">
        <f t="shared" si="208"/>
        <v>0</v>
      </c>
      <c r="ES93" s="1168">
        <f t="shared" si="209"/>
        <v>0</v>
      </c>
      <c r="ET93" s="1168">
        <f t="shared" si="210"/>
        <v>0</v>
      </c>
      <c r="EU93" s="1168">
        <f t="shared" si="211"/>
        <v>0</v>
      </c>
      <c r="EV93" s="1168">
        <f t="shared" si="212"/>
        <v>0</v>
      </c>
      <c r="EW93" s="1168">
        <f t="shared" si="213"/>
        <v>0</v>
      </c>
      <c r="EX93" s="1168">
        <f t="shared" si="214"/>
        <v>0</v>
      </c>
      <c r="EY93" s="1168">
        <f t="shared" si="215"/>
        <v>0</v>
      </c>
      <c r="EZ93" s="1168">
        <f t="shared" si="216"/>
        <v>0</v>
      </c>
      <c r="FA93" s="1168">
        <f t="shared" si="217"/>
        <v>0</v>
      </c>
      <c r="FB93" s="1168">
        <f t="shared" si="218"/>
        <v>0</v>
      </c>
      <c r="FC93" s="1168"/>
      <c r="FD93" s="1168"/>
      <c r="FE93" s="1168"/>
      <c r="FF93" s="1168"/>
      <c r="FG93" s="1168"/>
      <c r="FH93" s="1168"/>
      <c r="FI93" s="1168"/>
      <c r="FJ93" s="1168"/>
      <c r="FK93" s="1168"/>
      <c r="FL93" s="1168"/>
      <c r="FM93" s="1168"/>
      <c r="FN93" s="1168"/>
      <c r="FO93" s="1168"/>
      <c r="FP93" s="1168"/>
      <c r="FQ93" s="1168"/>
      <c r="FR93" s="1168"/>
      <c r="FS93" s="1168"/>
      <c r="FT93" s="1168"/>
      <c r="FU93" s="1168"/>
      <c r="FV93" s="1168"/>
      <c r="FW93" s="1168"/>
      <c r="FX93" s="1182"/>
      <c r="FY93" s="1183"/>
      <c r="FZ93" s="93"/>
      <c r="GA93" s="93"/>
      <c r="GB93" s="1186"/>
      <c r="GC93" s="1187"/>
      <c r="GD93" s="1177">
        <f t="shared" si="221"/>
        <v>0</v>
      </c>
      <c r="GE93" s="1573">
        <f>AVERAGE(GD93:GD96)</f>
        <v>0</v>
      </c>
      <c r="GF93" s="1177">
        <f t="shared" si="222"/>
        <v>0</v>
      </c>
      <c r="GG93" s="1573">
        <f>SUM(GF93:GF96)</f>
        <v>0</v>
      </c>
      <c r="GH93" s="1560"/>
      <c r="GI93" s="1166" t="s">
        <v>674</v>
      </c>
      <c r="GJ93" s="93">
        <v>2025</v>
      </c>
      <c r="GK93" s="93">
        <f>GJ93+1</f>
        <v>2026</v>
      </c>
      <c r="GL93" s="93" t="s">
        <v>673</v>
      </c>
      <c r="GM93" s="93"/>
      <c r="GN93" s="93"/>
      <c r="GO93" s="93"/>
      <c r="GP93" s="1568"/>
      <c r="GQ93" s="93"/>
      <c r="GR93" s="93"/>
      <c r="GS93" s="93"/>
    </row>
    <row r="94" spans="1:201" ht="15" customHeight="1" thickBot="1">
      <c r="A94" s="1571"/>
      <c r="B94" s="593" t="s">
        <v>223</v>
      </c>
      <c r="C94" s="661">
        <f t="shared" si="154"/>
        <v>0</v>
      </c>
      <c r="D94" s="661">
        <f t="shared" si="155"/>
        <v>0</v>
      </c>
      <c r="E94" s="661">
        <f t="shared" si="156"/>
        <v>0</v>
      </c>
      <c r="F94" s="661">
        <f t="shared" si="157"/>
        <v>0</v>
      </c>
      <c r="G94" s="661">
        <f t="shared" si="158"/>
        <v>0</v>
      </c>
      <c r="H94" s="661">
        <f t="shared" si="159"/>
        <v>0</v>
      </c>
      <c r="I94" s="661">
        <f t="shared" si="160"/>
        <v>0</v>
      </c>
      <c r="J94" s="661">
        <f t="shared" si="161"/>
        <v>0</v>
      </c>
      <c r="K94" s="661">
        <f t="shared" si="162"/>
        <v>0</v>
      </c>
      <c r="L94" s="661">
        <f t="shared" si="163"/>
        <v>0</v>
      </c>
      <c r="M94" s="661">
        <f t="shared" si="164"/>
        <v>0</v>
      </c>
      <c r="N94" s="661">
        <f t="shared" si="165"/>
        <v>0</v>
      </c>
      <c r="O94" s="661">
        <f t="shared" si="166"/>
        <v>0</v>
      </c>
      <c r="P94" s="661">
        <f t="shared" si="167"/>
        <v>0</v>
      </c>
      <c r="Q94" s="661">
        <f t="shared" si="168"/>
        <v>0</v>
      </c>
      <c r="R94" s="661">
        <f t="shared" si="169"/>
        <v>0</v>
      </c>
      <c r="S94" s="661">
        <f t="shared" si="170"/>
        <v>0</v>
      </c>
      <c r="T94" s="661">
        <f t="shared" si="171"/>
        <v>0</v>
      </c>
      <c r="U94" s="661">
        <f t="shared" si="172"/>
        <v>0</v>
      </c>
      <c r="V94" s="661">
        <f t="shared" si="173"/>
        <v>0</v>
      </c>
      <c r="W94" s="661"/>
      <c r="X94" s="661"/>
      <c r="Y94" s="661"/>
      <c r="Z94" s="661"/>
      <c r="AA94" s="661"/>
      <c r="AB94" s="661"/>
      <c r="AC94" s="661"/>
      <c r="AD94" s="661"/>
      <c r="AE94" s="661"/>
      <c r="AF94" s="661"/>
      <c r="AG94" s="661"/>
      <c r="AH94" s="661"/>
      <c r="AI94" s="661"/>
      <c r="AJ94" s="661"/>
      <c r="AK94" s="661"/>
      <c r="AL94" s="661"/>
      <c r="AM94" s="661"/>
      <c r="AN94" s="661"/>
      <c r="AO94" s="661"/>
      <c r="AP94" s="661"/>
      <c r="AQ94" s="1553"/>
      <c r="AR94" s="1553"/>
      <c r="AS94" s="1588"/>
      <c r="AT94" s="858">
        <f t="shared" si="176"/>
        <v>0</v>
      </c>
      <c r="AU94" s="858">
        <f t="shared" si="177"/>
        <v>0</v>
      </c>
      <c r="AV94" s="1167"/>
      <c r="AW94" s="1167"/>
      <c r="AX94" s="1167"/>
      <c r="AY94" s="1167"/>
      <c r="AZ94" s="1167"/>
      <c r="BA94" s="1167"/>
      <c r="BB94" s="1167"/>
      <c r="BC94" s="1167"/>
      <c r="BD94" s="1167"/>
      <c r="BE94" s="1167"/>
      <c r="BF94" s="1167"/>
      <c r="BG94" s="93"/>
      <c r="BH94" s="93"/>
      <c r="BI94" s="1147"/>
      <c r="BJ94" s="93"/>
      <c r="BK94" s="1147">
        <f t="shared" si="152"/>
        <v>14077321.129242588</v>
      </c>
      <c r="BL94" s="1147">
        <f t="shared" si="153"/>
        <v>13847795.007589376</v>
      </c>
      <c r="BM94" s="93"/>
      <c r="BN94" s="93"/>
      <c r="BO94" s="1571"/>
      <c r="BP94" s="593" t="s">
        <v>223</v>
      </c>
      <c r="BQ94" s="1168">
        <f t="shared" si="178"/>
        <v>0</v>
      </c>
      <c r="BR94" s="1168">
        <f t="shared" si="179"/>
        <v>0</v>
      </c>
      <c r="BS94" s="1168">
        <f t="shared" si="180"/>
        <v>0</v>
      </c>
      <c r="BT94" s="1168">
        <f t="shared" si="181"/>
        <v>0</v>
      </c>
      <c r="BU94" s="1168">
        <f t="shared" si="182"/>
        <v>0</v>
      </c>
      <c r="BV94" s="1168">
        <f t="shared" si="183"/>
        <v>0</v>
      </c>
      <c r="BW94" s="1168">
        <f t="shared" si="184"/>
        <v>0</v>
      </c>
      <c r="BX94" s="1168">
        <f t="shared" si="185"/>
        <v>0</v>
      </c>
      <c r="BY94" s="1168">
        <f t="shared" si="186"/>
        <v>0</v>
      </c>
      <c r="BZ94" s="1168">
        <f t="shared" si="187"/>
        <v>0</v>
      </c>
      <c r="CA94" s="1168">
        <f t="shared" si="188"/>
        <v>0</v>
      </c>
      <c r="CB94" s="1168">
        <f t="shared" si="189"/>
        <v>0</v>
      </c>
      <c r="CC94" s="1168">
        <f t="shared" si="190"/>
        <v>0</v>
      </c>
      <c r="CD94" s="1168">
        <f t="shared" si="191"/>
        <v>0</v>
      </c>
      <c r="CE94" s="1168">
        <f t="shared" si="192"/>
        <v>0</v>
      </c>
      <c r="CF94" s="1168">
        <f t="shared" si="193"/>
        <v>0</v>
      </c>
      <c r="CG94" s="1168">
        <f t="shared" si="194"/>
        <v>0</v>
      </c>
      <c r="CH94" s="1168">
        <f t="shared" si="195"/>
        <v>0</v>
      </c>
      <c r="CI94" s="1168">
        <f t="shared" si="196"/>
        <v>0</v>
      </c>
      <c r="CJ94" s="1168">
        <f t="shared" si="197"/>
        <v>0</v>
      </c>
      <c r="CK94" s="1168"/>
      <c r="CL94" s="1168"/>
      <c r="CM94" s="1168"/>
      <c r="CN94" s="1168"/>
      <c r="CO94" s="1168"/>
      <c r="CP94" s="1168"/>
      <c r="CQ94" s="1168"/>
      <c r="CR94" s="1168"/>
      <c r="CS94" s="1168"/>
      <c r="CT94" s="1168"/>
      <c r="CU94" s="1168"/>
      <c r="CV94" s="1168"/>
      <c r="CW94" s="1168"/>
      <c r="CX94" s="1168"/>
      <c r="CY94" s="1168"/>
      <c r="CZ94" s="1168"/>
      <c r="DA94" s="1168"/>
      <c r="DB94" s="1168"/>
      <c r="DC94" s="1168"/>
      <c r="DD94" s="1168"/>
      <c r="DE94" s="1555"/>
      <c r="DF94" s="1553"/>
      <c r="DG94" s="1589"/>
      <c r="DH94" s="858">
        <f t="shared" si="226"/>
        <v>0</v>
      </c>
      <c r="DI94" s="859">
        <f t="shared" si="227"/>
        <v>0</v>
      </c>
      <c r="DJ94" s="1167"/>
      <c r="DK94" s="1167"/>
      <c r="DL94" s="1167"/>
      <c r="DM94" s="1167"/>
      <c r="DN94" s="1167"/>
      <c r="DO94" s="1555"/>
      <c r="DP94" s="1553"/>
      <c r="DQ94" s="1589"/>
      <c r="DR94" s="858">
        <f t="shared" si="235"/>
        <v>0</v>
      </c>
      <c r="DS94" s="859">
        <f t="shared" si="235"/>
        <v>0</v>
      </c>
      <c r="DT94" s="1170"/>
      <c r="DU94" s="1170"/>
      <c r="DV94" s="1170"/>
      <c r="DW94" s="1170"/>
      <c r="DX94" s="1170"/>
      <c r="DY94" s="1170"/>
      <c r="DZ94" s="1643"/>
      <c r="EA94" s="1188"/>
      <c r="EB94" s="1188"/>
      <c r="EC94" s="1188"/>
      <c r="ED94" s="1175">
        <f t="shared" si="231"/>
        <v>0</v>
      </c>
      <c r="EE94" s="1175">
        <f t="shared" si="232"/>
        <v>0</v>
      </c>
      <c r="EF94" s="1145"/>
      <c r="EG94" s="1571"/>
      <c r="EH94" s="1174" t="s">
        <v>223</v>
      </c>
      <c r="EI94" s="1168">
        <f t="shared" si="199"/>
        <v>0</v>
      </c>
      <c r="EJ94" s="1168">
        <f t="shared" si="200"/>
        <v>0</v>
      </c>
      <c r="EK94" s="1168">
        <f t="shared" si="201"/>
        <v>0</v>
      </c>
      <c r="EL94" s="1168">
        <f t="shared" si="202"/>
        <v>0</v>
      </c>
      <c r="EM94" s="1168">
        <f t="shared" si="203"/>
        <v>0</v>
      </c>
      <c r="EN94" s="1168">
        <f t="shared" si="204"/>
        <v>0</v>
      </c>
      <c r="EO94" s="1168">
        <f t="shared" si="205"/>
        <v>0</v>
      </c>
      <c r="EP94" s="1168">
        <f t="shared" si="206"/>
        <v>0</v>
      </c>
      <c r="EQ94" s="1168">
        <f t="shared" si="207"/>
        <v>0</v>
      </c>
      <c r="ER94" s="1168">
        <f t="shared" si="208"/>
        <v>0</v>
      </c>
      <c r="ES94" s="1168">
        <f t="shared" si="209"/>
        <v>0</v>
      </c>
      <c r="ET94" s="1168">
        <f t="shared" si="210"/>
        <v>0</v>
      </c>
      <c r="EU94" s="1168">
        <f t="shared" si="211"/>
        <v>0</v>
      </c>
      <c r="EV94" s="1168">
        <f t="shared" si="212"/>
        <v>0</v>
      </c>
      <c r="EW94" s="1168">
        <f t="shared" si="213"/>
        <v>0</v>
      </c>
      <c r="EX94" s="1168">
        <f t="shared" si="214"/>
        <v>0</v>
      </c>
      <c r="EY94" s="1168">
        <f t="shared" si="215"/>
        <v>0</v>
      </c>
      <c r="EZ94" s="1168">
        <f t="shared" si="216"/>
        <v>0</v>
      </c>
      <c r="FA94" s="1168">
        <f t="shared" si="217"/>
        <v>0</v>
      </c>
      <c r="FB94" s="1168">
        <f t="shared" si="218"/>
        <v>0</v>
      </c>
      <c r="FC94" s="1168"/>
      <c r="FD94" s="1168"/>
      <c r="FE94" s="1168"/>
      <c r="FF94" s="1168"/>
      <c r="FG94" s="1168"/>
      <c r="FH94" s="1168"/>
      <c r="FI94" s="1168"/>
      <c r="FJ94" s="1168"/>
      <c r="FK94" s="1168"/>
      <c r="FL94" s="1168"/>
      <c r="FM94" s="1168"/>
      <c r="FN94" s="1168"/>
      <c r="FO94" s="1168"/>
      <c r="FP94" s="1168"/>
      <c r="FQ94" s="1168"/>
      <c r="FR94" s="1168"/>
      <c r="FS94" s="1168"/>
      <c r="FT94" s="1168"/>
      <c r="FU94" s="1168"/>
      <c r="FV94" s="1168"/>
      <c r="FW94" s="1168"/>
      <c r="FX94" s="1182"/>
      <c r="FY94" s="1183"/>
      <c r="FZ94" s="93"/>
      <c r="GA94" s="93"/>
      <c r="GB94" s="1186"/>
      <c r="GC94" s="93"/>
      <c r="GD94" s="1177">
        <f t="shared" si="221"/>
        <v>0</v>
      </c>
      <c r="GE94" s="1573"/>
      <c r="GF94" s="1177">
        <f t="shared" si="222"/>
        <v>0</v>
      </c>
      <c r="GG94" s="1573"/>
      <c r="GH94" s="1558">
        <f>GG94+GE94</f>
        <v>0</v>
      </c>
      <c r="GI94" s="93" t="s">
        <v>328</v>
      </c>
      <c r="GJ94" s="1147">
        <f>GJ63</f>
        <v>0</v>
      </c>
      <c r="GK94" s="1147">
        <f>GL63</f>
        <v>0</v>
      </c>
      <c r="GL94" s="1148">
        <f>NPV($GO$53,GJ94:GK94)</f>
        <v>0</v>
      </c>
      <c r="GM94" s="93"/>
      <c r="GN94" s="93"/>
      <c r="GO94" s="93"/>
      <c r="GP94" s="1568">
        <f>SUM(EI93:FB96)</f>
        <v>0</v>
      </c>
      <c r="GQ94" s="93"/>
      <c r="GR94" s="93"/>
      <c r="GS94" s="93"/>
    </row>
    <row r="95" spans="1:201" ht="15" customHeight="1" thickBot="1">
      <c r="A95" s="1571"/>
      <c r="B95" s="593" t="s">
        <v>224</v>
      </c>
      <c r="C95" s="661">
        <f t="shared" si="154"/>
        <v>0</v>
      </c>
      <c r="D95" s="661">
        <f t="shared" si="155"/>
        <v>0</v>
      </c>
      <c r="E95" s="661">
        <f t="shared" si="156"/>
        <v>0</v>
      </c>
      <c r="F95" s="661">
        <f t="shared" si="157"/>
        <v>0</v>
      </c>
      <c r="G95" s="661">
        <f t="shared" si="158"/>
        <v>0</v>
      </c>
      <c r="H95" s="661">
        <f t="shared" si="159"/>
        <v>0</v>
      </c>
      <c r="I95" s="661">
        <f t="shared" si="160"/>
        <v>0</v>
      </c>
      <c r="J95" s="661">
        <f t="shared" si="161"/>
        <v>0</v>
      </c>
      <c r="K95" s="661">
        <f t="shared" si="162"/>
        <v>0</v>
      </c>
      <c r="L95" s="661">
        <f t="shared" si="163"/>
        <v>0</v>
      </c>
      <c r="M95" s="661">
        <f t="shared" si="164"/>
        <v>0</v>
      </c>
      <c r="N95" s="661">
        <f t="shared" si="165"/>
        <v>0</v>
      </c>
      <c r="O95" s="661">
        <f t="shared" si="166"/>
        <v>0</v>
      </c>
      <c r="P95" s="661">
        <f t="shared" si="167"/>
        <v>0</v>
      </c>
      <c r="Q95" s="661">
        <f t="shared" si="168"/>
        <v>0</v>
      </c>
      <c r="R95" s="661">
        <f t="shared" si="169"/>
        <v>0</v>
      </c>
      <c r="S95" s="661">
        <f t="shared" si="170"/>
        <v>0</v>
      </c>
      <c r="T95" s="661">
        <f t="shared" si="171"/>
        <v>0</v>
      </c>
      <c r="U95" s="661">
        <f t="shared" si="172"/>
        <v>0</v>
      </c>
      <c r="V95" s="661">
        <f t="shared" si="173"/>
        <v>0</v>
      </c>
      <c r="W95" s="661"/>
      <c r="X95" s="661"/>
      <c r="Y95" s="661"/>
      <c r="Z95" s="661"/>
      <c r="AA95" s="661"/>
      <c r="AB95" s="661"/>
      <c r="AC95" s="661"/>
      <c r="AD95" s="661"/>
      <c r="AE95" s="661"/>
      <c r="AF95" s="661"/>
      <c r="AG95" s="661"/>
      <c r="AH95" s="661"/>
      <c r="AI95" s="661"/>
      <c r="AJ95" s="661"/>
      <c r="AK95" s="661"/>
      <c r="AL95" s="661"/>
      <c r="AM95" s="661"/>
      <c r="AN95" s="661"/>
      <c r="AO95" s="661"/>
      <c r="AP95" s="661"/>
      <c r="AQ95" s="1553"/>
      <c r="AR95" s="1553"/>
      <c r="AS95" s="1589"/>
      <c r="AT95" s="858">
        <f t="shared" si="176"/>
        <v>0</v>
      </c>
      <c r="AU95" s="858">
        <f t="shared" si="177"/>
        <v>0</v>
      </c>
      <c r="AV95" s="1167"/>
      <c r="AW95" s="1167"/>
      <c r="AX95" s="1167"/>
      <c r="AY95" s="1167"/>
      <c r="AZ95" s="1167"/>
      <c r="BA95" s="1167"/>
      <c r="BB95" s="1167"/>
      <c r="BC95" s="1167"/>
      <c r="BD95" s="1167"/>
      <c r="BE95" s="1167"/>
      <c r="BF95" s="1167"/>
      <c r="BG95" s="93"/>
      <c r="BH95" s="93"/>
      <c r="BI95" s="1147"/>
      <c r="BJ95" s="93"/>
      <c r="BK95" s="1147">
        <f t="shared" si="152"/>
        <v>3066292.5717158206</v>
      </c>
      <c r="BL95" s="1147">
        <f t="shared" si="153"/>
        <v>2722030.1463355003</v>
      </c>
      <c r="BM95" s="93"/>
      <c r="BN95" s="93"/>
      <c r="BO95" s="1571"/>
      <c r="BP95" s="593" t="s">
        <v>224</v>
      </c>
      <c r="BQ95" s="1168">
        <f t="shared" si="178"/>
        <v>0</v>
      </c>
      <c r="BR95" s="1168">
        <f t="shared" si="179"/>
        <v>0</v>
      </c>
      <c r="BS95" s="1168">
        <f t="shared" si="180"/>
        <v>0</v>
      </c>
      <c r="BT95" s="1168">
        <f t="shared" si="181"/>
        <v>0</v>
      </c>
      <c r="BU95" s="1168">
        <f t="shared" si="182"/>
        <v>0</v>
      </c>
      <c r="BV95" s="1168">
        <f t="shared" si="183"/>
        <v>0</v>
      </c>
      <c r="BW95" s="1168">
        <f t="shared" si="184"/>
        <v>0</v>
      </c>
      <c r="BX95" s="1168">
        <f t="shared" si="185"/>
        <v>0</v>
      </c>
      <c r="BY95" s="1168">
        <f t="shared" si="186"/>
        <v>0</v>
      </c>
      <c r="BZ95" s="1168">
        <f t="shared" si="187"/>
        <v>0</v>
      </c>
      <c r="CA95" s="1168">
        <f t="shared" si="188"/>
        <v>0</v>
      </c>
      <c r="CB95" s="1168">
        <f t="shared" si="189"/>
        <v>0</v>
      </c>
      <c r="CC95" s="1168">
        <f t="shared" si="190"/>
        <v>0</v>
      </c>
      <c r="CD95" s="1168">
        <f t="shared" si="191"/>
        <v>0</v>
      </c>
      <c r="CE95" s="1168">
        <f t="shared" si="192"/>
        <v>0</v>
      </c>
      <c r="CF95" s="1168">
        <f t="shared" si="193"/>
        <v>0</v>
      </c>
      <c r="CG95" s="1168">
        <f t="shared" si="194"/>
        <v>0</v>
      </c>
      <c r="CH95" s="1168">
        <f t="shared" si="195"/>
        <v>0</v>
      </c>
      <c r="CI95" s="1168">
        <f t="shared" si="196"/>
        <v>0</v>
      </c>
      <c r="CJ95" s="1168">
        <f t="shared" si="197"/>
        <v>0</v>
      </c>
      <c r="CK95" s="1168"/>
      <c r="CL95" s="1168"/>
      <c r="CM95" s="1168"/>
      <c r="CN95" s="1168"/>
      <c r="CO95" s="1168"/>
      <c r="CP95" s="1168"/>
      <c r="CQ95" s="1168"/>
      <c r="CR95" s="1168"/>
      <c r="CS95" s="1168"/>
      <c r="CT95" s="1168"/>
      <c r="CU95" s="1168"/>
      <c r="CV95" s="1168"/>
      <c r="CW95" s="1168"/>
      <c r="CX95" s="1168"/>
      <c r="CY95" s="1168"/>
      <c r="CZ95" s="1168"/>
      <c r="DA95" s="1168"/>
      <c r="DB95" s="1168"/>
      <c r="DC95" s="1168"/>
      <c r="DD95" s="1168"/>
      <c r="DE95" s="1555"/>
      <c r="DF95" s="1553"/>
      <c r="DG95" s="1589"/>
      <c r="DH95" s="858">
        <f t="shared" si="226"/>
        <v>0</v>
      </c>
      <c r="DI95" s="859">
        <f t="shared" si="227"/>
        <v>0</v>
      </c>
      <c r="DJ95" s="1167"/>
      <c r="DK95" s="1167"/>
      <c r="DL95" s="1167"/>
      <c r="DM95" s="1167"/>
      <c r="DN95" s="1167"/>
      <c r="DO95" s="1555"/>
      <c r="DP95" s="1553"/>
      <c r="DQ95" s="1589"/>
      <c r="DR95" s="858">
        <f t="shared" si="235"/>
        <v>0</v>
      </c>
      <c r="DS95" s="859">
        <f t="shared" si="235"/>
        <v>0</v>
      </c>
      <c r="DT95" s="1167"/>
      <c r="DU95" s="1167"/>
      <c r="DV95" s="1167"/>
      <c r="DW95" s="1167"/>
      <c r="DX95" s="1167"/>
      <c r="DY95" s="1167"/>
      <c r="DZ95" s="1145"/>
      <c r="EA95" s="1145"/>
      <c r="EB95" s="1145"/>
      <c r="EC95" s="1145"/>
      <c r="ED95" s="1145"/>
      <c r="EE95" s="1145"/>
      <c r="EF95" s="1145"/>
      <c r="EG95" s="1571"/>
      <c r="EH95" s="1174" t="s">
        <v>224</v>
      </c>
      <c r="EI95" s="1168">
        <f t="shared" si="199"/>
        <v>0</v>
      </c>
      <c r="EJ95" s="1168">
        <f t="shared" si="200"/>
        <v>0</v>
      </c>
      <c r="EK95" s="1168">
        <f t="shared" si="201"/>
        <v>0</v>
      </c>
      <c r="EL95" s="1168">
        <f t="shared" si="202"/>
        <v>0</v>
      </c>
      <c r="EM95" s="1168">
        <f t="shared" si="203"/>
        <v>0</v>
      </c>
      <c r="EN95" s="1168">
        <f t="shared" si="204"/>
        <v>0</v>
      </c>
      <c r="EO95" s="1168">
        <f t="shared" si="205"/>
        <v>0</v>
      </c>
      <c r="EP95" s="1168">
        <f t="shared" si="206"/>
        <v>0</v>
      </c>
      <c r="EQ95" s="1168">
        <f t="shared" si="207"/>
        <v>0</v>
      </c>
      <c r="ER95" s="1168">
        <f t="shared" si="208"/>
        <v>0</v>
      </c>
      <c r="ES95" s="1168">
        <f t="shared" si="209"/>
        <v>0</v>
      </c>
      <c r="ET95" s="1168">
        <f t="shared" si="210"/>
        <v>0</v>
      </c>
      <c r="EU95" s="1168">
        <f t="shared" si="211"/>
        <v>0</v>
      </c>
      <c r="EV95" s="1168">
        <f t="shared" si="212"/>
        <v>0</v>
      </c>
      <c r="EW95" s="1168">
        <f t="shared" si="213"/>
        <v>0</v>
      </c>
      <c r="EX95" s="1168">
        <f t="shared" si="214"/>
        <v>0</v>
      </c>
      <c r="EY95" s="1168">
        <f t="shared" si="215"/>
        <v>0</v>
      </c>
      <c r="EZ95" s="1168">
        <f t="shared" si="216"/>
        <v>0</v>
      </c>
      <c r="FA95" s="1168">
        <f t="shared" si="217"/>
        <v>0</v>
      </c>
      <c r="FB95" s="1168">
        <f t="shared" si="218"/>
        <v>0</v>
      </c>
      <c r="FC95" s="1168"/>
      <c r="FD95" s="1168"/>
      <c r="FE95" s="1168"/>
      <c r="FF95" s="1168"/>
      <c r="FG95" s="1168"/>
      <c r="FH95" s="1168"/>
      <c r="FI95" s="1168"/>
      <c r="FJ95" s="1168"/>
      <c r="FK95" s="1168"/>
      <c r="FL95" s="1168"/>
      <c r="FM95" s="1168"/>
      <c r="FN95" s="1168"/>
      <c r="FO95" s="1168"/>
      <c r="FP95" s="1168"/>
      <c r="FQ95" s="1168"/>
      <c r="FR95" s="1168"/>
      <c r="FS95" s="1168"/>
      <c r="FT95" s="1168"/>
      <c r="FU95" s="1168"/>
      <c r="FV95" s="1168"/>
      <c r="FW95" s="1168"/>
      <c r="FX95" s="1143"/>
      <c r="FY95" s="93"/>
      <c r="FZ95" s="93"/>
      <c r="GA95" s="93"/>
      <c r="GB95" s="93"/>
      <c r="GC95" s="93"/>
      <c r="GD95" s="1189">
        <f t="shared" si="221"/>
        <v>0</v>
      </c>
      <c r="GE95" s="1573"/>
      <c r="GF95" s="1177">
        <f t="shared" si="222"/>
        <v>0</v>
      </c>
      <c r="GG95" s="1573"/>
      <c r="GH95" s="1559"/>
      <c r="GI95" s="93" t="s">
        <v>662</v>
      </c>
      <c r="GJ95" s="1147">
        <f>GJ64</f>
        <v>0</v>
      </c>
      <c r="GK95" s="1147">
        <f>GL64</f>
        <v>0</v>
      </c>
      <c r="GL95" s="1148">
        <f>NPV($GO$53,GJ95:GK95)</f>
        <v>0</v>
      </c>
      <c r="GM95" s="93"/>
      <c r="GN95" s="93"/>
      <c r="GO95" s="93"/>
      <c r="GP95" s="1568"/>
      <c r="GQ95" s="93"/>
      <c r="GR95" s="93"/>
      <c r="GS95" s="93"/>
    </row>
    <row r="96" spans="1:201" ht="14.65" customHeight="1" thickBot="1">
      <c r="A96" s="1587"/>
      <c r="B96" s="1190" t="s">
        <v>225</v>
      </c>
      <c r="C96" s="661">
        <f t="shared" si="154"/>
        <v>0</v>
      </c>
      <c r="D96" s="661">
        <f t="shared" si="155"/>
        <v>0</v>
      </c>
      <c r="E96" s="661">
        <f t="shared" si="156"/>
        <v>0</v>
      </c>
      <c r="F96" s="661">
        <f t="shared" si="157"/>
        <v>0</v>
      </c>
      <c r="G96" s="661">
        <f t="shared" si="158"/>
        <v>0</v>
      </c>
      <c r="H96" s="661">
        <f t="shared" si="159"/>
        <v>0</v>
      </c>
      <c r="I96" s="661">
        <f t="shared" si="160"/>
        <v>0</v>
      </c>
      <c r="J96" s="661">
        <f t="shared" si="161"/>
        <v>0</v>
      </c>
      <c r="K96" s="661">
        <f t="shared" si="162"/>
        <v>0</v>
      </c>
      <c r="L96" s="661">
        <f t="shared" si="163"/>
        <v>0</v>
      </c>
      <c r="M96" s="661">
        <f t="shared" si="164"/>
        <v>0</v>
      </c>
      <c r="N96" s="661">
        <f t="shared" si="165"/>
        <v>0</v>
      </c>
      <c r="O96" s="661">
        <f t="shared" si="166"/>
        <v>0</v>
      </c>
      <c r="P96" s="661">
        <f t="shared" si="167"/>
        <v>0</v>
      </c>
      <c r="Q96" s="661">
        <f t="shared" si="168"/>
        <v>0</v>
      </c>
      <c r="R96" s="661">
        <f t="shared" si="169"/>
        <v>0</v>
      </c>
      <c r="S96" s="661">
        <f t="shared" si="170"/>
        <v>0</v>
      </c>
      <c r="T96" s="661">
        <f t="shared" si="171"/>
        <v>0</v>
      </c>
      <c r="U96" s="661">
        <f t="shared" si="172"/>
        <v>0</v>
      </c>
      <c r="V96" s="661">
        <f t="shared" si="173"/>
        <v>0</v>
      </c>
      <c r="W96" s="661"/>
      <c r="X96" s="661"/>
      <c r="Y96" s="661"/>
      <c r="Z96" s="661"/>
      <c r="AA96" s="661"/>
      <c r="AB96" s="661"/>
      <c r="AC96" s="661"/>
      <c r="AD96" s="661"/>
      <c r="AE96" s="661"/>
      <c r="AF96" s="661"/>
      <c r="AG96" s="661"/>
      <c r="AH96" s="661"/>
      <c r="AI96" s="661"/>
      <c r="AJ96" s="661"/>
      <c r="AK96" s="661"/>
      <c r="AL96" s="661"/>
      <c r="AM96" s="661"/>
      <c r="AN96" s="661"/>
      <c r="AO96" s="661"/>
      <c r="AP96" s="661"/>
      <c r="AQ96" s="1553"/>
      <c r="AR96" s="1553"/>
      <c r="AS96" s="1589"/>
      <c r="AT96" s="858">
        <f t="shared" si="176"/>
        <v>0</v>
      </c>
      <c r="AU96" s="858">
        <f t="shared" si="177"/>
        <v>0</v>
      </c>
      <c r="AV96" s="1167"/>
      <c r="AW96" s="1167"/>
      <c r="AX96" s="1167"/>
      <c r="AY96" s="1167"/>
      <c r="AZ96" s="1167"/>
      <c r="BA96" s="1167"/>
      <c r="BB96" s="1167"/>
      <c r="BC96" s="1167"/>
      <c r="BD96" s="1167"/>
      <c r="BE96" s="1167"/>
      <c r="BF96" s="1167"/>
      <c r="BG96" s="93"/>
      <c r="BH96" s="93"/>
      <c r="BI96" s="1147"/>
      <c r="BJ96" s="93"/>
      <c r="BK96" s="93"/>
      <c r="BL96" s="1147"/>
      <c r="BM96" s="93"/>
      <c r="BN96" s="93"/>
      <c r="BO96" s="1587"/>
      <c r="BP96" s="1190" t="s">
        <v>225</v>
      </c>
      <c r="BQ96" s="1168">
        <f>EB20*$DP20*90</f>
        <v>0</v>
      </c>
      <c r="BR96" s="1168">
        <f>EC20*$DP20*90</f>
        <v>0</v>
      </c>
      <c r="BS96" s="1168">
        <f>ED20*$DP20*90</f>
        <v>0</v>
      </c>
      <c r="BT96" s="1168">
        <f>EE20*$DP20*90</f>
        <v>0</v>
      </c>
      <c r="BU96" s="1168">
        <f t="shared" ref="BU96" si="236">EF20*$DP20*90</f>
        <v>0</v>
      </c>
      <c r="BV96" s="1168">
        <f t="shared" ref="BV96" si="237">EG20*$DP20*90</f>
        <v>0</v>
      </c>
      <c r="BW96" s="1168">
        <f>EH20*$DP20*90</f>
        <v>0</v>
      </c>
      <c r="BX96" s="1168">
        <f t="shared" ref="BX96" si="238">EI20*$DP20*90</f>
        <v>0</v>
      </c>
      <c r="BY96" s="1168">
        <f t="shared" ref="BY96" si="239">EJ20*$DP20*90</f>
        <v>0</v>
      </c>
      <c r="BZ96" s="1168">
        <f>EK20*$DP20*90</f>
        <v>0</v>
      </c>
      <c r="CA96" s="1168">
        <f t="shared" ref="CA96" si="240">EL20*$DP20*90</f>
        <v>0</v>
      </c>
      <c r="CB96" s="1168">
        <f t="shared" ref="CB96" si="241">EM20*$DP20*90</f>
        <v>0</v>
      </c>
      <c r="CC96" s="1168">
        <f>EN20*$DP20*90</f>
        <v>0</v>
      </c>
      <c r="CD96" s="1168">
        <f t="shared" ref="CD96" si="242">EO20*$DP20*90</f>
        <v>0</v>
      </c>
      <c r="CE96" s="1168">
        <f t="shared" ref="CE96" si="243">EP20*$DP20*90</f>
        <v>0</v>
      </c>
      <c r="CF96" s="1168">
        <f>EQ20*$DP20*90</f>
        <v>0</v>
      </c>
      <c r="CG96" s="1168">
        <f t="shared" ref="CG96" si="244">ER20*$DP20*90</f>
        <v>0</v>
      </c>
      <c r="CH96" s="1168">
        <f t="shared" ref="CH96" si="245">ES20*$DP20*90</f>
        <v>0</v>
      </c>
      <c r="CI96" s="1168">
        <f>ET20*$DP20*90</f>
        <v>0</v>
      </c>
      <c r="CJ96" s="1168">
        <f>EU20*$DP20*90</f>
        <v>0</v>
      </c>
      <c r="CK96" s="1168"/>
      <c r="CL96" s="1168"/>
      <c r="CM96" s="1168"/>
      <c r="CN96" s="1168"/>
      <c r="CO96" s="1168"/>
      <c r="CP96" s="1168"/>
      <c r="CQ96" s="1168"/>
      <c r="CR96" s="1168"/>
      <c r="CS96" s="1168"/>
      <c r="CT96" s="1168"/>
      <c r="CU96" s="1168"/>
      <c r="CV96" s="1168"/>
      <c r="CW96" s="1168"/>
      <c r="CX96" s="1168"/>
      <c r="CY96" s="1168"/>
      <c r="CZ96" s="1168"/>
      <c r="DA96" s="1168"/>
      <c r="DB96" s="1168"/>
      <c r="DC96" s="1168"/>
      <c r="DD96" s="1168"/>
      <c r="DE96" s="1555"/>
      <c r="DF96" s="1553"/>
      <c r="DG96" s="1589"/>
      <c r="DH96" s="858">
        <f t="shared" si="226"/>
        <v>0</v>
      </c>
      <c r="DI96" s="859">
        <f t="shared" si="227"/>
        <v>0</v>
      </c>
      <c r="DJ96" s="1167"/>
      <c r="DK96" s="1167"/>
      <c r="DL96" s="1167"/>
      <c r="DM96" s="1167"/>
      <c r="DN96" s="1167"/>
      <c r="DO96" s="1555"/>
      <c r="DP96" s="1553"/>
      <c r="DQ96" s="1589"/>
      <c r="DR96" s="858">
        <f t="shared" si="235"/>
        <v>0</v>
      </c>
      <c r="DS96" s="859">
        <f t="shared" si="235"/>
        <v>0</v>
      </c>
      <c r="DT96" s="1167"/>
      <c r="DU96" s="1167"/>
      <c r="DV96" s="1167"/>
      <c r="DW96" s="1167"/>
      <c r="DX96" s="1167"/>
      <c r="DY96" s="1167"/>
      <c r="DZ96" s="1145"/>
      <c r="EA96" s="1145"/>
      <c r="EB96" s="1145"/>
      <c r="EC96" s="1145"/>
      <c r="ED96" s="1145"/>
      <c r="EE96" s="1145"/>
      <c r="EF96" s="1145"/>
      <c r="EG96" s="1587"/>
      <c r="EH96" s="1191" t="s">
        <v>225</v>
      </c>
      <c r="EI96" s="1168">
        <f t="shared" si="199"/>
        <v>0</v>
      </c>
      <c r="EJ96" s="1168">
        <f t="shared" si="200"/>
        <v>0</v>
      </c>
      <c r="EK96" s="1168">
        <f t="shared" si="201"/>
        <v>0</v>
      </c>
      <c r="EL96" s="1168">
        <f t="shared" si="202"/>
        <v>0</v>
      </c>
      <c r="EM96" s="1168">
        <f t="shared" si="203"/>
        <v>0</v>
      </c>
      <c r="EN96" s="1168">
        <f t="shared" si="204"/>
        <v>0</v>
      </c>
      <c r="EO96" s="1168">
        <f t="shared" si="205"/>
        <v>0</v>
      </c>
      <c r="EP96" s="1168">
        <f t="shared" si="206"/>
        <v>0</v>
      </c>
      <c r="EQ96" s="1168">
        <f t="shared" si="207"/>
        <v>0</v>
      </c>
      <c r="ER96" s="1168">
        <f t="shared" si="208"/>
        <v>0</v>
      </c>
      <c r="ES96" s="1168">
        <f t="shared" si="209"/>
        <v>0</v>
      </c>
      <c r="ET96" s="1168">
        <f t="shared" si="210"/>
        <v>0</v>
      </c>
      <c r="EU96" s="1168">
        <f t="shared" si="211"/>
        <v>0</v>
      </c>
      <c r="EV96" s="1168">
        <f t="shared" si="212"/>
        <v>0</v>
      </c>
      <c r="EW96" s="1168">
        <f t="shared" si="213"/>
        <v>0</v>
      </c>
      <c r="EX96" s="1168">
        <f t="shared" si="214"/>
        <v>0</v>
      </c>
      <c r="EY96" s="1168">
        <f t="shared" si="215"/>
        <v>0</v>
      </c>
      <c r="EZ96" s="1168">
        <f t="shared" si="216"/>
        <v>0</v>
      </c>
      <c r="FA96" s="1168">
        <f t="shared" si="217"/>
        <v>0</v>
      </c>
      <c r="FB96" s="1168">
        <f t="shared" si="218"/>
        <v>0</v>
      </c>
      <c r="FC96" s="1168"/>
      <c r="FD96" s="1168"/>
      <c r="FE96" s="1168"/>
      <c r="FF96" s="1168"/>
      <c r="FG96" s="1168"/>
      <c r="FH96" s="1168"/>
      <c r="FI96" s="1168"/>
      <c r="FJ96" s="1168"/>
      <c r="FK96" s="1168"/>
      <c r="FL96" s="1168"/>
      <c r="FM96" s="1168"/>
      <c r="FN96" s="1168"/>
      <c r="FO96" s="1168"/>
      <c r="FP96" s="1168"/>
      <c r="FQ96" s="1168"/>
      <c r="FR96" s="1168"/>
      <c r="FS96" s="1168"/>
      <c r="FT96" s="1168"/>
      <c r="FU96" s="1168"/>
      <c r="FV96" s="1168"/>
      <c r="FW96" s="1168"/>
      <c r="FX96" s="1149"/>
      <c r="FY96" s="1150"/>
      <c r="FZ96" s="1150"/>
      <c r="GA96" s="1150"/>
      <c r="GB96" s="1150"/>
      <c r="GC96" s="1150"/>
      <c r="GD96" s="1192">
        <f t="shared" si="221"/>
        <v>0</v>
      </c>
      <c r="GE96" s="1573"/>
      <c r="GF96" s="1176">
        <f t="shared" si="222"/>
        <v>0</v>
      </c>
      <c r="GG96" s="1573"/>
      <c r="GH96" s="1559"/>
      <c r="GI96" s="93" t="s">
        <v>283</v>
      </c>
      <c r="GJ96" s="1147">
        <f>GJ65</f>
        <v>0</v>
      </c>
      <c r="GK96" s="1147">
        <f>GL65</f>
        <v>0</v>
      </c>
      <c r="GL96" s="1148">
        <f>NPV($GO$53,GJ96:GK96)</f>
        <v>0</v>
      </c>
      <c r="GM96" s="93"/>
      <c r="GN96" s="93"/>
      <c r="GO96" s="93"/>
      <c r="GP96" s="1568"/>
      <c r="GQ96" s="93"/>
      <c r="GR96" s="93"/>
      <c r="GS96" s="93"/>
    </row>
    <row r="97" spans="1:201" ht="15" customHeight="1">
      <c r="A97" s="1193"/>
      <c r="B97" s="1158"/>
      <c r="C97" s="1106"/>
      <c r="D97" s="1106"/>
      <c r="E97" s="1106"/>
      <c r="F97" s="1106"/>
      <c r="G97" s="1106"/>
      <c r="H97" s="1106"/>
      <c r="I97" s="1106"/>
      <c r="J97" s="1106"/>
      <c r="K97" s="1106"/>
      <c r="L97" s="1106"/>
      <c r="M97" s="1106"/>
      <c r="N97" s="1106"/>
      <c r="O97" s="1106"/>
      <c r="P97" s="1106"/>
      <c r="Q97" s="661"/>
      <c r="R97" s="661"/>
      <c r="S97" s="661"/>
      <c r="T97" s="661"/>
      <c r="U97" s="661"/>
      <c r="V97" s="661"/>
      <c r="W97" s="661"/>
      <c r="X97" s="661"/>
      <c r="Y97" s="661"/>
      <c r="Z97" s="661"/>
      <c r="AA97" s="661"/>
      <c r="AB97" s="661"/>
      <c r="AC97" s="661"/>
      <c r="AD97" s="661"/>
      <c r="AE97" s="661"/>
      <c r="AF97" s="661"/>
      <c r="AG97" s="661"/>
      <c r="AH97" s="661"/>
      <c r="AI97" s="661"/>
      <c r="AJ97" s="661"/>
      <c r="AK97" s="661"/>
      <c r="AL97" s="661"/>
      <c r="AM97" s="661"/>
      <c r="AN97" s="661"/>
      <c r="AO97" s="661"/>
      <c r="AP97" s="661"/>
      <c r="AQ97" s="1553"/>
      <c r="AR97" s="1553"/>
      <c r="AS97" s="1589"/>
      <c r="AT97" s="858">
        <f t="shared" si="176"/>
        <v>0</v>
      </c>
      <c r="AU97" s="858">
        <f t="shared" si="177"/>
        <v>0</v>
      </c>
      <c r="AV97" s="1167"/>
      <c r="AW97" s="1167"/>
      <c r="AX97" s="1167"/>
      <c r="AY97" s="1167"/>
      <c r="AZ97" s="1167"/>
      <c r="BA97" s="1167"/>
      <c r="BB97" s="1167"/>
      <c r="BC97" s="1167"/>
      <c r="BD97" s="1167"/>
      <c r="BE97" s="1167"/>
      <c r="BF97" s="1167"/>
      <c r="BG97" s="93"/>
      <c r="BH97" s="93"/>
      <c r="BI97" s="1147"/>
      <c r="BJ97" s="93"/>
      <c r="BK97" s="93"/>
      <c r="BL97" s="1147"/>
      <c r="BM97" s="93"/>
      <c r="BN97" s="93"/>
      <c r="BO97" s="1193"/>
      <c r="BP97" s="1158"/>
      <c r="BQ97" s="93"/>
      <c r="BR97" s="93"/>
      <c r="BS97" s="93"/>
      <c r="BT97" s="93"/>
      <c r="BU97" s="93"/>
      <c r="BV97" s="93"/>
      <c r="BW97" s="93"/>
      <c r="BX97" s="93"/>
      <c r="BY97" s="93"/>
      <c r="BZ97" s="93"/>
      <c r="CA97" s="93"/>
      <c r="CB97" s="93"/>
      <c r="CC97" s="93"/>
      <c r="CD97" s="93"/>
      <c r="CE97" s="1168"/>
      <c r="CF97" s="1168"/>
      <c r="CG97" s="1168"/>
      <c r="CH97" s="1168"/>
      <c r="CI97" s="1168"/>
      <c r="CJ97" s="1168"/>
      <c r="CK97" s="1168"/>
      <c r="CL97" s="1168"/>
      <c r="CM97" s="1168"/>
      <c r="CN97" s="1168"/>
      <c r="CO97" s="1168"/>
      <c r="CP97" s="1168"/>
      <c r="CQ97" s="1168"/>
      <c r="CR97" s="1168"/>
      <c r="CS97" s="1168"/>
      <c r="CT97" s="1168"/>
      <c r="CU97" s="1168"/>
      <c r="CV97" s="1168"/>
      <c r="CW97" s="1168"/>
      <c r="CX97" s="1168"/>
      <c r="CY97" s="1168"/>
      <c r="CZ97" s="1168"/>
      <c r="DA97" s="1168"/>
      <c r="DB97" s="1168"/>
      <c r="DC97" s="1168"/>
      <c r="DD97" s="1168"/>
      <c r="DE97" s="1555"/>
      <c r="DF97" s="1553"/>
      <c r="DG97" s="1589"/>
      <c r="DH97" s="1644"/>
      <c r="DI97" s="1645"/>
      <c r="DJ97" s="1167"/>
      <c r="DK97" s="1167"/>
      <c r="DL97" s="1167"/>
      <c r="DM97" s="1167"/>
      <c r="DN97" s="1167"/>
      <c r="DO97" s="1555"/>
      <c r="DP97" s="1553"/>
      <c r="DQ97" s="1589"/>
      <c r="DR97" s="1644"/>
      <c r="DS97" s="1645"/>
      <c r="DT97" s="1167"/>
      <c r="DU97" s="1167"/>
      <c r="DV97" s="1167"/>
      <c r="DW97" s="1167"/>
      <c r="DX97" s="1167"/>
      <c r="DY97" s="1167"/>
      <c r="DZ97" s="1145"/>
      <c r="EA97" s="1145"/>
      <c r="EB97" s="1145"/>
      <c r="EC97" s="1145"/>
      <c r="ED97" s="1145"/>
      <c r="EE97" s="1145"/>
      <c r="EF97" s="1145"/>
      <c r="EG97" s="1193"/>
      <c r="EH97" s="1158"/>
      <c r="EI97" s="93"/>
      <c r="EJ97" s="93"/>
      <c r="EK97" s="93"/>
      <c r="EL97" s="93"/>
      <c r="EM97" s="93"/>
      <c r="EN97" s="93"/>
      <c r="EO97" s="1168"/>
      <c r="EP97" s="1168"/>
      <c r="EQ97" s="1168"/>
      <c r="ER97" s="1168"/>
      <c r="ES97" s="1168"/>
      <c r="ET97" s="1168"/>
      <c r="EU97" s="1168"/>
      <c r="EV97" s="1168"/>
      <c r="EW97" s="1168"/>
      <c r="EX97" s="1168"/>
      <c r="EY97" s="1168"/>
      <c r="EZ97" s="1168"/>
      <c r="FA97" s="1168"/>
      <c r="FB97" s="1168"/>
      <c r="FC97" s="1168"/>
      <c r="FD97" s="1168"/>
      <c r="FE97" s="1168"/>
      <c r="FF97" s="1168"/>
      <c r="FG97" s="1168"/>
      <c r="FH97" s="1168"/>
      <c r="FI97" s="1168"/>
      <c r="FJ97" s="1168"/>
      <c r="FK97" s="1168"/>
      <c r="FL97" s="1168"/>
      <c r="FM97" s="1168"/>
      <c r="FN97" s="1168"/>
      <c r="FO97" s="1168"/>
      <c r="FP97" s="1168"/>
      <c r="FQ97" s="1168"/>
      <c r="FR97" s="1168"/>
      <c r="FS97" s="1168"/>
      <c r="FT97" s="1168"/>
      <c r="FU97" s="1168"/>
      <c r="FV97" s="1168"/>
      <c r="FW97" s="1168"/>
      <c r="FX97" s="93"/>
      <c r="FY97" s="93"/>
      <c r="FZ97" s="93"/>
      <c r="GA97" s="93"/>
      <c r="GB97" s="93"/>
      <c r="GC97" s="93"/>
      <c r="GD97" s="1186"/>
      <c r="GE97" s="1183"/>
      <c r="GF97" s="1186"/>
      <c r="GG97" s="1183"/>
      <c r="GH97" s="1569"/>
      <c r="GI97" s="93" t="s">
        <v>326</v>
      </c>
      <c r="GJ97" s="1147">
        <f>GJ66</f>
        <v>0</v>
      </c>
      <c r="GK97" s="1147">
        <f>GL66</f>
        <v>0</v>
      </c>
      <c r="GL97" s="1148">
        <f>NPV($GO$53,GJ97:GK97)</f>
        <v>0</v>
      </c>
      <c r="GM97" s="93"/>
      <c r="GN97" s="93"/>
      <c r="GO97" s="93"/>
      <c r="GP97" s="1568"/>
      <c r="GQ97" s="93"/>
      <c r="GR97" s="93"/>
      <c r="GS97" s="93"/>
    </row>
    <row r="98" spans="1:201" ht="15" customHeight="1">
      <c r="A98" s="1193"/>
      <c r="B98" s="1158"/>
      <c r="C98" s="1106"/>
      <c r="D98" s="1106"/>
      <c r="E98" s="1106"/>
      <c r="F98" s="1106"/>
      <c r="G98" s="1106"/>
      <c r="H98" s="1106"/>
      <c r="I98" s="1106"/>
      <c r="J98" s="1106"/>
      <c r="K98" s="1106"/>
      <c r="L98" s="1106"/>
      <c r="M98" s="1106"/>
      <c r="N98" s="1106"/>
      <c r="O98" s="1106"/>
      <c r="P98" s="1106"/>
      <c r="Q98" s="661"/>
      <c r="R98" s="661"/>
      <c r="S98" s="661"/>
      <c r="T98" s="661"/>
      <c r="U98" s="661"/>
      <c r="V98" s="661"/>
      <c r="W98" s="661"/>
      <c r="X98" s="661"/>
      <c r="Y98" s="661"/>
      <c r="Z98" s="661"/>
      <c r="AA98" s="661"/>
      <c r="AB98" s="661"/>
      <c r="AC98" s="661"/>
      <c r="AD98" s="661"/>
      <c r="AE98" s="661"/>
      <c r="AF98" s="661"/>
      <c r="AG98" s="661"/>
      <c r="AH98" s="661"/>
      <c r="AI98" s="661"/>
      <c r="AJ98" s="661"/>
      <c r="AK98" s="661"/>
      <c r="AL98" s="661"/>
      <c r="AM98" s="661"/>
      <c r="AN98" s="661"/>
      <c r="AO98" s="661"/>
      <c r="AP98" s="661"/>
      <c r="AQ98" s="1553"/>
      <c r="AR98" s="1553"/>
      <c r="AS98" s="1589"/>
      <c r="AT98" s="858">
        <f t="shared" si="176"/>
        <v>0</v>
      </c>
      <c r="AU98" s="858">
        <f t="shared" si="177"/>
        <v>0</v>
      </c>
      <c r="AV98" s="1167"/>
      <c r="AW98" s="1167"/>
      <c r="AX98" s="1167"/>
      <c r="AY98" s="1167"/>
      <c r="AZ98" s="1167"/>
      <c r="BA98" s="1167"/>
      <c r="BB98" s="1167"/>
      <c r="BC98" s="1167"/>
      <c r="BD98" s="1167"/>
      <c r="BE98" s="1167"/>
      <c r="BF98" s="1167"/>
      <c r="BG98" s="93"/>
      <c r="BH98" s="93"/>
      <c r="BI98" s="93"/>
      <c r="BJ98" s="93"/>
      <c r="BK98" s="93"/>
      <c r="BL98" s="1147"/>
      <c r="BM98" s="93"/>
      <c r="BN98" s="93"/>
      <c r="BO98" s="1193"/>
      <c r="BP98" s="1158"/>
      <c r="BQ98" s="93"/>
      <c r="BR98" s="93"/>
      <c r="BS98" s="93"/>
      <c r="BT98" s="93"/>
      <c r="BU98" s="93"/>
      <c r="BV98" s="93"/>
      <c r="BW98" s="93"/>
      <c r="BX98" s="93"/>
      <c r="BY98" s="93"/>
      <c r="BZ98" s="93"/>
      <c r="CA98" s="93"/>
      <c r="CB98" s="93"/>
      <c r="CC98" s="93"/>
      <c r="CD98" s="93"/>
      <c r="CE98" s="1168"/>
      <c r="CF98" s="1168"/>
      <c r="CG98" s="1168"/>
      <c r="CH98" s="1168"/>
      <c r="CI98" s="1168"/>
      <c r="CJ98" s="1168"/>
      <c r="CK98" s="1168"/>
      <c r="CL98" s="1168"/>
      <c r="CM98" s="1168"/>
      <c r="CN98" s="1168"/>
      <c r="CO98" s="1168"/>
      <c r="CP98" s="1168"/>
      <c r="CQ98" s="1168"/>
      <c r="CR98" s="1168"/>
      <c r="CS98" s="1168"/>
      <c r="CT98" s="1168"/>
      <c r="CU98" s="1168"/>
      <c r="CV98" s="1168"/>
      <c r="CW98" s="1168"/>
      <c r="CX98" s="1168"/>
      <c r="CY98" s="1168"/>
      <c r="CZ98" s="1168"/>
      <c r="DA98" s="1168"/>
      <c r="DB98" s="1168"/>
      <c r="DC98" s="1168"/>
      <c r="DD98" s="1168"/>
      <c r="DE98" s="1555"/>
      <c r="DF98" s="1553"/>
      <c r="DG98" s="1589"/>
      <c r="DH98" s="1646"/>
      <c r="DI98" s="1647"/>
      <c r="DJ98" s="1167"/>
      <c r="DK98" s="1167"/>
      <c r="DL98" s="1167"/>
      <c r="DM98" s="1167"/>
      <c r="DN98" s="1167"/>
      <c r="DO98" s="1555"/>
      <c r="DP98" s="1553"/>
      <c r="DQ98" s="1589"/>
      <c r="DR98" s="1646"/>
      <c r="DS98" s="1647"/>
      <c r="DT98" s="1167"/>
      <c r="DU98" s="1167"/>
      <c r="DV98" s="1167"/>
      <c r="DW98" s="1167"/>
      <c r="DX98" s="1167"/>
      <c r="DY98" s="1167"/>
      <c r="DZ98" s="1145"/>
      <c r="EA98" s="1145"/>
      <c r="EB98" s="1145"/>
      <c r="EC98" s="1145"/>
      <c r="ED98" s="1145"/>
      <c r="EE98" s="1145"/>
      <c r="EF98" s="1145"/>
      <c r="EG98" s="1193"/>
      <c r="EH98" s="1158"/>
      <c r="EI98" s="93"/>
      <c r="EJ98" s="93"/>
      <c r="EK98" s="93"/>
      <c r="EL98" s="93"/>
      <c r="EM98" s="93"/>
      <c r="EN98" s="93"/>
      <c r="EO98" s="1168"/>
      <c r="EP98" s="1168"/>
      <c r="EQ98" s="1168"/>
      <c r="ER98" s="1168"/>
      <c r="ES98" s="1168"/>
      <c r="ET98" s="1168"/>
      <c r="EU98" s="1168"/>
      <c r="EV98" s="1168"/>
      <c r="EW98" s="1168"/>
      <c r="EX98" s="1168"/>
      <c r="EY98" s="1168"/>
      <c r="EZ98" s="1168"/>
      <c r="FA98" s="1168"/>
      <c r="FB98" s="1168"/>
      <c r="FC98" s="1168"/>
      <c r="FD98" s="1168"/>
      <c r="FE98" s="1168"/>
      <c r="FF98" s="1168"/>
      <c r="FG98" s="1168"/>
      <c r="FH98" s="1168"/>
      <c r="FI98" s="1168"/>
      <c r="FJ98" s="1168"/>
      <c r="FK98" s="1168"/>
      <c r="FL98" s="1168"/>
      <c r="FM98" s="1168"/>
      <c r="FN98" s="1168"/>
      <c r="FO98" s="1168"/>
      <c r="FP98" s="1168"/>
      <c r="FQ98" s="1168"/>
      <c r="FR98" s="1168"/>
      <c r="FS98" s="1168"/>
      <c r="FT98" s="1168"/>
      <c r="FU98" s="1168"/>
      <c r="FV98" s="1168"/>
      <c r="FW98" s="1168"/>
      <c r="FX98" s="93"/>
      <c r="FY98" s="93"/>
      <c r="FZ98" s="93"/>
      <c r="GA98" s="93"/>
      <c r="GB98" s="93"/>
      <c r="GC98" s="93"/>
      <c r="GD98" s="1186"/>
      <c r="GE98" s="1183"/>
      <c r="GF98" s="1186"/>
      <c r="GG98" s="1183"/>
      <c r="GH98" s="1569"/>
      <c r="GI98" s="93"/>
      <c r="GJ98" s="93"/>
      <c r="GK98" s="93"/>
      <c r="GL98" s="93"/>
      <c r="GM98" s="93"/>
      <c r="GN98" s="93"/>
      <c r="GO98" s="93"/>
      <c r="GP98" s="1568"/>
      <c r="GQ98" s="93"/>
      <c r="GR98" s="93"/>
      <c r="GS98" s="93"/>
    </row>
    <row r="99" spans="1:201" ht="15" customHeight="1">
      <c r="A99" s="1193"/>
      <c r="B99" s="1104"/>
      <c r="C99" s="1106"/>
      <c r="D99" s="1106"/>
      <c r="E99" s="1106"/>
      <c r="F99" s="1106"/>
      <c r="G99" s="1106"/>
      <c r="H99" s="1106"/>
      <c r="I99" s="1106"/>
      <c r="J99" s="1106"/>
      <c r="K99" s="1106"/>
      <c r="L99" s="1106"/>
      <c r="M99" s="1106"/>
      <c r="N99" s="1106"/>
      <c r="O99" s="1106"/>
      <c r="P99" s="1106"/>
      <c r="Q99" s="661"/>
      <c r="R99" s="661"/>
      <c r="S99" s="661"/>
      <c r="T99" s="661"/>
      <c r="U99" s="661"/>
      <c r="V99" s="661"/>
      <c r="W99" s="661"/>
      <c r="X99" s="661"/>
      <c r="Y99" s="661"/>
      <c r="Z99" s="661"/>
      <c r="AA99" s="661"/>
      <c r="AB99" s="661"/>
      <c r="AC99" s="661"/>
      <c r="AD99" s="661"/>
      <c r="AE99" s="661"/>
      <c r="AF99" s="661"/>
      <c r="AG99" s="661"/>
      <c r="AH99" s="661"/>
      <c r="AI99" s="661"/>
      <c r="AJ99" s="661"/>
      <c r="AK99" s="661"/>
      <c r="AL99" s="661"/>
      <c r="AM99" s="661"/>
      <c r="AN99" s="661"/>
      <c r="AO99" s="661"/>
      <c r="AP99" s="661"/>
      <c r="AQ99" s="1553"/>
      <c r="AR99" s="1553"/>
      <c r="AS99" s="1589"/>
      <c r="AT99" s="858">
        <f t="shared" si="176"/>
        <v>0</v>
      </c>
      <c r="AU99" s="858">
        <f t="shared" si="177"/>
        <v>0</v>
      </c>
      <c r="AV99" s="1167"/>
      <c r="AW99" s="1167"/>
      <c r="AX99" s="1167"/>
      <c r="AY99" s="1167"/>
      <c r="AZ99" s="1167"/>
      <c r="BA99" s="1167"/>
      <c r="BB99" s="1167"/>
      <c r="BC99" s="1167"/>
      <c r="BD99" s="1167"/>
      <c r="BE99" s="1167"/>
      <c r="BF99" s="1167"/>
      <c r="BG99" s="93"/>
      <c r="BH99" s="93"/>
      <c r="BI99" s="93"/>
      <c r="BJ99" s="93"/>
      <c r="BK99" s="93"/>
      <c r="BL99" s="1147"/>
      <c r="BM99" s="93"/>
      <c r="BN99" s="93"/>
      <c r="BO99" s="1193"/>
      <c r="BP99" s="1104"/>
      <c r="BQ99" s="93"/>
      <c r="BR99" s="93"/>
      <c r="BS99" s="93"/>
      <c r="BT99" s="93"/>
      <c r="BU99" s="93"/>
      <c r="BV99" s="93"/>
      <c r="BW99" s="93"/>
      <c r="BX99" s="93"/>
      <c r="BY99" s="93"/>
      <c r="BZ99" s="93"/>
      <c r="CA99" s="93"/>
      <c r="CB99" s="93"/>
      <c r="CC99" s="93"/>
      <c r="CD99" s="93"/>
      <c r="CE99" s="1168"/>
      <c r="CF99" s="1168"/>
      <c r="CG99" s="1168"/>
      <c r="CH99" s="1168"/>
      <c r="CI99" s="1168"/>
      <c r="CJ99" s="1168"/>
      <c r="CK99" s="1168"/>
      <c r="CL99" s="1168"/>
      <c r="CM99" s="1168"/>
      <c r="CN99" s="1168"/>
      <c r="CO99" s="1168"/>
      <c r="CP99" s="1168"/>
      <c r="CQ99" s="1168"/>
      <c r="CR99" s="1168"/>
      <c r="CS99" s="1168"/>
      <c r="CT99" s="1168"/>
      <c r="CU99" s="1168"/>
      <c r="CV99" s="1168"/>
      <c r="CW99" s="1168"/>
      <c r="CX99" s="1168"/>
      <c r="CY99" s="1168"/>
      <c r="CZ99" s="1168"/>
      <c r="DA99" s="1168"/>
      <c r="DB99" s="1168"/>
      <c r="DC99" s="1168"/>
      <c r="DD99" s="1168"/>
      <c r="DE99" s="1555"/>
      <c r="DF99" s="1553"/>
      <c r="DG99" s="1589"/>
      <c r="DH99" s="1648"/>
      <c r="DI99" s="1649"/>
      <c r="DJ99" s="1167"/>
      <c r="DK99" s="1167"/>
      <c r="DL99" s="1167"/>
      <c r="DM99" s="1167"/>
      <c r="DN99" s="1167"/>
      <c r="DO99" s="1555"/>
      <c r="DP99" s="1553"/>
      <c r="DQ99" s="1589"/>
      <c r="DR99" s="1648"/>
      <c r="DS99" s="1649"/>
      <c r="DT99" s="1167"/>
      <c r="DU99" s="1167"/>
      <c r="DV99" s="1167"/>
      <c r="DW99" s="1167"/>
      <c r="DX99" s="1167"/>
      <c r="DY99" s="1167"/>
      <c r="DZ99" s="1145"/>
      <c r="EA99" s="1145"/>
      <c r="EB99" s="1145"/>
      <c r="EC99" s="1145"/>
      <c r="ED99" s="1145"/>
      <c r="EE99" s="1145"/>
      <c r="EF99" s="1145"/>
      <c r="EG99" s="1193"/>
      <c r="EH99" s="1104"/>
      <c r="EI99" s="93"/>
      <c r="EJ99" s="93"/>
      <c r="EK99" s="93"/>
      <c r="EL99" s="93"/>
      <c r="EM99" s="93"/>
      <c r="EN99" s="93"/>
      <c r="EO99" s="1168"/>
      <c r="EP99" s="1168"/>
      <c r="EQ99" s="1168"/>
      <c r="ER99" s="1168"/>
      <c r="ES99" s="1168"/>
      <c r="ET99" s="1168"/>
      <c r="EU99" s="1168"/>
      <c r="EV99" s="1168"/>
      <c r="EW99" s="1168"/>
      <c r="EX99" s="1168"/>
      <c r="EY99" s="1168"/>
      <c r="EZ99" s="1168"/>
      <c r="FA99" s="1168"/>
      <c r="FB99" s="1168"/>
      <c r="FC99" s="1168"/>
      <c r="FD99" s="1168"/>
      <c r="FE99" s="1168"/>
      <c r="FF99" s="1168"/>
      <c r="FG99" s="1168"/>
      <c r="FH99" s="1168"/>
      <c r="FI99" s="1168"/>
      <c r="FJ99" s="1168"/>
      <c r="FK99" s="1168"/>
      <c r="FL99" s="1168"/>
      <c r="FM99" s="1168"/>
      <c r="FN99" s="1168"/>
      <c r="FO99" s="1168"/>
      <c r="FP99" s="1168"/>
      <c r="FQ99" s="1168"/>
      <c r="FR99" s="1168"/>
      <c r="FS99" s="1168"/>
      <c r="FT99" s="1168"/>
      <c r="FU99" s="1168"/>
      <c r="FV99" s="1168"/>
      <c r="FW99" s="1168"/>
      <c r="FX99" s="93"/>
      <c r="FY99" s="93"/>
      <c r="FZ99" s="93"/>
      <c r="GA99" s="93"/>
      <c r="GB99" s="93"/>
      <c r="GC99" s="93"/>
      <c r="GD99" s="1186"/>
      <c r="GE99" s="1183"/>
      <c r="GF99" s="1186"/>
      <c r="GG99" s="1183"/>
      <c r="GH99" s="1570"/>
      <c r="GI99" s="93"/>
      <c r="GJ99" s="93"/>
      <c r="GK99" s="93"/>
      <c r="GL99" s="93"/>
      <c r="GM99" s="93"/>
      <c r="GN99" s="93"/>
      <c r="GO99" s="93"/>
      <c r="GP99" s="1568"/>
      <c r="GQ99" s="93"/>
      <c r="GR99" s="93"/>
      <c r="GS99" s="93"/>
    </row>
    <row r="100" spans="1:201" ht="15" customHeight="1" thickBot="1">
      <c r="A100" s="1140"/>
      <c r="B100" s="1104"/>
      <c r="C100" s="1106"/>
      <c r="D100" s="1106"/>
      <c r="E100" s="1106"/>
      <c r="F100" s="1106"/>
      <c r="G100" s="1106"/>
      <c r="H100" s="1106"/>
      <c r="I100" s="1106"/>
      <c r="J100" s="1106"/>
      <c r="K100" s="1106"/>
      <c r="L100" s="1106"/>
      <c r="M100" s="1106"/>
      <c r="N100" s="1106"/>
      <c r="O100" s="1106"/>
      <c r="P100" s="1106"/>
      <c r="Q100" s="1106"/>
      <c r="R100" s="1106"/>
      <c r="S100" s="1106"/>
      <c r="T100" s="1106"/>
      <c r="U100" s="1106"/>
      <c r="V100" s="1141"/>
      <c r="W100" s="1106"/>
      <c r="X100" s="1106"/>
      <c r="Y100" s="1106"/>
      <c r="Z100" s="1106"/>
      <c r="AA100" s="1106"/>
      <c r="AB100" s="1106"/>
      <c r="AC100" s="1106"/>
      <c r="AD100" s="1106"/>
      <c r="AE100" s="1106"/>
      <c r="AF100" s="1106"/>
      <c r="AG100" s="1106"/>
      <c r="AH100" s="1106"/>
      <c r="AI100" s="1106"/>
      <c r="AJ100" s="1106"/>
      <c r="AK100" s="1106"/>
      <c r="AL100" s="1106"/>
      <c r="AM100" s="1106"/>
      <c r="AN100" s="1106"/>
      <c r="AO100" s="1106"/>
      <c r="AP100" s="1106"/>
      <c r="AQ100" s="1547" t="s">
        <v>646</v>
      </c>
      <c r="AR100" s="1547"/>
      <c r="AS100" s="1547"/>
      <c r="AT100" s="1547"/>
      <c r="AU100" s="1547"/>
      <c r="AV100" s="1104"/>
      <c r="AW100" s="1104"/>
      <c r="AX100" s="1104"/>
      <c r="AY100" s="1104"/>
      <c r="AZ100" s="1104"/>
      <c r="BA100" s="1104"/>
      <c r="BB100" s="1104"/>
      <c r="BC100" s="1104"/>
      <c r="BD100" s="1104"/>
      <c r="BE100" s="1104"/>
      <c r="BF100" s="1104"/>
      <c r="BG100" s="93"/>
      <c r="BH100" s="93"/>
      <c r="BI100" s="93"/>
      <c r="BJ100" s="93"/>
      <c r="BK100" s="93"/>
      <c r="BL100" s="93"/>
      <c r="BM100" s="93"/>
      <c r="BN100" s="93"/>
      <c r="BO100" s="1143"/>
      <c r="BP100" s="93"/>
      <c r="BQ100" s="93"/>
      <c r="BR100" s="93"/>
      <c r="BS100" s="93"/>
      <c r="BT100" s="93"/>
      <c r="BU100" s="93"/>
      <c r="BV100" s="93"/>
      <c r="BW100" s="93"/>
      <c r="BX100" s="93"/>
      <c r="BY100" s="93"/>
      <c r="BZ100" s="93"/>
      <c r="CA100" s="93"/>
      <c r="CB100" s="93"/>
      <c r="CC100" s="93"/>
      <c r="CD100" s="93"/>
      <c r="CE100" s="1168"/>
      <c r="CF100" s="93"/>
      <c r="CG100" s="93"/>
      <c r="CH100" s="93"/>
      <c r="CI100" s="93"/>
      <c r="CJ100" s="1144"/>
      <c r="CK100" s="93"/>
      <c r="CL100" s="93"/>
      <c r="CM100" s="93"/>
      <c r="CN100" s="93"/>
      <c r="CO100" s="93"/>
      <c r="CP100" s="93"/>
      <c r="CQ100" s="93"/>
      <c r="CR100" s="93"/>
      <c r="CS100" s="93"/>
      <c r="CT100" s="93"/>
      <c r="CU100" s="93"/>
      <c r="CV100" s="93"/>
      <c r="CW100" s="93"/>
      <c r="CX100" s="93"/>
      <c r="CY100" s="93"/>
      <c r="CZ100" s="93"/>
      <c r="DA100" s="93"/>
      <c r="DB100" s="93"/>
      <c r="DC100" s="93"/>
      <c r="DD100" s="93"/>
      <c r="DE100" s="1546" t="s">
        <v>647</v>
      </c>
      <c r="DF100" s="1547"/>
      <c r="DG100" s="1547"/>
      <c r="DH100" s="1547"/>
      <c r="DI100" s="1548"/>
      <c r="DJ100" s="1104"/>
      <c r="DK100" s="1104"/>
      <c r="DL100" s="1104"/>
      <c r="DM100" s="1104"/>
      <c r="DN100" s="1104"/>
      <c r="DO100" s="1546" t="s">
        <v>647</v>
      </c>
      <c r="DP100" s="1547"/>
      <c r="DQ100" s="1547"/>
      <c r="DR100" s="1547"/>
      <c r="DS100" s="1548"/>
      <c r="DT100" s="1104"/>
      <c r="DU100" s="1104"/>
      <c r="DV100" s="1104"/>
      <c r="DW100" s="1104"/>
      <c r="DX100" s="1104"/>
      <c r="DY100" s="1104"/>
      <c r="DZ100" s="1145"/>
      <c r="EA100" s="1145"/>
      <c r="EB100" s="1145"/>
      <c r="EC100" s="1145"/>
      <c r="ED100" s="1145"/>
      <c r="EE100" s="1145"/>
      <c r="EF100" s="1145"/>
      <c r="EG100" s="93"/>
      <c r="EH100" s="1547" t="s">
        <v>648</v>
      </c>
      <c r="EI100" s="1547"/>
      <c r="EJ100" s="1547"/>
      <c r="EK100" s="1547"/>
      <c r="EL100" s="1547"/>
      <c r="EM100" s="1547"/>
      <c r="EN100" s="1547"/>
      <c r="EO100" s="1547"/>
      <c r="EP100" s="1547"/>
      <c r="EQ100" s="1547"/>
      <c r="ER100" s="1547"/>
      <c r="ES100" s="1547"/>
      <c r="ET100" s="1547"/>
      <c r="EU100" s="1547"/>
      <c r="EV100" s="1547"/>
      <c r="EW100" s="1547"/>
      <c r="EX100" s="1547"/>
      <c r="EY100" s="1547"/>
      <c r="EZ100" s="1547"/>
      <c r="FA100" s="1547"/>
      <c r="FB100" s="1547"/>
      <c r="FC100" s="1104"/>
      <c r="FD100" s="1104"/>
      <c r="FE100" s="1104"/>
      <c r="FF100" s="1104"/>
      <c r="FG100" s="1104"/>
      <c r="FH100" s="1104"/>
      <c r="FI100" s="1104"/>
      <c r="FJ100" s="1104"/>
      <c r="FK100" s="1104"/>
      <c r="FL100" s="1104"/>
      <c r="FM100" s="1104"/>
      <c r="FN100" s="1104"/>
      <c r="FO100" s="1104"/>
      <c r="FP100" s="1104"/>
      <c r="FQ100" s="1104"/>
      <c r="FR100" s="1104"/>
      <c r="FS100" s="1104"/>
      <c r="FT100" s="1104"/>
      <c r="FU100" s="1104"/>
      <c r="FV100" s="1104"/>
      <c r="FW100" s="1104"/>
      <c r="FX100" s="93"/>
      <c r="FY100" s="93"/>
      <c r="FZ100" s="93"/>
      <c r="GA100" s="93"/>
      <c r="GB100" s="93"/>
      <c r="GC100" s="93"/>
      <c r="GD100" s="93"/>
      <c r="GE100" s="93"/>
      <c r="GF100" s="93"/>
      <c r="GG100" s="1144"/>
      <c r="GH100" s="93"/>
      <c r="GI100" s="93"/>
      <c r="GJ100" s="93"/>
      <c r="GK100" s="93"/>
      <c r="GL100" s="93"/>
      <c r="GM100" s="93"/>
      <c r="GN100" s="93"/>
      <c r="GO100" s="93"/>
      <c r="GP100" s="93"/>
      <c r="GQ100" s="93"/>
      <c r="GR100" s="93"/>
      <c r="GS100" s="93"/>
    </row>
    <row r="101" spans="1:201" ht="15" customHeight="1" thickBot="1">
      <c r="A101" s="1194" t="s">
        <v>649</v>
      </c>
      <c r="B101" s="1154"/>
      <c r="C101" s="1195">
        <f>SUM(C80:C99)</f>
        <v>0</v>
      </c>
      <c r="D101" s="1195">
        <f t="shared" ref="D101:V101" si="246">SUM(D80:D99)</f>
        <v>0</v>
      </c>
      <c r="E101" s="1195">
        <f t="shared" si="246"/>
        <v>0</v>
      </c>
      <c r="F101" s="1195">
        <f t="shared" si="246"/>
        <v>0</v>
      </c>
      <c r="G101" s="1195">
        <f t="shared" si="246"/>
        <v>0</v>
      </c>
      <c r="H101" s="1195">
        <f t="shared" si="246"/>
        <v>0</v>
      </c>
      <c r="I101" s="1195">
        <f t="shared" si="246"/>
        <v>0</v>
      </c>
      <c r="J101" s="1195">
        <f t="shared" si="246"/>
        <v>0</v>
      </c>
      <c r="K101" s="1195">
        <f t="shared" si="246"/>
        <v>0</v>
      </c>
      <c r="L101" s="1195">
        <f t="shared" si="246"/>
        <v>0</v>
      </c>
      <c r="M101" s="1195">
        <f t="shared" si="246"/>
        <v>0</v>
      </c>
      <c r="N101" s="1195">
        <f t="shared" si="246"/>
        <v>0</v>
      </c>
      <c r="O101" s="1195">
        <f t="shared" si="246"/>
        <v>0</v>
      </c>
      <c r="P101" s="1195">
        <f t="shared" si="246"/>
        <v>0</v>
      </c>
      <c r="Q101" s="1195">
        <f t="shared" si="246"/>
        <v>0</v>
      </c>
      <c r="R101" s="1195">
        <f t="shared" si="246"/>
        <v>0</v>
      </c>
      <c r="S101" s="1195">
        <f t="shared" si="246"/>
        <v>0</v>
      </c>
      <c r="T101" s="1195">
        <f t="shared" si="246"/>
        <v>0</v>
      </c>
      <c r="U101" s="1195">
        <f t="shared" si="246"/>
        <v>0</v>
      </c>
      <c r="V101" s="1195">
        <f t="shared" si="246"/>
        <v>0</v>
      </c>
      <c r="W101" s="1106"/>
      <c r="X101" s="1106"/>
      <c r="Y101" s="1106"/>
      <c r="Z101" s="1106"/>
      <c r="AA101" s="1106"/>
      <c r="AB101" s="1106"/>
      <c r="AC101" s="1106"/>
      <c r="AD101" s="1106"/>
      <c r="AE101" s="1106"/>
      <c r="AF101" s="1106"/>
      <c r="AG101" s="1106"/>
      <c r="AH101" s="1106"/>
      <c r="AI101" s="1106"/>
      <c r="AJ101" s="1106"/>
      <c r="AK101" s="1106"/>
      <c r="AL101" s="1106"/>
      <c r="AM101" s="1106"/>
      <c r="AN101" s="1106"/>
      <c r="AO101" s="1106"/>
      <c r="AP101" s="1106"/>
      <c r="AQ101" s="1147">
        <f>SUM(AQ80:AQ84)</f>
        <v>0</v>
      </c>
      <c r="AR101" s="1147">
        <f>SUM(AR80:AR88)</f>
        <v>0</v>
      </c>
      <c r="AS101" s="1147">
        <f>SUM(AS80:AS93)</f>
        <v>0</v>
      </c>
      <c r="AT101" s="1147">
        <f>SUM(AT80:AT99)</f>
        <v>0</v>
      </c>
      <c r="AU101" s="1147">
        <f>SUM(AU80:AU99)</f>
        <v>0</v>
      </c>
      <c r="AV101" s="1147"/>
      <c r="AW101" s="1147"/>
      <c r="AX101" s="1147"/>
      <c r="AY101" s="1147"/>
      <c r="AZ101" s="1147"/>
      <c r="BA101" s="1147"/>
      <c r="BB101" s="1147"/>
      <c r="BC101" s="1147"/>
      <c r="BD101" s="1147"/>
      <c r="BE101" s="1147"/>
      <c r="BF101" s="1147"/>
      <c r="BG101" s="93"/>
      <c r="BH101" s="93"/>
      <c r="BI101" s="93"/>
      <c r="BJ101" s="93"/>
      <c r="BK101" s="93"/>
      <c r="BL101" s="93"/>
      <c r="BM101" s="93"/>
      <c r="BN101" s="93"/>
      <c r="BO101" s="1143"/>
      <c r="BP101" s="93"/>
      <c r="BQ101" s="93"/>
      <c r="BR101" s="93"/>
      <c r="BS101" s="93"/>
      <c r="BT101" s="93"/>
      <c r="BU101" s="93"/>
      <c r="BV101" s="93"/>
      <c r="BW101" s="93"/>
      <c r="BX101" s="93"/>
      <c r="BY101" s="93"/>
      <c r="BZ101" s="93"/>
      <c r="CA101" s="93"/>
      <c r="CB101" s="93"/>
      <c r="CC101" s="93"/>
      <c r="CD101" s="93"/>
      <c r="CE101" s="93"/>
      <c r="CF101" s="93"/>
      <c r="CG101" s="93"/>
      <c r="CH101" s="93"/>
      <c r="CI101" s="93"/>
      <c r="CJ101" s="1144"/>
      <c r="CK101" s="93"/>
      <c r="CL101" s="93"/>
      <c r="CM101" s="93"/>
      <c r="CN101" s="93"/>
      <c r="CO101" s="93"/>
      <c r="CP101" s="93"/>
      <c r="CQ101" s="93"/>
      <c r="CR101" s="93"/>
      <c r="CS101" s="93"/>
      <c r="CT101" s="93"/>
      <c r="CU101" s="93"/>
      <c r="CV101" s="93"/>
      <c r="CW101" s="93"/>
      <c r="CX101" s="93"/>
      <c r="CY101" s="93"/>
      <c r="CZ101" s="93"/>
      <c r="DA101" s="93"/>
      <c r="DB101" s="93"/>
      <c r="DC101" s="93"/>
      <c r="DD101" s="93"/>
      <c r="DE101" s="1149">
        <f>SUM(DE80:DE84)</f>
        <v>0</v>
      </c>
      <c r="DF101" s="1149">
        <f>SUM(DF80:DF88)</f>
        <v>0</v>
      </c>
      <c r="DG101" s="1149">
        <f>SUM(DG80:DG93)</f>
        <v>0</v>
      </c>
      <c r="DH101" s="1149">
        <f>SUM(DH80:DH99)</f>
        <v>0</v>
      </c>
      <c r="DI101" s="1149">
        <f>SUM(DI80:DI99)</f>
        <v>0</v>
      </c>
      <c r="DJ101" s="1149"/>
      <c r="DK101" s="1149"/>
      <c r="DL101" s="1149"/>
      <c r="DM101" s="1149"/>
      <c r="DN101" s="1149"/>
      <c r="DO101" s="1149">
        <f>AQ101-DE101</f>
        <v>0</v>
      </c>
      <c r="DP101" s="1149">
        <f>AR101-DF101</f>
        <v>0</v>
      </c>
      <c r="DQ101" s="1149">
        <f>AS101-DG101</f>
        <v>0</v>
      </c>
      <c r="DR101" s="1149">
        <f>AT101-DH101</f>
        <v>0</v>
      </c>
      <c r="DS101" s="1149">
        <f>AU101-DI101</f>
        <v>0</v>
      </c>
      <c r="DT101" s="1147"/>
      <c r="DU101" s="1147"/>
      <c r="DV101" s="1147"/>
      <c r="DW101" s="1147"/>
      <c r="DX101" s="1147"/>
      <c r="DY101" s="1147"/>
      <c r="DZ101" s="1145"/>
      <c r="EA101" s="1145"/>
      <c r="EB101" s="1145"/>
      <c r="EC101" s="1145"/>
      <c r="ED101" s="1145"/>
      <c r="EE101" s="1145"/>
      <c r="EF101" s="1145"/>
      <c r="EG101" s="1143">
        <v>1</v>
      </c>
      <c r="EH101" s="93" t="s">
        <v>651</v>
      </c>
      <c r="EI101" s="1147">
        <f>SUM(EI80:EI84)</f>
        <v>0</v>
      </c>
      <c r="EJ101" s="1147">
        <f t="shared" ref="EJ101" si="247">SUM(EJ80:EJ84)</f>
        <v>0</v>
      </c>
      <c r="EK101" s="1147">
        <f>SUM(EK80:EK84)</f>
        <v>0</v>
      </c>
      <c r="EL101" s="1147">
        <f>SUM(EL80:EL84)</f>
        <v>0</v>
      </c>
      <c r="EM101" s="1147">
        <f t="shared" ref="EM101:EV101" si="248">SUM(EM80:EM84)</f>
        <v>0</v>
      </c>
      <c r="EN101" s="1147">
        <f t="shared" si="248"/>
        <v>0</v>
      </c>
      <c r="EO101" s="1147">
        <f t="shared" si="248"/>
        <v>0</v>
      </c>
      <c r="EP101" s="1147">
        <f t="shared" si="248"/>
        <v>0</v>
      </c>
      <c r="EQ101" s="1147">
        <f t="shared" si="248"/>
        <v>0</v>
      </c>
      <c r="ER101" s="1147">
        <f t="shared" si="248"/>
        <v>0</v>
      </c>
      <c r="ES101" s="1147">
        <f t="shared" si="248"/>
        <v>0</v>
      </c>
      <c r="ET101" s="1147">
        <f t="shared" si="248"/>
        <v>0</v>
      </c>
      <c r="EU101" s="1147">
        <f t="shared" si="248"/>
        <v>0</v>
      </c>
      <c r="EV101" s="1147">
        <f t="shared" si="248"/>
        <v>0</v>
      </c>
      <c r="EW101" s="1147">
        <f>SUM(EW80:EW84)</f>
        <v>0</v>
      </c>
      <c r="EX101" s="1147">
        <f t="shared" ref="EX101" si="249">SUM(EX80:EX84)</f>
        <v>0</v>
      </c>
      <c r="EY101" s="1147">
        <f>SUM(EY80:EY84)</f>
        <v>0</v>
      </c>
      <c r="EZ101" s="1147">
        <f t="shared" ref="EZ101:FB101" si="250">SUM(EZ80:EZ84)</f>
        <v>0</v>
      </c>
      <c r="FA101" s="1147">
        <f t="shared" si="250"/>
        <v>0</v>
      </c>
      <c r="FB101" s="1147">
        <f t="shared" si="250"/>
        <v>0</v>
      </c>
      <c r="FC101" s="1147"/>
      <c r="FD101" s="1147"/>
      <c r="FE101" s="1147"/>
      <c r="FF101" s="1147"/>
      <c r="FG101" s="1147"/>
      <c r="FH101" s="1147"/>
      <c r="FI101" s="1147"/>
      <c r="FJ101" s="1147"/>
      <c r="FK101" s="1147"/>
      <c r="FL101" s="1147"/>
      <c r="FM101" s="1147"/>
      <c r="FN101" s="1147"/>
      <c r="FO101" s="1147"/>
      <c r="FP101" s="1147"/>
      <c r="FQ101" s="1147"/>
      <c r="FR101" s="1147"/>
      <c r="FS101" s="1147"/>
      <c r="FT101" s="1147"/>
      <c r="FU101" s="1147"/>
      <c r="FV101" s="1147"/>
      <c r="FW101" s="1147"/>
      <c r="FX101" s="93"/>
      <c r="FY101" s="93"/>
      <c r="FZ101" s="93"/>
      <c r="GA101" s="93"/>
      <c r="GB101" s="93"/>
      <c r="GC101" s="93"/>
      <c r="GD101" s="93"/>
      <c r="GE101" s="93"/>
      <c r="GF101" s="93"/>
      <c r="GG101" s="1144"/>
      <c r="GH101" s="93"/>
      <c r="GI101" s="93"/>
      <c r="GJ101" s="93"/>
      <c r="GK101" s="93"/>
      <c r="GL101" s="93"/>
      <c r="GM101" s="93"/>
      <c r="GN101" s="93"/>
      <c r="GO101" s="93"/>
      <c r="GP101" s="93"/>
      <c r="GQ101" s="93"/>
      <c r="GR101" s="93"/>
      <c r="GS101" s="93"/>
    </row>
    <row r="102" spans="1:201" ht="15" customHeight="1" thickBot="1">
      <c r="A102" s="1546" t="s">
        <v>650</v>
      </c>
      <c r="B102" s="1547"/>
      <c r="C102" s="1106" cm="1">
        <f t="array" ref="C102:V102">BQ102:CJ102</f>
        <v>0</v>
      </c>
      <c r="D102" s="1106">
        <v>0</v>
      </c>
      <c r="E102" s="1196">
        <v>0</v>
      </c>
      <c r="F102" s="1196">
        <v>0</v>
      </c>
      <c r="G102" s="1196">
        <v>0</v>
      </c>
      <c r="H102" s="1196">
        <v>0</v>
      </c>
      <c r="I102" s="1196">
        <v>0</v>
      </c>
      <c r="J102" s="1196">
        <v>0</v>
      </c>
      <c r="K102" s="1196">
        <v>0</v>
      </c>
      <c r="L102" s="1196">
        <v>0</v>
      </c>
      <c r="M102" s="1196">
        <v>0</v>
      </c>
      <c r="N102" s="1196">
        <v>0</v>
      </c>
      <c r="O102" s="1196">
        <v>0</v>
      </c>
      <c r="P102" s="1196">
        <v>0</v>
      </c>
      <c r="Q102" s="1196">
        <v>0</v>
      </c>
      <c r="R102" s="1196">
        <v>0</v>
      </c>
      <c r="S102" s="1196">
        <v>0</v>
      </c>
      <c r="T102" s="1196">
        <v>0</v>
      </c>
      <c r="U102" s="1196">
        <v>0</v>
      </c>
      <c r="V102" s="1197">
        <v>0</v>
      </c>
      <c r="W102" s="1196"/>
      <c r="X102" s="1196"/>
      <c r="Y102" s="1196"/>
      <c r="Z102" s="1196"/>
      <c r="AA102" s="1196"/>
      <c r="AB102" s="1196"/>
      <c r="AC102" s="1196"/>
      <c r="AD102" s="1196"/>
      <c r="AE102" s="1196"/>
      <c r="AF102" s="1196"/>
      <c r="AG102" s="1196"/>
      <c r="AH102" s="1196"/>
      <c r="AI102" s="1196"/>
      <c r="AJ102" s="1196"/>
      <c r="AK102" s="1196"/>
      <c r="AL102" s="1196"/>
      <c r="AM102" s="1196"/>
      <c r="AN102" s="1196"/>
      <c r="AO102" s="1196"/>
      <c r="AP102" s="1196"/>
      <c r="AQ102" s="93"/>
      <c r="AR102" s="93"/>
      <c r="AS102" s="93"/>
      <c r="AT102" s="93"/>
      <c r="AU102" s="93"/>
      <c r="AV102" s="93"/>
      <c r="AW102" s="93"/>
      <c r="AX102" s="93"/>
      <c r="AY102" s="93"/>
      <c r="AZ102" s="93"/>
      <c r="BA102" s="93"/>
      <c r="BB102" s="93"/>
      <c r="BC102" s="93"/>
      <c r="BD102" s="93"/>
      <c r="BE102" s="93"/>
      <c r="BF102" s="93"/>
      <c r="BG102" s="93"/>
      <c r="BH102" s="93"/>
      <c r="BI102" s="93"/>
      <c r="BJ102" s="93"/>
      <c r="BK102" s="93"/>
      <c r="BL102" s="93"/>
      <c r="BM102" s="93"/>
      <c r="BN102" s="93"/>
      <c r="BO102" s="1590" t="s">
        <v>650</v>
      </c>
      <c r="BP102" s="1591"/>
      <c r="BQ102" s="1150">
        <f>SUM(BQ80:BQ99)</f>
        <v>0</v>
      </c>
      <c r="BR102" s="1150">
        <f t="shared" ref="BR102:CJ102" si="251">SUM(BR80:BR99)</f>
        <v>0</v>
      </c>
      <c r="BS102" s="1150">
        <f t="shared" si="251"/>
        <v>0</v>
      </c>
      <c r="BT102" s="1150">
        <f t="shared" si="251"/>
        <v>0</v>
      </c>
      <c r="BU102" s="1150">
        <f t="shared" si="251"/>
        <v>0</v>
      </c>
      <c r="BV102" s="1150">
        <f t="shared" si="251"/>
        <v>0</v>
      </c>
      <c r="BW102" s="1150">
        <f t="shared" si="251"/>
        <v>0</v>
      </c>
      <c r="BX102" s="1150">
        <f t="shared" si="251"/>
        <v>0</v>
      </c>
      <c r="BY102" s="1150">
        <f t="shared" si="251"/>
        <v>0</v>
      </c>
      <c r="BZ102" s="1150">
        <f t="shared" si="251"/>
        <v>0</v>
      </c>
      <c r="CA102" s="1150">
        <f t="shared" si="251"/>
        <v>0</v>
      </c>
      <c r="CB102" s="1150">
        <f t="shared" si="251"/>
        <v>0</v>
      </c>
      <c r="CC102" s="1150">
        <f t="shared" si="251"/>
        <v>0</v>
      </c>
      <c r="CD102" s="1150">
        <f t="shared" si="251"/>
        <v>0</v>
      </c>
      <c r="CE102" s="1150">
        <f t="shared" si="251"/>
        <v>0</v>
      </c>
      <c r="CF102" s="1150">
        <f t="shared" si="251"/>
        <v>0</v>
      </c>
      <c r="CG102" s="1150">
        <f t="shared" si="251"/>
        <v>0</v>
      </c>
      <c r="CH102" s="1150">
        <f t="shared" si="251"/>
        <v>0</v>
      </c>
      <c r="CI102" s="1150">
        <f t="shared" si="251"/>
        <v>0</v>
      </c>
      <c r="CJ102" s="1150">
        <f t="shared" si="251"/>
        <v>0</v>
      </c>
      <c r="CK102" s="1147"/>
      <c r="CL102" s="1147"/>
      <c r="CM102" s="1147"/>
      <c r="CN102" s="1147"/>
      <c r="CO102" s="1147"/>
      <c r="CP102" s="1147"/>
      <c r="CQ102" s="1147"/>
      <c r="CR102" s="1147"/>
      <c r="CS102" s="1147"/>
      <c r="CT102" s="1147"/>
      <c r="CU102" s="1147"/>
      <c r="CV102" s="1147"/>
      <c r="CW102" s="1147"/>
      <c r="CX102" s="1147"/>
      <c r="CY102" s="1147"/>
      <c r="CZ102" s="1147"/>
      <c r="DA102" s="1147"/>
      <c r="DB102" s="1147"/>
      <c r="DC102" s="1147"/>
      <c r="DD102" s="1147"/>
      <c r="DE102" s="1145"/>
      <c r="DF102" s="1145"/>
      <c r="DG102" s="1145"/>
      <c r="DH102" s="1145"/>
      <c r="DI102" s="1145"/>
      <c r="DJ102" s="1145"/>
      <c r="DK102" s="1145"/>
      <c r="DL102" s="1145"/>
      <c r="DM102" s="1145"/>
      <c r="DN102" s="1145"/>
      <c r="DO102" s="1145"/>
      <c r="DP102" s="1145"/>
      <c r="DQ102" s="1145"/>
      <c r="DR102" s="1145"/>
      <c r="DS102" s="1145"/>
      <c r="DT102" s="1145"/>
      <c r="DU102" s="1145"/>
      <c r="DV102" s="1145"/>
      <c r="DW102" s="1145"/>
      <c r="DX102" s="1145"/>
      <c r="DY102" s="1145"/>
      <c r="DZ102" s="1145"/>
      <c r="EA102" s="1145"/>
      <c r="EB102" s="1145"/>
      <c r="EC102" s="1145"/>
      <c r="ED102" s="1145"/>
      <c r="EE102" s="1145"/>
      <c r="EF102" s="1145"/>
      <c r="EG102" s="1143">
        <v>2</v>
      </c>
      <c r="EH102" s="93" t="s">
        <v>651</v>
      </c>
      <c r="EI102" s="1147">
        <f>SUM(EI85:EI88)</f>
        <v>0</v>
      </c>
      <c r="EJ102" s="1147">
        <f>SUM(EJ85:EJ88)</f>
        <v>0</v>
      </c>
      <c r="EK102" s="1147">
        <f t="shared" ref="EK102:FB102" si="252">SUM(EK85:EK88)</f>
        <v>0</v>
      </c>
      <c r="EL102" s="1147">
        <f t="shared" si="252"/>
        <v>0</v>
      </c>
      <c r="EM102" s="1147">
        <f t="shared" si="252"/>
        <v>0</v>
      </c>
      <c r="EN102" s="1147">
        <f t="shared" si="252"/>
        <v>0</v>
      </c>
      <c r="EO102" s="1147">
        <f t="shared" si="252"/>
        <v>0</v>
      </c>
      <c r="EP102" s="1147">
        <f t="shared" si="252"/>
        <v>0</v>
      </c>
      <c r="EQ102" s="1147">
        <f t="shared" si="252"/>
        <v>0</v>
      </c>
      <c r="ER102" s="1147">
        <f t="shared" si="252"/>
        <v>0</v>
      </c>
      <c r="ES102" s="1147">
        <f t="shared" si="252"/>
        <v>0</v>
      </c>
      <c r="ET102" s="1147">
        <f t="shared" si="252"/>
        <v>0</v>
      </c>
      <c r="EU102" s="1147">
        <f t="shared" si="252"/>
        <v>0</v>
      </c>
      <c r="EV102" s="1147">
        <f t="shared" si="252"/>
        <v>0</v>
      </c>
      <c r="EW102" s="1147">
        <f t="shared" si="252"/>
        <v>0</v>
      </c>
      <c r="EX102" s="1147">
        <f t="shared" si="252"/>
        <v>0</v>
      </c>
      <c r="EY102" s="1147">
        <f t="shared" si="252"/>
        <v>0</v>
      </c>
      <c r="EZ102" s="1147">
        <f t="shared" si="252"/>
        <v>0</v>
      </c>
      <c r="FA102" s="1147">
        <f t="shared" si="252"/>
        <v>0</v>
      </c>
      <c r="FB102" s="1147">
        <f t="shared" si="252"/>
        <v>0</v>
      </c>
      <c r="FC102" s="1147"/>
      <c r="FD102" s="1147"/>
      <c r="FE102" s="1147"/>
      <c r="FF102" s="1147"/>
      <c r="FG102" s="1147"/>
      <c r="FH102" s="1147"/>
      <c r="FI102" s="1147"/>
      <c r="FJ102" s="1147"/>
      <c r="FK102" s="1147"/>
      <c r="FL102" s="1147"/>
      <c r="FM102" s="1147"/>
      <c r="FN102" s="1147"/>
      <c r="FO102" s="1147"/>
      <c r="FP102" s="1147"/>
      <c r="FQ102" s="1147"/>
      <c r="FR102" s="1147"/>
      <c r="FS102" s="1147"/>
      <c r="FT102" s="1147"/>
      <c r="FU102" s="1147"/>
      <c r="FV102" s="1147"/>
      <c r="FW102" s="1147"/>
      <c r="FX102" s="93"/>
      <c r="FY102" s="93"/>
      <c r="FZ102" s="93"/>
      <c r="GA102" s="93"/>
      <c r="GB102" s="93"/>
      <c r="GC102" s="93"/>
      <c r="GD102" s="93"/>
      <c r="GE102" s="93"/>
      <c r="GF102" s="93"/>
      <c r="GG102" s="1144"/>
      <c r="GH102" s="93"/>
      <c r="GI102" s="93"/>
      <c r="GJ102" s="93"/>
      <c r="GK102" s="93"/>
      <c r="GL102" s="93"/>
      <c r="GM102" s="93"/>
      <c r="GN102" s="93"/>
      <c r="GO102" s="93"/>
      <c r="GP102" s="93"/>
      <c r="GQ102" s="93"/>
      <c r="GR102" s="93"/>
      <c r="GS102" s="93"/>
    </row>
    <row r="103" spans="1:201" ht="15" customHeight="1" thickBot="1">
      <c r="A103" s="1590" t="s">
        <v>661</v>
      </c>
      <c r="B103" s="1591"/>
      <c r="C103" s="1198">
        <f>C101-C102</f>
        <v>0</v>
      </c>
      <c r="D103" s="1198">
        <f t="shared" ref="D103:V103" si="253">D101-D102</f>
        <v>0</v>
      </c>
      <c r="E103" s="1198">
        <f t="shared" si="253"/>
        <v>0</v>
      </c>
      <c r="F103" s="1198">
        <f t="shared" si="253"/>
        <v>0</v>
      </c>
      <c r="G103" s="1198">
        <f t="shared" si="253"/>
        <v>0</v>
      </c>
      <c r="H103" s="1198">
        <f t="shared" si="253"/>
        <v>0</v>
      </c>
      <c r="I103" s="1198">
        <f t="shared" si="253"/>
        <v>0</v>
      </c>
      <c r="J103" s="1198">
        <f t="shared" si="253"/>
        <v>0</v>
      </c>
      <c r="K103" s="1198">
        <f t="shared" si="253"/>
        <v>0</v>
      </c>
      <c r="L103" s="1198">
        <f t="shared" si="253"/>
        <v>0</v>
      </c>
      <c r="M103" s="1198">
        <f t="shared" si="253"/>
        <v>0</v>
      </c>
      <c r="N103" s="1198">
        <f t="shared" si="253"/>
        <v>0</v>
      </c>
      <c r="O103" s="1198">
        <f t="shared" si="253"/>
        <v>0</v>
      </c>
      <c r="P103" s="1198">
        <f t="shared" si="253"/>
        <v>0</v>
      </c>
      <c r="Q103" s="1198">
        <f t="shared" si="253"/>
        <v>0</v>
      </c>
      <c r="R103" s="1198">
        <f t="shared" si="253"/>
        <v>0</v>
      </c>
      <c r="S103" s="1198">
        <f t="shared" si="253"/>
        <v>0</v>
      </c>
      <c r="T103" s="1198">
        <f t="shared" si="253"/>
        <v>0</v>
      </c>
      <c r="U103" s="1198">
        <f t="shared" si="253"/>
        <v>0</v>
      </c>
      <c r="V103" s="1199">
        <f t="shared" si="253"/>
        <v>0</v>
      </c>
      <c r="W103" s="1106"/>
      <c r="X103" s="1106"/>
      <c r="Y103" s="1106"/>
      <c r="Z103" s="1106"/>
      <c r="AA103" s="1106"/>
      <c r="AB103" s="1106"/>
      <c r="AC103" s="1106"/>
      <c r="AD103" s="1106"/>
      <c r="AE103" s="1106"/>
      <c r="AF103" s="1106"/>
      <c r="AG103" s="1106"/>
      <c r="AH103" s="1106"/>
      <c r="AI103" s="1106"/>
      <c r="AJ103" s="1106"/>
      <c r="AK103" s="1106"/>
      <c r="AL103" s="1106"/>
      <c r="AM103" s="1106"/>
      <c r="AN103" s="1106"/>
      <c r="AO103" s="1106"/>
      <c r="AP103" s="1106"/>
      <c r="AQ103" s="93"/>
      <c r="AR103" s="93"/>
      <c r="AS103" s="93"/>
      <c r="AT103" s="93"/>
      <c r="AU103" s="93"/>
      <c r="AV103" s="93"/>
      <c r="AW103" s="93"/>
      <c r="AX103" s="93"/>
      <c r="AY103" s="93"/>
      <c r="AZ103" s="93"/>
      <c r="BA103" s="93"/>
      <c r="BB103" s="93"/>
      <c r="BC103" s="93"/>
      <c r="BD103" s="93"/>
      <c r="BE103" s="93"/>
      <c r="BF103" s="93"/>
      <c r="BG103" s="93"/>
      <c r="BH103" s="93"/>
      <c r="BI103" s="93"/>
      <c r="BJ103" s="93"/>
      <c r="BK103" s="93"/>
      <c r="BL103" s="93"/>
      <c r="BM103" s="93"/>
      <c r="BN103" s="93"/>
      <c r="BO103" s="1143"/>
      <c r="BP103" s="93"/>
      <c r="BQ103" s="93"/>
      <c r="BR103" s="93"/>
      <c r="BS103" s="93"/>
      <c r="BT103" s="93"/>
      <c r="BU103" s="93"/>
      <c r="BV103" s="93"/>
      <c r="BW103" s="93"/>
      <c r="BX103" s="93"/>
      <c r="BY103" s="93"/>
      <c r="BZ103" s="93"/>
      <c r="CA103" s="93"/>
      <c r="CB103" s="93"/>
      <c r="CC103" s="93"/>
      <c r="CD103" s="93"/>
      <c r="CE103" s="93"/>
      <c r="CF103" s="93"/>
      <c r="CG103" s="93"/>
      <c r="CH103" s="93"/>
      <c r="CI103" s="93"/>
      <c r="CJ103" s="1144"/>
      <c r="CK103" s="93"/>
      <c r="CL103" s="93"/>
      <c r="CM103" s="93"/>
      <c r="CN103" s="93"/>
      <c r="CO103" s="93"/>
      <c r="CP103" s="93"/>
      <c r="CQ103" s="93"/>
      <c r="CR103" s="93"/>
      <c r="CS103" s="93"/>
      <c r="CT103" s="93"/>
      <c r="CU103" s="93"/>
      <c r="CV103" s="93"/>
      <c r="CW103" s="93"/>
      <c r="CX103" s="93"/>
      <c r="CY103" s="93"/>
      <c r="CZ103" s="93"/>
      <c r="DA103" s="93"/>
      <c r="DB103" s="93"/>
      <c r="DC103" s="93"/>
      <c r="DD103" s="93"/>
      <c r="DE103" s="1145"/>
      <c r="DF103" s="1145"/>
      <c r="DG103" s="1145"/>
      <c r="DH103" s="1145"/>
      <c r="DI103" s="1145"/>
      <c r="DJ103" s="1145"/>
      <c r="DK103" s="1145"/>
      <c r="DL103" s="1145"/>
      <c r="DM103" s="1145"/>
      <c r="DN103" s="1145"/>
      <c r="DO103" s="1145"/>
      <c r="DP103" s="1145"/>
      <c r="DQ103" s="1145"/>
      <c r="DR103" s="1145"/>
      <c r="DS103" s="1145"/>
      <c r="DT103" s="1145"/>
      <c r="DU103" s="1145"/>
      <c r="DV103" s="1145"/>
      <c r="DW103" s="1145"/>
      <c r="DX103" s="1145"/>
      <c r="DY103" s="1145"/>
      <c r="DZ103" s="1145"/>
      <c r="EA103" s="1145"/>
      <c r="EB103" s="1145"/>
      <c r="EC103" s="1145"/>
      <c r="ED103" s="1145"/>
      <c r="EE103" s="1145"/>
      <c r="EF103" s="1145"/>
      <c r="EG103" s="1143">
        <v>3</v>
      </c>
      <c r="EH103" s="93" t="s">
        <v>651</v>
      </c>
      <c r="EI103" s="1147">
        <f>SUM(EI89:EI92)</f>
        <v>0</v>
      </c>
      <c r="EJ103" s="1147">
        <f t="shared" ref="EJ103:EP103" si="254">SUM(EJ89:EJ93)</f>
        <v>0</v>
      </c>
      <c r="EK103" s="1147">
        <f t="shared" si="254"/>
        <v>0</v>
      </c>
      <c r="EL103" s="1147">
        <f t="shared" si="254"/>
        <v>0</v>
      </c>
      <c r="EM103" s="1147">
        <f t="shared" si="254"/>
        <v>0</v>
      </c>
      <c r="EN103" s="1147">
        <f t="shared" si="254"/>
        <v>0</v>
      </c>
      <c r="EO103" s="1147">
        <f t="shared" si="254"/>
        <v>0</v>
      </c>
      <c r="EP103" s="1147">
        <f t="shared" si="254"/>
        <v>0</v>
      </c>
      <c r="EQ103" s="1147">
        <f>SUM(EQ89:EQ92)</f>
        <v>0</v>
      </c>
      <c r="ER103" s="1147">
        <f>SUM(ER89:ER92)</f>
        <v>0</v>
      </c>
      <c r="ES103" s="1147">
        <f t="shared" ref="ES103:FB103" si="255">SUM(ES89:ES92)</f>
        <v>0</v>
      </c>
      <c r="ET103" s="1147">
        <f t="shared" si="255"/>
        <v>0</v>
      </c>
      <c r="EU103" s="1147">
        <f t="shared" si="255"/>
        <v>0</v>
      </c>
      <c r="EV103" s="1147">
        <f t="shared" si="255"/>
        <v>0</v>
      </c>
      <c r="EW103" s="1147">
        <f t="shared" si="255"/>
        <v>0</v>
      </c>
      <c r="EX103" s="1147">
        <f t="shared" si="255"/>
        <v>0</v>
      </c>
      <c r="EY103" s="1147">
        <f t="shared" si="255"/>
        <v>0</v>
      </c>
      <c r="EZ103" s="1147">
        <f t="shared" si="255"/>
        <v>0</v>
      </c>
      <c r="FA103" s="1147">
        <f t="shared" si="255"/>
        <v>0</v>
      </c>
      <c r="FB103" s="1147">
        <f t="shared" si="255"/>
        <v>0</v>
      </c>
      <c r="FC103" s="1147"/>
      <c r="FD103" s="1147"/>
      <c r="FE103" s="1147"/>
      <c r="FF103" s="1147"/>
      <c r="FG103" s="1147"/>
      <c r="FH103" s="1147"/>
      <c r="FI103" s="1147"/>
      <c r="FJ103" s="1147"/>
      <c r="FK103" s="1147"/>
      <c r="FL103" s="1147"/>
      <c r="FM103" s="1147"/>
      <c r="FN103" s="1147"/>
      <c r="FO103" s="1147"/>
      <c r="FP103" s="1147"/>
      <c r="FQ103" s="1147"/>
      <c r="FR103" s="1147"/>
      <c r="FS103" s="1147"/>
      <c r="FT103" s="1147"/>
      <c r="FU103" s="1147"/>
      <c r="FV103" s="1147"/>
      <c r="FW103" s="1147"/>
      <c r="FX103" s="93"/>
      <c r="FY103" s="93"/>
      <c r="FZ103" s="93"/>
      <c r="GA103" s="93"/>
      <c r="GB103" s="93"/>
      <c r="GC103" s="93"/>
      <c r="GD103" s="93"/>
      <c r="GE103" s="93"/>
      <c r="GF103" s="93"/>
      <c r="GG103" s="1144"/>
      <c r="GH103" s="93"/>
      <c r="GI103" s="93"/>
      <c r="GJ103" s="93"/>
      <c r="GK103" s="93"/>
      <c r="GL103" s="93"/>
      <c r="GM103" s="93"/>
      <c r="GN103" s="93"/>
      <c r="GO103" s="93"/>
      <c r="GP103" s="93"/>
      <c r="GQ103" s="93"/>
      <c r="GR103" s="93"/>
      <c r="GS103" s="93"/>
    </row>
    <row r="104" spans="1:201" ht="15" customHeight="1">
      <c r="A104" s="1104"/>
      <c r="B104" s="1104"/>
      <c r="C104" s="1106"/>
      <c r="D104" s="1106"/>
      <c r="E104" s="1106"/>
      <c r="F104" s="1106"/>
      <c r="G104" s="1106"/>
      <c r="H104" s="1106"/>
      <c r="I104" s="1106"/>
      <c r="J104" s="1106"/>
      <c r="K104" s="1106"/>
      <c r="L104" s="1106"/>
      <c r="M104" s="1106"/>
      <c r="N104" s="1106"/>
      <c r="O104" s="1106"/>
      <c r="P104" s="1106"/>
      <c r="Q104" s="1106"/>
      <c r="R104" s="1106"/>
      <c r="S104" s="1106"/>
      <c r="T104" s="1106"/>
      <c r="U104" s="1106"/>
      <c r="V104" s="1106"/>
      <c r="W104" s="1106"/>
      <c r="X104" s="1106"/>
      <c r="Y104" s="1106"/>
      <c r="Z104" s="1106"/>
      <c r="AA104" s="1106"/>
      <c r="AB104" s="1106"/>
      <c r="AC104" s="1106"/>
      <c r="AD104" s="1106"/>
      <c r="AE104" s="1106"/>
      <c r="AF104" s="1106"/>
      <c r="AG104" s="1106"/>
      <c r="AH104" s="1106"/>
      <c r="AI104" s="1106"/>
      <c r="AJ104" s="1106"/>
      <c r="AK104" s="1106"/>
      <c r="AL104" s="1106"/>
      <c r="AM104" s="1106"/>
      <c r="AN104" s="1106"/>
      <c r="AO104" s="1106"/>
      <c r="AP104" s="1106"/>
      <c r="AQ104" s="93"/>
      <c r="AR104" s="93"/>
      <c r="AS104" s="93"/>
      <c r="AT104" s="93"/>
      <c r="AU104" s="93"/>
      <c r="AV104" s="93"/>
      <c r="AW104" s="93"/>
      <c r="AX104" s="93"/>
      <c r="AY104" s="93"/>
      <c r="AZ104" s="93"/>
      <c r="BA104" s="93"/>
      <c r="BB104" s="93"/>
      <c r="BC104" s="93"/>
      <c r="BD104" s="93"/>
      <c r="BE104" s="93"/>
      <c r="BF104" s="93"/>
      <c r="BG104" s="93"/>
      <c r="BH104" s="93"/>
      <c r="BI104" s="93"/>
      <c r="BJ104" s="93"/>
      <c r="BK104" s="93"/>
      <c r="BL104" s="93"/>
      <c r="BM104" s="93"/>
      <c r="BN104" s="93"/>
      <c r="BO104" s="1143"/>
      <c r="BP104" s="93"/>
      <c r="BQ104" s="93"/>
      <c r="BR104" s="93"/>
      <c r="BS104" s="93"/>
      <c r="BT104" s="93"/>
      <c r="BU104" s="93"/>
      <c r="BV104" s="93"/>
      <c r="BW104" s="93"/>
      <c r="BX104" s="93"/>
      <c r="BY104" s="93"/>
      <c r="BZ104" s="93"/>
      <c r="CA104" s="93"/>
      <c r="CB104" s="93"/>
      <c r="CC104" s="93"/>
      <c r="CD104" s="93"/>
      <c r="CE104" s="93"/>
      <c r="CF104" s="93"/>
      <c r="CG104" s="93"/>
      <c r="CH104" s="93"/>
      <c r="CI104" s="93"/>
      <c r="CJ104" s="1144"/>
      <c r="CK104" s="93"/>
      <c r="CL104" s="93"/>
      <c r="CM104" s="93"/>
      <c r="CN104" s="93"/>
      <c r="CO104" s="93"/>
      <c r="CP104" s="93"/>
      <c r="CQ104" s="93"/>
      <c r="CR104" s="93"/>
      <c r="CS104" s="93"/>
      <c r="CT104" s="93"/>
      <c r="CU104" s="93"/>
      <c r="CV104" s="93"/>
      <c r="CW104" s="93"/>
      <c r="CX104" s="93"/>
      <c r="CY104" s="93"/>
      <c r="CZ104" s="93"/>
      <c r="DA104" s="93"/>
      <c r="DB104" s="93"/>
      <c r="DC104" s="93"/>
      <c r="DD104" s="93"/>
      <c r="DE104" s="1145"/>
      <c r="DF104" s="1145"/>
      <c r="DG104" s="1145"/>
      <c r="DH104" s="1145"/>
      <c r="DI104" s="1145"/>
      <c r="DJ104" s="1145"/>
      <c r="DK104" s="1145"/>
      <c r="DL104" s="1145"/>
      <c r="DM104" s="1145"/>
      <c r="DN104" s="1145"/>
      <c r="DO104" s="1145"/>
      <c r="DP104" s="1145"/>
      <c r="DQ104" s="1145"/>
      <c r="DR104" s="1145"/>
      <c r="DS104" s="1145"/>
      <c r="DT104" s="1145"/>
      <c r="DU104" s="1145"/>
      <c r="DV104" s="1145"/>
      <c r="DW104" s="1145"/>
      <c r="DX104" s="1145"/>
      <c r="DY104" s="1145"/>
      <c r="DZ104" s="1145"/>
      <c r="EA104" s="1145"/>
      <c r="EB104" s="1145"/>
      <c r="EC104" s="1145"/>
      <c r="ED104" s="1145"/>
      <c r="EE104" s="1145"/>
      <c r="EF104" s="1145"/>
      <c r="EG104" s="1143">
        <v>4</v>
      </c>
      <c r="EH104" s="93" t="s">
        <v>651</v>
      </c>
      <c r="EI104" s="1147">
        <f>SUM(EI93:EI96)</f>
        <v>0</v>
      </c>
      <c r="EJ104" s="1147">
        <f t="shared" ref="EJ104:FB104" si="256">SUM(EJ93:EJ96)</f>
        <v>0</v>
      </c>
      <c r="EK104" s="1147">
        <f t="shared" si="256"/>
        <v>0</v>
      </c>
      <c r="EL104" s="1147">
        <f t="shared" si="256"/>
        <v>0</v>
      </c>
      <c r="EM104" s="1147">
        <f t="shared" si="256"/>
        <v>0</v>
      </c>
      <c r="EN104" s="1147">
        <f t="shared" si="256"/>
        <v>0</v>
      </c>
      <c r="EO104" s="1147">
        <f t="shared" si="256"/>
        <v>0</v>
      </c>
      <c r="EP104" s="1147">
        <f t="shared" si="256"/>
        <v>0</v>
      </c>
      <c r="EQ104" s="1147">
        <f t="shared" si="256"/>
        <v>0</v>
      </c>
      <c r="ER104" s="1147">
        <f t="shared" si="256"/>
        <v>0</v>
      </c>
      <c r="ES104" s="1147">
        <f t="shared" si="256"/>
        <v>0</v>
      </c>
      <c r="ET104" s="1147">
        <f t="shared" si="256"/>
        <v>0</v>
      </c>
      <c r="EU104" s="1147">
        <f t="shared" si="256"/>
        <v>0</v>
      </c>
      <c r="EV104" s="1147">
        <f t="shared" si="256"/>
        <v>0</v>
      </c>
      <c r="EW104" s="1147">
        <f t="shared" si="256"/>
        <v>0</v>
      </c>
      <c r="EX104" s="1147">
        <f t="shared" si="256"/>
        <v>0</v>
      </c>
      <c r="EY104" s="1147">
        <f t="shared" si="256"/>
        <v>0</v>
      </c>
      <c r="EZ104" s="1147">
        <f t="shared" si="256"/>
        <v>0</v>
      </c>
      <c r="FA104" s="1147">
        <f t="shared" si="256"/>
        <v>0</v>
      </c>
      <c r="FB104" s="1147">
        <f t="shared" si="256"/>
        <v>0</v>
      </c>
      <c r="FC104" s="1147"/>
      <c r="FD104" s="1147"/>
      <c r="FE104" s="1147"/>
      <c r="FF104" s="1147"/>
      <c r="FG104" s="1147"/>
      <c r="FH104" s="1147"/>
      <c r="FI104" s="1147"/>
      <c r="FJ104" s="1147"/>
      <c r="FK104" s="1147"/>
      <c r="FL104" s="1147"/>
      <c r="FM104" s="1147"/>
      <c r="FN104" s="1147"/>
      <c r="FO104" s="1147"/>
      <c r="FP104" s="1147"/>
      <c r="FQ104" s="1147"/>
      <c r="FR104" s="1147"/>
      <c r="FS104" s="1147"/>
      <c r="FT104" s="1147"/>
      <c r="FU104" s="1147"/>
      <c r="FV104" s="1147"/>
      <c r="FW104" s="1147"/>
      <c r="FX104" s="93"/>
      <c r="FY104" s="93"/>
      <c r="FZ104" s="93"/>
      <c r="GA104" s="93"/>
      <c r="GB104" s="93"/>
      <c r="GC104" s="93"/>
      <c r="GD104" s="93"/>
      <c r="GE104" s="93"/>
      <c r="GF104" s="93"/>
      <c r="GG104" s="1144"/>
      <c r="GH104" s="93"/>
      <c r="GI104" s="93"/>
      <c r="GJ104" s="93"/>
      <c r="GK104" s="93"/>
      <c r="GL104" s="93"/>
      <c r="GM104" s="93"/>
      <c r="GN104" s="93"/>
      <c r="GO104" s="93"/>
      <c r="GP104" s="93"/>
      <c r="GQ104" s="93"/>
      <c r="GR104" s="93"/>
      <c r="GS104" s="93"/>
    </row>
    <row r="105" spans="1:201" ht="15" customHeight="1">
      <c r="A105" s="1104"/>
      <c r="B105" s="1104"/>
      <c r="C105" s="1106"/>
      <c r="D105" s="1106"/>
      <c r="E105" s="1106"/>
      <c r="F105" s="1106"/>
      <c r="G105" s="1106"/>
      <c r="H105" s="1106"/>
      <c r="I105" s="1106"/>
      <c r="J105" s="1106"/>
      <c r="K105" s="1106"/>
      <c r="L105" s="1106"/>
      <c r="M105" s="1106"/>
      <c r="N105" s="1106"/>
      <c r="O105" s="1106"/>
      <c r="P105" s="1106"/>
      <c r="Q105" s="1106"/>
      <c r="R105" s="1106"/>
      <c r="S105" s="1106"/>
      <c r="T105" s="1106"/>
      <c r="U105" s="1106"/>
      <c r="V105" s="1106"/>
      <c r="W105" s="1106"/>
      <c r="X105" s="1106"/>
      <c r="Y105" s="1106"/>
      <c r="Z105" s="1106"/>
      <c r="AA105" s="1106"/>
      <c r="AB105" s="1106"/>
      <c r="AC105" s="1106"/>
      <c r="AD105" s="1106"/>
      <c r="AE105" s="1106"/>
      <c r="AF105" s="1106"/>
      <c r="AG105" s="1106"/>
      <c r="AH105" s="1106"/>
      <c r="AI105" s="1106"/>
      <c r="AJ105" s="1106"/>
      <c r="AK105" s="1106"/>
      <c r="AL105" s="1106"/>
      <c r="AM105" s="1106"/>
      <c r="AN105" s="1106"/>
      <c r="AO105" s="1106"/>
      <c r="AP105" s="1106"/>
      <c r="AQ105" s="93"/>
      <c r="AR105" s="93"/>
      <c r="AS105" s="93"/>
      <c r="AT105" s="93"/>
      <c r="AU105" s="93"/>
      <c r="AV105" s="93"/>
      <c r="AW105" s="93"/>
      <c r="AX105" s="93"/>
      <c r="AY105" s="93"/>
      <c r="AZ105" s="93"/>
      <c r="BA105" s="93"/>
      <c r="BB105" s="93"/>
      <c r="BC105" s="93"/>
      <c r="BD105" s="93"/>
      <c r="BE105" s="93"/>
      <c r="BF105" s="93"/>
      <c r="BG105" s="93"/>
      <c r="BH105" s="93"/>
      <c r="BI105" s="93"/>
      <c r="BJ105" s="93"/>
      <c r="BK105" s="93"/>
      <c r="BL105" s="93"/>
      <c r="BM105" s="93"/>
      <c r="BN105" s="93"/>
      <c r="BO105" s="1143"/>
      <c r="BP105" s="93"/>
      <c r="BQ105" s="93"/>
      <c r="BR105" s="93"/>
      <c r="BS105" s="93"/>
      <c r="BT105" s="93"/>
      <c r="BU105" s="93"/>
      <c r="BV105" s="93"/>
      <c r="BW105" s="93"/>
      <c r="BX105" s="93"/>
      <c r="BY105" s="93"/>
      <c r="BZ105" s="93"/>
      <c r="CA105" s="93"/>
      <c r="CB105" s="93"/>
      <c r="CC105" s="93"/>
      <c r="CD105" s="93"/>
      <c r="CE105" s="93"/>
      <c r="CF105" s="93"/>
      <c r="CG105" s="93"/>
      <c r="CH105" s="93"/>
      <c r="CI105" s="93"/>
      <c r="CJ105" s="1144"/>
      <c r="CK105" s="93"/>
      <c r="CL105" s="93"/>
      <c r="CM105" s="93"/>
      <c r="CN105" s="93"/>
      <c r="CO105" s="93"/>
      <c r="CP105" s="93"/>
      <c r="CQ105" s="93"/>
      <c r="CR105" s="93"/>
      <c r="CS105" s="93"/>
      <c r="CT105" s="93"/>
      <c r="CU105" s="93"/>
      <c r="CV105" s="93"/>
      <c r="CW105" s="93"/>
      <c r="CX105" s="93"/>
      <c r="CY105" s="93"/>
      <c r="CZ105" s="93"/>
      <c r="DA105" s="93"/>
      <c r="DB105" s="93"/>
      <c r="DC105" s="93"/>
      <c r="DD105" s="93"/>
      <c r="DE105" s="1145"/>
      <c r="DF105" s="1145"/>
      <c r="DG105" s="1145"/>
      <c r="DH105" s="1145"/>
      <c r="DI105" s="1145"/>
      <c r="DJ105" s="1145"/>
      <c r="DK105" s="1145"/>
      <c r="DL105" s="1145"/>
      <c r="DM105" s="1145"/>
      <c r="DN105" s="1145"/>
      <c r="DO105" s="1145"/>
      <c r="DP105" s="1145"/>
      <c r="DQ105" s="1145"/>
      <c r="DR105" s="1145"/>
      <c r="DS105" s="1145"/>
      <c r="DT105" s="1145"/>
      <c r="DU105" s="1145"/>
      <c r="DV105" s="1145"/>
      <c r="DW105" s="1145"/>
      <c r="DX105" s="1145"/>
      <c r="DY105" s="1145"/>
      <c r="DZ105" s="1145"/>
      <c r="EA105" s="1145"/>
      <c r="EB105" s="1145"/>
      <c r="EC105" s="1145"/>
      <c r="ED105" s="1145"/>
      <c r="EE105" s="1145"/>
      <c r="EF105" s="1145"/>
      <c r="EG105" s="1547" t="s">
        <v>658</v>
      </c>
      <c r="EH105" s="1547"/>
      <c r="EI105" s="1547"/>
      <c r="EJ105" s="1547"/>
      <c r="EK105" s="1547"/>
      <c r="EL105" s="1547"/>
      <c r="EM105" s="1547"/>
      <c r="EN105" s="1547"/>
      <c r="EO105" s="1547"/>
      <c r="EP105" s="1547"/>
      <c r="EQ105" s="1547"/>
      <c r="ER105" s="1547"/>
      <c r="ES105" s="1547"/>
      <c r="ET105" s="1547"/>
      <c r="EU105" s="1547"/>
      <c r="EV105" s="1547"/>
      <c r="EW105" s="1547"/>
      <c r="EX105" s="1547"/>
      <c r="EY105" s="1547"/>
      <c r="EZ105" s="1547"/>
      <c r="FA105" s="1547"/>
      <c r="FB105" s="1547"/>
      <c r="FC105" s="1104"/>
      <c r="FD105" s="1104"/>
      <c r="FE105" s="1104"/>
      <c r="FF105" s="1104"/>
      <c r="FG105" s="1104"/>
      <c r="FH105" s="1104"/>
      <c r="FI105" s="1104"/>
      <c r="FJ105" s="1104"/>
      <c r="FK105" s="1104"/>
      <c r="FL105" s="1104"/>
      <c r="FM105" s="1104"/>
      <c r="FN105" s="1104"/>
      <c r="FO105" s="1104"/>
      <c r="FP105" s="1104"/>
      <c r="FQ105" s="1104"/>
      <c r="FR105" s="1104"/>
      <c r="FS105" s="1104"/>
      <c r="FT105" s="1104"/>
      <c r="FU105" s="1104"/>
      <c r="FV105" s="1104"/>
      <c r="FW105" s="1104"/>
      <c r="FX105" s="93"/>
      <c r="FY105" s="93" t="s">
        <v>675</v>
      </c>
      <c r="FZ105" s="93"/>
      <c r="GA105" s="93"/>
      <c r="GB105" s="93"/>
      <c r="GC105" s="93"/>
      <c r="GD105" s="93"/>
      <c r="GE105" s="93"/>
      <c r="GF105" s="93"/>
      <c r="GG105" s="1144"/>
      <c r="GH105" s="93"/>
      <c r="GI105" s="93"/>
      <c r="GJ105" s="93"/>
      <c r="GK105" s="93"/>
      <c r="GL105" s="93"/>
      <c r="GM105" s="93"/>
      <c r="GN105" s="93"/>
      <c r="GO105" s="93"/>
      <c r="GP105" s="93"/>
      <c r="GQ105" s="93"/>
      <c r="GR105" s="93"/>
      <c r="GS105" s="93"/>
    </row>
    <row r="106" spans="1:201" ht="15" customHeight="1">
      <c r="A106" s="1104"/>
      <c r="B106" s="1104"/>
      <c r="C106" s="1106"/>
      <c r="D106" s="1106"/>
      <c r="E106" s="1106"/>
      <c r="F106" s="1106"/>
      <c r="G106" s="1106"/>
      <c r="H106" s="1106"/>
      <c r="I106" s="1106"/>
      <c r="J106" s="1106"/>
      <c r="K106" s="1106"/>
      <c r="L106" s="1106"/>
      <c r="M106" s="1106"/>
      <c r="N106" s="1106"/>
      <c r="O106" s="1106"/>
      <c r="P106" s="1106"/>
      <c r="Q106" s="1106"/>
      <c r="R106" s="1106"/>
      <c r="S106" s="1106"/>
      <c r="T106" s="1106"/>
      <c r="U106" s="1106"/>
      <c r="V106" s="1106"/>
      <c r="W106" s="1106"/>
      <c r="X106" s="1106"/>
      <c r="Y106" s="1106"/>
      <c r="Z106" s="1106"/>
      <c r="AA106" s="1106"/>
      <c r="AB106" s="1106"/>
      <c r="AC106" s="1106"/>
      <c r="AD106" s="1106"/>
      <c r="AE106" s="1106"/>
      <c r="AF106" s="1106"/>
      <c r="AG106" s="1106"/>
      <c r="AH106" s="1106"/>
      <c r="AI106" s="1106"/>
      <c r="AJ106" s="1106"/>
      <c r="AK106" s="1106"/>
      <c r="AL106" s="1106"/>
      <c r="AM106" s="1106"/>
      <c r="AN106" s="1106"/>
      <c r="AO106" s="1106"/>
      <c r="AP106" s="1106"/>
      <c r="AQ106" s="93"/>
      <c r="AR106" s="93"/>
      <c r="AS106" s="93"/>
      <c r="AT106" s="93"/>
      <c r="AU106" s="93"/>
      <c r="AV106" s="93"/>
      <c r="AW106" s="93"/>
      <c r="AX106" s="93"/>
      <c r="AY106" s="93"/>
      <c r="AZ106" s="93"/>
      <c r="BA106" s="93"/>
      <c r="BB106" s="93"/>
      <c r="BC106" s="93"/>
      <c r="BD106" s="93"/>
      <c r="BE106" s="93"/>
      <c r="BF106" s="93"/>
      <c r="BG106" s="93"/>
      <c r="BH106" s="93"/>
      <c r="BI106" s="93"/>
      <c r="BJ106" s="93"/>
      <c r="BK106" s="93"/>
      <c r="BL106" s="93"/>
      <c r="BM106" s="93"/>
      <c r="BN106" s="93"/>
      <c r="BO106" s="1143"/>
      <c r="BP106" s="93"/>
      <c r="BQ106" s="93"/>
      <c r="BR106" s="93"/>
      <c r="BS106" s="93"/>
      <c r="BT106" s="93"/>
      <c r="BU106" s="93"/>
      <c r="BV106" s="93"/>
      <c r="BW106" s="93"/>
      <c r="BX106" s="93"/>
      <c r="BY106" s="93"/>
      <c r="BZ106" s="93"/>
      <c r="CA106" s="93"/>
      <c r="CB106" s="93"/>
      <c r="CC106" s="93"/>
      <c r="CD106" s="93"/>
      <c r="CE106" s="93"/>
      <c r="CF106" s="93"/>
      <c r="CG106" s="93"/>
      <c r="CH106" s="93"/>
      <c r="CI106" s="93"/>
      <c r="CJ106" s="1144"/>
      <c r="CK106" s="93"/>
      <c r="CL106" s="93"/>
      <c r="CM106" s="93"/>
      <c r="CN106" s="93"/>
      <c r="CO106" s="93"/>
      <c r="CP106" s="93"/>
      <c r="CQ106" s="93"/>
      <c r="CR106" s="93"/>
      <c r="CS106" s="93"/>
      <c r="CT106" s="93"/>
      <c r="CU106" s="93"/>
      <c r="CV106" s="93"/>
      <c r="CW106" s="93"/>
      <c r="CX106" s="93"/>
      <c r="CY106" s="93"/>
      <c r="CZ106" s="93"/>
      <c r="DA106" s="93"/>
      <c r="DB106" s="93"/>
      <c r="DC106" s="93"/>
      <c r="DD106" s="93"/>
      <c r="DE106" s="1145"/>
      <c r="DF106" s="1145"/>
      <c r="DG106" s="1145"/>
      <c r="DH106" s="1145"/>
      <c r="DI106" s="1145"/>
      <c r="DJ106" s="1145"/>
      <c r="DK106" s="1145"/>
      <c r="DL106" s="1145"/>
      <c r="DM106" s="1145"/>
      <c r="DN106" s="1145"/>
      <c r="DO106" s="1145"/>
      <c r="DP106" s="1145"/>
      <c r="DQ106" s="1145"/>
      <c r="DR106" s="1145"/>
      <c r="DS106" s="1145"/>
      <c r="DT106" s="1145"/>
      <c r="DU106" s="1145"/>
      <c r="DV106" s="1145"/>
      <c r="DW106" s="1145"/>
      <c r="DX106" s="1145"/>
      <c r="DY106" s="1145"/>
      <c r="DZ106" s="1145"/>
      <c r="EA106" s="1145"/>
      <c r="EB106" s="1145"/>
      <c r="EC106" s="1145"/>
      <c r="ED106" s="1145"/>
      <c r="EE106" s="1145"/>
      <c r="EF106" s="1145"/>
      <c r="EG106" s="1143">
        <v>1</v>
      </c>
      <c r="EH106" s="93" t="s">
        <v>651</v>
      </c>
      <c r="EI106" s="1147" cm="1">
        <f t="array" ref="EI106:FB109">EI101:FB104</f>
        <v>0</v>
      </c>
      <c r="EJ106" s="1147">
        <v>0</v>
      </c>
      <c r="EK106" s="1147">
        <v>0</v>
      </c>
      <c r="EL106" s="1147">
        <v>0</v>
      </c>
      <c r="EM106" s="1147">
        <v>0</v>
      </c>
      <c r="EN106" s="1147">
        <v>0</v>
      </c>
      <c r="EO106" s="1147">
        <v>0</v>
      </c>
      <c r="EP106" s="1147">
        <v>0</v>
      </c>
      <c r="EQ106" s="1147">
        <v>0</v>
      </c>
      <c r="ER106" s="1147">
        <v>0</v>
      </c>
      <c r="ES106" s="1147">
        <v>0</v>
      </c>
      <c r="ET106" s="1147">
        <v>0</v>
      </c>
      <c r="EU106" s="1147">
        <v>0</v>
      </c>
      <c r="EV106" s="1147">
        <v>0</v>
      </c>
      <c r="EW106" s="1147">
        <v>0</v>
      </c>
      <c r="EX106" s="1147">
        <v>0</v>
      </c>
      <c r="EY106" s="1147">
        <v>0</v>
      </c>
      <c r="EZ106" s="1147">
        <v>0</v>
      </c>
      <c r="FA106" s="1147">
        <v>0</v>
      </c>
      <c r="FB106" s="1147">
        <v>0</v>
      </c>
      <c r="FC106" s="1147"/>
      <c r="FD106" s="1147"/>
      <c r="FE106" s="1147"/>
      <c r="FF106" s="1147"/>
      <c r="FG106" s="1147"/>
      <c r="FH106" s="1147"/>
      <c r="FI106" s="1147"/>
      <c r="FJ106" s="1147"/>
      <c r="FK106" s="1147"/>
      <c r="FL106" s="1147"/>
      <c r="FM106" s="1147"/>
      <c r="FN106" s="1147"/>
      <c r="FO106" s="1147"/>
      <c r="FP106" s="1147"/>
      <c r="FQ106" s="1147"/>
      <c r="FR106" s="1147"/>
      <c r="FS106" s="1147"/>
      <c r="FT106" s="1147"/>
      <c r="FU106" s="1147"/>
      <c r="FV106" s="1147"/>
      <c r="FW106" s="1147"/>
      <c r="FX106" s="93"/>
      <c r="FY106" s="1147">
        <f>SUM(EI101:FB101)</f>
        <v>0</v>
      </c>
      <c r="FZ106" s="93"/>
      <c r="GA106" s="93"/>
      <c r="GB106" s="93"/>
      <c r="GC106" s="93"/>
      <c r="GD106" s="93"/>
      <c r="GE106" s="93"/>
      <c r="GF106" s="93"/>
      <c r="GG106" s="1144"/>
      <c r="GH106" s="93"/>
      <c r="GI106" s="93"/>
      <c r="GJ106" s="93"/>
      <c r="GK106" s="93"/>
      <c r="GL106" s="93"/>
      <c r="GM106" s="93"/>
      <c r="GN106" s="93"/>
      <c r="GO106" s="93"/>
      <c r="GP106" s="93"/>
      <c r="GQ106" s="93"/>
      <c r="GR106" s="93"/>
      <c r="GS106" s="93"/>
    </row>
    <row r="107" spans="1:201" ht="14.65" customHeight="1">
      <c r="A107" s="1547"/>
      <c r="B107" s="1547"/>
      <c r="C107" s="1106"/>
      <c r="D107" s="1106"/>
      <c r="E107" s="1196"/>
      <c r="F107" s="1196"/>
      <c r="G107" s="1196"/>
      <c r="H107" s="1196"/>
      <c r="I107" s="1196"/>
      <c r="J107" s="1196"/>
      <c r="K107" s="1196"/>
      <c r="L107" s="1196"/>
      <c r="M107" s="1196"/>
      <c r="N107" s="1196"/>
      <c r="O107" s="1196"/>
      <c r="P107" s="1196"/>
      <c r="Q107" s="1196"/>
      <c r="R107" s="1196"/>
      <c r="S107" s="1196"/>
      <c r="T107" s="1196"/>
      <c r="U107" s="1196"/>
      <c r="V107" s="1196"/>
      <c r="W107" s="1196"/>
      <c r="X107" s="1196"/>
      <c r="Y107" s="1196"/>
      <c r="Z107" s="1196"/>
      <c r="AA107" s="1196"/>
      <c r="AB107" s="1196"/>
      <c r="AC107" s="1196"/>
      <c r="AD107" s="1196"/>
      <c r="AE107" s="1196"/>
      <c r="AF107" s="1196"/>
      <c r="AG107" s="1196"/>
      <c r="AH107" s="1196"/>
      <c r="AI107" s="1196"/>
      <c r="AJ107" s="1196"/>
      <c r="AK107" s="1196"/>
      <c r="AL107" s="1196"/>
      <c r="AM107" s="1196"/>
      <c r="AN107" s="1196"/>
      <c r="AO107" s="1196"/>
      <c r="AP107" s="1196"/>
      <c r="AQ107" s="93"/>
      <c r="AR107" s="93"/>
      <c r="AS107" s="93"/>
      <c r="AT107" s="93"/>
      <c r="AU107" s="93"/>
      <c r="AV107" s="93"/>
      <c r="AW107" s="93"/>
      <c r="AX107" s="93"/>
      <c r="AY107" s="93"/>
      <c r="AZ107" s="93"/>
      <c r="BA107" s="93"/>
      <c r="BB107" s="93"/>
      <c r="BC107" s="93"/>
      <c r="BD107" s="93"/>
      <c r="BE107" s="93"/>
      <c r="BF107" s="93"/>
      <c r="BG107" s="93"/>
      <c r="BH107" s="93"/>
      <c r="BI107" s="93"/>
      <c r="BJ107" s="93"/>
      <c r="BK107" s="93"/>
      <c r="BL107" s="93"/>
      <c r="BM107" s="93"/>
      <c r="BN107" s="93"/>
      <c r="BO107" s="1143"/>
      <c r="BP107" s="93"/>
      <c r="BQ107" s="93"/>
      <c r="BR107" s="93"/>
      <c r="BS107" s="93"/>
      <c r="BT107" s="93"/>
      <c r="BU107" s="93"/>
      <c r="BV107" s="93"/>
      <c r="BW107" s="93"/>
      <c r="BX107" s="93"/>
      <c r="BY107" s="93"/>
      <c r="BZ107" s="93"/>
      <c r="CA107" s="93"/>
      <c r="CB107" s="93"/>
      <c r="CC107" s="93"/>
      <c r="CD107" s="93"/>
      <c r="CE107" s="93"/>
      <c r="CF107" s="93"/>
      <c r="CG107" s="93"/>
      <c r="CH107" s="93"/>
      <c r="CI107" s="93"/>
      <c r="CJ107" s="1144"/>
      <c r="CK107" s="93"/>
      <c r="CL107" s="93"/>
      <c r="CM107" s="93"/>
      <c r="CN107" s="93"/>
      <c r="CO107" s="93"/>
      <c r="CP107" s="93"/>
      <c r="CQ107" s="93"/>
      <c r="CR107" s="93"/>
      <c r="CS107" s="93"/>
      <c r="CT107" s="93"/>
      <c r="CU107" s="93"/>
      <c r="CV107" s="93"/>
      <c r="CW107" s="93"/>
      <c r="CX107" s="93"/>
      <c r="CY107" s="93"/>
      <c r="CZ107" s="93"/>
      <c r="DA107" s="93"/>
      <c r="DB107" s="93"/>
      <c r="DC107" s="93"/>
      <c r="DD107" s="93"/>
      <c r="DE107" s="1145"/>
      <c r="DF107" s="1145"/>
      <c r="DG107" s="1145"/>
      <c r="DH107" s="1145"/>
      <c r="DI107" s="1145"/>
      <c r="DJ107" s="1145"/>
      <c r="DK107" s="1145"/>
      <c r="DL107" s="1145"/>
      <c r="DM107" s="1145"/>
      <c r="DN107" s="1145"/>
      <c r="DO107" s="1145"/>
      <c r="DP107" s="1145"/>
      <c r="DQ107" s="1145"/>
      <c r="DR107" s="1145"/>
      <c r="DS107" s="1145"/>
      <c r="DT107" s="1145"/>
      <c r="DU107" s="1145"/>
      <c r="DV107" s="1145"/>
      <c r="DW107" s="1145"/>
      <c r="DX107" s="1145"/>
      <c r="DY107" s="1145"/>
      <c r="DZ107" s="1145"/>
      <c r="EA107" s="1145"/>
      <c r="EB107" s="1145"/>
      <c r="EC107" s="1145"/>
      <c r="ED107" s="1145"/>
      <c r="EE107" s="1145"/>
      <c r="EF107" s="1145"/>
      <c r="EG107" s="1143">
        <v>2</v>
      </c>
      <c r="EH107" s="93" t="s">
        <v>651</v>
      </c>
      <c r="EI107" s="1147">
        <v>0</v>
      </c>
      <c r="EJ107" s="1147">
        <v>0</v>
      </c>
      <c r="EK107" s="1147">
        <v>0</v>
      </c>
      <c r="EL107" s="1147">
        <v>0</v>
      </c>
      <c r="EM107" s="1147">
        <v>0</v>
      </c>
      <c r="EN107" s="1147">
        <v>0</v>
      </c>
      <c r="EO107" s="1147">
        <v>0</v>
      </c>
      <c r="EP107" s="1147">
        <v>0</v>
      </c>
      <c r="EQ107" s="1147">
        <v>0</v>
      </c>
      <c r="ER107" s="1147">
        <v>0</v>
      </c>
      <c r="ES107" s="1147">
        <v>0</v>
      </c>
      <c r="ET107" s="1147">
        <v>0</v>
      </c>
      <c r="EU107" s="1147">
        <v>0</v>
      </c>
      <c r="EV107" s="1147">
        <v>0</v>
      </c>
      <c r="EW107" s="1147">
        <v>0</v>
      </c>
      <c r="EX107" s="1147">
        <v>0</v>
      </c>
      <c r="EY107" s="1147">
        <v>0</v>
      </c>
      <c r="EZ107" s="1147">
        <v>0</v>
      </c>
      <c r="FA107" s="1147">
        <v>0</v>
      </c>
      <c r="FB107" s="1147">
        <v>0</v>
      </c>
      <c r="FC107" s="1147"/>
      <c r="FD107" s="1147"/>
      <c r="FE107" s="1147"/>
      <c r="FF107" s="1147"/>
      <c r="FG107" s="1147"/>
      <c r="FH107" s="1147"/>
      <c r="FI107" s="1147"/>
      <c r="FJ107" s="1147"/>
      <c r="FK107" s="1147"/>
      <c r="FL107" s="1147"/>
      <c r="FM107" s="1147"/>
      <c r="FN107" s="1147"/>
      <c r="FO107" s="1147"/>
      <c r="FP107" s="1147"/>
      <c r="FQ107" s="1147"/>
      <c r="FR107" s="1147"/>
      <c r="FS107" s="1147"/>
      <c r="FT107" s="1147"/>
      <c r="FU107" s="1147"/>
      <c r="FV107" s="1147"/>
      <c r="FW107" s="1147"/>
      <c r="FX107" s="93"/>
      <c r="FY107" s="1147">
        <f>SUM(EI102:FB102)</f>
        <v>0</v>
      </c>
      <c r="FZ107" s="93"/>
      <c r="GA107" s="93"/>
      <c r="GB107" s="93"/>
      <c r="GC107" s="93"/>
      <c r="GD107" s="93"/>
      <c r="GE107" s="93"/>
      <c r="GF107" s="93"/>
      <c r="GG107" s="1144"/>
      <c r="GH107" s="93"/>
      <c r="GI107" s="93"/>
      <c r="GJ107" s="93"/>
      <c r="GK107" s="93"/>
      <c r="GL107" s="93"/>
      <c r="GM107" s="93"/>
      <c r="GN107" s="93"/>
      <c r="GO107" s="93"/>
      <c r="GP107" s="93"/>
      <c r="GQ107" s="93"/>
      <c r="GR107" s="93"/>
      <c r="GS107" s="93"/>
    </row>
    <row r="108" spans="1:201" ht="14.65" customHeight="1">
      <c r="A108" s="1104"/>
      <c r="B108" s="1104"/>
      <c r="C108" s="1106"/>
      <c r="D108" s="1106"/>
      <c r="E108" s="1196"/>
      <c r="F108" s="1196"/>
      <c r="G108" s="1196"/>
      <c r="H108" s="1196"/>
      <c r="I108" s="1196"/>
      <c r="J108" s="1196"/>
      <c r="K108" s="1196"/>
      <c r="L108" s="1196"/>
      <c r="M108" s="1196"/>
      <c r="N108" s="1196"/>
      <c r="O108" s="1196"/>
      <c r="P108" s="1196"/>
      <c r="Q108" s="1196"/>
      <c r="R108" s="1196"/>
      <c r="S108" s="1196"/>
      <c r="T108" s="1196"/>
      <c r="U108" s="1196"/>
      <c r="V108" s="1196"/>
      <c r="W108" s="1196"/>
      <c r="X108" s="1196"/>
      <c r="Y108" s="1196"/>
      <c r="Z108" s="1196"/>
      <c r="AA108" s="1196"/>
      <c r="AB108" s="1196"/>
      <c r="AC108" s="1196"/>
      <c r="AD108" s="1196"/>
      <c r="AE108" s="1196"/>
      <c r="AF108" s="1196"/>
      <c r="AG108" s="1196"/>
      <c r="AH108" s="1196"/>
      <c r="AI108" s="1196"/>
      <c r="AJ108" s="1196"/>
      <c r="AK108" s="1196"/>
      <c r="AL108" s="1196"/>
      <c r="AM108" s="1196"/>
      <c r="AN108" s="1196"/>
      <c r="AO108" s="1196"/>
      <c r="AP108" s="1196"/>
      <c r="AQ108" s="93"/>
      <c r="AR108" s="93"/>
      <c r="AS108" s="93"/>
      <c r="AT108" s="93"/>
      <c r="AU108" s="93"/>
      <c r="AV108" s="93"/>
      <c r="AW108" s="93"/>
      <c r="AX108" s="93"/>
      <c r="AY108" s="93"/>
      <c r="AZ108" s="93"/>
      <c r="BA108" s="93"/>
      <c r="BB108" s="93"/>
      <c r="BC108" s="93"/>
      <c r="BD108" s="93"/>
      <c r="BE108" s="93"/>
      <c r="BF108" s="93"/>
      <c r="BG108" s="93"/>
      <c r="BH108" s="93"/>
      <c r="BI108" s="93"/>
      <c r="BJ108" s="93"/>
      <c r="BK108" s="93"/>
      <c r="BL108" s="93"/>
      <c r="BM108" s="93"/>
      <c r="BN108" s="93"/>
      <c r="BO108" s="1143"/>
      <c r="BP108" s="93"/>
      <c r="BQ108" s="93"/>
      <c r="BR108" s="93"/>
      <c r="BS108" s="93"/>
      <c r="BT108" s="93"/>
      <c r="BU108" s="93"/>
      <c r="BV108" s="93"/>
      <c r="BW108" s="93"/>
      <c r="BX108" s="93"/>
      <c r="BY108" s="93"/>
      <c r="BZ108" s="93"/>
      <c r="CA108" s="93"/>
      <c r="CB108" s="93"/>
      <c r="CC108" s="93"/>
      <c r="CD108" s="93"/>
      <c r="CE108" s="93"/>
      <c r="CF108" s="93"/>
      <c r="CG108" s="93"/>
      <c r="CH108" s="93"/>
      <c r="CI108" s="93"/>
      <c r="CJ108" s="1144"/>
      <c r="CK108" s="93"/>
      <c r="CL108" s="93"/>
      <c r="CM108" s="93"/>
      <c r="CN108" s="93"/>
      <c r="CO108" s="93"/>
      <c r="CP108" s="93"/>
      <c r="CQ108" s="93"/>
      <c r="CR108" s="93"/>
      <c r="CS108" s="93"/>
      <c r="CT108" s="93"/>
      <c r="CU108" s="93"/>
      <c r="CV108" s="93"/>
      <c r="CW108" s="93"/>
      <c r="CX108" s="93"/>
      <c r="CY108" s="93"/>
      <c r="CZ108" s="93"/>
      <c r="DA108" s="93"/>
      <c r="DB108" s="93"/>
      <c r="DC108" s="93"/>
      <c r="DD108" s="93"/>
      <c r="DE108" s="1145"/>
      <c r="DF108" s="1145"/>
      <c r="DG108" s="1145"/>
      <c r="DH108" s="1145"/>
      <c r="DI108" s="1145"/>
      <c r="DJ108" s="1145"/>
      <c r="DK108" s="1145"/>
      <c r="DL108" s="1145"/>
      <c r="DM108" s="1145"/>
      <c r="DN108" s="1145"/>
      <c r="DO108" s="1145"/>
      <c r="DP108" s="1145"/>
      <c r="DQ108" s="1145"/>
      <c r="DR108" s="1145"/>
      <c r="DS108" s="1145"/>
      <c r="DT108" s="1145"/>
      <c r="DU108" s="1145"/>
      <c r="DV108" s="1145"/>
      <c r="DW108" s="1145"/>
      <c r="DX108" s="1145"/>
      <c r="DY108" s="1145"/>
      <c r="DZ108" s="1145"/>
      <c r="EA108" s="1145"/>
      <c r="EB108" s="1145"/>
      <c r="EC108" s="1145"/>
      <c r="ED108" s="1145"/>
      <c r="EE108" s="1145"/>
      <c r="EF108" s="1145"/>
      <c r="EG108" s="1143">
        <v>3</v>
      </c>
      <c r="EH108" s="93" t="s">
        <v>651</v>
      </c>
      <c r="EI108" s="1147">
        <v>0</v>
      </c>
      <c r="EJ108" s="1147">
        <v>0</v>
      </c>
      <c r="EK108" s="1147">
        <v>0</v>
      </c>
      <c r="EL108" s="1147">
        <v>0</v>
      </c>
      <c r="EM108" s="1147">
        <v>0</v>
      </c>
      <c r="EN108" s="1147">
        <v>0</v>
      </c>
      <c r="EO108" s="1147">
        <v>0</v>
      </c>
      <c r="EP108" s="1147">
        <v>0</v>
      </c>
      <c r="EQ108" s="1147">
        <v>0</v>
      </c>
      <c r="ER108" s="1147">
        <v>0</v>
      </c>
      <c r="ES108" s="1147">
        <v>0</v>
      </c>
      <c r="ET108" s="1147">
        <v>0</v>
      </c>
      <c r="EU108" s="1147">
        <v>0</v>
      </c>
      <c r="EV108" s="1147">
        <v>0</v>
      </c>
      <c r="EW108" s="1147">
        <v>0</v>
      </c>
      <c r="EX108" s="1147">
        <v>0</v>
      </c>
      <c r="EY108" s="1147">
        <v>0</v>
      </c>
      <c r="EZ108" s="1147">
        <v>0</v>
      </c>
      <c r="FA108" s="1147">
        <v>0</v>
      </c>
      <c r="FB108" s="1147">
        <v>0</v>
      </c>
      <c r="FC108" s="1147"/>
      <c r="FD108" s="1147"/>
      <c r="FE108" s="1147"/>
      <c r="FF108" s="1147"/>
      <c r="FG108" s="1147"/>
      <c r="FH108" s="1147"/>
      <c r="FI108" s="1147"/>
      <c r="FJ108" s="1147"/>
      <c r="FK108" s="1147"/>
      <c r="FL108" s="1147"/>
      <c r="FM108" s="1147"/>
      <c r="FN108" s="1147"/>
      <c r="FO108" s="1147"/>
      <c r="FP108" s="1147"/>
      <c r="FQ108" s="1147"/>
      <c r="FR108" s="1147"/>
      <c r="FS108" s="1147"/>
      <c r="FT108" s="1147"/>
      <c r="FU108" s="1147"/>
      <c r="FV108" s="1147"/>
      <c r="FW108" s="1147"/>
      <c r="FX108" s="93"/>
      <c r="FY108" s="1147">
        <f>SUM(EI103:FB103)</f>
        <v>0</v>
      </c>
      <c r="FZ108" s="93"/>
      <c r="GA108" s="93"/>
      <c r="GB108" s="93"/>
      <c r="GC108" s="93"/>
      <c r="GD108" s="93"/>
      <c r="GE108" s="93"/>
      <c r="GF108" s="93"/>
      <c r="GG108" s="1144"/>
      <c r="GH108" s="93"/>
      <c r="GI108" s="93"/>
      <c r="GJ108" s="93"/>
      <c r="GK108" s="93"/>
      <c r="GL108" s="93"/>
      <c r="GM108" s="93"/>
      <c r="GN108" s="93"/>
      <c r="GO108" s="93"/>
      <c r="GP108" s="93"/>
      <c r="GQ108" s="93"/>
      <c r="GR108" s="93"/>
      <c r="GS108" s="93"/>
    </row>
    <row r="109" spans="1:201" ht="14.65" customHeight="1">
      <c r="A109" s="1547"/>
      <c r="B109" s="1547"/>
      <c r="C109" s="1106"/>
      <c r="D109" s="1106"/>
      <c r="E109" s="1106"/>
      <c r="F109" s="1106"/>
      <c r="G109" s="1106"/>
      <c r="H109" s="1106"/>
      <c r="I109" s="1106"/>
      <c r="J109" s="1106"/>
      <c r="K109" s="1106"/>
      <c r="L109" s="1106"/>
      <c r="M109" s="1106"/>
      <c r="N109" s="1106"/>
      <c r="O109" s="1106"/>
      <c r="P109" s="1106"/>
      <c r="Q109" s="1106"/>
      <c r="R109" s="1106"/>
      <c r="S109" s="1106"/>
      <c r="T109" s="1106"/>
      <c r="U109" s="1106"/>
      <c r="V109" s="1106"/>
      <c r="W109" s="1106"/>
      <c r="X109" s="1106"/>
      <c r="Y109" s="1106"/>
      <c r="Z109" s="1106"/>
      <c r="AA109" s="1106"/>
      <c r="AB109" s="1106"/>
      <c r="AC109" s="1106"/>
      <c r="AD109" s="1106"/>
      <c r="AE109" s="1106"/>
      <c r="AF109" s="1106"/>
      <c r="AG109" s="1106"/>
      <c r="AH109" s="1106"/>
      <c r="AI109" s="1106"/>
      <c r="AJ109" s="1106"/>
      <c r="AK109" s="1106"/>
      <c r="AL109" s="1106"/>
      <c r="AM109" s="1106"/>
      <c r="AN109" s="1106"/>
      <c r="AO109" s="1106"/>
      <c r="AP109" s="1106"/>
      <c r="AQ109" s="93"/>
      <c r="AR109" s="93"/>
      <c r="AS109" s="93"/>
      <c r="AT109" s="93"/>
      <c r="AU109" s="93"/>
      <c r="AV109" s="93"/>
      <c r="AW109" s="93"/>
      <c r="AX109" s="93"/>
      <c r="AY109" s="93"/>
      <c r="AZ109" s="93"/>
      <c r="BA109" s="93"/>
      <c r="BB109" s="93"/>
      <c r="BC109" s="93"/>
      <c r="BD109" s="93"/>
      <c r="BE109" s="93"/>
      <c r="BF109" s="93"/>
      <c r="BG109" s="93"/>
      <c r="BH109" s="93"/>
      <c r="BI109" s="93"/>
      <c r="BJ109" s="93"/>
      <c r="BK109" s="93"/>
      <c r="BL109" s="93"/>
      <c r="BM109" s="93"/>
      <c r="BN109" s="93"/>
      <c r="BO109" s="1143"/>
      <c r="BP109" s="93"/>
      <c r="BQ109" s="93"/>
      <c r="BR109" s="93"/>
      <c r="BS109" s="93"/>
      <c r="BT109" s="93"/>
      <c r="BU109" s="93"/>
      <c r="BV109" s="93"/>
      <c r="BW109" s="93"/>
      <c r="BX109" s="93"/>
      <c r="BY109" s="93"/>
      <c r="BZ109" s="93"/>
      <c r="CA109" s="93"/>
      <c r="CB109" s="93"/>
      <c r="CC109" s="93"/>
      <c r="CD109" s="93"/>
      <c r="CE109" s="93"/>
      <c r="CF109" s="93"/>
      <c r="CG109" s="93"/>
      <c r="CH109" s="93"/>
      <c r="CI109" s="93"/>
      <c r="CJ109" s="1144"/>
      <c r="CK109" s="93"/>
      <c r="CL109" s="93"/>
      <c r="CM109" s="93"/>
      <c r="CN109" s="93"/>
      <c r="CO109" s="93"/>
      <c r="CP109" s="93"/>
      <c r="CQ109" s="93"/>
      <c r="CR109" s="93"/>
      <c r="CS109" s="93"/>
      <c r="CT109" s="93"/>
      <c r="CU109" s="93"/>
      <c r="CV109" s="93"/>
      <c r="CW109" s="93"/>
      <c r="CX109" s="93"/>
      <c r="CY109" s="93"/>
      <c r="CZ109" s="93"/>
      <c r="DA109" s="93"/>
      <c r="DB109" s="93"/>
      <c r="DC109" s="93"/>
      <c r="DD109" s="93"/>
      <c r="DE109" s="1145"/>
      <c r="DF109" s="1145"/>
      <c r="DG109" s="1145"/>
      <c r="DH109" s="1145"/>
      <c r="DI109" s="1145"/>
      <c r="DJ109" s="1145"/>
      <c r="DK109" s="1145"/>
      <c r="DL109" s="1145"/>
      <c r="DM109" s="1145"/>
      <c r="DN109" s="1145"/>
      <c r="DO109" s="1145"/>
      <c r="DP109" s="1145"/>
      <c r="DQ109" s="1145"/>
      <c r="DR109" s="1145"/>
      <c r="DS109" s="1145"/>
      <c r="DT109" s="1145"/>
      <c r="DU109" s="1145"/>
      <c r="DV109" s="1145"/>
      <c r="DW109" s="1145"/>
      <c r="DX109" s="1145"/>
      <c r="DY109" s="1145"/>
      <c r="DZ109" s="1145"/>
      <c r="EA109" s="1145"/>
      <c r="EB109" s="1145"/>
      <c r="EC109" s="1145"/>
      <c r="ED109" s="1145"/>
      <c r="EE109" s="1145"/>
      <c r="EF109" s="1145"/>
      <c r="EG109" s="1143">
        <v>4</v>
      </c>
      <c r="EH109" s="93" t="s">
        <v>651</v>
      </c>
      <c r="EI109" s="1147">
        <v>0</v>
      </c>
      <c r="EJ109" s="1147">
        <v>0</v>
      </c>
      <c r="EK109" s="1147">
        <v>0</v>
      </c>
      <c r="EL109" s="1147">
        <v>0</v>
      </c>
      <c r="EM109" s="1147">
        <v>0</v>
      </c>
      <c r="EN109" s="1147">
        <v>0</v>
      </c>
      <c r="EO109" s="1147">
        <v>0</v>
      </c>
      <c r="EP109" s="1147">
        <v>0</v>
      </c>
      <c r="EQ109" s="1147">
        <v>0</v>
      </c>
      <c r="ER109" s="1147">
        <v>0</v>
      </c>
      <c r="ES109" s="1147">
        <v>0</v>
      </c>
      <c r="ET109" s="1147">
        <v>0</v>
      </c>
      <c r="EU109" s="1147">
        <v>0</v>
      </c>
      <c r="EV109" s="1147">
        <v>0</v>
      </c>
      <c r="EW109" s="1147">
        <v>0</v>
      </c>
      <c r="EX109" s="1147">
        <v>0</v>
      </c>
      <c r="EY109" s="1147">
        <v>0</v>
      </c>
      <c r="EZ109" s="1147">
        <v>0</v>
      </c>
      <c r="FA109" s="1147">
        <v>0</v>
      </c>
      <c r="FB109" s="1147">
        <v>0</v>
      </c>
      <c r="FC109" s="1147"/>
      <c r="FD109" s="1147"/>
      <c r="FE109" s="1147"/>
      <c r="FF109" s="1147"/>
      <c r="FG109" s="1147"/>
      <c r="FH109" s="1147"/>
      <c r="FI109" s="1147"/>
      <c r="FJ109" s="1147"/>
      <c r="FK109" s="1147"/>
      <c r="FL109" s="1147"/>
      <c r="FM109" s="1147"/>
      <c r="FN109" s="1147"/>
      <c r="FO109" s="1147"/>
      <c r="FP109" s="1147"/>
      <c r="FQ109" s="1147"/>
      <c r="FR109" s="1147"/>
      <c r="FS109" s="1147"/>
      <c r="FT109" s="1147"/>
      <c r="FU109" s="1147"/>
      <c r="FV109" s="1147"/>
      <c r="FW109" s="1147"/>
      <c r="FX109" s="93"/>
      <c r="FY109" s="1147">
        <f>SUM(EI104:FB104)</f>
        <v>0</v>
      </c>
      <c r="FZ109" s="93"/>
      <c r="GA109" s="93"/>
      <c r="GB109" s="93"/>
      <c r="GC109" s="93"/>
      <c r="GD109" s="93"/>
      <c r="GE109" s="93"/>
      <c r="GF109" s="93"/>
      <c r="GG109" s="1144"/>
      <c r="GH109" s="93"/>
      <c r="GI109" s="93"/>
      <c r="GJ109" s="93"/>
      <c r="GK109" s="93"/>
      <c r="GL109" s="93"/>
      <c r="GM109" s="93"/>
      <c r="GN109" s="93"/>
      <c r="GO109" s="93"/>
      <c r="GP109" s="93"/>
      <c r="GQ109" s="93"/>
      <c r="GR109" s="93"/>
      <c r="GS109" s="93"/>
    </row>
    <row r="110" spans="1:201" ht="14.65" customHeight="1">
      <c r="A110" s="1140"/>
      <c r="B110" s="1104"/>
      <c r="C110" s="1104"/>
      <c r="D110" s="1104"/>
      <c r="E110" s="1104"/>
      <c r="F110" s="1104"/>
      <c r="G110" s="1104"/>
      <c r="H110" s="1104"/>
      <c r="I110" s="1104"/>
      <c r="J110" s="1104"/>
      <c r="K110" s="1104"/>
      <c r="L110" s="1104"/>
      <c r="M110" s="1104"/>
      <c r="N110" s="1104"/>
      <c r="O110" s="1104"/>
      <c r="P110" s="1104"/>
      <c r="Q110" s="1104"/>
      <c r="R110" s="1104"/>
      <c r="S110" s="1104"/>
      <c r="T110" s="1104"/>
      <c r="U110" s="1104"/>
      <c r="V110" s="1200"/>
      <c r="W110" s="1104"/>
      <c r="X110" s="1104"/>
      <c r="Y110" s="1104"/>
      <c r="Z110" s="1104"/>
      <c r="AA110" s="1104"/>
      <c r="AB110" s="1104"/>
      <c r="AC110" s="1104"/>
      <c r="AD110" s="1104"/>
      <c r="AE110" s="1104"/>
      <c r="AF110" s="1104"/>
      <c r="AG110" s="1104"/>
      <c r="AH110" s="1104"/>
      <c r="AI110" s="1104"/>
      <c r="AJ110" s="1104"/>
      <c r="AK110" s="1104"/>
      <c r="AL110" s="1104"/>
      <c r="AM110" s="1104"/>
      <c r="AN110" s="1104"/>
      <c r="AO110" s="1104"/>
      <c r="AP110" s="1104"/>
      <c r="AQ110" s="93"/>
      <c r="AR110" s="93"/>
      <c r="AS110" s="93"/>
      <c r="AT110" s="93"/>
      <c r="AU110" s="93"/>
      <c r="AV110" s="93"/>
      <c r="AW110" s="93"/>
      <c r="AX110" s="93"/>
      <c r="AY110" s="93"/>
      <c r="AZ110" s="93"/>
      <c r="BA110" s="93"/>
      <c r="BB110" s="93"/>
      <c r="BC110" s="93"/>
      <c r="BD110" s="93"/>
      <c r="BE110" s="93"/>
      <c r="BF110" s="93"/>
      <c r="BG110" s="93"/>
      <c r="BH110" s="93"/>
      <c r="BI110" s="93"/>
      <c r="BJ110" s="93"/>
      <c r="BK110" s="93"/>
      <c r="BL110" s="93"/>
      <c r="BM110" s="93"/>
      <c r="BN110" s="93"/>
      <c r="BO110" s="1143"/>
      <c r="BP110" s="93"/>
      <c r="BQ110" s="93"/>
      <c r="BR110" s="93"/>
      <c r="BS110" s="93"/>
      <c r="BT110" s="93"/>
      <c r="BU110" s="93"/>
      <c r="BV110" s="93"/>
      <c r="BW110" s="93"/>
      <c r="BX110" s="93"/>
      <c r="BY110" s="93"/>
      <c r="BZ110" s="93"/>
      <c r="CA110" s="93"/>
      <c r="CB110" s="93"/>
      <c r="CC110" s="93"/>
      <c r="CD110" s="93"/>
      <c r="CE110" s="93"/>
      <c r="CF110" s="93"/>
      <c r="CG110" s="93"/>
      <c r="CH110" s="93"/>
      <c r="CI110" s="93"/>
      <c r="CJ110" s="1144"/>
      <c r="CK110" s="93"/>
      <c r="CL110" s="93"/>
      <c r="CM110" s="93"/>
      <c r="CN110" s="93"/>
      <c r="CO110" s="93"/>
      <c r="CP110" s="93"/>
      <c r="CQ110" s="93"/>
      <c r="CR110" s="93"/>
      <c r="CS110" s="93"/>
      <c r="CT110" s="93"/>
      <c r="CU110" s="93"/>
      <c r="CV110" s="93"/>
      <c r="CW110" s="93"/>
      <c r="CX110" s="93"/>
      <c r="CY110" s="93"/>
      <c r="CZ110" s="93"/>
      <c r="DA110" s="93"/>
      <c r="DB110" s="93"/>
      <c r="DC110" s="93"/>
      <c r="DD110" s="93"/>
      <c r="DE110" s="1145"/>
      <c r="DF110" s="1145"/>
      <c r="DG110" s="1145"/>
      <c r="DH110" s="1145"/>
      <c r="DI110" s="1145"/>
      <c r="DJ110" s="1145"/>
      <c r="DK110" s="1145"/>
      <c r="DL110" s="1145"/>
      <c r="DM110" s="1145"/>
      <c r="DN110" s="1145"/>
      <c r="DO110" s="1145"/>
      <c r="DP110" s="1145"/>
      <c r="DQ110" s="1145"/>
      <c r="DR110" s="1145"/>
      <c r="DS110" s="1145"/>
      <c r="DT110" s="1145"/>
      <c r="DU110" s="1145"/>
      <c r="DV110" s="1145"/>
      <c r="DW110" s="1145"/>
      <c r="DX110" s="1145"/>
      <c r="DY110" s="1145"/>
      <c r="DZ110" s="1145"/>
      <c r="EA110" s="1145"/>
      <c r="EB110" s="1145"/>
      <c r="EC110" s="1145"/>
      <c r="ED110" s="1145"/>
      <c r="EE110" s="1145"/>
      <c r="EF110" s="1145"/>
      <c r="EG110" s="1143"/>
      <c r="EH110" s="93"/>
      <c r="EI110" s="93"/>
      <c r="EJ110" s="93"/>
      <c r="EK110" s="93"/>
      <c r="EL110" s="93"/>
      <c r="EM110" s="93"/>
      <c r="EN110" s="93"/>
      <c r="EO110" s="93"/>
      <c r="EP110" s="93"/>
      <c r="EQ110" s="93"/>
      <c r="ER110" s="93"/>
      <c r="ES110" s="93"/>
      <c r="ET110" s="93"/>
      <c r="EU110" s="93"/>
      <c r="EV110" s="93"/>
      <c r="EW110" s="93"/>
      <c r="EX110" s="93"/>
      <c r="EY110" s="93"/>
      <c r="EZ110" s="93"/>
      <c r="FA110" s="93"/>
      <c r="FB110" s="93"/>
      <c r="FC110" s="93"/>
      <c r="FD110" s="93"/>
      <c r="FE110" s="93"/>
      <c r="FF110" s="93"/>
      <c r="FG110" s="93"/>
      <c r="FH110" s="93"/>
      <c r="FI110" s="93"/>
      <c r="FJ110" s="93"/>
      <c r="FK110" s="93"/>
      <c r="FL110" s="93"/>
      <c r="FM110" s="93"/>
      <c r="FN110" s="93"/>
      <c r="FO110" s="93"/>
      <c r="FP110" s="93"/>
      <c r="FQ110" s="93"/>
      <c r="FR110" s="93"/>
      <c r="FS110" s="93"/>
      <c r="FT110" s="93"/>
      <c r="FU110" s="93"/>
      <c r="FV110" s="93"/>
      <c r="FW110" s="93"/>
      <c r="FX110" s="93"/>
      <c r="FY110" s="93"/>
      <c r="FZ110" s="93"/>
      <c r="GA110" s="93"/>
      <c r="GB110" s="93"/>
      <c r="GC110" s="93"/>
      <c r="GD110" s="93"/>
      <c r="GE110" s="93"/>
      <c r="GF110" s="93"/>
      <c r="GG110" s="1144"/>
      <c r="GH110" s="93"/>
      <c r="GI110" s="93"/>
      <c r="GJ110" s="93"/>
      <c r="GK110" s="93"/>
      <c r="GL110" s="93"/>
      <c r="GM110" s="93"/>
      <c r="GN110" s="93"/>
      <c r="GO110" s="93"/>
      <c r="GP110" s="93"/>
      <c r="GQ110" s="93"/>
      <c r="GR110" s="93"/>
      <c r="GS110" s="93"/>
    </row>
    <row r="111" spans="1:201" ht="14.65" customHeight="1">
      <c r="A111" s="1140"/>
      <c r="B111" s="1104"/>
      <c r="C111" s="1104"/>
      <c r="D111" s="1104"/>
      <c r="E111" s="1104"/>
      <c r="F111" s="1104"/>
      <c r="G111" s="1104"/>
      <c r="H111" s="1104"/>
      <c r="I111" s="1104"/>
      <c r="J111" s="1104"/>
      <c r="K111" s="1104"/>
      <c r="L111" s="1104"/>
      <c r="M111" s="1104"/>
      <c r="N111" s="1104"/>
      <c r="O111" s="1104"/>
      <c r="P111" s="1104"/>
      <c r="Q111" s="1104"/>
      <c r="R111" s="1104"/>
      <c r="S111" s="1104"/>
      <c r="T111" s="1104"/>
      <c r="U111" s="1104"/>
      <c r="V111" s="1200"/>
      <c r="W111" s="1104"/>
      <c r="X111" s="1104"/>
      <c r="Y111" s="1104"/>
      <c r="Z111" s="1104"/>
      <c r="AA111" s="1104"/>
      <c r="AB111" s="1104"/>
      <c r="AC111" s="1104"/>
      <c r="AD111" s="1104"/>
      <c r="AE111" s="1104"/>
      <c r="AF111" s="1104"/>
      <c r="AG111" s="1104"/>
      <c r="AH111" s="1104"/>
      <c r="AI111" s="1104"/>
      <c r="AJ111" s="1104"/>
      <c r="AK111" s="1104"/>
      <c r="AL111" s="1104"/>
      <c r="AM111" s="1104"/>
      <c r="AN111" s="1104"/>
      <c r="AO111" s="1104"/>
      <c r="AP111" s="1104"/>
      <c r="AQ111" s="93"/>
      <c r="AR111" s="93"/>
      <c r="AS111" s="93"/>
      <c r="AT111" s="93"/>
      <c r="AU111" s="93"/>
      <c r="AV111" s="93"/>
      <c r="AW111" s="93"/>
      <c r="AX111" s="93"/>
      <c r="AY111" s="93"/>
      <c r="AZ111" s="93"/>
      <c r="BA111" s="93"/>
      <c r="BB111" s="93"/>
      <c r="BC111" s="93"/>
      <c r="BD111" s="93"/>
      <c r="BE111" s="93"/>
      <c r="BF111" s="93"/>
      <c r="BG111" s="93"/>
      <c r="BH111" s="93"/>
      <c r="BI111" s="93"/>
      <c r="BJ111" s="93"/>
      <c r="BK111" s="93"/>
      <c r="BL111" s="93"/>
      <c r="BM111" s="93"/>
      <c r="BN111" s="93"/>
      <c r="BO111" s="1143"/>
      <c r="BP111" s="93"/>
      <c r="BQ111" s="93"/>
      <c r="BR111" s="93"/>
      <c r="BS111" s="93"/>
      <c r="BT111" s="93"/>
      <c r="BU111" s="93"/>
      <c r="BV111" s="93"/>
      <c r="BW111" s="93"/>
      <c r="BX111" s="93"/>
      <c r="BY111" s="93"/>
      <c r="BZ111" s="93"/>
      <c r="CA111" s="93"/>
      <c r="CB111" s="93"/>
      <c r="CC111" s="93"/>
      <c r="CD111" s="93"/>
      <c r="CE111" s="93"/>
      <c r="CF111" s="93"/>
      <c r="CG111" s="93"/>
      <c r="CH111" s="93"/>
      <c r="CI111" s="93"/>
      <c r="CJ111" s="1144"/>
      <c r="CK111" s="93"/>
      <c r="CL111" s="93"/>
      <c r="CM111" s="93"/>
      <c r="CN111" s="93"/>
      <c r="CO111" s="93"/>
      <c r="CP111" s="93"/>
      <c r="CQ111" s="93"/>
      <c r="CR111" s="93"/>
      <c r="CS111" s="93"/>
      <c r="CT111" s="93"/>
      <c r="CU111" s="93"/>
      <c r="CV111" s="93"/>
      <c r="CW111" s="93"/>
      <c r="CX111" s="93"/>
      <c r="CY111" s="93"/>
      <c r="CZ111" s="93"/>
      <c r="DA111" s="93"/>
      <c r="DB111" s="93"/>
      <c r="DC111" s="93"/>
      <c r="DD111" s="93"/>
      <c r="DE111" s="1145"/>
      <c r="DF111" s="1145"/>
      <c r="DG111" s="1145"/>
      <c r="DH111" s="1145"/>
      <c r="DI111" s="1145"/>
      <c r="DJ111" s="1145"/>
      <c r="DK111" s="1145"/>
      <c r="DL111" s="1145"/>
      <c r="DM111" s="1145"/>
      <c r="DN111" s="1145"/>
      <c r="DO111" s="1145"/>
      <c r="DP111" s="1145"/>
      <c r="DQ111" s="1145"/>
      <c r="DR111" s="1145"/>
      <c r="DS111" s="1145"/>
      <c r="DT111" s="1145"/>
      <c r="DU111" s="1145"/>
      <c r="DV111" s="1145"/>
      <c r="DW111" s="1145"/>
      <c r="DX111" s="1145"/>
      <c r="DY111" s="1145"/>
      <c r="DZ111" s="1145"/>
      <c r="EA111" s="1145"/>
      <c r="EB111" s="1145"/>
      <c r="EC111" s="1145"/>
      <c r="ED111" s="1145"/>
      <c r="EE111" s="1145"/>
      <c r="EF111" s="1145"/>
      <c r="EG111" s="1143"/>
      <c r="EH111" s="93"/>
      <c r="EI111" s="93"/>
      <c r="EJ111" s="93"/>
      <c r="EK111" s="93"/>
      <c r="EL111" s="93"/>
      <c r="EM111" s="93"/>
      <c r="EN111" s="93"/>
      <c r="EO111" s="93"/>
      <c r="EP111" s="93"/>
      <c r="EQ111" s="93"/>
      <c r="ER111" s="93"/>
      <c r="ES111" s="93"/>
      <c r="ET111" s="93"/>
      <c r="EU111" s="93"/>
      <c r="EV111" s="93"/>
      <c r="EW111" s="93"/>
      <c r="EX111" s="93"/>
      <c r="EY111" s="93"/>
      <c r="EZ111" s="93"/>
      <c r="FA111" s="93"/>
      <c r="FB111" s="93"/>
      <c r="FC111" s="93"/>
      <c r="FD111" s="93"/>
      <c r="FE111" s="93"/>
      <c r="FF111" s="93"/>
      <c r="FG111" s="93"/>
      <c r="FH111" s="93"/>
      <c r="FI111" s="93"/>
      <c r="FJ111" s="93"/>
      <c r="FK111" s="93"/>
      <c r="FL111" s="93"/>
      <c r="FM111" s="93"/>
      <c r="FN111" s="93"/>
      <c r="FO111" s="93"/>
      <c r="FP111" s="93"/>
      <c r="FQ111" s="93"/>
      <c r="FR111" s="93"/>
      <c r="FS111" s="93"/>
      <c r="FT111" s="93"/>
      <c r="FU111" s="93"/>
      <c r="FV111" s="93"/>
      <c r="FW111" s="93"/>
      <c r="FX111" s="93"/>
      <c r="FY111" s="93"/>
      <c r="FZ111" s="93"/>
      <c r="GA111" s="93"/>
      <c r="GB111" s="93"/>
      <c r="GC111" s="93"/>
      <c r="GD111" s="93"/>
      <c r="GE111" s="93"/>
      <c r="GF111" s="93"/>
      <c r="GG111" s="1144"/>
      <c r="GH111" s="93"/>
      <c r="GI111" s="93"/>
      <c r="GJ111" s="93"/>
      <c r="GK111" s="93"/>
      <c r="GL111" s="93"/>
      <c r="GM111" s="93"/>
      <c r="GN111" s="93"/>
      <c r="GO111" s="93"/>
      <c r="GP111" s="93"/>
      <c r="GQ111" s="93"/>
      <c r="GR111" s="93"/>
      <c r="GS111" s="93"/>
    </row>
    <row r="112" spans="1:201" ht="15" customHeight="1" thickBot="1">
      <c r="A112" s="1140"/>
      <c r="B112" s="1104"/>
      <c r="C112" s="1104"/>
      <c r="D112" s="1104"/>
      <c r="E112" s="1104"/>
      <c r="F112" s="1104"/>
      <c r="G112" s="1104"/>
      <c r="H112" s="1104"/>
      <c r="I112" s="1104"/>
      <c r="J112" s="1104"/>
      <c r="K112" s="1104"/>
      <c r="L112" s="1104"/>
      <c r="M112" s="1104"/>
      <c r="N112" s="1104"/>
      <c r="O112" s="1104"/>
      <c r="P112" s="1104"/>
      <c r="Q112" s="1104"/>
      <c r="R112" s="1104"/>
      <c r="S112" s="1104"/>
      <c r="T112" s="1104"/>
      <c r="U112" s="1104"/>
      <c r="V112" s="1200"/>
      <c r="W112" s="1104"/>
      <c r="X112" s="1104"/>
      <c r="Y112" s="1104"/>
      <c r="Z112" s="1104"/>
      <c r="AA112" s="1104"/>
      <c r="AB112" s="1104"/>
      <c r="AC112" s="1104"/>
      <c r="AD112" s="1104"/>
      <c r="AE112" s="1104"/>
      <c r="AF112" s="1104"/>
      <c r="AG112" s="1104"/>
      <c r="AH112" s="1104"/>
      <c r="AI112" s="1104"/>
      <c r="AJ112" s="1104"/>
      <c r="AK112" s="1104"/>
      <c r="AL112" s="1104"/>
      <c r="AM112" s="1104"/>
      <c r="AN112" s="1104"/>
      <c r="AO112" s="1104"/>
      <c r="AP112" s="1104"/>
      <c r="AQ112" s="93"/>
      <c r="AR112" s="93"/>
      <c r="AS112" s="93"/>
      <c r="AT112" s="93"/>
      <c r="AU112" s="93"/>
      <c r="AV112" s="93"/>
      <c r="AW112" s="93"/>
      <c r="AX112" s="93"/>
      <c r="AY112" s="93"/>
      <c r="AZ112" s="93"/>
      <c r="BA112" s="93"/>
      <c r="BB112" s="93"/>
      <c r="BC112" s="93"/>
      <c r="BD112" s="93"/>
      <c r="BE112" s="93"/>
      <c r="BF112" s="93"/>
      <c r="BG112" s="93"/>
      <c r="BH112" s="93"/>
      <c r="BI112" s="93"/>
      <c r="BJ112" s="93"/>
      <c r="BK112" s="93"/>
      <c r="BL112" s="93"/>
      <c r="BM112" s="93"/>
      <c r="BN112" s="93"/>
      <c r="BO112" s="1143"/>
      <c r="BP112" s="93"/>
      <c r="BQ112" s="93"/>
      <c r="BR112" s="93"/>
      <c r="BS112" s="93"/>
      <c r="BT112" s="93"/>
      <c r="BU112" s="93"/>
      <c r="BV112" s="93"/>
      <c r="BW112" s="93"/>
      <c r="BX112" s="93"/>
      <c r="BY112" s="93"/>
      <c r="BZ112" s="93"/>
      <c r="CA112" s="93"/>
      <c r="CB112" s="93"/>
      <c r="CC112" s="93"/>
      <c r="CD112" s="93"/>
      <c r="CE112" s="93"/>
      <c r="CF112" s="93"/>
      <c r="CG112" s="93"/>
      <c r="CH112" s="93"/>
      <c r="CI112" s="93"/>
      <c r="CJ112" s="1144"/>
      <c r="CK112" s="93"/>
      <c r="CL112" s="93"/>
      <c r="CM112" s="93"/>
      <c r="CN112" s="93"/>
      <c r="CO112" s="93"/>
      <c r="CP112" s="93"/>
      <c r="CQ112" s="93"/>
      <c r="CR112" s="93"/>
      <c r="CS112" s="93"/>
      <c r="CT112" s="93"/>
      <c r="CU112" s="93"/>
      <c r="CV112" s="93"/>
      <c r="CW112" s="93"/>
      <c r="CX112" s="93"/>
      <c r="CY112" s="93"/>
      <c r="CZ112" s="93"/>
      <c r="DA112" s="93"/>
      <c r="DB112" s="93"/>
      <c r="DC112" s="93"/>
      <c r="DD112" s="93"/>
      <c r="DE112" s="1145"/>
      <c r="DF112" s="1145"/>
      <c r="DG112" s="1145"/>
      <c r="DH112" s="1145"/>
      <c r="DI112" s="1145"/>
      <c r="DJ112" s="1145"/>
      <c r="DK112" s="1145"/>
      <c r="DL112" s="1145"/>
      <c r="DM112" s="1145"/>
      <c r="DN112" s="1145"/>
      <c r="DO112" s="1145"/>
      <c r="DP112" s="1145"/>
      <c r="DQ112" s="1145"/>
      <c r="DR112" s="1145"/>
      <c r="DS112" s="1145"/>
      <c r="DT112" s="1145"/>
      <c r="DU112" s="1145"/>
      <c r="DV112" s="1145"/>
      <c r="DW112" s="1145"/>
      <c r="DX112" s="1145"/>
      <c r="DY112" s="1145"/>
      <c r="DZ112" s="1145"/>
      <c r="EA112" s="1145"/>
      <c r="EB112" s="1145"/>
      <c r="EC112" s="1145"/>
      <c r="ED112" s="1145"/>
      <c r="EE112" s="1145"/>
      <c r="EF112" s="1145"/>
      <c r="EG112" s="1143"/>
      <c r="EH112" s="93"/>
      <c r="EI112" s="93"/>
      <c r="EJ112" s="93"/>
      <c r="EK112" s="93"/>
      <c r="EL112" s="93"/>
      <c r="EM112" s="93"/>
      <c r="EN112" s="93"/>
      <c r="EO112" s="93"/>
      <c r="EP112" s="93"/>
      <c r="EQ112" s="93"/>
      <c r="ER112" s="93"/>
      <c r="ES112" s="93"/>
      <c r="ET112" s="93"/>
      <c r="EU112" s="93"/>
      <c r="EV112" s="93"/>
      <c r="EW112" s="93"/>
      <c r="EX112" s="93"/>
      <c r="EY112" s="93"/>
      <c r="EZ112" s="93"/>
      <c r="FA112" s="93"/>
      <c r="FB112" s="93"/>
      <c r="FC112" s="93"/>
      <c r="FD112" s="93"/>
      <c r="FE112" s="93"/>
      <c r="FF112" s="93"/>
      <c r="FG112" s="93"/>
      <c r="FH112" s="93"/>
      <c r="FI112" s="93"/>
      <c r="FJ112" s="93"/>
      <c r="FK112" s="93"/>
      <c r="FL112" s="93"/>
      <c r="FM112" s="93"/>
      <c r="FN112" s="93"/>
      <c r="FO112" s="93"/>
      <c r="FP112" s="93"/>
      <c r="FQ112" s="93"/>
      <c r="FR112" s="93"/>
      <c r="FS112" s="93"/>
      <c r="FT112" s="93"/>
      <c r="FU112" s="93"/>
      <c r="FV112" s="93"/>
      <c r="FW112" s="93"/>
      <c r="FX112" s="93"/>
      <c r="FY112" s="93"/>
      <c r="FZ112" s="93"/>
      <c r="GA112" s="93"/>
      <c r="GB112" s="93"/>
      <c r="GC112" s="93"/>
      <c r="GD112" s="93"/>
      <c r="GE112" s="93"/>
      <c r="GF112" s="93"/>
      <c r="GG112" s="1144"/>
      <c r="GH112" s="93"/>
      <c r="GI112" s="93"/>
      <c r="GJ112" s="93"/>
      <c r="GK112" s="93"/>
      <c r="GL112" s="93"/>
      <c r="GM112" s="93"/>
      <c r="GN112" s="93"/>
      <c r="GO112" s="93"/>
      <c r="GP112" s="93"/>
      <c r="GQ112" s="93"/>
      <c r="GR112" s="93"/>
      <c r="GS112" s="93"/>
    </row>
    <row r="113" spans="1:201" ht="15" customHeight="1" thickBot="1">
      <c r="A113" s="1631" t="s">
        <v>676</v>
      </c>
      <c r="B113" s="1632"/>
      <c r="C113" s="1632"/>
      <c r="D113" s="1632"/>
      <c r="E113" s="1632"/>
      <c r="F113" s="1632"/>
      <c r="G113" s="1632"/>
      <c r="H113" s="1632"/>
      <c r="I113" s="1632"/>
      <c r="J113" s="1632"/>
      <c r="K113" s="1632"/>
      <c r="L113" s="1632"/>
      <c r="M113" s="1632"/>
      <c r="N113" s="1632"/>
      <c r="O113" s="1632"/>
      <c r="P113" s="1632"/>
      <c r="Q113" s="1632"/>
      <c r="R113" s="1632"/>
      <c r="S113" s="1632"/>
      <c r="T113" s="1632"/>
      <c r="U113" s="1632"/>
      <c r="V113" s="1633"/>
      <c r="W113" s="1154"/>
      <c r="X113" s="1154"/>
      <c r="Y113" s="1154"/>
      <c r="Z113" s="1154"/>
      <c r="AA113" s="1154"/>
      <c r="AB113" s="1154"/>
      <c r="AC113" s="1154"/>
      <c r="AD113" s="1154"/>
      <c r="AE113" s="1154"/>
      <c r="AF113" s="1154"/>
      <c r="AG113" s="1154"/>
      <c r="AH113" s="1154"/>
      <c r="AI113" s="1154"/>
      <c r="AJ113" s="1154"/>
      <c r="AK113" s="1154"/>
      <c r="AL113" s="1154"/>
      <c r="AM113" s="1154"/>
      <c r="AN113" s="1154"/>
      <c r="AO113" s="1154"/>
      <c r="AP113" s="1154"/>
      <c r="AQ113" s="1623" t="s">
        <v>622</v>
      </c>
      <c r="AR113" s="1623"/>
      <c r="AS113" s="1623"/>
      <c r="AT113" s="1623"/>
      <c r="AU113" s="1624"/>
      <c r="AV113" s="1155"/>
      <c r="AW113" s="1155"/>
      <c r="AX113" s="1155"/>
      <c r="AY113" s="1155"/>
      <c r="AZ113" s="1155"/>
      <c r="BA113" s="1155"/>
      <c r="BB113" s="1155"/>
      <c r="BC113" s="1155"/>
      <c r="BD113" s="1155"/>
      <c r="BE113" s="1155"/>
      <c r="BF113" s="1155"/>
      <c r="BG113" s="93"/>
      <c r="BH113" s="93"/>
      <c r="BI113" s="93"/>
      <c r="BJ113" s="93"/>
      <c r="BK113" s="93"/>
      <c r="BL113" s="93"/>
      <c r="BM113" s="93"/>
      <c r="BN113" s="93"/>
      <c r="BO113" s="1653" t="s">
        <v>677</v>
      </c>
      <c r="BP113" s="1654"/>
      <c r="BQ113" s="1654"/>
      <c r="BR113" s="1654"/>
      <c r="BS113" s="1654"/>
      <c r="BT113" s="1654"/>
      <c r="BU113" s="1654"/>
      <c r="BV113" s="1654"/>
      <c r="BW113" s="1654"/>
      <c r="BX113" s="1654"/>
      <c r="BY113" s="1654"/>
      <c r="BZ113" s="1654"/>
      <c r="CA113" s="1654"/>
      <c r="CB113" s="1654"/>
      <c r="CC113" s="1654"/>
      <c r="CD113" s="1654"/>
      <c r="CE113" s="1654"/>
      <c r="CF113" s="1654"/>
      <c r="CG113" s="1654"/>
      <c r="CH113" s="1654"/>
      <c r="CI113" s="1654"/>
      <c r="CJ113" s="1655"/>
      <c r="CK113" s="1156"/>
      <c r="CL113" s="1156"/>
      <c r="CM113" s="1156"/>
      <c r="CN113" s="1156"/>
      <c r="CO113" s="1156"/>
      <c r="CP113" s="1156"/>
      <c r="CQ113" s="1156"/>
      <c r="CR113" s="1156"/>
      <c r="CS113" s="1156"/>
      <c r="CT113" s="1156"/>
      <c r="CU113" s="1156"/>
      <c r="CV113" s="1156"/>
      <c r="CW113" s="1156"/>
      <c r="CX113" s="1156"/>
      <c r="CY113" s="1156"/>
      <c r="CZ113" s="1156"/>
      <c r="DA113" s="1156"/>
      <c r="DB113" s="1156"/>
      <c r="DC113" s="1156"/>
      <c r="DD113" s="1156"/>
      <c r="DE113" s="1622" t="s">
        <v>624</v>
      </c>
      <c r="DF113" s="1623"/>
      <c r="DG113" s="1623"/>
      <c r="DH113" s="1623"/>
      <c r="DI113" s="1624"/>
      <c r="DJ113" s="1042"/>
      <c r="DK113" s="1042"/>
      <c r="DL113" s="1042"/>
      <c r="DM113" s="1042"/>
      <c r="DN113" s="1042"/>
      <c r="DO113" s="1622" t="s">
        <v>665</v>
      </c>
      <c r="DP113" s="1623"/>
      <c r="DQ113" s="1623"/>
      <c r="DR113" s="1623"/>
      <c r="DS113" s="1624"/>
      <c r="DT113" s="1155"/>
      <c r="DU113" s="1155"/>
      <c r="DV113" s="1155"/>
      <c r="DW113" s="1155"/>
      <c r="DX113" s="1155"/>
      <c r="DY113" s="1155"/>
      <c r="DZ113" s="1145"/>
      <c r="EA113" s="1622" t="s">
        <v>626</v>
      </c>
      <c r="EB113" s="1623"/>
      <c r="EC113" s="1623"/>
      <c r="ED113" s="1623"/>
      <c r="EE113" s="1624"/>
      <c r="EF113" s="1145"/>
      <c r="EG113" s="1653" t="s">
        <v>678</v>
      </c>
      <c r="EH113" s="1654"/>
      <c r="EI113" s="1654"/>
      <c r="EJ113" s="1654"/>
      <c r="EK113" s="1654"/>
      <c r="EL113" s="1654"/>
      <c r="EM113" s="1654"/>
      <c r="EN113" s="1654"/>
      <c r="EO113" s="1654"/>
      <c r="EP113" s="1654"/>
      <c r="EQ113" s="1654"/>
      <c r="ER113" s="1654"/>
      <c r="ES113" s="1654"/>
      <c r="ET113" s="1654"/>
      <c r="EU113" s="1654"/>
      <c r="EV113" s="1654"/>
      <c r="EW113" s="1654"/>
      <c r="EX113" s="1654"/>
      <c r="EY113" s="1654"/>
      <c r="EZ113" s="1654"/>
      <c r="FA113" s="1654"/>
      <c r="FB113" s="1654"/>
      <c r="FC113" s="1654"/>
      <c r="FD113" s="1654"/>
      <c r="FE113" s="1654"/>
      <c r="FF113" s="1654"/>
      <c r="FG113" s="1654"/>
      <c r="FH113" s="1654"/>
      <c r="FI113" s="1654"/>
      <c r="FJ113" s="1654"/>
      <c r="FK113" s="1654"/>
      <c r="FL113" s="1654"/>
      <c r="FM113" s="1654"/>
      <c r="FN113" s="1654"/>
      <c r="FO113" s="1654"/>
      <c r="FP113" s="1654"/>
      <c r="FQ113" s="1654"/>
      <c r="FR113" s="1654"/>
      <c r="FS113" s="1654"/>
      <c r="FT113" s="1654"/>
      <c r="FU113" s="1654"/>
      <c r="FV113" s="1654"/>
      <c r="FW113" s="1654"/>
      <c r="FX113" s="1654"/>
      <c r="FY113" s="1654"/>
      <c r="FZ113" s="1654"/>
      <c r="GA113" s="1654"/>
      <c r="GB113" s="1654"/>
      <c r="GC113" s="1654"/>
      <c r="GD113" s="1654"/>
      <c r="GE113" s="1654"/>
      <c r="GF113" s="1654"/>
      <c r="GG113" s="1655"/>
      <c r="GH113" s="93"/>
      <c r="GI113" s="93"/>
      <c r="GJ113" s="93"/>
      <c r="GK113" s="93"/>
      <c r="GL113" s="93"/>
      <c r="GM113" s="93"/>
      <c r="GN113" s="93"/>
      <c r="GO113" s="93"/>
      <c r="GP113" s="93"/>
      <c r="GQ113" s="93"/>
      <c r="GR113" s="93"/>
      <c r="GS113" s="93"/>
    </row>
    <row r="114" spans="1:201" ht="14.65" customHeight="1" thickBot="1">
      <c r="A114" s="1157"/>
      <c r="B114" s="1158"/>
      <c r="C114" s="1634">
        <v>2023</v>
      </c>
      <c r="D114" s="1635"/>
      <c r="E114" s="1635"/>
      <c r="F114" s="1636"/>
      <c r="G114" s="1634">
        <v>2024</v>
      </c>
      <c r="H114" s="1635"/>
      <c r="I114" s="1635"/>
      <c r="J114" s="1636"/>
      <c r="K114" s="1634">
        <v>2025</v>
      </c>
      <c r="L114" s="1635"/>
      <c r="M114" s="1635"/>
      <c r="N114" s="1636"/>
      <c r="O114" s="1634">
        <v>2026</v>
      </c>
      <c r="P114" s="1635"/>
      <c r="Q114" s="1635"/>
      <c r="R114" s="1636"/>
      <c r="S114" s="1637">
        <v>2027</v>
      </c>
      <c r="T114" s="1638"/>
      <c r="U114" s="1638"/>
      <c r="V114" s="1639"/>
      <c r="W114" s="1159"/>
      <c r="X114" s="1159"/>
      <c r="Y114" s="1159"/>
      <c r="Z114" s="1159"/>
      <c r="AA114" s="1159"/>
      <c r="AB114" s="1159"/>
      <c r="AC114" s="1159"/>
      <c r="AD114" s="1159"/>
      <c r="AE114" s="1159"/>
      <c r="AF114" s="1159"/>
      <c r="AG114" s="1159"/>
      <c r="AH114" s="1159"/>
      <c r="AI114" s="1159"/>
      <c r="AJ114" s="1159"/>
      <c r="AK114" s="1159"/>
      <c r="AL114" s="1159"/>
      <c r="AM114" s="1159"/>
      <c r="AN114" s="1159"/>
      <c r="AO114" s="1159"/>
      <c r="AP114" s="1159"/>
      <c r="AQ114" s="1626"/>
      <c r="AR114" s="1626"/>
      <c r="AS114" s="1626"/>
      <c r="AT114" s="1626"/>
      <c r="AU114" s="1626"/>
      <c r="AV114" s="1155"/>
      <c r="AW114" s="1155"/>
      <c r="AX114" s="1155"/>
      <c r="AY114" s="1155"/>
      <c r="AZ114" s="1155"/>
      <c r="BA114" s="1155"/>
      <c r="BB114" s="1155"/>
      <c r="BC114" s="1155"/>
      <c r="BD114" s="1155"/>
      <c r="BE114" s="1155"/>
      <c r="BF114" s="1155"/>
      <c r="BG114" s="93"/>
      <c r="BH114" s="93"/>
      <c r="BI114" s="93"/>
      <c r="BJ114" s="93"/>
      <c r="BK114" s="93"/>
      <c r="BL114" s="93"/>
      <c r="BM114" s="93"/>
      <c r="BN114" s="93"/>
      <c r="BO114" s="1160"/>
      <c r="BP114" s="1161"/>
      <c r="BQ114" s="1549">
        <v>2022</v>
      </c>
      <c r="BR114" s="1549"/>
      <c r="BS114" s="1549"/>
      <c r="BT114" s="1549"/>
      <c r="BU114" s="1549">
        <v>2023</v>
      </c>
      <c r="BV114" s="1549"/>
      <c r="BW114" s="1549"/>
      <c r="BX114" s="1549"/>
      <c r="BY114" s="1549">
        <v>2024</v>
      </c>
      <c r="BZ114" s="1549"/>
      <c r="CA114" s="1549"/>
      <c r="CB114" s="1549"/>
      <c r="CC114" s="1549">
        <v>2025</v>
      </c>
      <c r="CD114" s="1549"/>
      <c r="CE114" s="1549"/>
      <c r="CF114" s="1549"/>
      <c r="CG114" s="1550">
        <v>2026</v>
      </c>
      <c r="CH114" s="1550"/>
      <c r="CI114" s="1550"/>
      <c r="CJ114" s="1551"/>
      <c r="CK114" s="1159"/>
      <c r="CL114" s="1159"/>
      <c r="CM114" s="1159"/>
      <c r="CN114" s="1159"/>
      <c r="CO114" s="1159"/>
      <c r="CP114" s="1159"/>
      <c r="CQ114" s="1159"/>
      <c r="CR114" s="1159"/>
      <c r="CS114" s="1159"/>
      <c r="CT114" s="1159"/>
      <c r="CU114" s="1159"/>
      <c r="CV114" s="1159"/>
      <c r="CW114" s="1159"/>
      <c r="CX114" s="1159"/>
      <c r="CY114" s="1159"/>
      <c r="CZ114" s="1159"/>
      <c r="DA114" s="1159"/>
      <c r="DB114" s="1159"/>
      <c r="DC114" s="1159"/>
      <c r="DD114" s="1159"/>
      <c r="DE114" s="1625"/>
      <c r="DF114" s="1626"/>
      <c r="DG114" s="1626"/>
      <c r="DH114" s="1626"/>
      <c r="DI114" s="1627"/>
      <c r="DJ114" s="1044"/>
      <c r="DK114" s="1044"/>
      <c r="DL114" s="1044"/>
      <c r="DM114" s="1044"/>
      <c r="DN114" s="1044"/>
      <c r="DO114" s="1625"/>
      <c r="DP114" s="1626"/>
      <c r="DQ114" s="1626"/>
      <c r="DR114" s="1626"/>
      <c r="DS114" s="1627"/>
      <c r="DT114" s="1155"/>
      <c r="DU114" s="1155"/>
      <c r="DV114" s="1155"/>
      <c r="DW114" s="1155"/>
      <c r="DX114" s="1155"/>
      <c r="DY114" s="1155"/>
      <c r="DZ114" s="1145"/>
      <c r="EA114" s="1625"/>
      <c r="EB114" s="1626"/>
      <c r="EC114" s="1626"/>
      <c r="ED114" s="1626"/>
      <c r="EE114" s="1627"/>
      <c r="EF114" s="1145"/>
      <c r="EG114" s="1160"/>
      <c r="EH114" s="1161"/>
      <c r="EI114" s="1549">
        <v>2022</v>
      </c>
      <c r="EJ114" s="1549"/>
      <c r="EK114" s="1549"/>
      <c r="EL114" s="1549"/>
      <c r="EM114" s="1549">
        <v>2023</v>
      </c>
      <c r="EN114" s="1549"/>
      <c r="EO114" s="1549"/>
      <c r="EP114" s="1549"/>
      <c r="EQ114" s="1549">
        <v>2024</v>
      </c>
      <c r="ER114" s="1549"/>
      <c r="ES114" s="1549"/>
      <c r="ET114" s="1549"/>
      <c r="EU114" s="1549">
        <v>2025</v>
      </c>
      <c r="EV114" s="1549"/>
      <c r="EW114" s="1549"/>
      <c r="EX114" s="1549"/>
      <c r="EY114" s="1550">
        <v>2026</v>
      </c>
      <c r="EZ114" s="1550"/>
      <c r="FA114" s="1550"/>
      <c r="FB114" s="1550"/>
      <c r="FC114" s="1159"/>
      <c r="FD114" s="1159"/>
      <c r="FE114" s="1159"/>
      <c r="FF114" s="1159"/>
      <c r="FG114" s="1159"/>
      <c r="FH114" s="1159"/>
      <c r="FI114" s="1159"/>
      <c r="FJ114" s="1159"/>
      <c r="FK114" s="1159"/>
      <c r="FL114" s="1159"/>
      <c r="FM114" s="1159"/>
      <c r="FN114" s="1159"/>
      <c r="FO114" s="1159"/>
      <c r="FP114" s="1159"/>
      <c r="FQ114" s="1159"/>
      <c r="FR114" s="1159"/>
      <c r="FS114" s="1159"/>
      <c r="FT114" s="1159"/>
      <c r="FU114" s="1159"/>
      <c r="FV114" s="1159"/>
      <c r="FW114" s="1159"/>
      <c r="FX114" s="1578" t="s">
        <v>629</v>
      </c>
      <c r="FY114" s="1650"/>
      <c r="FZ114" s="1578" t="s">
        <v>630</v>
      </c>
      <c r="GA114" s="1579"/>
      <c r="GB114" s="1578" t="s">
        <v>631</v>
      </c>
      <c r="GC114" s="1579"/>
      <c r="GD114" s="1578" t="s">
        <v>632</v>
      </c>
      <c r="GE114" s="1579"/>
      <c r="GF114" s="1578" t="s">
        <v>633</v>
      </c>
      <c r="GG114" s="1579"/>
      <c r="GH114" s="1561" t="s">
        <v>634</v>
      </c>
      <c r="GI114" s="93"/>
      <c r="GJ114" s="93"/>
      <c r="GK114" s="1567" t="s">
        <v>635</v>
      </c>
      <c r="GL114" s="93"/>
      <c r="GM114" s="93"/>
      <c r="GN114" s="93"/>
      <c r="GO114" s="93"/>
      <c r="GP114" s="93"/>
      <c r="GQ114" s="93"/>
      <c r="GR114" s="93"/>
      <c r="GS114" s="93"/>
    </row>
    <row r="115" spans="1:201" ht="15" customHeight="1" thickBot="1">
      <c r="A115" s="1157"/>
      <c r="B115" s="1158"/>
      <c r="C115" s="1158">
        <v>1</v>
      </c>
      <c r="D115" s="1158">
        <v>2</v>
      </c>
      <c r="E115" s="1158">
        <v>3</v>
      </c>
      <c r="F115" s="1158">
        <v>4</v>
      </c>
      <c r="G115" s="1158">
        <v>1</v>
      </c>
      <c r="H115" s="1158">
        <v>2</v>
      </c>
      <c r="I115" s="1158">
        <v>3</v>
      </c>
      <c r="J115" s="1158">
        <v>4</v>
      </c>
      <c r="K115" s="1158">
        <v>1</v>
      </c>
      <c r="L115" s="1158">
        <v>2</v>
      </c>
      <c r="M115" s="1158">
        <v>3</v>
      </c>
      <c r="N115" s="1158">
        <v>4</v>
      </c>
      <c r="O115" s="1158">
        <v>1</v>
      </c>
      <c r="P115" s="1158">
        <v>2</v>
      </c>
      <c r="Q115" s="1158">
        <v>3</v>
      </c>
      <c r="R115" s="1158">
        <v>4</v>
      </c>
      <c r="S115" s="1158">
        <v>1</v>
      </c>
      <c r="T115" s="1158">
        <v>2</v>
      </c>
      <c r="U115" s="1158">
        <v>3</v>
      </c>
      <c r="V115" s="1162">
        <v>4</v>
      </c>
      <c r="W115" s="1162"/>
      <c r="X115" s="1162"/>
      <c r="Y115" s="1162"/>
      <c r="Z115" s="1162"/>
      <c r="AA115" s="1162"/>
      <c r="AB115" s="1162"/>
      <c r="AC115" s="1162"/>
      <c r="AD115" s="1162"/>
      <c r="AE115" s="1162"/>
      <c r="AF115" s="1162"/>
      <c r="AG115" s="1162"/>
      <c r="AH115" s="1162"/>
      <c r="AI115" s="1162"/>
      <c r="AJ115" s="1162"/>
      <c r="AK115" s="1162"/>
      <c r="AL115" s="1162"/>
      <c r="AM115" s="1162"/>
      <c r="AN115" s="1162"/>
      <c r="AO115" s="1162"/>
      <c r="AP115" s="1162"/>
      <c r="AQ115" s="1043" t="s">
        <v>667</v>
      </c>
      <c r="AR115" s="856" t="s">
        <v>668</v>
      </c>
      <c r="AS115" s="856" t="s">
        <v>669</v>
      </c>
      <c r="AT115" s="856" t="s">
        <v>670</v>
      </c>
      <c r="AU115" s="1041" t="s">
        <v>671</v>
      </c>
      <c r="AV115" s="1155"/>
      <c r="AW115" s="1155"/>
      <c r="AX115" s="1155"/>
      <c r="AY115" s="1155"/>
      <c r="AZ115" s="1155"/>
      <c r="BA115" s="1155"/>
      <c r="BB115" s="1155"/>
      <c r="BC115" s="1155"/>
      <c r="BD115" s="1155"/>
      <c r="BE115" s="1155"/>
      <c r="BF115" s="1155"/>
      <c r="BG115" s="93"/>
      <c r="BH115" s="93"/>
      <c r="BI115" s="93"/>
      <c r="BJ115" s="93"/>
      <c r="BK115" s="93"/>
      <c r="BL115" s="93"/>
      <c r="BM115" s="93"/>
      <c r="BN115" s="93"/>
      <c r="BO115" s="1160"/>
      <c r="BP115" s="1161"/>
      <c r="BQ115" s="1161">
        <v>1</v>
      </c>
      <c r="BR115" s="1161">
        <v>2</v>
      </c>
      <c r="BS115" s="1161">
        <v>3</v>
      </c>
      <c r="BT115" s="1161">
        <v>4</v>
      </c>
      <c r="BU115" s="1161">
        <v>1</v>
      </c>
      <c r="BV115" s="1161">
        <v>2</v>
      </c>
      <c r="BW115" s="1161">
        <v>3</v>
      </c>
      <c r="BX115" s="1161">
        <v>4</v>
      </c>
      <c r="BY115" s="1161">
        <v>1</v>
      </c>
      <c r="BZ115" s="1161">
        <v>2</v>
      </c>
      <c r="CA115" s="1161">
        <v>3</v>
      </c>
      <c r="CB115" s="1161">
        <v>4</v>
      </c>
      <c r="CC115" s="1161">
        <v>1</v>
      </c>
      <c r="CD115" s="1161">
        <v>2</v>
      </c>
      <c r="CE115" s="1161">
        <v>3</v>
      </c>
      <c r="CF115" s="1161">
        <v>4</v>
      </c>
      <c r="CG115" s="1161">
        <v>1</v>
      </c>
      <c r="CH115" s="1161">
        <v>2</v>
      </c>
      <c r="CI115" s="1161">
        <v>3</v>
      </c>
      <c r="CJ115" s="1163">
        <v>4</v>
      </c>
      <c r="CK115" s="1163"/>
      <c r="CL115" s="1163"/>
      <c r="CM115" s="1163"/>
      <c r="CN115" s="1163"/>
      <c r="CO115" s="1163"/>
      <c r="CP115" s="1163"/>
      <c r="CQ115" s="1163"/>
      <c r="CR115" s="1163"/>
      <c r="CS115" s="1163"/>
      <c r="CT115" s="1163"/>
      <c r="CU115" s="1163"/>
      <c r="CV115" s="1163"/>
      <c r="CW115" s="1163"/>
      <c r="CX115" s="1163"/>
      <c r="CY115" s="1163"/>
      <c r="CZ115" s="1163"/>
      <c r="DA115" s="1163"/>
      <c r="DB115" s="1163"/>
      <c r="DC115" s="1163"/>
      <c r="DD115" s="1163"/>
      <c r="DE115" s="856" t="s">
        <v>667</v>
      </c>
      <c r="DF115" s="856" t="s">
        <v>668</v>
      </c>
      <c r="DG115" s="856" t="s">
        <v>669</v>
      </c>
      <c r="DH115" s="856" t="s">
        <v>670</v>
      </c>
      <c r="DI115" s="856" t="s">
        <v>671</v>
      </c>
      <c r="DJ115" s="856"/>
      <c r="DK115" s="856"/>
      <c r="DL115" s="856"/>
      <c r="DM115" s="856"/>
      <c r="DN115" s="856"/>
      <c r="DO115" s="856" t="s">
        <v>667</v>
      </c>
      <c r="DP115" s="856" t="s">
        <v>668</v>
      </c>
      <c r="DQ115" s="856" t="s">
        <v>669</v>
      </c>
      <c r="DR115" s="856" t="s">
        <v>670</v>
      </c>
      <c r="DS115" s="856" t="s">
        <v>671</v>
      </c>
      <c r="DT115" s="1155"/>
      <c r="DU115" s="1155"/>
      <c r="DV115" s="1155"/>
      <c r="DW115" s="1155"/>
      <c r="DX115" s="1155"/>
      <c r="DY115" s="1155"/>
      <c r="DZ115" s="1145"/>
      <c r="EA115" s="1164" t="s">
        <v>637</v>
      </c>
      <c r="EB115" s="1164" t="s">
        <v>638</v>
      </c>
      <c r="EC115" s="1164" t="s">
        <v>639</v>
      </c>
      <c r="ED115" s="1164" t="s">
        <v>640</v>
      </c>
      <c r="EE115" s="1164" t="s">
        <v>641</v>
      </c>
      <c r="EF115" s="1145"/>
      <c r="EG115" s="1160"/>
      <c r="EH115" s="1161"/>
      <c r="EI115" s="1161">
        <v>1</v>
      </c>
      <c r="EJ115" s="1161">
        <v>2</v>
      </c>
      <c r="EK115" s="1161">
        <v>3</v>
      </c>
      <c r="EL115" s="1161">
        <v>4</v>
      </c>
      <c r="EM115" s="1161">
        <v>1</v>
      </c>
      <c r="EN115" s="1161">
        <v>2</v>
      </c>
      <c r="EO115" s="1161">
        <v>3</v>
      </c>
      <c r="EP115" s="1161">
        <v>4</v>
      </c>
      <c r="EQ115" s="1161">
        <v>1</v>
      </c>
      <c r="ER115" s="1161">
        <v>2</v>
      </c>
      <c r="ES115" s="1161">
        <v>3</v>
      </c>
      <c r="ET115" s="1161">
        <v>4</v>
      </c>
      <c r="EU115" s="1161">
        <v>1</v>
      </c>
      <c r="EV115" s="1161">
        <v>2</v>
      </c>
      <c r="EW115" s="1161">
        <v>3</v>
      </c>
      <c r="EX115" s="1161">
        <v>4</v>
      </c>
      <c r="EY115" s="1161">
        <v>1</v>
      </c>
      <c r="EZ115" s="1161">
        <v>2</v>
      </c>
      <c r="FA115" s="1161">
        <v>3</v>
      </c>
      <c r="FB115" s="1161">
        <v>4</v>
      </c>
      <c r="FC115" s="1161"/>
      <c r="FD115" s="1161"/>
      <c r="FE115" s="1161"/>
      <c r="FF115" s="1161"/>
      <c r="FG115" s="1161"/>
      <c r="FH115" s="1161"/>
      <c r="FI115" s="1161"/>
      <c r="FJ115" s="1161"/>
      <c r="FK115" s="1161"/>
      <c r="FL115" s="1161"/>
      <c r="FM115" s="1161"/>
      <c r="FN115" s="1161"/>
      <c r="FO115" s="1161"/>
      <c r="FP115" s="1161"/>
      <c r="FQ115" s="1161"/>
      <c r="FR115" s="1161"/>
      <c r="FS115" s="1161"/>
      <c r="FT115" s="1161"/>
      <c r="FU115" s="1161"/>
      <c r="FV115" s="1161"/>
      <c r="FW115" s="1161"/>
      <c r="FX115" s="1580"/>
      <c r="FY115" s="1651"/>
      <c r="FZ115" s="1580"/>
      <c r="GA115" s="1581"/>
      <c r="GB115" s="1580"/>
      <c r="GC115" s="1581"/>
      <c r="GD115" s="1580"/>
      <c r="GE115" s="1581"/>
      <c r="GF115" s="1580"/>
      <c r="GG115" s="1581"/>
      <c r="GH115" s="1561"/>
      <c r="GI115" s="93"/>
      <c r="GJ115" s="93"/>
      <c r="GK115" s="1567"/>
      <c r="GL115" s="93"/>
      <c r="GM115" s="93"/>
      <c r="GN115" s="93"/>
      <c r="GO115" s="93"/>
      <c r="GP115" s="93"/>
      <c r="GQ115" s="93"/>
      <c r="GR115" s="93"/>
      <c r="GS115" s="93"/>
    </row>
    <row r="116" spans="1:201" ht="14.65" customHeight="1" thickBot="1">
      <c r="A116" s="1571">
        <v>1</v>
      </c>
      <c r="B116" s="593" t="s">
        <v>209</v>
      </c>
      <c r="C116" s="661">
        <f t="shared" ref="C116:C132" si="257">(IF(FA4=1,IF(C4&lt;=$BJ$48,C4*1000*$BI4,$BJ$48*1000*$BI4),IF(FA4*$BJ$48&gt;=C4,C4*1000*$BI4,FA4*1000*$BJ$48*$BI4)))*90*$C$26</f>
        <v>0</v>
      </c>
      <c r="D116" s="661">
        <f t="shared" ref="D116:D132" si="258">(IF(FB4=1,IF(D4&lt;=$BJ$48,D4*1000*$BI4,$BJ$48*1000*$BI4),IF(FB4*$BJ$48&gt;=D4,D4*1000*$BI4,FB4*1000*$BJ$48*$BI4)))*90*$C$26</f>
        <v>0</v>
      </c>
      <c r="E116" s="661">
        <f t="shared" ref="E116:E132" si="259">(IF(FX4=1,IF(E4&lt;=$BJ$48,E4*1000*$BI4,$BJ$48*1000*$BI4),IF(FX4*$BJ$48&gt;=E4,E4*1000*$BI4,FX4*1000*$BJ$48*$BI4)))*90*$C$26</f>
        <v>0</v>
      </c>
      <c r="F116" s="661">
        <f t="shared" ref="F116:F132" si="260">(IF(FY4=1,IF(F4&lt;=$BJ$48,F4*1000*$BI4,$BJ$48*1000*$BI4),IF(FY4*$BJ$48&gt;=F4,F4*1000*$BI4,FY4*1000*$BJ$48*$BI4)))*90*$C$26</f>
        <v>0</v>
      </c>
      <c r="G116" s="661">
        <f t="shared" ref="G116:G132" si="261">(IF(FZ4=1,IF(G4&lt;=$BJ$48,G4*1000*$BI4,$BJ$48*1000*$BI4),IF(FZ4*$BJ$48&gt;=G4,G4*1000*$BI4,FZ4*1000*$BJ$48*$BI4)))*90*$C$26</f>
        <v>0</v>
      </c>
      <c r="H116" s="661">
        <f t="shared" ref="H116:H132" si="262">(IF(GA4=1,IF(H4&lt;=$BJ$48,H4*1000*$BI4,$BJ$48*1000*$BI4),IF(GA4*$BJ$48&gt;=H4,H4*1000*$BI4,GA4*1000*$BJ$48*$BI4)))*90*$C$26</f>
        <v>0</v>
      </c>
      <c r="I116" s="661">
        <f t="shared" ref="I116:I132" si="263">(IF(GB4=1,IF(I4&lt;=$BJ$48,I4*1000*$BI4,$BJ$48*1000*$BI4),IF(GB4*$BJ$48&gt;=I4,I4*1000*$BI4,GB4*1000*$BJ$48*$BI4)))*90*$C$26</f>
        <v>0</v>
      </c>
      <c r="J116" s="661">
        <f t="shared" ref="J116:J132" si="264">(IF(GC4=1,IF(J4&lt;=$BJ$48,J4*1000*$BI4,$BJ$48*1000*$BI4),IF(GC4*$BJ$48&gt;=J4,J4*1000*$BI4,GC4*1000*$BJ$48*$BI4)))*90*$C$26</f>
        <v>0</v>
      </c>
      <c r="K116" s="661">
        <f t="shared" ref="K116:K132" si="265">(IF(GD4=1,IF(K4&lt;=$BJ$48,K4*1000*$BI4,$BJ$48*1000*$BI4),IF(GD4*$BJ$48&gt;=K4,K4*1000*$BI4,GD4*1000*$BJ$48*$BI4)))*90*$C$26</f>
        <v>0</v>
      </c>
      <c r="L116" s="661">
        <f t="shared" ref="L116:L132" si="266">(IF(GE4=1,IF(L4&lt;=$BJ$48,L4*1000*$BI4,$BJ$48*1000*$BI4),IF(GE4*$BJ$48&gt;=L4,L4*1000*$BI4,GE4*1000*$BJ$48*$BI4)))*90*$C$26</f>
        <v>0</v>
      </c>
      <c r="M116" s="661">
        <f t="shared" ref="M116:M132" si="267">(IF(GF4=1,IF(M4&lt;=$BJ$48,M4*1000*$BI4,$BJ$48*1000*$BI4),IF(GF4*$BJ$48&gt;=M4,M4*1000*$BI4,GF4*1000*$BJ$48*$BI4)))*90*$C$26</f>
        <v>0</v>
      </c>
      <c r="N116" s="661">
        <f t="shared" ref="N116:N132" si="268">(IF(GG4=1,IF(N4&lt;=$BJ$48,N4*1000*$BI4,$BJ$48*1000*$BI4),IF(GG4*$BJ$48&gt;=N4,N4*1000*$BI4,GG4*1000*$BJ$48*$BI4)))*90*$C$26</f>
        <v>0</v>
      </c>
      <c r="O116" s="661">
        <f t="shared" ref="O116:O132" si="269">(IF(GH4=1,IF(O4&lt;=$BJ$48,O4*1000*$BI4,$BJ$48*1000*$BI4),IF(GH4*$BJ$48&gt;=O4,O4*1000*$BI4,GH4*1000*$BJ$48*$BI4)))*90*$C$26</f>
        <v>0</v>
      </c>
      <c r="P116" s="661">
        <f t="shared" ref="P116:P132" si="270">(IF(GI4=1,IF(P4&lt;=$BJ$48,P4*1000*$BI4,$BJ$48*1000*$BI4),IF(GI4*$BJ$48&gt;=P4,P4*1000*$BI4,GI4*1000*$BJ$48*$BI4)))*90*$C$26</f>
        <v>0</v>
      </c>
      <c r="Q116" s="661">
        <f t="shared" ref="Q116:Q132" si="271">(IF(GJ4=1,IF(Q4&lt;=$BJ$48,Q4*1000*$BI4,$BJ$48*1000*$BI4),IF(GJ4*$BJ$48&gt;=Q4,Q4*1000*$BI4,GJ4*1000*$BJ$48*$BI4)))*90*$C$26</f>
        <v>0</v>
      </c>
      <c r="R116" s="661">
        <f t="shared" ref="R116:R132" si="272">(IF(GK4=1,IF(R4&lt;=$BJ$48,R4*1000*$BI4,$BJ$48*1000*$BI4),IF(GK4*$BJ$48&gt;=R4,R4*1000*$BI4,GK4*1000*$BJ$48*$BI4)))*90*$C$26</f>
        <v>0</v>
      </c>
      <c r="S116" s="661">
        <f t="shared" ref="S116:S132" si="273">(IF(GL4=1,IF(S4&lt;=$BJ$48,S4*1000*$BI4,$BJ$48*1000*$BI4),IF(GL4*$BJ$48&gt;=S4,S4*1000*$BI4,GL4*1000*$BJ$48*$BI4)))*90*$C$26</f>
        <v>0</v>
      </c>
      <c r="T116" s="661">
        <f t="shared" ref="T116:T132" si="274">(IF(GM4=1,IF(T4&lt;=$BJ$48,T4*1000*$BI4,$BJ$48*1000*$BI4),IF(GM4*$BJ$48&gt;=T4,T4*1000*$BI4,GM4*1000*$BJ$48*$BI4)))*90*$C$26</f>
        <v>0</v>
      </c>
      <c r="U116" s="661">
        <f t="shared" ref="U116:U132" si="275">(IF(GN4=1,IF(U4&lt;=$BJ$48,U4*1000*$BI4,$BJ$48*1000*$BI4),IF(GN4*$BJ$48&gt;=U4,U4*1000*$BI4,GN4*1000*$BJ$48*$BI4)))*90*$C$26</f>
        <v>0</v>
      </c>
      <c r="V116" s="661">
        <f t="shared" ref="V116:V132" si="276">(IF(GO4=1,IF(V4&lt;=$BJ$48,V4*1000*$BI4,$BJ$48*1000*$BI4),IF(GO4*$BJ$48&gt;=V4,V4*1000*$BI4,GO4*1000*$BJ$48*$BI4)))*90*$C$26</f>
        <v>0</v>
      </c>
      <c r="W116" s="661"/>
      <c r="X116" s="661"/>
      <c r="Y116" s="661"/>
      <c r="Z116" s="661"/>
      <c r="AA116" s="661"/>
      <c r="AB116" s="661"/>
      <c r="AC116" s="661"/>
      <c r="AD116" s="661"/>
      <c r="AE116" s="661"/>
      <c r="AF116" s="661"/>
      <c r="AG116" s="661"/>
      <c r="AH116" s="661"/>
      <c r="AI116" s="661"/>
      <c r="AJ116" s="661"/>
      <c r="AK116" s="661"/>
      <c r="AL116" s="661"/>
      <c r="AM116" s="661"/>
      <c r="AN116" s="661"/>
      <c r="AO116" s="661"/>
      <c r="AP116" s="661"/>
      <c r="AQ116" s="858">
        <f>SUM(C116:F116)</f>
        <v>0</v>
      </c>
      <c r="AR116" s="858">
        <f t="shared" ref="AR116:AR124" si="277">SUM(G116:J116)</f>
        <v>0</v>
      </c>
      <c r="AS116" s="858">
        <f t="shared" ref="AS116:AS129" si="278">SUM(K116:N116)</f>
        <v>0</v>
      </c>
      <c r="AT116" s="858">
        <f t="shared" ref="AT116:AT135" si="279">SUM(O116:R116)</f>
        <v>0</v>
      </c>
      <c r="AU116" s="858">
        <f t="shared" ref="AU116:AU135" si="280">SUM(S116:V116)</f>
        <v>0</v>
      </c>
      <c r="AV116" s="1167"/>
      <c r="AW116" s="1167"/>
      <c r="AX116" s="1167"/>
      <c r="AY116" s="1167"/>
      <c r="AZ116" s="1167"/>
      <c r="BA116" s="1167"/>
      <c r="BB116" s="1167"/>
      <c r="BC116" s="1167"/>
      <c r="BD116" s="1167"/>
      <c r="BE116" s="1167"/>
      <c r="BF116" s="1167"/>
      <c r="BG116" s="93"/>
      <c r="BH116" s="93"/>
      <c r="BI116" s="93"/>
      <c r="BJ116" s="93"/>
      <c r="BK116" s="93"/>
      <c r="BL116" s="93"/>
      <c r="BM116" s="93"/>
      <c r="BN116" s="93"/>
      <c r="BO116" s="1571">
        <v>1</v>
      </c>
      <c r="BP116" s="593" t="s">
        <v>209</v>
      </c>
      <c r="BQ116" s="1168">
        <f t="shared" ref="BQ116:BQ132" si="281">FA4*$DO4*90</f>
        <v>0</v>
      </c>
      <c r="BR116" s="1168">
        <f t="shared" ref="BR116:BR132" si="282">FB4*$DO4*90</f>
        <v>0</v>
      </c>
      <c r="BS116" s="1168">
        <f t="shared" ref="BS116:BS132" si="283">FX4*$DO4*90</f>
        <v>0</v>
      </c>
      <c r="BT116" s="1168">
        <f t="shared" ref="BT116:BT132" si="284">FY4*$DO4*90</f>
        <v>0</v>
      </c>
      <c r="BU116" s="1168">
        <f t="shared" ref="BU116:BU132" si="285">FZ4*$DO4*90</f>
        <v>0</v>
      </c>
      <c r="BV116" s="1168">
        <f t="shared" ref="BV116:BV132" si="286">GA4*$DO4*90</f>
        <v>0</v>
      </c>
      <c r="BW116" s="1168">
        <f t="shared" ref="BW116:BW132" si="287">GB4*$DO4*90</f>
        <v>0</v>
      </c>
      <c r="BX116" s="1168">
        <f t="shared" ref="BX116:BX132" si="288">GC4*$DO4*90</f>
        <v>0</v>
      </c>
      <c r="BY116" s="1168">
        <f t="shared" ref="BY116:BY132" si="289">GD4*$DO4*90</f>
        <v>0</v>
      </c>
      <c r="BZ116" s="1168">
        <f t="shared" ref="BZ116:BZ132" si="290">GE4*$DO4*90</f>
        <v>0</v>
      </c>
      <c r="CA116" s="1168">
        <f t="shared" ref="CA116:CA132" si="291">GF4*$DO4*90</f>
        <v>0</v>
      </c>
      <c r="CB116" s="1168">
        <f t="shared" ref="CB116:CB132" si="292">GG4*$DO4*90</f>
        <v>0</v>
      </c>
      <c r="CC116" s="1168">
        <f t="shared" ref="CC116:CC132" si="293">GH4*$DO4*90</f>
        <v>0</v>
      </c>
      <c r="CD116" s="1168">
        <f t="shared" ref="CD116:CD132" si="294">GI4*$DO4*90</f>
        <v>0</v>
      </c>
      <c r="CE116" s="1168">
        <f t="shared" ref="CE116:CE132" si="295">GJ4*$DO4*90</f>
        <v>0</v>
      </c>
      <c r="CF116" s="1168">
        <f t="shared" ref="CF116:CF132" si="296">GK4*$DO4*90</f>
        <v>0</v>
      </c>
      <c r="CG116" s="1168">
        <f t="shared" ref="CG116:CG132" si="297">GL4*$DO4*90</f>
        <v>0</v>
      </c>
      <c r="CH116" s="1168">
        <f t="shared" ref="CH116:CH132" si="298">GM4*$DO4*90</f>
        <v>0</v>
      </c>
      <c r="CI116" s="1168">
        <f t="shared" ref="CI116:CI132" si="299">GN4*$DO4*90</f>
        <v>0</v>
      </c>
      <c r="CJ116" s="1168">
        <f t="shared" ref="CJ116:CJ132" si="300">GO4*$DO4*90</f>
        <v>0</v>
      </c>
      <c r="CK116" s="1168"/>
      <c r="CL116" s="1168"/>
      <c r="CM116" s="1168"/>
      <c r="CN116" s="1168"/>
      <c r="CO116" s="1168"/>
      <c r="CP116" s="1168"/>
      <c r="CQ116" s="1168"/>
      <c r="CR116" s="1168"/>
      <c r="CS116" s="1168"/>
      <c r="CT116" s="1168"/>
      <c r="CU116" s="1168"/>
      <c r="CV116" s="1168"/>
      <c r="CW116" s="1168"/>
      <c r="CX116" s="1168"/>
      <c r="CY116" s="1168"/>
      <c r="CZ116" s="1168"/>
      <c r="DA116" s="1168"/>
      <c r="DB116" s="1168"/>
      <c r="DC116" s="1168"/>
      <c r="DD116" s="1168"/>
      <c r="DE116" s="857">
        <f>SUM(BQ116:BT116)</f>
        <v>0</v>
      </c>
      <c r="DF116" s="858">
        <f>SUM(BU116:BX116)</f>
        <v>0</v>
      </c>
      <c r="DG116" s="858">
        <f>SUM(BY116:CB116)</f>
        <v>0</v>
      </c>
      <c r="DH116" s="858">
        <f>SUM(CC116:CF116)</f>
        <v>0</v>
      </c>
      <c r="DI116" s="859">
        <f>SUM(CG116:CJ116)</f>
        <v>0</v>
      </c>
      <c r="DJ116" s="1169"/>
      <c r="DK116" s="1169"/>
      <c r="DL116" s="1169"/>
      <c r="DM116" s="1169"/>
      <c r="DN116" s="1169"/>
      <c r="DO116" s="857">
        <f t="shared" ref="DO116:DS120" si="301">AQ116-DE116</f>
        <v>0</v>
      </c>
      <c r="DP116" s="858">
        <f t="shared" si="301"/>
        <v>0</v>
      </c>
      <c r="DQ116" s="858">
        <f t="shared" si="301"/>
        <v>0</v>
      </c>
      <c r="DR116" s="858">
        <f t="shared" si="301"/>
        <v>0</v>
      </c>
      <c r="DS116" s="859">
        <f t="shared" si="301"/>
        <v>0</v>
      </c>
      <c r="DT116" s="1170"/>
      <c r="DU116" s="1170"/>
      <c r="DV116" s="1170"/>
      <c r="DW116" s="1170"/>
      <c r="DX116" s="1170"/>
      <c r="DY116" s="1170"/>
      <c r="DZ116" s="1641">
        <v>1</v>
      </c>
      <c r="EA116" s="1171">
        <f>1.1*DE116</f>
        <v>0</v>
      </c>
      <c r="EB116" s="1171">
        <f>1.1*DG116</f>
        <v>0</v>
      </c>
      <c r="EC116" s="1171">
        <f>1.1*DI116</f>
        <v>0</v>
      </c>
      <c r="ED116" s="1171">
        <f>1.1*DP116</f>
        <v>0</v>
      </c>
      <c r="EE116" s="1171">
        <f>1.1*DR116</f>
        <v>0</v>
      </c>
      <c r="EF116" s="1145"/>
      <c r="EG116" s="1592">
        <v>1</v>
      </c>
      <c r="EH116" s="1172" t="s">
        <v>209</v>
      </c>
      <c r="EI116" s="1168">
        <f t="shared" ref="EI116:EI132" si="302">C116-BQ116</f>
        <v>0</v>
      </c>
      <c r="EJ116" s="1168">
        <f t="shared" ref="EJ116:EJ132" si="303">D116-BR116</f>
        <v>0</v>
      </c>
      <c r="EK116" s="1168">
        <f t="shared" ref="EK116:EK132" si="304">E116-BS116</f>
        <v>0</v>
      </c>
      <c r="EL116" s="1168">
        <f t="shared" ref="EL116:EL132" si="305">F116-BT116</f>
        <v>0</v>
      </c>
      <c r="EM116" s="1168">
        <f t="shared" ref="EM116:EM132" si="306">G116-BU116</f>
        <v>0</v>
      </c>
      <c r="EN116" s="1168">
        <f t="shared" ref="EN116:EN132" si="307">H116-BV116</f>
        <v>0</v>
      </c>
      <c r="EO116" s="1168">
        <f t="shared" ref="EO116:EO132" si="308">I116-BW116</f>
        <v>0</v>
      </c>
      <c r="EP116" s="1168">
        <f t="shared" ref="EP116:EP132" si="309">J116-BX116</f>
        <v>0</v>
      </c>
      <c r="EQ116" s="1168">
        <f t="shared" ref="EQ116:EQ132" si="310">K116-BY116</f>
        <v>0</v>
      </c>
      <c r="ER116" s="1168">
        <f t="shared" ref="ER116:ER132" si="311">L116-BZ116</f>
        <v>0</v>
      </c>
      <c r="ES116" s="1168">
        <f t="shared" ref="ES116:ES132" si="312">M116-CA116</f>
        <v>0</v>
      </c>
      <c r="ET116" s="1168">
        <f t="shared" ref="ET116:ET132" si="313">N116-CB116</f>
        <v>0</v>
      </c>
      <c r="EU116" s="1168">
        <f t="shared" ref="EU116:EU132" si="314">O116-CC116</f>
        <v>0</v>
      </c>
      <c r="EV116" s="1168">
        <f t="shared" ref="EV116:EV132" si="315">P116-CD116</f>
        <v>0</v>
      </c>
      <c r="EW116" s="1168">
        <f t="shared" ref="EW116:EW132" si="316">Q116-CE116</f>
        <v>0</v>
      </c>
      <c r="EX116" s="1168">
        <f t="shared" ref="EX116:EX132" si="317">R116-CF116</f>
        <v>0</v>
      </c>
      <c r="EY116" s="1168">
        <f t="shared" ref="EY116:EY132" si="318">S116-CG116</f>
        <v>0</v>
      </c>
      <c r="EZ116" s="1168">
        <f t="shared" ref="EZ116:EZ132" si="319">T116-CH116</f>
        <v>0</v>
      </c>
      <c r="FA116" s="1168">
        <f t="shared" ref="FA116:FA132" si="320">U116-CI116</f>
        <v>0</v>
      </c>
      <c r="FB116" s="1168">
        <f t="shared" ref="FB116:FB132" si="321">V116-CJ116</f>
        <v>0</v>
      </c>
      <c r="FC116" s="1168"/>
      <c r="FD116" s="1168"/>
      <c r="FE116" s="1168"/>
      <c r="FF116" s="1168"/>
      <c r="FG116" s="1168"/>
      <c r="FH116" s="1168"/>
      <c r="FI116" s="1168"/>
      <c r="FJ116" s="1168"/>
      <c r="FK116" s="1168"/>
      <c r="FL116" s="1168"/>
      <c r="FM116" s="1168"/>
      <c r="FN116" s="1168"/>
      <c r="FO116" s="1168"/>
      <c r="FP116" s="1168"/>
      <c r="FQ116" s="1168"/>
      <c r="FR116" s="1168"/>
      <c r="FS116" s="1168"/>
      <c r="FT116" s="1168"/>
      <c r="FU116" s="1168"/>
      <c r="FV116" s="1168"/>
      <c r="FW116" s="1168"/>
      <c r="FX116" s="1173">
        <f>AVERAGE(EI116:EL116)</f>
        <v>0</v>
      </c>
      <c r="FY116" s="1584">
        <f>SUM(FX116:FX120)</f>
        <v>0</v>
      </c>
      <c r="FZ116" s="1173">
        <f t="shared" ref="FZ116:FZ124" si="322">AVERAGE(EM116:EP116)</f>
        <v>0</v>
      </c>
      <c r="GA116" s="1584">
        <f>SUM(FZ116:FZ120)</f>
        <v>0</v>
      </c>
      <c r="GB116" s="1173">
        <f t="shared" ref="GB116:GB128" si="323">AVERAGE(EQ116:ET116)</f>
        <v>0</v>
      </c>
      <c r="GC116" s="1584">
        <f>SUM(GB116:GB120)</f>
        <v>0</v>
      </c>
      <c r="GD116" s="1173">
        <f t="shared" ref="GD116:GD132" si="324">AVERAGE(EU116:EX116)</f>
        <v>0</v>
      </c>
      <c r="GE116" s="1584">
        <f>SUM(GD116:GD120)</f>
        <v>0</v>
      </c>
      <c r="GF116" s="1173">
        <f t="shared" ref="GF116:GF132" si="325">AVERAGE(EY116:FB116)</f>
        <v>0</v>
      </c>
      <c r="GG116" s="1584">
        <f>SUM(GF116:GF120)</f>
        <v>0</v>
      </c>
      <c r="GH116" s="1558">
        <f>GG116+GE116+GC116+GA116+FY116</f>
        <v>0</v>
      </c>
      <c r="GI116" s="93"/>
      <c r="GJ116" s="1592">
        <v>1</v>
      </c>
      <c r="GK116" s="1568">
        <f>SUM(EK116:FB120)</f>
        <v>0</v>
      </c>
      <c r="GL116" s="93"/>
      <c r="GM116" s="93"/>
      <c r="GN116" s="93"/>
      <c r="GO116" s="93"/>
      <c r="GP116" s="93"/>
      <c r="GQ116" s="93"/>
      <c r="GR116" s="93"/>
      <c r="GS116" s="93"/>
    </row>
    <row r="117" spans="1:201" ht="14.65" customHeight="1" thickBot="1">
      <c r="A117" s="1571"/>
      <c r="B117" s="593" t="s">
        <v>210</v>
      </c>
      <c r="C117" s="661">
        <f t="shared" si="257"/>
        <v>0</v>
      </c>
      <c r="D117" s="661">
        <f t="shared" si="258"/>
        <v>0</v>
      </c>
      <c r="E117" s="661">
        <f t="shared" si="259"/>
        <v>0</v>
      </c>
      <c r="F117" s="661">
        <f t="shared" si="260"/>
        <v>0</v>
      </c>
      <c r="G117" s="661">
        <f t="shared" si="261"/>
        <v>0</v>
      </c>
      <c r="H117" s="661">
        <f t="shared" si="262"/>
        <v>0</v>
      </c>
      <c r="I117" s="661">
        <f t="shared" si="263"/>
        <v>0</v>
      </c>
      <c r="J117" s="661">
        <f t="shared" si="264"/>
        <v>0</v>
      </c>
      <c r="K117" s="661">
        <f t="shared" si="265"/>
        <v>0</v>
      </c>
      <c r="L117" s="661">
        <f t="shared" si="266"/>
        <v>0</v>
      </c>
      <c r="M117" s="661">
        <f t="shared" si="267"/>
        <v>0</v>
      </c>
      <c r="N117" s="661">
        <f t="shared" si="268"/>
        <v>0</v>
      </c>
      <c r="O117" s="661">
        <f t="shared" si="269"/>
        <v>0</v>
      </c>
      <c r="P117" s="661">
        <f t="shared" si="270"/>
        <v>0</v>
      </c>
      <c r="Q117" s="661">
        <f t="shared" si="271"/>
        <v>0</v>
      </c>
      <c r="R117" s="661">
        <f t="shared" si="272"/>
        <v>0</v>
      </c>
      <c r="S117" s="661">
        <f t="shared" si="273"/>
        <v>0</v>
      </c>
      <c r="T117" s="661">
        <f t="shared" si="274"/>
        <v>0</v>
      </c>
      <c r="U117" s="661">
        <f t="shared" si="275"/>
        <v>0</v>
      </c>
      <c r="V117" s="661">
        <f t="shared" si="276"/>
        <v>0</v>
      </c>
      <c r="W117" s="661"/>
      <c r="X117" s="661"/>
      <c r="Y117" s="661"/>
      <c r="Z117" s="661"/>
      <c r="AA117" s="661"/>
      <c r="AB117" s="661"/>
      <c r="AC117" s="661"/>
      <c r="AD117" s="661"/>
      <c r="AE117" s="661"/>
      <c r="AF117" s="661"/>
      <c r="AG117" s="661"/>
      <c r="AH117" s="661"/>
      <c r="AI117" s="661"/>
      <c r="AJ117" s="661"/>
      <c r="AK117" s="661"/>
      <c r="AL117" s="661"/>
      <c r="AM117" s="661"/>
      <c r="AN117" s="661"/>
      <c r="AO117" s="661"/>
      <c r="AP117" s="661"/>
      <c r="AQ117" s="858">
        <f>SUM(C117:F117)</f>
        <v>0</v>
      </c>
      <c r="AR117" s="858">
        <f t="shared" si="277"/>
        <v>0</v>
      </c>
      <c r="AS117" s="858">
        <f t="shared" si="278"/>
        <v>0</v>
      </c>
      <c r="AT117" s="858">
        <f t="shared" si="279"/>
        <v>0</v>
      </c>
      <c r="AU117" s="858">
        <f t="shared" si="280"/>
        <v>0</v>
      </c>
      <c r="AV117" s="1167"/>
      <c r="AW117" s="1167"/>
      <c r="AX117" s="1167"/>
      <c r="AY117" s="1167"/>
      <c r="AZ117" s="1167"/>
      <c r="BA117" s="1167"/>
      <c r="BB117" s="1167"/>
      <c r="BC117" s="1167"/>
      <c r="BD117" s="1167"/>
      <c r="BE117" s="1167"/>
      <c r="BF117" s="1167"/>
      <c r="BG117" s="93"/>
      <c r="BH117" s="93"/>
      <c r="BI117" s="93"/>
      <c r="BJ117" s="93"/>
      <c r="BK117" s="93"/>
      <c r="BL117" s="93"/>
      <c r="BM117" s="93"/>
      <c r="BN117" s="93"/>
      <c r="BO117" s="1571"/>
      <c r="BP117" s="593" t="s">
        <v>210</v>
      </c>
      <c r="BQ117" s="1168">
        <f t="shared" si="281"/>
        <v>0</v>
      </c>
      <c r="BR117" s="1168">
        <f t="shared" si="282"/>
        <v>0</v>
      </c>
      <c r="BS117" s="1168">
        <f t="shared" si="283"/>
        <v>0</v>
      </c>
      <c r="BT117" s="1168">
        <f t="shared" si="284"/>
        <v>0</v>
      </c>
      <c r="BU117" s="1168">
        <f t="shared" si="285"/>
        <v>0</v>
      </c>
      <c r="BV117" s="1168">
        <f t="shared" si="286"/>
        <v>0</v>
      </c>
      <c r="BW117" s="1168">
        <f t="shared" si="287"/>
        <v>0</v>
      </c>
      <c r="BX117" s="1168">
        <f t="shared" si="288"/>
        <v>0</v>
      </c>
      <c r="BY117" s="1168">
        <f t="shared" si="289"/>
        <v>0</v>
      </c>
      <c r="BZ117" s="1168">
        <f t="shared" si="290"/>
        <v>0</v>
      </c>
      <c r="CA117" s="1168">
        <f t="shared" si="291"/>
        <v>0</v>
      </c>
      <c r="CB117" s="1168">
        <f t="shared" si="292"/>
        <v>0</v>
      </c>
      <c r="CC117" s="1168">
        <f t="shared" si="293"/>
        <v>0</v>
      </c>
      <c r="CD117" s="1168">
        <f t="shared" si="294"/>
        <v>0</v>
      </c>
      <c r="CE117" s="1168">
        <f t="shared" si="295"/>
        <v>0</v>
      </c>
      <c r="CF117" s="1168">
        <f t="shared" si="296"/>
        <v>0</v>
      </c>
      <c r="CG117" s="1168">
        <f t="shared" si="297"/>
        <v>0</v>
      </c>
      <c r="CH117" s="1168">
        <f t="shared" si="298"/>
        <v>0</v>
      </c>
      <c r="CI117" s="1168">
        <f t="shared" si="299"/>
        <v>0</v>
      </c>
      <c r="CJ117" s="1168">
        <f t="shared" si="300"/>
        <v>0</v>
      </c>
      <c r="CK117" s="1168"/>
      <c r="CL117" s="1168"/>
      <c r="CM117" s="1168"/>
      <c r="CN117" s="1168"/>
      <c r="CO117" s="1168"/>
      <c r="CP117" s="1168"/>
      <c r="CQ117" s="1168"/>
      <c r="CR117" s="1168"/>
      <c r="CS117" s="1168"/>
      <c r="CT117" s="1168"/>
      <c r="CU117" s="1168"/>
      <c r="CV117" s="1168"/>
      <c r="CW117" s="1168"/>
      <c r="CX117" s="1168"/>
      <c r="CY117" s="1168"/>
      <c r="CZ117" s="1168"/>
      <c r="DA117" s="1168"/>
      <c r="DB117" s="1168"/>
      <c r="DC117" s="1168"/>
      <c r="DD117" s="1168"/>
      <c r="DE117" s="857">
        <f t="shared" ref="DE117:DE120" si="326">SUM(BQ117:BT117)</f>
        <v>0</v>
      </c>
      <c r="DF117" s="858">
        <f t="shared" ref="DF117:DF124" si="327">SUM(BU117:BX117)</f>
        <v>0</v>
      </c>
      <c r="DG117" s="858">
        <f t="shared" ref="DG117:DG128" si="328">SUM(BY117:CB117)</f>
        <v>0</v>
      </c>
      <c r="DH117" s="858">
        <f t="shared" ref="DH117:DH132" si="329">SUM(CC117:CF117)</f>
        <v>0</v>
      </c>
      <c r="DI117" s="859">
        <f t="shared" ref="DI117:DI132" si="330">SUM(CG117:CJ117)</f>
        <v>0</v>
      </c>
      <c r="DJ117" s="1169"/>
      <c r="DK117" s="1169"/>
      <c r="DL117" s="1169"/>
      <c r="DM117" s="1169"/>
      <c r="DN117" s="1169"/>
      <c r="DO117" s="857">
        <f t="shared" si="301"/>
        <v>0</v>
      </c>
      <c r="DP117" s="858">
        <f t="shared" si="301"/>
        <v>0</v>
      </c>
      <c r="DQ117" s="858">
        <f t="shared" si="301"/>
        <v>0</v>
      </c>
      <c r="DR117" s="858">
        <f t="shared" si="301"/>
        <v>0</v>
      </c>
      <c r="DS117" s="859">
        <f t="shared" si="301"/>
        <v>0</v>
      </c>
      <c r="DT117" s="1170"/>
      <c r="DU117" s="1170"/>
      <c r="DV117" s="1170"/>
      <c r="DW117" s="1170"/>
      <c r="DX117" s="1170"/>
      <c r="DY117" s="1170"/>
      <c r="DZ117" s="1642"/>
      <c r="EA117" s="1171">
        <f t="shared" ref="EA117:EA119" si="331">1.1*DE117</f>
        <v>0</v>
      </c>
      <c r="EB117" s="1171">
        <f t="shared" ref="EB117:EB123" si="332">1.1*DG117</f>
        <v>0</v>
      </c>
      <c r="EC117" s="1171">
        <f t="shared" ref="EC117:EC126" si="333">1.1*DI117</f>
        <v>0</v>
      </c>
      <c r="ED117" s="1171">
        <f t="shared" ref="ED117:ED130" si="334">1.1*DP117</f>
        <v>0</v>
      </c>
      <c r="EE117" s="1171">
        <f t="shared" ref="EE117:EE130" si="335">1.1*DR117</f>
        <v>0</v>
      </c>
      <c r="EF117" s="1145"/>
      <c r="EG117" s="1571"/>
      <c r="EH117" s="1174" t="s">
        <v>210</v>
      </c>
      <c r="EI117" s="1168">
        <f t="shared" si="302"/>
        <v>0</v>
      </c>
      <c r="EJ117" s="1168">
        <f t="shared" si="303"/>
        <v>0</v>
      </c>
      <c r="EK117" s="1168">
        <f t="shared" si="304"/>
        <v>0</v>
      </c>
      <c r="EL117" s="1168">
        <f t="shared" si="305"/>
        <v>0</v>
      </c>
      <c r="EM117" s="1168">
        <f t="shared" si="306"/>
        <v>0</v>
      </c>
      <c r="EN117" s="1168">
        <f t="shared" si="307"/>
        <v>0</v>
      </c>
      <c r="EO117" s="1168">
        <f t="shared" si="308"/>
        <v>0</v>
      </c>
      <c r="EP117" s="1168">
        <f t="shared" si="309"/>
        <v>0</v>
      </c>
      <c r="EQ117" s="1168">
        <f t="shared" si="310"/>
        <v>0</v>
      </c>
      <c r="ER117" s="1168">
        <f t="shared" si="311"/>
        <v>0</v>
      </c>
      <c r="ES117" s="1168">
        <f t="shared" si="312"/>
        <v>0</v>
      </c>
      <c r="ET117" s="1168">
        <f t="shared" si="313"/>
        <v>0</v>
      </c>
      <c r="EU117" s="1168">
        <f t="shared" si="314"/>
        <v>0</v>
      </c>
      <c r="EV117" s="1168">
        <f t="shared" si="315"/>
        <v>0</v>
      </c>
      <c r="EW117" s="1168">
        <f t="shared" si="316"/>
        <v>0</v>
      </c>
      <c r="EX117" s="1168">
        <f t="shared" si="317"/>
        <v>0</v>
      </c>
      <c r="EY117" s="1168">
        <f t="shared" si="318"/>
        <v>0</v>
      </c>
      <c r="EZ117" s="1168">
        <f t="shared" si="319"/>
        <v>0</v>
      </c>
      <c r="FA117" s="1168">
        <f t="shared" si="320"/>
        <v>0</v>
      </c>
      <c r="FB117" s="1168">
        <f t="shared" si="321"/>
        <v>0</v>
      </c>
      <c r="FC117" s="1168"/>
      <c r="FD117" s="1168"/>
      <c r="FE117" s="1168"/>
      <c r="FF117" s="1168"/>
      <c r="FG117" s="1168"/>
      <c r="FH117" s="1168"/>
      <c r="FI117" s="1168"/>
      <c r="FJ117" s="1168"/>
      <c r="FK117" s="1168"/>
      <c r="FL117" s="1168"/>
      <c r="FM117" s="1168"/>
      <c r="FN117" s="1168"/>
      <c r="FO117" s="1168"/>
      <c r="FP117" s="1168"/>
      <c r="FQ117" s="1168"/>
      <c r="FR117" s="1168"/>
      <c r="FS117" s="1168"/>
      <c r="FT117" s="1168"/>
      <c r="FU117" s="1168"/>
      <c r="FV117" s="1168"/>
      <c r="FW117" s="1168"/>
      <c r="FX117" s="1173">
        <f>AVERAGE(EI117:EL117)</f>
        <v>0</v>
      </c>
      <c r="FY117" s="1573"/>
      <c r="FZ117" s="1173">
        <f t="shared" si="322"/>
        <v>0</v>
      </c>
      <c r="GA117" s="1573"/>
      <c r="GB117" s="1173">
        <f t="shared" si="323"/>
        <v>0</v>
      </c>
      <c r="GC117" s="1573"/>
      <c r="GD117" s="1173">
        <f t="shared" si="324"/>
        <v>0</v>
      </c>
      <c r="GE117" s="1573"/>
      <c r="GF117" s="1173">
        <f t="shared" si="325"/>
        <v>0</v>
      </c>
      <c r="GG117" s="1573"/>
      <c r="GH117" s="1559"/>
      <c r="GI117" s="93"/>
      <c r="GJ117" s="1571"/>
      <c r="GK117" s="1568"/>
      <c r="GL117" s="93"/>
      <c r="GM117" s="93"/>
      <c r="GN117" s="93"/>
      <c r="GO117" s="93"/>
      <c r="GP117" s="93"/>
      <c r="GQ117" s="93"/>
      <c r="GR117" s="93"/>
      <c r="GS117" s="93"/>
    </row>
    <row r="118" spans="1:201" ht="14.65" customHeight="1" thickBot="1">
      <c r="A118" s="1571"/>
      <c r="B118" s="593" t="s">
        <v>211</v>
      </c>
      <c r="C118" s="661">
        <f t="shared" si="257"/>
        <v>0</v>
      </c>
      <c r="D118" s="661">
        <f t="shared" si="258"/>
        <v>0</v>
      </c>
      <c r="E118" s="661">
        <f t="shared" si="259"/>
        <v>0</v>
      </c>
      <c r="F118" s="661">
        <f t="shared" si="260"/>
        <v>0</v>
      </c>
      <c r="G118" s="661">
        <f t="shared" si="261"/>
        <v>0</v>
      </c>
      <c r="H118" s="661">
        <f t="shared" si="262"/>
        <v>0</v>
      </c>
      <c r="I118" s="661">
        <f t="shared" si="263"/>
        <v>0</v>
      </c>
      <c r="J118" s="661">
        <f t="shared" si="264"/>
        <v>0</v>
      </c>
      <c r="K118" s="661">
        <f t="shared" si="265"/>
        <v>0</v>
      </c>
      <c r="L118" s="661">
        <f t="shared" si="266"/>
        <v>0</v>
      </c>
      <c r="M118" s="661">
        <f t="shared" si="267"/>
        <v>0</v>
      </c>
      <c r="N118" s="661">
        <f t="shared" si="268"/>
        <v>0</v>
      </c>
      <c r="O118" s="661">
        <f t="shared" si="269"/>
        <v>0</v>
      </c>
      <c r="P118" s="661">
        <f t="shared" si="270"/>
        <v>0</v>
      </c>
      <c r="Q118" s="661">
        <f t="shared" si="271"/>
        <v>0</v>
      </c>
      <c r="R118" s="661">
        <f t="shared" si="272"/>
        <v>0</v>
      </c>
      <c r="S118" s="661">
        <f t="shared" si="273"/>
        <v>0</v>
      </c>
      <c r="T118" s="661">
        <f t="shared" si="274"/>
        <v>0</v>
      </c>
      <c r="U118" s="661">
        <f t="shared" si="275"/>
        <v>0</v>
      </c>
      <c r="V118" s="661">
        <f t="shared" si="276"/>
        <v>0</v>
      </c>
      <c r="W118" s="661"/>
      <c r="X118" s="661"/>
      <c r="Y118" s="661"/>
      <c r="Z118" s="661"/>
      <c r="AA118" s="661"/>
      <c r="AB118" s="661"/>
      <c r="AC118" s="661"/>
      <c r="AD118" s="661"/>
      <c r="AE118" s="661"/>
      <c r="AF118" s="661"/>
      <c r="AG118" s="661"/>
      <c r="AH118" s="661"/>
      <c r="AI118" s="661"/>
      <c r="AJ118" s="661"/>
      <c r="AK118" s="661"/>
      <c r="AL118" s="661"/>
      <c r="AM118" s="661"/>
      <c r="AN118" s="661"/>
      <c r="AO118" s="661"/>
      <c r="AP118" s="661"/>
      <c r="AQ118" s="858">
        <f>SUM(C118:F118)</f>
        <v>0</v>
      </c>
      <c r="AR118" s="858">
        <f t="shared" si="277"/>
        <v>0</v>
      </c>
      <c r="AS118" s="858">
        <f t="shared" si="278"/>
        <v>0</v>
      </c>
      <c r="AT118" s="858">
        <f t="shared" si="279"/>
        <v>0</v>
      </c>
      <c r="AU118" s="858">
        <f t="shared" si="280"/>
        <v>0</v>
      </c>
      <c r="AV118" s="1167"/>
      <c r="AW118" s="1167"/>
      <c r="AX118" s="1167"/>
      <c r="AY118" s="1167"/>
      <c r="AZ118" s="1167"/>
      <c r="BA118" s="1167"/>
      <c r="BB118" s="1167"/>
      <c r="BC118" s="1167"/>
      <c r="BD118" s="1167"/>
      <c r="BE118" s="1167"/>
      <c r="BF118" s="1167"/>
      <c r="BG118" s="93"/>
      <c r="BH118" s="93"/>
      <c r="BI118" s="93"/>
      <c r="BJ118" s="93"/>
      <c r="BK118" s="93"/>
      <c r="BL118" s="93"/>
      <c r="BM118" s="93"/>
      <c r="BN118" s="93"/>
      <c r="BO118" s="1571"/>
      <c r="BP118" s="593" t="s">
        <v>211</v>
      </c>
      <c r="BQ118" s="1168">
        <f t="shared" si="281"/>
        <v>0</v>
      </c>
      <c r="BR118" s="1168">
        <f t="shared" si="282"/>
        <v>0</v>
      </c>
      <c r="BS118" s="1168">
        <f t="shared" si="283"/>
        <v>0</v>
      </c>
      <c r="BT118" s="1168">
        <f t="shared" si="284"/>
        <v>0</v>
      </c>
      <c r="BU118" s="1168">
        <f t="shared" si="285"/>
        <v>0</v>
      </c>
      <c r="BV118" s="1168">
        <f t="shared" si="286"/>
        <v>0</v>
      </c>
      <c r="BW118" s="1168">
        <f t="shared" si="287"/>
        <v>0</v>
      </c>
      <c r="BX118" s="1168">
        <f t="shared" si="288"/>
        <v>0</v>
      </c>
      <c r="BY118" s="1168">
        <f t="shared" si="289"/>
        <v>0</v>
      </c>
      <c r="BZ118" s="1168">
        <f t="shared" si="290"/>
        <v>0</v>
      </c>
      <c r="CA118" s="1168">
        <f t="shared" si="291"/>
        <v>0</v>
      </c>
      <c r="CB118" s="1168">
        <f t="shared" si="292"/>
        <v>0</v>
      </c>
      <c r="CC118" s="1168">
        <f t="shared" si="293"/>
        <v>0</v>
      </c>
      <c r="CD118" s="1168">
        <f t="shared" si="294"/>
        <v>0</v>
      </c>
      <c r="CE118" s="1168">
        <f t="shared" si="295"/>
        <v>0</v>
      </c>
      <c r="CF118" s="1168">
        <f t="shared" si="296"/>
        <v>0</v>
      </c>
      <c r="CG118" s="1168">
        <f t="shared" si="297"/>
        <v>0</v>
      </c>
      <c r="CH118" s="1168">
        <f t="shared" si="298"/>
        <v>0</v>
      </c>
      <c r="CI118" s="1168">
        <f t="shared" si="299"/>
        <v>0</v>
      </c>
      <c r="CJ118" s="1168">
        <f t="shared" si="300"/>
        <v>0</v>
      </c>
      <c r="CK118" s="1168"/>
      <c r="CL118" s="1168"/>
      <c r="CM118" s="1168"/>
      <c r="CN118" s="1168"/>
      <c r="CO118" s="1168"/>
      <c r="CP118" s="1168"/>
      <c r="CQ118" s="1168"/>
      <c r="CR118" s="1168"/>
      <c r="CS118" s="1168"/>
      <c r="CT118" s="1168"/>
      <c r="CU118" s="1168"/>
      <c r="CV118" s="1168"/>
      <c r="CW118" s="1168"/>
      <c r="CX118" s="1168"/>
      <c r="CY118" s="1168"/>
      <c r="CZ118" s="1168"/>
      <c r="DA118" s="1168"/>
      <c r="DB118" s="1168"/>
      <c r="DC118" s="1168"/>
      <c r="DD118" s="1168"/>
      <c r="DE118" s="857">
        <f t="shared" si="326"/>
        <v>0</v>
      </c>
      <c r="DF118" s="858">
        <f t="shared" si="327"/>
        <v>0</v>
      </c>
      <c r="DG118" s="858">
        <f t="shared" si="328"/>
        <v>0</v>
      </c>
      <c r="DH118" s="858">
        <f t="shared" si="329"/>
        <v>0</v>
      </c>
      <c r="DI118" s="859">
        <f t="shared" si="330"/>
        <v>0</v>
      </c>
      <c r="DJ118" s="1169"/>
      <c r="DK118" s="1169"/>
      <c r="DL118" s="1169"/>
      <c r="DM118" s="1169"/>
      <c r="DN118" s="1169"/>
      <c r="DO118" s="857">
        <f t="shared" si="301"/>
        <v>0</v>
      </c>
      <c r="DP118" s="858">
        <f t="shared" si="301"/>
        <v>0</v>
      </c>
      <c r="DQ118" s="858">
        <f t="shared" si="301"/>
        <v>0</v>
      </c>
      <c r="DR118" s="858">
        <f t="shared" si="301"/>
        <v>0</v>
      </c>
      <c r="DS118" s="859">
        <f t="shared" si="301"/>
        <v>0</v>
      </c>
      <c r="DT118" s="1170"/>
      <c r="DU118" s="1170"/>
      <c r="DV118" s="1170"/>
      <c r="DW118" s="1170"/>
      <c r="DX118" s="1170"/>
      <c r="DY118" s="1170"/>
      <c r="DZ118" s="1642"/>
      <c r="EA118" s="1171">
        <f t="shared" si="331"/>
        <v>0</v>
      </c>
      <c r="EB118" s="1171">
        <f t="shared" si="332"/>
        <v>0</v>
      </c>
      <c r="EC118" s="1171">
        <f t="shared" si="333"/>
        <v>0</v>
      </c>
      <c r="ED118" s="1171">
        <f t="shared" si="334"/>
        <v>0</v>
      </c>
      <c r="EE118" s="1171">
        <f t="shared" si="335"/>
        <v>0</v>
      </c>
      <c r="EF118" s="1145"/>
      <c r="EG118" s="1571"/>
      <c r="EH118" s="1174" t="s">
        <v>211</v>
      </c>
      <c r="EI118" s="1168">
        <f t="shared" si="302"/>
        <v>0</v>
      </c>
      <c r="EJ118" s="1168">
        <f t="shared" si="303"/>
        <v>0</v>
      </c>
      <c r="EK118" s="1168">
        <f t="shared" si="304"/>
        <v>0</v>
      </c>
      <c r="EL118" s="1168">
        <f t="shared" si="305"/>
        <v>0</v>
      </c>
      <c r="EM118" s="1168">
        <f t="shared" si="306"/>
        <v>0</v>
      </c>
      <c r="EN118" s="1168">
        <f t="shared" si="307"/>
        <v>0</v>
      </c>
      <c r="EO118" s="1168">
        <f t="shared" si="308"/>
        <v>0</v>
      </c>
      <c r="EP118" s="1168">
        <f t="shared" si="309"/>
        <v>0</v>
      </c>
      <c r="EQ118" s="1168">
        <f t="shared" si="310"/>
        <v>0</v>
      </c>
      <c r="ER118" s="1168">
        <f t="shared" si="311"/>
        <v>0</v>
      </c>
      <c r="ES118" s="1168">
        <f t="shared" si="312"/>
        <v>0</v>
      </c>
      <c r="ET118" s="1168">
        <f t="shared" si="313"/>
        <v>0</v>
      </c>
      <c r="EU118" s="1168">
        <f t="shared" si="314"/>
        <v>0</v>
      </c>
      <c r="EV118" s="1168">
        <f t="shared" si="315"/>
        <v>0</v>
      </c>
      <c r="EW118" s="1168">
        <f t="shared" si="316"/>
        <v>0</v>
      </c>
      <c r="EX118" s="1168">
        <f t="shared" si="317"/>
        <v>0</v>
      </c>
      <c r="EY118" s="1168">
        <f t="shared" si="318"/>
        <v>0</v>
      </c>
      <c r="EZ118" s="1168">
        <f t="shared" si="319"/>
        <v>0</v>
      </c>
      <c r="FA118" s="1168">
        <f t="shared" si="320"/>
        <v>0</v>
      </c>
      <c r="FB118" s="1168">
        <f t="shared" si="321"/>
        <v>0</v>
      </c>
      <c r="FC118" s="1168"/>
      <c r="FD118" s="1168"/>
      <c r="FE118" s="1168"/>
      <c r="FF118" s="1168"/>
      <c r="FG118" s="1168"/>
      <c r="FH118" s="1168"/>
      <c r="FI118" s="1168"/>
      <c r="FJ118" s="1168"/>
      <c r="FK118" s="1168"/>
      <c r="FL118" s="1168"/>
      <c r="FM118" s="1168"/>
      <c r="FN118" s="1168"/>
      <c r="FO118" s="1168"/>
      <c r="FP118" s="1168"/>
      <c r="FQ118" s="1168"/>
      <c r="FR118" s="1168"/>
      <c r="FS118" s="1168"/>
      <c r="FT118" s="1168"/>
      <c r="FU118" s="1168"/>
      <c r="FV118" s="1168"/>
      <c r="FW118" s="1168"/>
      <c r="FX118" s="1173">
        <f>AVERAGE(EI118:EL118)</f>
        <v>0</v>
      </c>
      <c r="FY118" s="1573"/>
      <c r="FZ118" s="1173">
        <f t="shared" si="322"/>
        <v>0</v>
      </c>
      <c r="GA118" s="1573"/>
      <c r="GB118" s="1173">
        <f t="shared" si="323"/>
        <v>0</v>
      </c>
      <c r="GC118" s="1573"/>
      <c r="GD118" s="1173">
        <f t="shared" si="324"/>
        <v>0</v>
      </c>
      <c r="GE118" s="1573"/>
      <c r="GF118" s="1173">
        <f t="shared" si="325"/>
        <v>0</v>
      </c>
      <c r="GG118" s="1573"/>
      <c r="GH118" s="1559"/>
      <c r="GI118" s="93"/>
      <c r="GJ118" s="1571"/>
      <c r="GK118" s="1568"/>
      <c r="GL118" s="93"/>
      <c r="GM118" s="93"/>
      <c r="GN118" s="93"/>
      <c r="GO118" s="93"/>
      <c r="GP118" s="93"/>
      <c r="GQ118" s="93"/>
      <c r="GR118" s="93"/>
      <c r="GS118" s="93"/>
    </row>
    <row r="119" spans="1:201" ht="15" customHeight="1" thickBot="1">
      <c r="A119" s="1571"/>
      <c r="B119" s="593" t="s">
        <v>212</v>
      </c>
      <c r="C119" s="661">
        <f t="shared" si="257"/>
        <v>0</v>
      </c>
      <c r="D119" s="661">
        <f t="shared" si="258"/>
        <v>0</v>
      </c>
      <c r="E119" s="661">
        <f t="shared" si="259"/>
        <v>0</v>
      </c>
      <c r="F119" s="661">
        <f t="shared" si="260"/>
        <v>0</v>
      </c>
      <c r="G119" s="661">
        <f t="shared" si="261"/>
        <v>0</v>
      </c>
      <c r="H119" s="661">
        <f t="shared" si="262"/>
        <v>0</v>
      </c>
      <c r="I119" s="661">
        <f t="shared" si="263"/>
        <v>0</v>
      </c>
      <c r="J119" s="661">
        <f t="shared" si="264"/>
        <v>0</v>
      </c>
      <c r="K119" s="661">
        <f t="shared" si="265"/>
        <v>0</v>
      </c>
      <c r="L119" s="661">
        <f t="shared" si="266"/>
        <v>0</v>
      </c>
      <c r="M119" s="661">
        <f t="shared" si="267"/>
        <v>0</v>
      </c>
      <c r="N119" s="661">
        <f t="shared" si="268"/>
        <v>0</v>
      </c>
      <c r="O119" s="661">
        <f t="shared" si="269"/>
        <v>0</v>
      </c>
      <c r="P119" s="661">
        <f t="shared" si="270"/>
        <v>0</v>
      </c>
      <c r="Q119" s="661">
        <f t="shared" si="271"/>
        <v>0</v>
      </c>
      <c r="R119" s="661">
        <f t="shared" si="272"/>
        <v>0</v>
      </c>
      <c r="S119" s="661">
        <f t="shared" si="273"/>
        <v>0</v>
      </c>
      <c r="T119" s="661">
        <f t="shared" si="274"/>
        <v>0</v>
      </c>
      <c r="U119" s="661">
        <f t="shared" si="275"/>
        <v>0</v>
      </c>
      <c r="V119" s="661">
        <f t="shared" si="276"/>
        <v>0</v>
      </c>
      <c r="W119" s="661"/>
      <c r="X119" s="661"/>
      <c r="Y119" s="661"/>
      <c r="Z119" s="661"/>
      <c r="AA119" s="661"/>
      <c r="AB119" s="661"/>
      <c r="AC119" s="661"/>
      <c r="AD119" s="661"/>
      <c r="AE119" s="661"/>
      <c r="AF119" s="661"/>
      <c r="AG119" s="661"/>
      <c r="AH119" s="661"/>
      <c r="AI119" s="661"/>
      <c r="AJ119" s="661"/>
      <c r="AK119" s="661"/>
      <c r="AL119" s="661"/>
      <c r="AM119" s="661"/>
      <c r="AN119" s="661"/>
      <c r="AO119" s="661"/>
      <c r="AP119" s="661"/>
      <c r="AQ119" s="858">
        <f>SUM(C119:F119)</f>
        <v>0</v>
      </c>
      <c r="AR119" s="858">
        <f t="shared" si="277"/>
        <v>0</v>
      </c>
      <c r="AS119" s="858">
        <f t="shared" si="278"/>
        <v>0</v>
      </c>
      <c r="AT119" s="858">
        <f t="shared" si="279"/>
        <v>0</v>
      </c>
      <c r="AU119" s="858">
        <f t="shared" si="280"/>
        <v>0</v>
      </c>
      <c r="AV119" s="1167"/>
      <c r="AW119" s="1167"/>
      <c r="AX119" s="1167"/>
      <c r="AY119" s="1167"/>
      <c r="AZ119" s="1167"/>
      <c r="BA119" s="1167"/>
      <c r="BB119" s="1167"/>
      <c r="BC119" s="1167"/>
      <c r="BD119" s="1167"/>
      <c r="BE119" s="1167"/>
      <c r="BF119" s="1167"/>
      <c r="BG119" s="93"/>
      <c r="BH119" s="93"/>
      <c r="BI119" s="93"/>
      <c r="BJ119" s="93"/>
      <c r="BK119" s="93"/>
      <c r="BL119" s="93"/>
      <c r="BM119" s="93"/>
      <c r="BN119" s="93"/>
      <c r="BO119" s="1571"/>
      <c r="BP119" s="593" t="s">
        <v>212</v>
      </c>
      <c r="BQ119" s="1168">
        <f t="shared" si="281"/>
        <v>0</v>
      </c>
      <c r="BR119" s="1168">
        <f t="shared" si="282"/>
        <v>0</v>
      </c>
      <c r="BS119" s="1168">
        <f t="shared" si="283"/>
        <v>0</v>
      </c>
      <c r="BT119" s="1168">
        <f t="shared" si="284"/>
        <v>0</v>
      </c>
      <c r="BU119" s="1168">
        <f t="shared" si="285"/>
        <v>0</v>
      </c>
      <c r="BV119" s="1168">
        <f t="shared" si="286"/>
        <v>0</v>
      </c>
      <c r="BW119" s="1168">
        <f t="shared" si="287"/>
        <v>0</v>
      </c>
      <c r="BX119" s="1168">
        <f t="shared" si="288"/>
        <v>0</v>
      </c>
      <c r="BY119" s="1168">
        <f t="shared" si="289"/>
        <v>0</v>
      </c>
      <c r="BZ119" s="1168">
        <f t="shared" si="290"/>
        <v>0</v>
      </c>
      <c r="CA119" s="1168">
        <f t="shared" si="291"/>
        <v>0</v>
      </c>
      <c r="CB119" s="1168">
        <f t="shared" si="292"/>
        <v>0</v>
      </c>
      <c r="CC119" s="1168">
        <f t="shared" si="293"/>
        <v>0</v>
      </c>
      <c r="CD119" s="1168">
        <f t="shared" si="294"/>
        <v>0</v>
      </c>
      <c r="CE119" s="1168">
        <f t="shared" si="295"/>
        <v>0</v>
      </c>
      <c r="CF119" s="1168">
        <f t="shared" si="296"/>
        <v>0</v>
      </c>
      <c r="CG119" s="1168">
        <f t="shared" si="297"/>
        <v>0</v>
      </c>
      <c r="CH119" s="1168">
        <f t="shared" si="298"/>
        <v>0</v>
      </c>
      <c r="CI119" s="1168">
        <f t="shared" si="299"/>
        <v>0</v>
      </c>
      <c r="CJ119" s="1168">
        <f t="shared" si="300"/>
        <v>0</v>
      </c>
      <c r="CK119" s="1168"/>
      <c r="CL119" s="1168"/>
      <c r="CM119" s="1168"/>
      <c r="CN119" s="1168"/>
      <c r="CO119" s="1168"/>
      <c r="CP119" s="1168"/>
      <c r="CQ119" s="1168"/>
      <c r="CR119" s="1168"/>
      <c r="CS119" s="1168"/>
      <c r="CT119" s="1168"/>
      <c r="CU119" s="1168"/>
      <c r="CV119" s="1168"/>
      <c r="CW119" s="1168"/>
      <c r="CX119" s="1168"/>
      <c r="CY119" s="1168"/>
      <c r="CZ119" s="1168"/>
      <c r="DA119" s="1168"/>
      <c r="DB119" s="1168"/>
      <c r="DC119" s="1168"/>
      <c r="DD119" s="1168"/>
      <c r="DE119" s="857">
        <f t="shared" si="326"/>
        <v>0</v>
      </c>
      <c r="DF119" s="858">
        <f t="shared" si="327"/>
        <v>0</v>
      </c>
      <c r="DG119" s="858">
        <f t="shared" si="328"/>
        <v>0</v>
      </c>
      <c r="DH119" s="858">
        <f t="shared" si="329"/>
        <v>0</v>
      </c>
      <c r="DI119" s="859">
        <f t="shared" si="330"/>
        <v>0</v>
      </c>
      <c r="DJ119" s="1169"/>
      <c r="DK119" s="1169"/>
      <c r="DL119" s="1169"/>
      <c r="DM119" s="1169"/>
      <c r="DN119" s="1169"/>
      <c r="DO119" s="857">
        <f t="shared" si="301"/>
        <v>0</v>
      </c>
      <c r="DP119" s="858">
        <f t="shared" si="301"/>
        <v>0</v>
      </c>
      <c r="DQ119" s="858">
        <f t="shared" si="301"/>
        <v>0</v>
      </c>
      <c r="DR119" s="858">
        <f t="shared" si="301"/>
        <v>0</v>
      </c>
      <c r="DS119" s="859">
        <f t="shared" si="301"/>
        <v>0</v>
      </c>
      <c r="DT119" s="1170"/>
      <c r="DU119" s="1170"/>
      <c r="DV119" s="1170"/>
      <c r="DW119" s="1170"/>
      <c r="DX119" s="1170"/>
      <c r="DY119" s="1170"/>
      <c r="DZ119" s="1643"/>
      <c r="EA119" s="1175">
        <f t="shared" si="331"/>
        <v>0</v>
      </c>
      <c r="EB119" s="1171">
        <f t="shared" si="332"/>
        <v>0</v>
      </c>
      <c r="EC119" s="1171">
        <f t="shared" si="333"/>
        <v>0</v>
      </c>
      <c r="ED119" s="1171">
        <f t="shared" si="334"/>
        <v>0</v>
      </c>
      <c r="EE119" s="1171">
        <f t="shared" si="335"/>
        <v>0</v>
      </c>
      <c r="EF119" s="1145"/>
      <c r="EG119" s="1571"/>
      <c r="EH119" s="1174" t="s">
        <v>212</v>
      </c>
      <c r="EI119" s="1168">
        <f t="shared" si="302"/>
        <v>0</v>
      </c>
      <c r="EJ119" s="1168">
        <f t="shared" si="303"/>
        <v>0</v>
      </c>
      <c r="EK119" s="1168">
        <f t="shared" si="304"/>
        <v>0</v>
      </c>
      <c r="EL119" s="1168">
        <f t="shared" si="305"/>
        <v>0</v>
      </c>
      <c r="EM119" s="1168">
        <f t="shared" si="306"/>
        <v>0</v>
      </c>
      <c r="EN119" s="1168">
        <f t="shared" si="307"/>
        <v>0</v>
      </c>
      <c r="EO119" s="1168">
        <f t="shared" si="308"/>
        <v>0</v>
      </c>
      <c r="EP119" s="1168">
        <f t="shared" si="309"/>
        <v>0</v>
      </c>
      <c r="EQ119" s="1168">
        <f t="shared" si="310"/>
        <v>0</v>
      </c>
      <c r="ER119" s="1168">
        <f t="shared" si="311"/>
        <v>0</v>
      </c>
      <c r="ES119" s="1168">
        <f t="shared" si="312"/>
        <v>0</v>
      </c>
      <c r="ET119" s="1168">
        <f t="shared" si="313"/>
        <v>0</v>
      </c>
      <c r="EU119" s="1168">
        <f t="shared" si="314"/>
        <v>0</v>
      </c>
      <c r="EV119" s="1168">
        <f t="shared" si="315"/>
        <v>0</v>
      </c>
      <c r="EW119" s="1168">
        <f t="shared" si="316"/>
        <v>0</v>
      </c>
      <c r="EX119" s="1168">
        <f t="shared" si="317"/>
        <v>0</v>
      </c>
      <c r="EY119" s="1168">
        <f t="shared" si="318"/>
        <v>0</v>
      </c>
      <c r="EZ119" s="1168">
        <f t="shared" si="319"/>
        <v>0</v>
      </c>
      <c r="FA119" s="1168">
        <f t="shared" si="320"/>
        <v>0</v>
      </c>
      <c r="FB119" s="1168">
        <f t="shared" si="321"/>
        <v>0</v>
      </c>
      <c r="FC119" s="1168"/>
      <c r="FD119" s="1168"/>
      <c r="FE119" s="1168"/>
      <c r="FF119" s="1168"/>
      <c r="FG119" s="1168"/>
      <c r="FH119" s="1168"/>
      <c r="FI119" s="1168"/>
      <c r="FJ119" s="1168"/>
      <c r="FK119" s="1168"/>
      <c r="FL119" s="1168"/>
      <c r="FM119" s="1168"/>
      <c r="FN119" s="1168"/>
      <c r="FO119" s="1168"/>
      <c r="FP119" s="1168"/>
      <c r="FQ119" s="1168"/>
      <c r="FR119" s="1168"/>
      <c r="FS119" s="1168"/>
      <c r="FT119" s="1168"/>
      <c r="FU119" s="1168"/>
      <c r="FV119" s="1168"/>
      <c r="FW119" s="1168"/>
      <c r="FX119" s="1173">
        <f>AVERAGE(EI119:EL119)</f>
        <v>0</v>
      </c>
      <c r="FY119" s="1573"/>
      <c r="FZ119" s="1176">
        <f t="shared" si="322"/>
        <v>0</v>
      </c>
      <c r="GA119" s="1573"/>
      <c r="GB119" s="1177">
        <f t="shared" si="323"/>
        <v>0</v>
      </c>
      <c r="GC119" s="1573"/>
      <c r="GD119" s="1177">
        <f t="shared" si="324"/>
        <v>0</v>
      </c>
      <c r="GE119" s="1573"/>
      <c r="GF119" s="1177">
        <f t="shared" si="325"/>
        <v>0</v>
      </c>
      <c r="GG119" s="1573"/>
      <c r="GH119" s="1559"/>
      <c r="GI119" s="93"/>
      <c r="GJ119" s="1571"/>
      <c r="GK119" s="1568"/>
      <c r="GL119" s="93"/>
      <c r="GM119" s="93"/>
      <c r="GN119" s="93"/>
      <c r="GO119" s="93"/>
      <c r="GP119" s="93"/>
      <c r="GQ119" s="93"/>
      <c r="GR119" s="93"/>
      <c r="GS119" s="93"/>
    </row>
    <row r="120" spans="1:201" ht="15" customHeight="1" thickBot="1">
      <c r="A120" s="1571"/>
      <c r="B120" s="593" t="s">
        <v>213</v>
      </c>
      <c r="C120" s="661">
        <f t="shared" si="257"/>
        <v>0</v>
      </c>
      <c r="D120" s="661">
        <f t="shared" si="258"/>
        <v>0</v>
      </c>
      <c r="E120" s="661">
        <f t="shared" si="259"/>
        <v>0</v>
      </c>
      <c r="F120" s="661">
        <f t="shared" si="260"/>
        <v>0</v>
      </c>
      <c r="G120" s="661">
        <f t="shared" si="261"/>
        <v>0</v>
      </c>
      <c r="H120" s="661">
        <f t="shared" si="262"/>
        <v>0</v>
      </c>
      <c r="I120" s="661">
        <f t="shared" si="263"/>
        <v>0</v>
      </c>
      <c r="J120" s="661">
        <f t="shared" si="264"/>
        <v>0</v>
      </c>
      <c r="K120" s="661">
        <f t="shared" si="265"/>
        <v>0</v>
      </c>
      <c r="L120" s="661">
        <f t="shared" si="266"/>
        <v>0</v>
      </c>
      <c r="M120" s="661">
        <f t="shared" si="267"/>
        <v>0</v>
      </c>
      <c r="N120" s="661">
        <f t="shared" si="268"/>
        <v>0</v>
      </c>
      <c r="O120" s="661">
        <f t="shared" si="269"/>
        <v>0</v>
      </c>
      <c r="P120" s="661">
        <f t="shared" si="270"/>
        <v>0</v>
      </c>
      <c r="Q120" s="661">
        <f t="shared" si="271"/>
        <v>0</v>
      </c>
      <c r="R120" s="661">
        <f t="shared" si="272"/>
        <v>0</v>
      </c>
      <c r="S120" s="661">
        <f t="shared" si="273"/>
        <v>0</v>
      </c>
      <c r="T120" s="661">
        <f t="shared" si="274"/>
        <v>0</v>
      </c>
      <c r="U120" s="661">
        <f t="shared" si="275"/>
        <v>0</v>
      </c>
      <c r="V120" s="661">
        <f t="shared" si="276"/>
        <v>0</v>
      </c>
      <c r="W120" s="661"/>
      <c r="X120" s="661"/>
      <c r="Y120" s="661"/>
      <c r="Z120" s="661"/>
      <c r="AA120" s="661"/>
      <c r="AB120" s="661"/>
      <c r="AC120" s="661"/>
      <c r="AD120" s="661"/>
      <c r="AE120" s="661"/>
      <c r="AF120" s="661"/>
      <c r="AG120" s="661"/>
      <c r="AH120" s="661"/>
      <c r="AI120" s="661"/>
      <c r="AJ120" s="661"/>
      <c r="AK120" s="661"/>
      <c r="AL120" s="661"/>
      <c r="AM120" s="661"/>
      <c r="AN120" s="661"/>
      <c r="AO120" s="661"/>
      <c r="AP120" s="661"/>
      <c r="AQ120" s="858">
        <f>SUM(C120:F120)</f>
        <v>0</v>
      </c>
      <c r="AR120" s="858">
        <f t="shared" si="277"/>
        <v>0</v>
      </c>
      <c r="AS120" s="858">
        <f t="shared" si="278"/>
        <v>0</v>
      </c>
      <c r="AT120" s="858">
        <f t="shared" si="279"/>
        <v>0</v>
      </c>
      <c r="AU120" s="858">
        <f t="shared" si="280"/>
        <v>0</v>
      </c>
      <c r="AV120" s="1167"/>
      <c r="AW120" s="1167"/>
      <c r="AX120" s="1167"/>
      <c r="AY120" s="1167"/>
      <c r="AZ120" s="1167"/>
      <c r="BA120" s="1167"/>
      <c r="BB120" s="1167"/>
      <c r="BC120" s="1167"/>
      <c r="BD120" s="1167"/>
      <c r="BE120" s="1167"/>
      <c r="BF120" s="1167"/>
      <c r="BG120" s="93"/>
      <c r="BH120" s="93"/>
      <c r="BI120" s="93"/>
      <c r="BJ120" s="93"/>
      <c r="BK120" s="93"/>
      <c r="BL120" s="93"/>
      <c r="BM120" s="93"/>
      <c r="BN120" s="93"/>
      <c r="BO120" s="1571"/>
      <c r="BP120" s="593" t="s">
        <v>213</v>
      </c>
      <c r="BQ120" s="1168">
        <f t="shared" si="281"/>
        <v>0</v>
      </c>
      <c r="BR120" s="1168">
        <f t="shared" si="282"/>
        <v>0</v>
      </c>
      <c r="BS120" s="1168">
        <f t="shared" si="283"/>
        <v>0</v>
      </c>
      <c r="BT120" s="1168">
        <f t="shared" si="284"/>
        <v>0</v>
      </c>
      <c r="BU120" s="1168">
        <f t="shared" si="285"/>
        <v>0</v>
      </c>
      <c r="BV120" s="1168">
        <f t="shared" si="286"/>
        <v>0</v>
      </c>
      <c r="BW120" s="1168">
        <f t="shared" si="287"/>
        <v>0</v>
      </c>
      <c r="BX120" s="1168">
        <f t="shared" si="288"/>
        <v>0</v>
      </c>
      <c r="BY120" s="1168">
        <f t="shared" si="289"/>
        <v>0</v>
      </c>
      <c r="BZ120" s="1168">
        <f t="shared" si="290"/>
        <v>0</v>
      </c>
      <c r="CA120" s="1168">
        <f t="shared" si="291"/>
        <v>0</v>
      </c>
      <c r="CB120" s="1168">
        <f t="shared" si="292"/>
        <v>0</v>
      </c>
      <c r="CC120" s="1168">
        <f t="shared" si="293"/>
        <v>0</v>
      </c>
      <c r="CD120" s="1168">
        <f t="shared" si="294"/>
        <v>0</v>
      </c>
      <c r="CE120" s="1168">
        <f t="shared" si="295"/>
        <v>0</v>
      </c>
      <c r="CF120" s="1168">
        <f t="shared" si="296"/>
        <v>0</v>
      </c>
      <c r="CG120" s="1168">
        <f t="shared" si="297"/>
        <v>0</v>
      </c>
      <c r="CH120" s="1168">
        <f t="shared" si="298"/>
        <v>0</v>
      </c>
      <c r="CI120" s="1168">
        <f t="shared" si="299"/>
        <v>0</v>
      </c>
      <c r="CJ120" s="1168">
        <f t="shared" si="300"/>
        <v>0</v>
      </c>
      <c r="CK120" s="1168"/>
      <c r="CL120" s="1168"/>
      <c r="CM120" s="1168"/>
      <c r="CN120" s="1168"/>
      <c r="CO120" s="1168"/>
      <c r="CP120" s="1168"/>
      <c r="CQ120" s="1168"/>
      <c r="CR120" s="1168"/>
      <c r="CS120" s="1168"/>
      <c r="CT120" s="1168"/>
      <c r="CU120" s="1168"/>
      <c r="CV120" s="1168"/>
      <c r="CW120" s="1168"/>
      <c r="CX120" s="1168"/>
      <c r="CY120" s="1168"/>
      <c r="CZ120" s="1168"/>
      <c r="DA120" s="1168"/>
      <c r="DB120" s="1168"/>
      <c r="DC120" s="1168"/>
      <c r="DD120" s="1168"/>
      <c r="DE120" s="857">
        <f t="shared" si="326"/>
        <v>0</v>
      </c>
      <c r="DF120" s="858">
        <f t="shared" si="327"/>
        <v>0</v>
      </c>
      <c r="DG120" s="858">
        <f t="shared" si="328"/>
        <v>0</v>
      </c>
      <c r="DH120" s="858">
        <f t="shared" si="329"/>
        <v>0</v>
      </c>
      <c r="DI120" s="859">
        <f t="shared" si="330"/>
        <v>0</v>
      </c>
      <c r="DJ120" s="1169"/>
      <c r="DK120" s="1169"/>
      <c r="DL120" s="1169"/>
      <c r="DM120" s="1169"/>
      <c r="DN120" s="1169"/>
      <c r="DO120" s="857">
        <f t="shared" si="301"/>
        <v>0</v>
      </c>
      <c r="DP120" s="858">
        <f t="shared" si="301"/>
        <v>0</v>
      </c>
      <c r="DQ120" s="858">
        <f t="shared" si="301"/>
        <v>0</v>
      </c>
      <c r="DR120" s="858">
        <f t="shared" si="301"/>
        <v>0</v>
      </c>
      <c r="DS120" s="859">
        <f t="shared" si="301"/>
        <v>0</v>
      </c>
      <c r="DT120" s="1170"/>
      <c r="DU120" s="1170"/>
      <c r="DV120" s="1170"/>
      <c r="DW120" s="1170"/>
      <c r="DX120" s="1170"/>
      <c r="DY120" s="1170"/>
      <c r="DZ120" s="1641">
        <v>2</v>
      </c>
      <c r="EA120" s="1178"/>
      <c r="EB120" s="1171">
        <f t="shared" si="332"/>
        <v>0</v>
      </c>
      <c r="EC120" s="1171">
        <f t="shared" si="333"/>
        <v>0</v>
      </c>
      <c r="ED120" s="1171">
        <f t="shared" si="334"/>
        <v>0</v>
      </c>
      <c r="EE120" s="1171">
        <f t="shared" si="335"/>
        <v>0</v>
      </c>
      <c r="EF120" s="1145"/>
      <c r="EG120" s="1571"/>
      <c r="EH120" s="1174" t="s">
        <v>213</v>
      </c>
      <c r="EI120" s="1168">
        <f t="shared" si="302"/>
        <v>0</v>
      </c>
      <c r="EJ120" s="1168">
        <f t="shared" si="303"/>
        <v>0</v>
      </c>
      <c r="EK120" s="1168">
        <f t="shared" si="304"/>
        <v>0</v>
      </c>
      <c r="EL120" s="1168">
        <f t="shared" si="305"/>
        <v>0</v>
      </c>
      <c r="EM120" s="1168">
        <f t="shared" si="306"/>
        <v>0</v>
      </c>
      <c r="EN120" s="1168">
        <f t="shared" si="307"/>
        <v>0</v>
      </c>
      <c r="EO120" s="1168">
        <f t="shared" si="308"/>
        <v>0</v>
      </c>
      <c r="EP120" s="1168">
        <f t="shared" si="309"/>
        <v>0</v>
      </c>
      <c r="EQ120" s="1168">
        <f t="shared" si="310"/>
        <v>0</v>
      </c>
      <c r="ER120" s="1168">
        <f t="shared" si="311"/>
        <v>0</v>
      </c>
      <c r="ES120" s="1168">
        <f t="shared" si="312"/>
        <v>0</v>
      </c>
      <c r="ET120" s="1168">
        <f t="shared" si="313"/>
        <v>0</v>
      </c>
      <c r="EU120" s="1168">
        <f t="shared" si="314"/>
        <v>0</v>
      </c>
      <c r="EV120" s="1168">
        <f t="shared" si="315"/>
        <v>0</v>
      </c>
      <c r="EW120" s="1168">
        <f t="shared" si="316"/>
        <v>0</v>
      </c>
      <c r="EX120" s="1168">
        <f t="shared" si="317"/>
        <v>0</v>
      </c>
      <c r="EY120" s="1168">
        <f t="shared" si="318"/>
        <v>0</v>
      </c>
      <c r="EZ120" s="1168">
        <f t="shared" si="319"/>
        <v>0</v>
      </c>
      <c r="FA120" s="1168">
        <f t="shared" si="320"/>
        <v>0</v>
      </c>
      <c r="FB120" s="1168">
        <f t="shared" si="321"/>
        <v>0</v>
      </c>
      <c r="FC120" s="1168"/>
      <c r="FD120" s="1168"/>
      <c r="FE120" s="1168"/>
      <c r="FF120" s="1168"/>
      <c r="FG120" s="1168"/>
      <c r="FH120" s="1168"/>
      <c r="FI120" s="1168"/>
      <c r="FJ120" s="1168"/>
      <c r="FK120" s="1168"/>
      <c r="FL120" s="1168"/>
      <c r="FM120" s="1168"/>
      <c r="FN120" s="1168"/>
      <c r="FO120" s="1168"/>
      <c r="FP120" s="1168"/>
      <c r="FQ120" s="1168"/>
      <c r="FR120" s="1168"/>
      <c r="FS120" s="1168"/>
      <c r="FT120" s="1168"/>
      <c r="FU120" s="1168"/>
      <c r="FV120" s="1168"/>
      <c r="FW120" s="1168"/>
      <c r="FX120" s="1173">
        <f>AVERAGE(EI120:EL120)</f>
        <v>0</v>
      </c>
      <c r="FY120" s="1573"/>
      <c r="FZ120" s="1179">
        <f t="shared" si="322"/>
        <v>0</v>
      </c>
      <c r="GA120" s="1585"/>
      <c r="GB120" s="1180">
        <f t="shared" si="323"/>
        <v>0</v>
      </c>
      <c r="GC120" s="1585"/>
      <c r="GD120" s="1180">
        <f t="shared" si="324"/>
        <v>0</v>
      </c>
      <c r="GE120" s="1585"/>
      <c r="GF120" s="1180">
        <f t="shared" si="325"/>
        <v>0</v>
      </c>
      <c r="GG120" s="1585"/>
      <c r="GH120" s="1560"/>
      <c r="GI120" s="93"/>
      <c r="GJ120" s="1571"/>
      <c r="GK120" s="1568"/>
      <c r="GL120" s="93"/>
      <c r="GM120" s="93"/>
      <c r="GN120" s="93"/>
      <c r="GO120" s="93"/>
      <c r="GP120" s="93"/>
      <c r="GQ120" s="93"/>
      <c r="GR120" s="93"/>
      <c r="GS120" s="93"/>
    </row>
    <row r="121" spans="1:201" ht="15" customHeight="1" thickBot="1">
      <c r="A121" s="1571">
        <v>2</v>
      </c>
      <c r="B121" s="593" t="s">
        <v>214</v>
      </c>
      <c r="C121" s="661">
        <f t="shared" si="257"/>
        <v>0</v>
      </c>
      <c r="D121" s="661">
        <f t="shared" si="258"/>
        <v>0</v>
      </c>
      <c r="E121" s="661">
        <f t="shared" si="259"/>
        <v>0</v>
      </c>
      <c r="F121" s="661">
        <f t="shared" si="260"/>
        <v>0</v>
      </c>
      <c r="G121" s="661">
        <f t="shared" si="261"/>
        <v>0</v>
      </c>
      <c r="H121" s="661">
        <f t="shared" si="262"/>
        <v>0</v>
      </c>
      <c r="I121" s="661">
        <f t="shared" si="263"/>
        <v>0</v>
      </c>
      <c r="J121" s="661">
        <f t="shared" si="264"/>
        <v>0</v>
      </c>
      <c r="K121" s="661">
        <f t="shared" si="265"/>
        <v>0</v>
      </c>
      <c r="L121" s="661">
        <f t="shared" si="266"/>
        <v>0</v>
      </c>
      <c r="M121" s="661">
        <f t="shared" si="267"/>
        <v>0</v>
      </c>
      <c r="N121" s="661">
        <f t="shared" si="268"/>
        <v>0</v>
      </c>
      <c r="O121" s="661">
        <f t="shared" si="269"/>
        <v>0</v>
      </c>
      <c r="P121" s="661">
        <f t="shared" si="270"/>
        <v>0</v>
      </c>
      <c r="Q121" s="661">
        <f t="shared" si="271"/>
        <v>0</v>
      </c>
      <c r="R121" s="661">
        <f t="shared" si="272"/>
        <v>0</v>
      </c>
      <c r="S121" s="661">
        <f t="shared" si="273"/>
        <v>0</v>
      </c>
      <c r="T121" s="661">
        <f t="shared" si="274"/>
        <v>0</v>
      </c>
      <c r="U121" s="661">
        <f t="shared" si="275"/>
        <v>0</v>
      </c>
      <c r="V121" s="661">
        <f t="shared" si="276"/>
        <v>0</v>
      </c>
      <c r="W121" s="661"/>
      <c r="X121" s="661"/>
      <c r="Y121" s="661"/>
      <c r="Z121" s="661"/>
      <c r="AA121" s="661"/>
      <c r="AB121" s="661"/>
      <c r="AC121" s="661"/>
      <c r="AD121" s="661"/>
      <c r="AE121" s="661"/>
      <c r="AF121" s="661"/>
      <c r="AG121" s="661"/>
      <c r="AH121" s="661"/>
      <c r="AI121" s="661"/>
      <c r="AJ121" s="661"/>
      <c r="AK121" s="661"/>
      <c r="AL121" s="661"/>
      <c r="AM121" s="661"/>
      <c r="AN121" s="661"/>
      <c r="AO121" s="661"/>
      <c r="AP121" s="661"/>
      <c r="AQ121" s="1552"/>
      <c r="AR121" s="858">
        <f t="shared" si="277"/>
        <v>0</v>
      </c>
      <c r="AS121" s="858">
        <f t="shared" si="278"/>
        <v>0</v>
      </c>
      <c r="AT121" s="858">
        <f t="shared" si="279"/>
        <v>0</v>
      </c>
      <c r="AU121" s="858">
        <f t="shared" si="280"/>
        <v>0</v>
      </c>
      <c r="AV121" s="1167"/>
      <c r="AW121" s="1167"/>
      <c r="AX121" s="1167"/>
      <c r="AY121" s="1167"/>
      <c r="AZ121" s="1167"/>
      <c r="BA121" s="1167"/>
      <c r="BB121" s="1167"/>
      <c r="BC121" s="1167"/>
      <c r="BD121" s="1167"/>
      <c r="BE121" s="1167"/>
      <c r="BF121" s="1167"/>
      <c r="BG121" s="93"/>
      <c r="BH121" s="93"/>
      <c r="BI121" s="93"/>
      <c r="BJ121" s="93"/>
      <c r="BK121" s="93"/>
      <c r="BL121" s="93"/>
      <c r="BM121" s="93"/>
      <c r="BN121" s="93"/>
      <c r="BO121" s="1571">
        <v>2</v>
      </c>
      <c r="BP121" s="593" t="s">
        <v>214</v>
      </c>
      <c r="BQ121" s="1168">
        <f t="shared" si="281"/>
        <v>0</v>
      </c>
      <c r="BR121" s="1168">
        <f t="shared" si="282"/>
        <v>0</v>
      </c>
      <c r="BS121" s="1168">
        <f t="shared" si="283"/>
        <v>0</v>
      </c>
      <c r="BT121" s="1168">
        <f t="shared" si="284"/>
        <v>0</v>
      </c>
      <c r="BU121" s="1168">
        <f t="shared" si="285"/>
        <v>0</v>
      </c>
      <c r="BV121" s="1168">
        <f t="shared" si="286"/>
        <v>0</v>
      </c>
      <c r="BW121" s="1168">
        <f t="shared" si="287"/>
        <v>0</v>
      </c>
      <c r="BX121" s="1168">
        <f t="shared" si="288"/>
        <v>0</v>
      </c>
      <c r="BY121" s="1168">
        <f t="shared" si="289"/>
        <v>0</v>
      </c>
      <c r="BZ121" s="1168">
        <f t="shared" si="290"/>
        <v>0</v>
      </c>
      <c r="CA121" s="1168">
        <f t="shared" si="291"/>
        <v>0</v>
      </c>
      <c r="CB121" s="1168">
        <f t="shared" si="292"/>
        <v>0</v>
      </c>
      <c r="CC121" s="1168">
        <f t="shared" si="293"/>
        <v>0</v>
      </c>
      <c r="CD121" s="1168">
        <f t="shared" si="294"/>
        <v>0</v>
      </c>
      <c r="CE121" s="1168">
        <f t="shared" si="295"/>
        <v>0</v>
      </c>
      <c r="CF121" s="1168">
        <f t="shared" si="296"/>
        <v>0</v>
      </c>
      <c r="CG121" s="1168">
        <f t="shared" si="297"/>
        <v>0</v>
      </c>
      <c r="CH121" s="1168">
        <f t="shared" si="298"/>
        <v>0</v>
      </c>
      <c r="CI121" s="1168">
        <f t="shared" si="299"/>
        <v>0</v>
      </c>
      <c r="CJ121" s="1168">
        <f t="shared" si="300"/>
        <v>0</v>
      </c>
      <c r="CK121" s="1168"/>
      <c r="CL121" s="1168"/>
      <c r="CM121" s="1168"/>
      <c r="CN121" s="1168"/>
      <c r="CO121" s="1168"/>
      <c r="CP121" s="1168"/>
      <c r="CQ121" s="1168"/>
      <c r="CR121" s="1168"/>
      <c r="CS121" s="1168"/>
      <c r="CT121" s="1168"/>
      <c r="CU121" s="1168"/>
      <c r="CV121" s="1168"/>
      <c r="CW121" s="1168"/>
      <c r="CX121" s="1168"/>
      <c r="CY121" s="1168"/>
      <c r="CZ121" s="1168"/>
      <c r="DA121" s="1168"/>
      <c r="DB121" s="1168"/>
      <c r="DC121" s="1168"/>
      <c r="DD121" s="1168"/>
      <c r="DE121" s="1554"/>
      <c r="DF121" s="858">
        <f t="shared" si="327"/>
        <v>0</v>
      </c>
      <c r="DG121" s="858">
        <f t="shared" si="328"/>
        <v>0</v>
      </c>
      <c r="DH121" s="858">
        <f t="shared" si="329"/>
        <v>0</v>
      </c>
      <c r="DI121" s="859">
        <f t="shared" si="330"/>
        <v>0</v>
      </c>
      <c r="DJ121" s="1181"/>
      <c r="DK121" s="1181"/>
      <c r="DL121" s="1181"/>
      <c r="DM121" s="1181"/>
      <c r="DN121" s="1181"/>
      <c r="DO121" s="1554"/>
      <c r="DP121" s="858">
        <f t="shared" ref="DP121:DS124" si="336">AR121-DF121</f>
        <v>0</v>
      </c>
      <c r="DQ121" s="858">
        <f t="shared" si="336"/>
        <v>0</v>
      </c>
      <c r="DR121" s="858">
        <f t="shared" si="336"/>
        <v>0</v>
      </c>
      <c r="DS121" s="859">
        <f t="shared" si="336"/>
        <v>0</v>
      </c>
      <c r="DT121" s="1170"/>
      <c r="DU121" s="1170"/>
      <c r="DV121" s="1170"/>
      <c r="DW121" s="1170"/>
      <c r="DX121" s="1170"/>
      <c r="DY121" s="1170"/>
      <c r="DZ121" s="1642"/>
      <c r="EA121" s="1178"/>
      <c r="EB121" s="1171">
        <f t="shared" si="332"/>
        <v>0</v>
      </c>
      <c r="EC121" s="1171">
        <f t="shared" si="333"/>
        <v>0</v>
      </c>
      <c r="ED121" s="1171">
        <f t="shared" si="334"/>
        <v>0</v>
      </c>
      <c r="EE121" s="1171">
        <f t="shared" si="335"/>
        <v>0</v>
      </c>
      <c r="EF121" s="1145"/>
      <c r="EG121" s="1571">
        <v>2</v>
      </c>
      <c r="EH121" s="1174" t="s">
        <v>214</v>
      </c>
      <c r="EI121" s="1168">
        <f t="shared" si="302"/>
        <v>0</v>
      </c>
      <c r="EJ121" s="1168">
        <f t="shared" si="303"/>
        <v>0</v>
      </c>
      <c r="EK121" s="1168">
        <f t="shared" si="304"/>
        <v>0</v>
      </c>
      <c r="EL121" s="1168">
        <f t="shared" si="305"/>
        <v>0</v>
      </c>
      <c r="EM121" s="1168">
        <f t="shared" si="306"/>
        <v>0</v>
      </c>
      <c r="EN121" s="1168">
        <f t="shared" si="307"/>
        <v>0</v>
      </c>
      <c r="EO121" s="1168">
        <f t="shared" si="308"/>
        <v>0</v>
      </c>
      <c r="EP121" s="1168">
        <f t="shared" si="309"/>
        <v>0</v>
      </c>
      <c r="EQ121" s="1168">
        <f t="shared" si="310"/>
        <v>0</v>
      </c>
      <c r="ER121" s="1168">
        <f t="shared" si="311"/>
        <v>0</v>
      </c>
      <c r="ES121" s="1168">
        <f t="shared" si="312"/>
        <v>0</v>
      </c>
      <c r="ET121" s="1168">
        <f t="shared" si="313"/>
        <v>0</v>
      </c>
      <c r="EU121" s="1168">
        <f t="shared" si="314"/>
        <v>0</v>
      </c>
      <c r="EV121" s="1168">
        <f t="shared" si="315"/>
        <v>0</v>
      </c>
      <c r="EW121" s="1168">
        <f t="shared" si="316"/>
        <v>0</v>
      </c>
      <c r="EX121" s="1168">
        <f t="shared" si="317"/>
        <v>0</v>
      </c>
      <c r="EY121" s="1168">
        <f t="shared" si="318"/>
        <v>0</v>
      </c>
      <c r="EZ121" s="1168">
        <f t="shared" si="319"/>
        <v>0</v>
      </c>
      <c r="FA121" s="1168">
        <f t="shared" si="320"/>
        <v>0</v>
      </c>
      <c r="FB121" s="1168">
        <f t="shared" si="321"/>
        <v>0</v>
      </c>
      <c r="FC121" s="1168"/>
      <c r="FD121" s="1168"/>
      <c r="FE121" s="1168"/>
      <c r="FF121" s="1168"/>
      <c r="FG121" s="1168"/>
      <c r="FH121" s="1168"/>
      <c r="FI121" s="1168"/>
      <c r="FJ121" s="1168"/>
      <c r="FK121" s="1168"/>
      <c r="FL121" s="1168"/>
      <c r="FM121" s="1168"/>
      <c r="FN121" s="1168"/>
      <c r="FO121" s="1168"/>
      <c r="FP121" s="1168"/>
      <c r="FQ121" s="1168"/>
      <c r="FR121" s="1168"/>
      <c r="FS121" s="1168"/>
      <c r="FT121" s="1168"/>
      <c r="FU121" s="1168"/>
      <c r="FV121" s="1168"/>
      <c r="FW121" s="1168"/>
      <c r="FX121" s="1182"/>
      <c r="FY121" s="1183"/>
      <c r="FZ121" s="1179">
        <f t="shared" si="322"/>
        <v>0</v>
      </c>
      <c r="GA121" s="1572">
        <f>SUM(FZ121:FZ124)</f>
        <v>0</v>
      </c>
      <c r="GB121" s="1177">
        <f t="shared" si="323"/>
        <v>0</v>
      </c>
      <c r="GC121" s="1572">
        <f>SUM(GB121:GB124)</f>
        <v>0</v>
      </c>
      <c r="GD121" s="1177">
        <f t="shared" si="324"/>
        <v>0</v>
      </c>
      <c r="GE121" s="1572">
        <f>SUM(GD121:GD124)</f>
        <v>0</v>
      </c>
      <c r="GF121" s="1177">
        <f t="shared" si="325"/>
        <v>0</v>
      </c>
      <c r="GG121" s="1572">
        <f>SUM(GF121:GF124)</f>
        <v>0</v>
      </c>
      <c r="GH121" s="1558">
        <f>GG121+GE121+GC121+GA121</f>
        <v>0</v>
      </c>
      <c r="GI121" s="93"/>
      <c r="GJ121" s="1571">
        <v>2</v>
      </c>
      <c r="GK121" s="1568">
        <f>SUM(EK121:FB125)</f>
        <v>0</v>
      </c>
      <c r="GL121" s="93"/>
      <c r="GM121" s="93"/>
      <c r="GN121" s="93"/>
      <c r="GO121" s="93"/>
      <c r="GP121" s="93"/>
      <c r="GQ121" s="93"/>
      <c r="GR121" s="93"/>
      <c r="GS121" s="93"/>
    </row>
    <row r="122" spans="1:201" ht="15" customHeight="1" thickBot="1">
      <c r="A122" s="1571"/>
      <c r="B122" s="593" t="s">
        <v>215</v>
      </c>
      <c r="C122" s="661">
        <f t="shared" si="257"/>
        <v>0</v>
      </c>
      <c r="D122" s="661">
        <f t="shared" si="258"/>
        <v>0</v>
      </c>
      <c r="E122" s="661">
        <f t="shared" si="259"/>
        <v>0</v>
      </c>
      <c r="F122" s="661">
        <f t="shared" si="260"/>
        <v>0</v>
      </c>
      <c r="G122" s="661">
        <f t="shared" si="261"/>
        <v>0</v>
      </c>
      <c r="H122" s="661">
        <f t="shared" si="262"/>
        <v>0</v>
      </c>
      <c r="I122" s="661">
        <f t="shared" si="263"/>
        <v>0</v>
      </c>
      <c r="J122" s="661">
        <f t="shared" si="264"/>
        <v>0</v>
      </c>
      <c r="K122" s="661">
        <f t="shared" si="265"/>
        <v>0</v>
      </c>
      <c r="L122" s="661">
        <f t="shared" si="266"/>
        <v>0</v>
      </c>
      <c r="M122" s="661">
        <f t="shared" si="267"/>
        <v>0</v>
      </c>
      <c r="N122" s="661">
        <f t="shared" si="268"/>
        <v>0</v>
      </c>
      <c r="O122" s="661">
        <f t="shared" si="269"/>
        <v>0</v>
      </c>
      <c r="P122" s="661">
        <f t="shared" si="270"/>
        <v>0</v>
      </c>
      <c r="Q122" s="661">
        <f t="shared" si="271"/>
        <v>0</v>
      </c>
      <c r="R122" s="661">
        <f t="shared" si="272"/>
        <v>0</v>
      </c>
      <c r="S122" s="661">
        <f t="shared" si="273"/>
        <v>0</v>
      </c>
      <c r="T122" s="661">
        <f t="shared" si="274"/>
        <v>0</v>
      </c>
      <c r="U122" s="661">
        <f t="shared" si="275"/>
        <v>0</v>
      </c>
      <c r="V122" s="661">
        <f t="shared" si="276"/>
        <v>0</v>
      </c>
      <c r="W122" s="661"/>
      <c r="X122" s="661"/>
      <c r="Y122" s="661"/>
      <c r="Z122" s="661"/>
      <c r="AA122" s="661"/>
      <c r="AB122" s="661"/>
      <c r="AC122" s="661"/>
      <c r="AD122" s="661"/>
      <c r="AE122" s="661"/>
      <c r="AF122" s="661"/>
      <c r="AG122" s="661"/>
      <c r="AH122" s="661"/>
      <c r="AI122" s="661"/>
      <c r="AJ122" s="661"/>
      <c r="AK122" s="661"/>
      <c r="AL122" s="661"/>
      <c r="AM122" s="661"/>
      <c r="AN122" s="661"/>
      <c r="AO122" s="661"/>
      <c r="AP122" s="661"/>
      <c r="AQ122" s="1553"/>
      <c r="AR122" s="858">
        <f t="shared" si="277"/>
        <v>0</v>
      </c>
      <c r="AS122" s="858">
        <f t="shared" si="278"/>
        <v>0</v>
      </c>
      <c r="AT122" s="858">
        <f t="shared" si="279"/>
        <v>0</v>
      </c>
      <c r="AU122" s="858">
        <f t="shared" si="280"/>
        <v>0</v>
      </c>
      <c r="AV122" s="1167"/>
      <c r="AW122" s="1167"/>
      <c r="AX122" s="1167"/>
      <c r="AY122" s="1167"/>
      <c r="AZ122" s="1167"/>
      <c r="BA122" s="1167"/>
      <c r="BB122" s="1167"/>
      <c r="BC122" s="1167"/>
      <c r="BD122" s="1167"/>
      <c r="BE122" s="1167"/>
      <c r="BF122" s="1167"/>
      <c r="BG122" s="93"/>
      <c r="BH122" s="93"/>
      <c r="BI122" s="93"/>
      <c r="BJ122" s="93"/>
      <c r="BK122" s="93"/>
      <c r="BL122" s="93"/>
      <c r="BM122" s="93"/>
      <c r="BN122" s="93"/>
      <c r="BO122" s="1571"/>
      <c r="BP122" s="593" t="s">
        <v>215</v>
      </c>
      <c r="BQ122" s="1168">
        <f t="shared" si="281"/>
        <v>0</v>
      </c>
      <c r="BR122" s="1168">
        <f t="shared" si="282"/>
        <v>0</v>
      </c>
      <c r="BS122" s="1168">
        <f t="shared" si="283"/>
        <v>0</v>
      </c>
      <c r="BT122" s="1168">
        <f t="shared" si="284"/>
        <v>0</v>
      </c>
      <c r="BU122" s="1168">
        <f t="shared" si="285"/>
        <v>0</v>
      </c>
      <c r="BV122" s="1168">
        <f t="shared" si="286"/>
        <v>0</v>
      </c>
      <c r="BW122" s="1168">
        <f t="shared" si="287"/>
        <v>0</v>
      </c>
      <c r="BX122" s="1168">
        <f t="shared" si="288"/>
        <v>0</v>
      </c>
      <c r="BY122" s="1168">
        <f t="shared" si="289"/>
        <v>0</v>
      </c>
      <c r="BZ122" s="1168">
        <f t="shared" si="290"/>
        <v>0</v>
      </c>
      <c r="CA122" s="1168">
        <f t="shared" si="291"/>
        <v>0</v>
      </c>
      <c r="CB122" s="1168">
        <f t="shared" si="292"/>
        <v>0</v>
      </c>
      <c r="CC122" s="1168">
        <f t="shared" si="293"/>
        <v>0</v>
      </c>
      <c r="CD122" s="1168">
        <f t="shared" si="294"/>
        <v>0</v>
      </c>
      <c r="CE122" s="1168">
        <f t="shared" si="295"/>
        <v>0</v>
      </c>
      <c r="CF122" s="1168">
        <f t="shared" si="296"/>
        <v>0</v>
      </c>
      <c r="CG122" s="1168">
        <f t="shared" si="297"/>
        <v>0</v>
      </c>
      <c r="CH122" s="1168">
        <f t="shared" si="298"/>
        <v>0</v>
      </c>
      <c r="CI122" s="1168">
        <f t="shared" si="299"/>
        <v>0</v>
      </c>
      <c r="CJ122" s="1168">
        <f t="shared" si="300"/>
        <v>0</v>
      </c>
      <c r="CK122" s="1168"/>
      <c r="CL122" s="1168"/>
      <c r="CM122" s="1168"/>
      <c r="CN122" s="1168"/>
      <c r="CO122" s="1168"/>
      <c r="CP122" s="1168"/>
      <c r="CQ122" s="1168"/>
      <c r="CR122" s="1168"/>
      <c r="CS122" s="1168"/>
      <c r="CT122" s="1168"/>
      <c r="CU122" s="1168"/>
      <c r="CV122" s="1168"/>
      <c r="CW122" s="1168"/>
      <c r="CX122" s="1168"/>
      <c r="CY122" s="1168"/>
      <c r="CZ122" s="1168"/>
      <c r="DA122" s="1168"/>
      <c r="DB122" s="1168"/>
      <c r="DC122" s="1168"/>
      <c r="DD122" s="1168"/>
      <c r="DE122" s="1555"/>
      <c r="DF122" s="858">
        <f t="shared" si="327"/>
        <v>0</v>
      </c>
      <c r="DG122" s="858">
        <f t="shared" si="328"/>
        <v>0</v>
      </c>
      <c r="DH122" s="858">
        <f t="shared" si="329"/>
        <v>0</v>
      </c>
      <c r="DI122" s="859">
        <f t="shared" si="330"/>
        <v>0</v>
      </c>
      <c r="DJ122" s="1167"/>
      <c r="DK122" s="1167"/>
      <c r="DL122" s="1167"/>
      <c r="DM122" s="1167"/>
      <c r="DN122" s="1167"/>
      <c r="DO122" s="1555"/>
      <c r="DP122" s="858">
        <f t="shared" si="336"/>
        <v>0</v>
      </c>
      <c r="DQ122" s="858">
        <f t="shared" si="336"/>
        <v>0</v>
      </c>
      <c r="DR122" s="858">
        <f t="shared" si="336"/>
        <v>0</v>
      </c>
      <c r="DS122" s="859">
        <f t="shared" si="336"/>
        <v>0</v>
      </c>
      <c r="DT122" s="1170"/>
      <c r="DU122" s="1170"/>
      <c r="DV122" s="1170"/>
      <c r="DW122" s="1170"/>
      <c r="DX122" s="1170"/>
      <c r="DY122" s="1170"/>
      <c r="DZ122" s="1642"/>
      <c r="EA122" s="1178"/>
      <c r="EB122" s="1171">
        <f t="shared" si="332"/>
        <v>0</v>
      </c>
      <c r="EC122" s="1171">
        <f t="shared" si="333"/>
        <v>0</v>
      </c>
      <c r="ED122" s="1171">
        <f t="shared" si="334"/>
        <v>0</v>
      </c>
      <c r="EE122" s="1171">
        <f t="shared" si="335"/>
        <v>0</v>
      </c>
      <c r="EF122" s="1145"/>
      <c r="EG122" s="1571"/>
      <c r="EH122" s="1174" t="s">
        <v>215</v>
      </c>
      <c r="EI122" s="1168">
        <f t="shared" si="302"/>
        <v>0</v>
      </c>
      <c r="EJ122" s="1168">
        <f t="shared" si="303"/>
        <v>0</v>
      </c>
      <c r="EK122" s="1168">
        <f t="shared" si="304"/>
        <v>0</v>
      </c>
      <c r="EL122" s="1168">
        <f t="shared" si="305"/>
        <v>0</v>
      </c>
      <c r="EM122" s="1168">
        <f t="shared" si="306"/>
        <v>0</v>
      </c>
      <c r="EN122" s="1168">
        <f t="shared" si="307"/>
        <v>0</v>
      </c>
      <c r="EO122" s="1168">
        <f t="shared" si="308"/>
        <v>0</v>
      </c>
      <c r="EP122" s="1168">
        <f t="shared" si="309"/>
        <v>0</v>
      </c>
      <c r="EQ122" s="1168">
        <f t="shared" si="310"/>
        <v>0</v>
      </c>
      <c r="ER122" s="1168">
        <f t="shared" si="311"/>
        <v>0</v>
      </c>
      <c r="ES122" s="1168">
        <f t="shared" si="312"/>
        <v>0</v>
      </c>
      <c r="ET122" s="1168">
        <f t="shared" si="313"/>
        <v>0</v>
      </c>
      <c r="EU122" s="1168">
        <f t="shared" si="314"/>
        <v>0</v>
      </c>
      <c r="EV122" s="1168">
        <f t="shared" si="315"/>
        <v>0</v>
      </c>
      <c r="EW122" s="1168">
        <f t="shared" si="316"/>
        <v>0</v>
      </c>
      <c r="EX122" s="1168">
        <f t="shared" si="317"/>
        <v>0</v>
      </c>
      <c r="EY122" s="1168">
        <f t="shared" si="318"/>
        <v>0</v>
      </c>
      <c r="EZ122" s="1168">
        <f t="shared" si="319"/>
        <v>0</v>
      </c>
      <c r="FA122" s="1168">
        <f t="shared" si="320"/>
        <v>0</v>
      </c>
      <c r="FB122" s="1168">
        <f t="shared" si="321"/>
        <v>0</v>
      </c>
      <c r="FC122" s="1168"/>
      <c r="FD122" s="1168"/>
      <c r="FE122" s="1168"/>
      <c r="FF122" s="1168"/>
      <c r="FG122" s="1168"/>
      <c r="FH122" s="1168"/>
      <c r="FI122" s="1168"/>
      <c r="FJ122" s="1168"/>
      <c r="FK122" s="1168"/>
      <c r="FL122" s="1168"/>
      <c r="FM122" s="1168"/>
      <c r="FN122" s="1168"/>
      <c r="FO122" s="1168"/>
      <c r="FP122" s="1168"/>
      <c r="FQ122" s="1168"/>
      <c r="FR122" s="1168"/>
      <c r="FS122" s="1168"/>
      <c r="FT122" s="1168"/>
      <c r="FU122" s="1168"/>
      <c r="FV122" s="1168"/>
      <c r="FW122" s="1168"/>
      <c r="FX122" s="1182"/>
      <c r="FY122" s="1183"/>
      <c r="FZ122" s="1179">
        <f t="shared" si="322"/>
        <v>0</v>
      </c>
      <c r="GA122" s="1573"/>
      <c r="GB122" s="1177">
        <f t="shared" si="323"/>
        <v>0</v>
      </c>
      <c r="GC122" s="1573"/>
      <c r="GD122" s="1177">
        <f t="shared" si="324"/>
        <v>0</v>
      </c>
      <c r="GE122" s="1573"/>
      <c r="GF122" s="1177">
        <f t="shared" si="325"/>
        <v>0</v>
      </c>
      <c r="GG122" s="1573"/>
      <c r="GH122" s="1559"/>
      <c r="GI122" s="93"/>
      <c r="GJ122" s="1571"/>
      <c r="GK122" s="1568"/>
      <c r="GL122" s="93"/>
      <c r="GM122" s="93"/>
      <c r="GN122" s="93"/>
      <c r="GO122" s="93"/>
      <c r="GP122" s="93"/>
      <c r="GQ122" s="93"/>
      <c r="GR122" s="93"/>
      <c r="GS122" s="93"/>
    </row>
    <row r="123" spans="1:201" ht="15" customHeight="1" thickBot="1">
      <c r="A123" s="1571"/>
      <c r="B123" s="593" t="s">
        <v>216</v>
      </c>
      <c r="C123" s="661">
        <f t="shared" si="257"/>
        <v>0</v>
      </c>
      <c r="D123" s="661">
        <f t="shared" si="258"/>
        <v>0</v>
      </c>
      <c r="E123" s="661">
        <f t="shared" si="259"/>
        <v>0</v>
      </c>
      <c r="F123" s="661">
        <f t="shared" si="260"/>
        <v>0</v>
      </c>
      <c r="G123" s="661">
        <f t="shared" si="261"/>
        <v>0</v>
      </c>
      <c r="H123" s="661">
        <f t="shared" si="262"/>
        <v>0</v>
      </c>
      <c r="I123" s="661">
        <f t="shared" si="263"/>
        <v>0</v>
      </c>
      <c r="J123" s="661">
        <f t="shared" si="264"/>
        <v>0</v>
      </c>
      <c r="K123" s="661">
        <f t="shared" si="265"/>
        <v>0</v>
      </c>
      <c r="L123" s="661">
        <f t="shared" si="266"/>
        <v>0</v>
      </c>
      <c r="M123" s="661">
        <f t="shared" si="267"/>
        <v>0</v>
      </c>
      <c r="N123" s="661">
        <f t="shared" si="268"/>
        <v>0</v>
      </c>
      <c r="O123" s="661">
        <f t="shared" si="269"/>
        <v>0</v>
      </c>
      <c r="P123" s="661">
        <f t="shared" si="270"/>
        <v>0</v>
      </c>
      <c r="Q123" s="661">
        <f t="shared" si="271"/>
        <v>0</v>
      </c>
      <c r="R123" s="661">
        <f t="shared" si="272"/>
        <v>0</v>
      </c>
      <c r="S123" s="661">
        <f t="shared" si="273"/>
        <v>0</v>
      </c>
      <c r="T123" s="661">
        <f t="shared" si="274"/>
        <v>0</v>
      </c>
      <c r="U123" s="661">
        <f t="shared" si="275"/>
        <v>0</v>
      </c>
      <c r="V123" s="661">
        <f t="shared" si="276"/>
        <v>0</v>
      </c>
      <c r="W123" s="661"/>
      <c r="X123" s="661"/>
      <c r="Y123" s="661"/>
      <c r="Z123" s="661"/>
      <c r="AA123" s="661"/>
      <c r="AB123" s="661"/>
      <c r="AC123" s="661"/>
      <c r="AD123" s="661"/>
      <c r="AE123" s="661"/>
      <c r="AF123" s="661"/>
      <c r="AG123" s="661"/>
      <c r="AH123" s="661"/>
      <c r="AI123" s="661"/>
      <c r="AJ123" s="661"/>
      <c r="AK123" s="661"/>
      <c r="AL123" s="661"/>
      <c r="AM123" s="661"/>
      <c r="AN123" s="661"/>
      <c r="AO123" s="661"/>
      <c r="AP123" s="661"/>
      <c r="AQ123" s="1553"/>
      <c r="AR123" s="858">
        <f t="shared" si="277"/>
        <v>0</v>
      </c>
      <c r="AS123" s="858">
        <f t="shared" si="278"/>
        <v>0</v>
      </c>
      <c r="AT123" s="858">
        <f t="shared" si="279"/>
        <v>0</v>
      </c>
      <c r="AU123" s="858">
        <f t="shared" si="280"/>
        <v>0</v>
      </c>
      <c r="AV123" s="1167"/>
      <c r="AW123" s="1167"/>
      <c r="AX123" s="1167"/>
      <c r="AY123" s="1167"/>
      <c r="AZ123" s="1167"/>
      <c r="BA123" s="1167"/>
      <c r="BB123" s="1167"/>
      <c r="BC123" s="1167"/>
      <c r="BD123" s="1167"/>
      <c r="BE123" s="1167"/>
      <c r="BF123" s="1167"/>
      <c r="BG123" s="93"/>
      <c r="BH123" s="93"/>
      <c r="BI123" s="93"/>
      <c r="BJ123" s="93"/>
      <c r="BK123" s="93"/>
      <c r="BL123" s="93"/>
      <c r="BM123" s="93"/>
      <c r="BN123" s="93"/>
      <c r="BO123" s="1571"/>
      <c r="BP123" s="593" t="s">
        <v>216</v>
      </c>
      <c r="BQ123" s="1168">
        <f t="shared" si="281"/>
        <v>0</v>
      </c>
      <c r="BR123" s="1168">
        <f t="shared" si="282"/>
        <v>0</v>
      </c>
      <c r="BS123" s="1168">
        <f t="shared" si="283"/>
        <v>0</v>
      </c>
      <c r="BT123" s="1168">
        <f t="shared" si="284"/>
        <v>0</v>
      </c>
      <c r="BU123" s="1168">
        <f t="shared" si="285"/>
        <v>0</v>
      </c>
      <c r="BV123" s="1168">
        <f t="shared" si="286"/>
        <v>0</v>
      </c>
      <c r="BW123" s="1168">
        <f t="shared" si="287"/>
        <v>0</v>
      </c>
      <c r="BX123" s="1168">
        <f t="shared" si="288"/>
        <v>0</v>
      </c>
      <c r="BY123" s="1168">
        <f t="shared" si="289"/>
        <v>0</v>
      </c>
      <c r="BZ123" s="1168">
        <f t="shared" si="290"/>
        <v>0</v>
      </c>
      <c r="CA123" s="1168">
        <f t="shared" si="291"/>
        <v>0</v>
      </c>
      <c r="CB123" s="1168">
        <f t="shared" si="292"/>
        <v>0</v>
      </c>
      <c r="CC123" s="1168">
        <f t="shared" si="293"/>
        <v>0</v>
      </c>
      <c r="CD123" s="1168">
        <f t="shared" si="294"/>
        <v>0</v>
      </c>
      <c r="CE123" s="1168">
        <f t="shared" si="295"/>
        <v>0</v>
      </c>
      <c r="CF123" s="1168">
        <f t="shared" si="296"/>
        <v>0</v>
      </c>
      <c r="CG123" s="1168">
        <f t="shared" si="297"/>
        <v>0</v>
      </c>
      <c r="CH123" s="1168">
        <f t="shared" si="298"/>
        <v>0</v>
      </c>
      <c r="CI123" s="1168">
        <f t="shared" si="299"/>
        <v>0</v>
      </c>
      <c r="CJ123" s="1168">
        <f t="shared" si="300"/>
        <v>0</v>
      </c>
      <c r="CK123" s="1168"/>
      <c r="CL123" s="1168"/>
      <c r="CM123" s="1168"/>
      <c r="CN123" s="1168"/>
      <c r="CO123" s="1168"/>
      <c r="CP123" s="1168"/>
      <c r="CQ123" s="1168"/>
      <c r="CR123" s="1168"/>
      <c r="CS123" s="1168"/>
      <c r="CT123" s="1168"/>
      <c r="CU123" s="1168"/>
      <c r="CV123" s="1168"/>
      <c r="CW123" s="1168"/>
      <c r="CX123" s="1168"/>
      <c r="CY123" s="1168"/>
      <c r="CZ123" s="1168"/>
      <c r="DA123" s="1168"/>
      <c r="DB123" s="1168"/>
      <c r="DC123" s="1168"/>
      <c r="DD123" s="1168"/>
      <c r="DE123" s="1555"/>
      <c r="DF123" s="858">
        <f t="shared" si="327"/>
        <v>0</v>
      </c>
      <c r="DG123" s="858">
        <f t="shared" si="328"/>
        <v>0</v>
      </c>
      <c r="DH123" s="858">
        <f t="shared" si="329"/>
        <v>0</v>
      </c>
      <c r="DI123" s="859">
        <f t="shared" si="330"/>
        <v>0</v>
      </c>
      <c r="DJ123" s="1167"/>
      <c r="DK123" s="1167"/>
      <c r="DL123" s="1167"/>
      <c r="DM123" s="1167"/>
      <c r="DN123" s="1167"/>
      <c r="DO123" s="1555"/>
      <c r="DP123" s="858">
        <f t="shared" si="336"/>
        <v>0</v>
      </c>
      <c r="DQ123" s="858">
        <f t="shared" si="336"/>
        <v>0</v>
      </c>
      <c r="DR123" s="858">
        <f t="shared" si="336"/>
        <v>0</v>
      </c>
      <c r="DS123" s="859">
        <f t="shared" si="336"/>
        <v>0</v>
      </c>
      <c r="DT123" s="1170"/>
      <c r="DU123" s="1170"/>
      <c r="DV123" s="1170"/>
      <c r="DW123" s="1170"/>
      <c r="DX123" s="1170"/>
      <c r="DY123" s="1170"/>
      <c r="DZ123" s="1643"/>
      <c r="EA123" s="1178"/>
      <c r="EB123" s="1175">
        <f t="shared" si="332"/>
        <v>0</v>
      </c>
      <c r="EC123" s="1171">
        <f t="shared" si="333"/>
        <v>0</v>
      </c>
      <c r="ED123" s="1171">
        <f t="shared" si="334"/>
        <v>0</v>
      </c>
      <c r="EE123" s="1171">
        <f t="shared" si="335"/>
        <v>0</v>
      </c>
      <c r="EF123" s="1145"/>
      <c r="EG123" s="1571"/>
      <c r="EH123" s="1174" t="s">
        <v>216</v>
      </c>
      <c r="EI123" s="1168">
        <f t="shared" si="302"/>
        <v>0</v>
      </c>
      <c r="EJ123" s="1168">
        <f t="shared" si="303"/>
        <v>0</v>
      </c>
      <c r="EK123" s="1168">
        <f t="shared" si="304"/>
        <v>0</v>
      </c>
      <c r="EL123" s="1168">
        <f t="shared" si="305"/>
        <v>0</v>
      </c>
      <c r="EM123" s="1168">
        <f t="shared" si="306"/>
        <v>0</v>
      </c>
      <c r="EN123" s="1168">
        <f t="shared" si="307"/>
        <v>0</v>
      </c>
      <c r="EO123" s="1168">
        <f t="shared" si="308"/>
        <v>0</v>
      </c>
      <c r="EP123" s="1168">
        <f t="shared" si="309"/>
        <v>0</v>
      </c>
      <c r="EQ123" s="1168">
        <f t="shared" si="310"/>
        <v>0</v>
      </c>
      <c r="ER123" s="1168">
        <f t="shared" si="311"/>
        <v>0</v>
      </c>
      <c r="ES123" s="1168">
        <f t="shared" si="312"/>
        <v>0</v>
      </c>
      <c r="ET123" s="1168">
        <f t="shared" si="313"/>
        <v>0</v>
      </c>
      <c r="EU123" s="1168">
        <f t="shared" si="314"/>
        <v>0</v>
      </c>
      <c r="EV123" s="1168">
        <f t="shared" si="315"/>
        <v>0</v>
      </c>
      <c r="EW123" s="1168">
        <f t="shared" si="316"/>
        <v>0</v>
      </c>
      <c r="EX123" s="1168">
        <f t="shared" si="317"/>
        <v>0</v>
      </c>
      <c r="EY123" s="1168">
        <f t="shared" si="318"/>
        <v>0</v>
      </c>
      <c r="EZ123" s="1168">
        <f t="shared" si="319"/>
        <v>0</v>
      </c>
      <c r="FA123" s="1168">
        <f t="shared" si="320"/>
        <v>0</v>
      </c>
      <c r="FB123" s="1168">
        <f t="shared" si="321"/>
        <v>0</v>
      </c>
      <c r="FC123" s="1168"/>
      <c r="FD123" s="1168"/>
      <c r="FE123" s="1168"/>
      <c r="FF123" s="1168"/>
      <c r="FG123" s="1168"/>
      <c r="FH123" s="1168"/>
      <c r="FI123" s="1168"/>
      <c r="FJ123" s="1168"/>
      <c r="FK123" s="1168"/>
      <c r="FL123" s="1168"/>
      <c r="FM123" s="1168"/>
      <c r="FN123" s="1168"/>
      <c r="FO123" s="1168"/>
      <c r="FP123" s="1168"/>
      <c r="FQ123" s="1168"/>
      <c r="FR123" s="1168"/>
      <c r="FS123" s="1168"/>
      <c r="FT123" s="1168"/>
      <c r="FU123" s="1168"/>
      <c r="FV123" s="1168"/>
      <c r="FW123" s="1168"/>
      <c r="FX123" s="1182"/>
      <c r="FY123" s="1183"/>
      <c r="FZ123" s="1184">
        <f t="shared" si="322"/>
        <v>0</v>
      </c>
      <c r="GA123" s="1573"/>
      <c r="GB123" s="1177">
        <f t="shared" si="323"/>
        <v>0</v>
      </c>
      <c r="GC123" s="1573"/>
      <c r="GD123" s="1177">
        <f t="shared" si="324"/>
        <v>0</v>
      </c>
      <c r="GE123" s="1573"/>
      <c r="GF123" s="1177">
        <f t="shared" si="325"/>
        <v>0</v>
      </c>
      <c r="GG123" s="1573"/>
      <c r="GH123" s="1559"/>
      <c r="GI123" s="93"/>
      <c r="GJ123" s="1571"/>
      <c r="GK123" s="1568"/>
      <c r="GL123" s="93"/>
      <c r="GM123" s="93"/>
      <c r="GN123" s="93"/>
      <c r="GO123" s="93"/>
      <c r="GP123" s="93"/>
      <c r="GQ123" s="93"/>
      <c r="GR123" s="93"/>
      <c r="GS123" s="93"/>
    </row>
    <row r="124" spans="1:201" ht="15" customHeight="1" thickBot="1">
      <c r="A124" s="1571"/>
      <c r="B124" s="601" t="s">
        <v>217</v>
      </c>
      <c r="C124" s="661">
        <f t="shared" si="257"/>
        <v>0</v>
      </c>
      <c r="D124" s="661">
        <f t="shared" si="258"/>
        <v>0</v>
      </c>
      <c r="E124" s="661">
        <f t="shared" si="259"/>
        <v>0</v>
      </c>
      <c r="F124" s="661">
        <f t="shared" si="260"/>
        <v>0</v>
      </c>
      <c r="G124" s="661">
        <f t="shared" si="261"/>
        <v>0</v>
      </c>
      <c r="H124" s="661">
        <f t="shared" si="262"/>
        <v>0</v>
      </c>
      <c r="I124" s="661">
        <f t="shared" si="263"/>
        <v>0</v>
      </c>
      <c r="J124" s="661">
        <f t="shared" si="264"/>
        <v>0</v>
      </c>
      <c r="K124" s="661">
        <f t="shared" si="265"/>
        <v>0</v>
      </c>
      <c r="L124" s="661">
        <f t="shared" si="266"/>
        <v>0</v>
      </c>
      <c r="M124" s="661">
        <f t="shared" si="267"/>
        <v>0</v>
      </c>
      <c r="N124" s="661">
        <f t="shared" si="268"/>
        <v>0</v>
      </c>
      <c r="O124" s="661">
        <f t="shared" si="269"/>
        <v>0</v>
      </c>
      <c r="P124" s="661">
        <f t="shared" si="270"/>
        <v>0</v>
      </c>
      <c r="Q124" s="661">
        <f t="shared" si="271"/>
        <v>0</v>
      </c>
      <c r="R124" s="661">
        <f t="shared" si="272"/>
        <v>0</v>
      </c>
      <c r="S124" s="661">
        <f t="shared" si="273"/>
        <v>0</v>
      </c>
      <c r="T124" s="661">
        <f t="shared" si="274"/>
        <v>0</v>
      </c>
      <c r="U124" s="661">
        <f t="shared" si="275"/>
        <v>0</v>
      </c>
      <c r="V124" s="661">
        <f t="shared" si="276"/>
        <v>0</v>
      </c>
      <c r="W124" s="661"/>
      <c r="X124" s="661"/>
      <c r="Y124" s="661"/>
      <c r="Z124" s="661"/>
      <c r="AA124" s="661"/>
      <c r="AB124" s="661"/>
      <c r="AC124" s="661"/>
      <c r="AD124" s="661"/>
      <c r="AE124" s="661"/>
      <c r="AF124" s="661"/>
      <c r="AG124" s="661"/>
      <c r="AH124" s="661"/>
      <c r="AI124" s="661"/>
      <c r="AJ124" s="661"/>
      <c r="AK124" s="661"/>
      <c r="AL124" s="661"/>
      <c r="AM124" s="661"/>
      <c r="AN124" s="661"/>
      <c r="AO124" s="661"/>
      <c r="AP124" s="661"/>
      <c r="AQ124" s="1553"/>
      <c r="AR124" s="858">
        <f t="shared" si="277"/>
        <v>0</v>
      </c>
      <c r="AS124" s="858">
        <f t="shared" si="278"/>
        <v>0</v>
      </c>
      <c r="AT124" s="858">
        <f t="shared" si="279"/>
        <v>0</v>
      </c>
      <c r="AU124" s="858">
        <f t="shared" si="280"/>
        <v>0</v>
      </c>
      <c r="AV124" s="1167"/>
      <c r="AW124" s="1167"/>
      <c r="AX124" s="1167"/>
      <c r="AY124" s="1167"/>
      <c r="AZ124" s="1167"/>
      <c r="BA124" s="1167"/>
      <c r="BB124" s="1167"/>
      <c r="BC124" s="1167"/>
      <c r="BD124" s="1167"/>
      <c r="BE124" s="1167"/>
      <c r="BF124" s="1167"/>
      <c r="BG124" s="93"/>
      <c r="BH124" s="93"/>
      <c r="BI124" s="93"/>
      <c r="BJ124" s="93"/>
      <c r="BK124" s="93"/>
      <c r="BL124" s="93"/>
      <c r="BM124" s="93"/>
      <c r="BN124" s="93"/>
      <c r="BO124" s="1571"/>
      <c r="BP124" s="601" t="s">
        <v>217</v>
      </c>
      <c r="BQ124" s="1168">
        <f t="shared" si="281"/>
        <v>0</v>
      </c>
      <c r="BR124" s="1168">
        <f t="shared" si="282"/>
        <v>0</v>
      </c>
      <c r="BS124" s="1168">
        <f t="shared" si="283"/>
        <v>0</v>
      </c>
      <c r="BT124" s="1168">
        <f t="shared" si="284"/>
        <v>0</v>
      </c>
      <c r="BU124" s="1168">
        <f t="shared" si="285"/>
        <v>0</v>
      </c>
      <c r="BV124" s="1168">
        <f t="shared" si="286"/>
        <v>0</v>
      </c>
      <c r="BW124" s="1168">
        <f t="shared" si="287"/>
        <v>0</v>
      </c>
      <c r="BX124" s="1168">
        <f t="shared" si="288"/>
        <v>0</v>
      </c>
      <c r="BY124" s="1168">
        <f t="shared" si="289"/>
        <v>0</v>
      </c>
      <c r="BZ124" s="1168">
        <f t="shared" si="290"/>
        <v>0</v>
      </c>
      <c r="CA124" s="1168">
        <f t="shared" si="291"/>
        <v>0</v>
      </c>
      <c r="CB124" s="1168">
        <f t="shared" si="292"/>
        <v>0</v>
      </c>
      <c r="CC124" s="1168">
        <f t="shared" si="293"/>
        <v>0</v>
      </c>
      <c r="CD124" s="1168">
        <f t="shared" si="294"/>
        <v>0</v>
      </c>
      <c r="CE124" s="1168">
        <f t="shared" si="295"/>
        <v>0</v>
      </c>
      <c r="CF124" s="1168">
        <f t="shared" si="296"/>
        <v>0</v>
      </c>
      <c r="CG124" s="1168">
        <f t="shared" si="297"/>
        <v>0</v>
      </c>
      <c r="CH124" s="1168">
        <f t="shared" si="298"/>
        <v>0</v>
      </c>
      <c r="CI124" s="1168">
        <f t="shared" si="299"/>
        <v>0</v>
      </c>
      <c r="CJ124" s="1168">
        <f t="shared" si="300"/>
        <v>0</v>
      </c>
      <c r="CK124" s="1168"/>
      <c r="CL124" s="1168"/>
      <c r="CM124" s="1168"/>
      <c r="CN124" s="1168"/>
      <c r="CO124" s="1168"/>
      <c r="CP124" s="1168"/>
      <c r="CQ124" s="1168"/>
      <c r="CR124" s="1168"/>
      <c r="CS124" s="1168"/>
      <c r="CT124" s="1168"/>
      <c r="CU124" s="1168"/>
      <c r="CV124" s="1168"/>
      <c r="CW124" s="1168"/>
      <c r="CX124" s="1168"/>
      <c r="CY124" s="1168"/>
      <c r="CZ124" s="1168"/>
      <c r="DA124" s="1168"/>
      <c r="DB124" s="1168"/>
      <c r="DC124" s="1168"/>
      <c r="DD124" s="1168"/>
      <c r="DE124" s="1555"/>
      <c r="DF124" s="858">
        <f t="shared" si="327"/>
        <v>0</v>
      </c>
      <c r="DG124" s="858">
        <f t="shared" si="328"/>
        <v>0</v>
      </c>
      <c r="DH124" s="858">
        <f t="shared" si="329"/>
        <v>0</v>
      </c>
      <c r="DI124" s="859">
        <f t="shared" si="330"/>
        <v>0</v>
      </c>
      <c r="DJ124" s="1167"/>
      <c r="DK124" s="1167"/>
      <c r="DL124" s="1167"/>
      <c r="DM124" s="1167"/>
      <c r="DN124" s="1167"/>
      <c r="DO124" s="1555"/>
      <c r="DP124" s="858">
        <f t="shared" si="336"/>
        <v>0</v>
      </c>
      <c r="DQ124" s="858">
        <f t="shared" si="336"/>
        <v>0</v>
      </c>
      <c r="DR124" s="858">
        <f t="shared" si="336"/>
        <v>0</v>
      </c>
      <c r="DS124" s="859">
        <f t="shared" si="336"/>
        <v>0</v>
      </c>
      <c r="DT124" s="1170"/>
      <c r="DU124" s="1170"/>
      <c r="DV124" s="1170"/>
      <c r="DW124" s="1170"/>
      <c r="DX124" s="1170"/>
      <c r="DY124" s="1170"/>
      <c r="DZ124" s="1641">
        <v>3</v>
      </c>
      <c r="EA124" s="1178"/>
      <c r="EB124" s="1178"/>
      <c r="EC124" s="1171">
        <f t="shared" si="333"/>
        <v>0</v>
      </c>
      <c r="ED124" s="1171">
        <f t="shared" si="334"/>
        <v>0</v>
      </c>
      <c r="EE124" s="1171">
        <f t="shared" si="335"/>
        <v>0</v>
      </c>
      <c r="EF124" s="1145"/>
      <c r="EG124" s="1571"/>
      <c r="EH124" s="1185" t="s">
        <v>217</v>
      </c>
      <c r="EI124" s="1168">
        <f t="shared" si="302"/>
        <v>0</v>
      </c>
      <c r="EJ124" s="1168">
        <f t="shared" si="303"/>
        <v>0</v>
      </c>
      <c r="EK124" s="1168">
        <f t="shared" si="304"/>
        <v>0</v>
      </c>
      <c r="EL124" s="1168">
        <f t="shared" si="305"/>
        <v>0</v>
      </c>
      <c r="EM124" s="1168">
        <f t="shared" si="306"/>
        <v>0</v>
      </c>
      <c r="EN124" s="1168">
        <f t="shared" si="307"/>
        <v>0</v>
      </c>
      <c r="EO124" s="1168">
        <f t="shared" si="308"/>
        <v>0</v>
      </c>
      <c r="EP124" s="1168">
        <f t="shared" si="309"/>
        <v>0</v>
      </c>
      <c r="EQ124" s="1168">
        <f t="shared" si="310"/>
        <v>0</v>
      </c>
      <c r="ER124" s="1168">
        <f t="shared" si="311"/>
        <v>0</v>
      </c>
      <c r="ES124" s="1168">
        <f t="shared" si="312"/>
        <v>0</v>
      </c>
      <c r="ET124" s="1168">
        <f t="shared" si="313"/>
        <v>0</v>
      </c>
      <c r="EU124" s="1168">
        <f t="shared" si="314"/>
        <v>0</v>
      </c>
      <c r="EV124" s="1168">
        <f t="shared" si="315"/>
        <v>0</v>
      </c>
      <c r="EW124" s="1168">
        <f t="shared" si="316"/>
        <v>0</v>
      </c>
      <c r="EX124" s="1168">
        <f t="shared" si="317"/>
        <v>0</v>
      </c>
      <c r="EY124" s="1168">
        <f t="shared" si="318"/>
        <v>0</v>
      </c>
      <c r="EZ124" s="1168">
        <f t="shared" si="319"/>
        <v>0</v>
      </c>
      <c r="FA124" s="1168">
        <f t="shared" si="320"/>
        <v>0</v>
      </c>
      <c r="FB124" s="1168">
        <f t="shared" si="321"/>
        <v>0</v>
      </c>
      <c r="FC124" s="1168"/>
      <c r="FD124" s="1168"/>
      <c r="FE124" s="1168"/>
      <c r="FF124" s="1168"/>
      <c r="FG124" s="1168"/>
      <c r="FH124" s="1168"/>
      <c r="FI124" s="1168"/>
      <c r="FJ124" s="1168"/>
      <c r="FK124" s="1168"/>
      <c r="FL124" s="1168"/>
      <c r="FM124" s="1168"/>
      <c r="FN124" s="1168"/>
      <c r="FO124" s="1168"/>
      <c r="FP124" s="1168"/>
      <c r="FQ124" s="1168"/>
      <c r="FR124" s="1168"/>
      <c r="FS124" s="1168"/>
      <c r="FT124" s="1168"/>
      <c r="FU124" s="1168"/>
      <c r="FV124" s="1168"/>
      <c r="FW124" s="1168"/>
      <c r="FX124" s="1182"/>
      <c r="FY124" s="1183"/>
      <c r="FZ124" s="1184">
        <f t="shared" si="322"/>
        <v>0</v>
      </c>
      <c r="GA124" s="1573"/>
      <c r="GB124" s="1177">
        <f t="shared" si="323"/>
        <v>0</v>
      </c>
      <c r="GC124" s="1573"/>
      <c r="GD124" s="1177">
        <f t="shared" si="324"/>
        <v>0</v>
      </c>
      <c r="GE124" s="1573"/>
      <c r="GF124" s="1177">
        <f t="shared" si="325"/>
        <v>0</v>
      </c>
      <c r="GG124" s="1573"/>
      <c r="GH124" s="1560"/>
      <c r="GI124" s="93"/>
      <c r="GJ124" s="1571"/>
      <c r="GK124" s="1568"/>
      <c r="GL124" s="93"/>
      <c r="GM124" s="93"/>
      <c r="GN124" s="93"/>
      <c r="GO124" s="93"/>
      <c r="GP124" s="93"/>
      <c r="GQ124" s="93"/>
      <c r="GR124" s="93"/>
      <c r="GS124" s="93"/>
    </row>
    <row r="125" spans="1:201" ht="15" customHeight="1" thickBot="1">
      <c r="A125" s="1571">
        <v>3</v>
      </c>
      <c r="B125" s="601" t="s">
        <v>218</v>
      </c>
      <c r="C125" s="661">
        <f t="shared" si="257"/>
        <v>0</v>
      </c>
      <c r="D125" s="661">
        <f t="shared" si="258"/>
        <v>0</v>
      </c>
      <c r="E125" s="661">
        <f t="shared" si="259"/>
        <v>0</v>
      </c>
      <c r="F125" s="661">
        <f t="shared" si="260"/>
        <v>0</v>
      </c>
      <c r="G125" s="661">
        <f t="shared" si="261"/>
        <v>0</v>
      </c>
      <c r="H125" s="661">
        <f t="shared" si="262"/>
        <v>0</v>
      </c>
      <c r="I125" s="661">
        <f t="shared" si="263"/>
        <v>0</v>
      </c>
      <c r="J125" s="661">
        <f t="shared" si="264"/>
        <v>0</v>
      </c>
      <c r="K125" s="661">
        <f t="shared" si="265"/>
        <v>0</v>
      </c>
      <c r="L125" s="661">
        <f t="shared" si="266"/>
        <v>0</v>
      </c>
      <c r="M125" s="661">
        <f t="shared" si="267"/>
        <v>0</v>
      </c>
      <c r="N125" s="661">
        <f t="shared" si="268"/>
        <v>0</v>
      </c>
      <c r="O125" s="661">
        <f t="shared" si="269"/>
        <v>0</v>
      </c>
      <c r="P125" s="661">
        <f t="shared" si="270"/>
        <v>0</v>
      </c>
      <c r="Q125" s="661">
        <f t="shared" si="271"/>
        <v>0</v>
      </c>
      <c r="R125" s="661">
        <f t="shared" si="272"/>
        <v>0</v>
      </c>
      <c r="S125" s="661">
        <f t="shared" si="273"/>
        <v>0</v>
      </c>
      <c r="T125" s="661">
        <f t="shared" si="274"/>
        <v>0</v>
      </c>
      <c r="U125" s="661">
        <f t="shared" si="275"/>
        <v>0</v>
      </c>
      <c r="V125" s="661">
        <f t="shared" si="276"/>
        <v>0</v>
      </c>
      <c r="W125" s="661"/>
      <c r="X125" s="661"/>
      <c r="Y125" s="661"/>
      <c r="Z125" s="661"/>
      <c r="AA125" s="661"/>
      <c r="AB125" s="661"/>
      <c r="AC125" s="661"/>
      <c r="AD125" s="661"/>
      <c r="AE125" s="661"/>
      <c r="AF125" s="661"/>
      <c r="AG125" s="661"/>
      <c r="AH125" s="661"/>
      <c r="AI125" s="661"/>
      <c r="AJ125" s="661"/>
      <c r="AK125" s="661"/>
      <c r="AL125" s="661"/>
      <c r="AM125" s="661"/>
      <c r="AN125" s="661"/>
      <c r="AO125" s="661"/>
      <c r="AP125" s="661"/>
      <c r="AQ125" s="1553"/>
      <c r="AR125" s="1552"/>
      <c r="AS125" s="858">
        <f t="shared" si="278"/>
        <v>0</v>
      </c>
      <c r="AT125" s="858">
        <f t="shared" si="279"/>
        <v>0</v>
      </c>
      <c r="AU125" s="858">
        <f t="shared" si="280"/>
        <v>0</v>
      </c>
      <c r="AV125" s="1167"/>
      <c r="AW125" s="1167"/>
      <c r="AX125" s="1167"/>
      <c r="AY125" s="1167"/>
      <c r="AZ125" s="1167"/>
      <c r="BA125" s="1167"/>
      <c r="BB125" s="1167"/>
      <c r="BC125" s="1167"/>
      <c r="BD125" s="1167"/>
      <c r="BE125" s="1167"/>
      <c r="BF125" s="1167"/>
      <c r="BG125" s="93"/>
      <c r="BH125" s="93"/>
      <c r="BI125" s="93"/>
      <c r="BJ125" s="93"/>
      <c r="BK125" s="93"/>
      <c r="BL125" s="93"/>
      <c r="BM125" s="93"/>
      <c r="BN125" s="93"/>
      <c r="BO125" s="1571">
        <v>3</v>
      </c>
      <c r="BP125" s="601" t="s">
        <v>218</v>
      </c>
      <c r="BQ125" s="1168">
        <f t="shared" si="281"/>
        <v>0</v>
      </c>
      <c r="BR125" s="1168">
        <f t="shared" si="282"/>
        <v>0</v>
      </c>
      <c r="BS125" s="1168">
        <f t="shared" si="283"/>
        <v>0</v>
      </c>
      <c r="BT125" s="1168">
        <f t="shared" si="284"/>
        <v>0</v>
      </c>
      <c r="BU125" s="1168">
        <f t="shared" si="285"/>
        <v>0</v>
      </c>
      <c r="BV125" s="1168">
        <f t="shared" si="286"/>
        <v>0</v>
      </c>
      <c r="BW125" s="1168">
        <f t="shared" si="287"/>
        <v>0</v>
      </c>
      <c r="BX125" s="1168">
        <f t="shared" si="288"/>
        <v>0</v>
      </c>
      <c r="BY125" s="1168">
        <f t="shared" si="289"/>
        <v>0</v>
      </c>
      <c r="BZ125" s="1168">
        <f t="shared" si="290"/>
        <v>0</v>
      </c>
      <c r="CA125" s="1168">
        <f t="shared" si="291"/>
        <v>0</v>
      </c>
      <c r="CB125" s="1168">
        <f t="shared" si="292"/>
        <v>0</v>
      </c>
      <c r="CC125" s="1168">
        <f t="shared" si="293"/>
        <v>0</v>
      </c>
      <c r="CD125" s="1168">
        <f t="shared" si="294"/>
        <v>0</v>
      </c>
      <c r="CE125" s="1168">
        <f t="shared" si="295"/>
        <v>0</v>
      </c>
      <c r="CF125" s="1168">
        <f t="shared" si="296"/>
        <v>0</v>
      </c>
      <c r="CG125" s="1168">
        <f t="shared" si="297"/>
        <v>0</v>
      </c>
      <c r="CH125" s="1168">
        <f t="shared" si="298"/>
        <v>0</v>
      </c>
      <c r="CI125" s="1168">
        <f t="shared" si="299"/>
        <v>0</v>
      </c>
      <c r="CJ125" s="1168">
        <f t="shared" si="300"/>
        <v>0</v>
      </c>
      <c r="CK125" s="1168"/>
      <c r="CL125" s="1168"/>
      <c r="CM125" s="1168"/>
      <c r="CN125" s="1168"/>
      <c r="CO125" s="1168"/>
      <c r="CP125" s="1168"/>
      <c r="CQ125" s="1168"/>
      <c r="CR125" s="1168"/>
      <c r="CS125" s="1168"/>
      <c r="CT125" s="1168"/>
      <c r="CU125" s="1168"/>
      <c r="CV125" s="1168"/>
      <c r="CW125" s="1168"/>
      <c r="CX125" s="1168"/>
      <c r="CY125" s="1168"/>
      <c r="CZ125" s="1168"/>
      <c r="DA125" s="1168"/>
      <c r="DB125" s="1168"/>
      <c r="DC125" s="1168"/>
      <c r="DD125" s="1168"/>
      <c r="DE125" s="1555"/>
      <c r="DF125" s="1552"/>
      <c r="DG125" s="858">
        <f t="shared" si="328"/>
        <v>0</v>
      </c>
      <c r="DH125" s="858">
        <f t="shared" si="329"/>
        <v>0</v>
      </c>
      <c r="DI125" s="859">
        <f t="shared" si="330"/>
        <v>0</v>
      </c>
      <c r="DJ125" s="1167"/>
      <c r="DK125" s="1167"/>
      <c r="DL125" s="1167"/>
      <c r="DM125" s="1167"/>
      <c r="DN125" s="1167"/>
      <c r="DO125" s="1555"/>
      <c r="DP125" s="1552"/>
      <c r="DQ125" s="858">
        <f t="shared" ref="DQ125:DS128" si="337">AS125-DG125</f>
        <v>0</v>
      </c>
      <c r="DR125" s="858">
        <f t="shared" si="337"/>
        <v>0</v>
      </c>
      <c r="DS125" s="859">
        <f t="shared" si="337"/>
        <v>0</v>
      </c>
      <c r="DT125" s="1170"/>
      <c r="DU125" s="1170"/>
      <c r="DV125" s="1170"/>
      <c r="DW125" s="1170"/>
      <c r="DX125" s="1170"/>
      <c r="DY125" s="1170"/>
      <c r="DZ125" s="1642"/>
      <c r="EA125" s="1178"/>
      <c r="EB125" s="1178"/>
      <c r="EC125" s="1171">
        <f t="shared" si="333"/>
        <v>0</v>
      </c>
      <c r="ED125" s="1171">
        <f t="shared" si="334"/>
        <v>0</v>
      </c>
      <c r="EE125" s="1171">
        <f t="shared" si="335"/>
        <v>0</v>
      </c>
      <c r="EF125" s="1145"/>
      <c r="EG125" s="1571">
        <v>3</v>
      </c>
      <c r="EH125" s="1185" t="s">
        <v>218</v>
      </c>
      <c r="EI125" s="1168">
        <f t="shared" si="302"/>
        <v>0</v>
      </c>
      <c r="EJ125" s="1168">
        <f t="shared" si="303"/>
        <v>0</v>
      </c>
      <c r="EK125" s="1168">
        <f t="shared" si="304"/>
        <v>0</v>
      </c>
      <c r="EL125" s="1168">
        <f t="shared" si="305"/>
        <v>0</v>
      </c>
      <c r="EM125" s="1168">
        <f t="shared" si="306"/>
        <v>0</v>
      </c>
      <c r="EN125" s="1168">
        <f t="shared" si="307"/>
        <v>0</v>
      </c>
      <c r="EO125" s="1168">
        <f t="shared" si="308"/>
        <v>0</v>
      </c>
      <c r="EP125" s="1168">
        <f t="shared" si="309"/>
        <v>0</v>
      </c>
      <c r="EQ125" s="1168">
        <f t="shared" si="310"/>
        <v>0</v>
      </c>
      <c r="ER125" s="1168">
        <f t="shared" si="311"/>
        <v>0</v>
      </c>
      <c r="ES125" s="1168">
        <f t="shared" si="312"/>
        <v>0</v>
      </c>
      <c r="ET125" s="1168">
        <f t="shared" si="313"/>
        <v>0</v>
      </c>
      <c r="EU125" s="1168">
        <f t="shared" si="314"/>
        <v>0</v>
      </c>
      <c r="EV125" s="1168">
        <f t="shared" si="315"/>
        <v>0</v>
      </c>
      <c r="EW125" s="1168">
        <f t="shared" si="316"/>
        <v>0</v>
      </c>
      <c r="EX125" s="1168">
        <f t="shared" si="317"/>
        <v>0</v>
      </c>
      <c r="EY125" s="1168">
        <f t="shared" si="318"/>
        <v>0</v>
      </c>
      <c r="EZ125" s="1168">
        <f t="shared" si="319"/>
        <v>0</v>
      </c>
      <c r="FA125" s="1168">
        <f t="shared" si="320"/>
        <v>0</v>
      </c>
      <c r="FB125" s="1168">
        <f t="shared" si="321"/>
        <v>0</v>
      </c>
      <c r="FC125" s="1168"/>
      <c r="FD125" s="1168"/>
      <c r="FE125" s="1168"/>
      <c r="FF125" s="1168"/>
      <c r="FG125" s="1168"/>
      <c r="FH125" s="1168"/>
      <c r="FI125" s="1168"/>
      <c r="FJ125" s="1168"/>
      <c r="FK125" s="1168"/>
      <c r="FL125" s="1168"/>
      <c r="FM125" s="1168"/>
      <c r="FN125" s="1168"/>
      <c r="FO125" s="1168"/>
      <c r="FP125" s="1168"/>
      <c r="FQ125" s="1168"/>
      <c r="FR125" s="1168"/>
      <c r="FS125" s="1168"/>
      <c r="FT125" s="1168"/>
      <c r="FU125" s="1168"/>
      <c r="FV125" s="1168"/>
      <c r="FW125" s="1168"/>
      <c r="FX125" s="1182"/>
      <c r="FY125" s="1183"/>
      <c r="FZ125" s="93"/>
      <c r="GA125" s="93"/>
      <c r="GB125" s="1177">
        <f t="shared" si="323"/>
        <v>0</v>
      </c>
      <c r="GC125" s="1573">
        <f>SUM(GB125:GB128)</f>
        <v>0</v>
      </c>
      <c r="GD125" s="1177">
        <f t="shared" si="324"/>
        <v>0</v>
      </c>
      <c r="GE125" s="1573">
        <f>SUM(GD125:GD128)</f>
        <v>0</v>
      </c>
      <c r="GF125" s="1177">
        <f t="shared" si="325"/>
        <v>0</v>
      </c>
      <c r="GG125" s="1573">
        <f>SUM(GF125:GF128)</f>
        <v>0</v>
      </c>
      <c r="GH125" s="1558">
        <f>GG125+GE125+GC125</f>
        <v>0</v>
      </c>
      <c r="GI125" s="93"/>
      <c r="GJ125" s="1571">
        <v>3</v>
      </c>
      <c r="GK125" s="1568">
        <f>SUM(EK125:FB128)</f>
        <v>0</v>
      </c>
      <c r="GL125" s="93"/>
      <c r="GM125" s="93"/>
      <c r="GN125" s="93"/>
      <c r="GO125" s="93"/>
      <c r="GP125" s="93"/>
      <c r="GQ125" s="93"/>
      <c r="GR125" s="93"/>
      <c r="GS125" s="93"/>
    </row>
    <row r="126" spans="1:201" ht="15" customHeight="1" thickBot="1">
      <c r="A126" s="1571"/>
      <c r="B126" s="601" t="s">
        <v>219</v>
      </c>
      <c r="C126" s="661">
        <f t="shared" si="257"/>
        <v>0</v>
      </c>
      <c r="D126" s="661">
        <f t="shared" si="258"/>
        <v>0</v>
      </c>
      <c r="E126" s="661">
        <f t="shared" si="259"/>
        <v>0</v>
      </c>
      <c r="F126" s="661">
        <f t="shared" si="260"/>
        <v>0</v>
      </c>
      <c r="G126" s="661">
        <f t="shared" si="261"/>
        <v>0</v>
      </c>
      <c r="H126" s="661">
        <f t="shared" si="262"/>
        <v>0</v>
      </c>
      <c r="I126" s="661">
        <f t="shared" si="263"/>
        <v>0</v>
      </c>
      <c r="J126" s="661">
        <f t="shared" si="264"/>
        <v>0</v>
      </c>
      <c r="K126" s="661">
        <f t="shared" si="265"/>
        <v>0</v>
      </c>
      <c r="L126" s="661">
        <f t="shared" si="266"/>
        <v>0</v>
      </c>
      <c r="M126" s="661">
        <f t="shared" si="267"/>
        <v>0</v>
      </c>
      <c r="N126" s="661">
        <f t="shared" si="268"/>
        <v>0</v>
      </c>
      <c r="O126" s="661">
        <f t="shared" si="269"/>
        <v>0</v>
      </c>
      <c r="P126" s="661">
        <f t="shared" si="270"/>
        <v>0</v>
      </c>
      <c r="Q126" s="661">
        <f t="shared" si="271"/>
        <v>0</v>
      </c>
      <c r="R126" s="661">
        <f t="shared" si="272"/>
        <v>0</v>
      </c>
      <c r="S126" s="661">
        <f t="shared" si="273"/>
        <v>0</v>
      </c>
      <c r="T126" s="661">
        <f t="shared" si="274"/>
        <v>0</v>
      </c>
      <c r="U126" s="661">
        <f t="shared" si="275"/>
        <v>0</v>
      </c>
      <c r="V126" s="661">
        <f t="shared" si="276"/>
        <v>0</v>
      </c>
      <c r="W126" s="661"/>
      <c r="X126" s="661"/>
      <c r="Y126" s="661"/>
      <c r="Z126" s="661"/>
      <c r="AA126" s="661"/>
      <c r="AB126" s="661"/>
      <c r="AC126" s="661"/>
      <c r="AD126" s="661"/>
      <c r="AE126" s="661"/>
      <c r="AF126" s="661"/>
      <c r="AG126" s="661"/>
      <c r="AH126" s="661"/>
      <c r="AI126" s="661"/>
      <c r="AJ126" s="661"/>
      <c r="AK126" s="661"/>
      <c r="AL126" s="661"/>
      <c r="AM126" s="661"/>
      <c r="AN126" s="661"/>
      <c r="AO126" s="661"/>
      <c r="AP126" s="661"/>
      <c r="AQ126" s="1553"/>
      <c r="AR126" s="1553"/>
      <c r="AS126" s="858">
        <f t="shared" si="278"/>
        <v>0</v>
      </c>
      <c r="AT126" s="858">
        <f t="shared" si="279"/>
        <v>0</v>
      </c>
      <c r="AU126" s="858">
        <f t="shared" si="280"/>
        <v>0</v>
      </c>
      <c r="AV126" s="1167"/>
      <c r="AW126" s="1167"/>
      <c r="AX126" s="1167"/>
      <c r="AY126" s="1167"/>
      <c r="AZ126" s="1167"/>
      <c r="BA126" s="1167"/>
      <c r="BB126" s="1167"/>
      <c r="BC126" s="1167"/>
      <c r="BD126" s="1167"/>
      <c r="BE126" s="1167"/>
      <c r="BF126" s="1167"/>
      <c r="BG126" s="93"/>
      <c r="BH126" s="93"/>
      <c r="BI126" s="93"/>
      <c r="BJ126" s="93"/>
      <c r="BK126" s="93"/>
      <c r="BL126" s="93"/>
      <c r="BM126" s="93"/>
      <c r="BN126" s="93"/>
      <c r="BO126" s="1571"/>
      <c r="BP126" s="601" t="s">
        <v>219</v>
      </c>
      <c r="BQ126" s="1168">
        <f t="shared" si="281"/>
        <v>0</v>
      </c>
      <c r="BR126" s="1168">
        <f t="shared" si="282"/>
        <v>0</v>
      </c>
      <c r="BS126" s="1168">
        <f t="shared" si="283"/>
        <v>0</v>
      </c>
      <c r="BT126" s="1168">
        <f t="shared" si="284"/>
        <v>0</v>
      </c>
      <c r="BU126" s="1168">
        <f t="shared" si="285"/>
        <v>0</v>
      </c>
      <c r="BV126" s="1168">
        <f t="shared" si="286"/>
        <v>0</v>
      </c>
      <c r="BW126" s="1168">
        <f t="shared" si="287"/>
        <v>0</v>
      </c>
      <c r="BX126" s="1168">
        <f t="shared" si="288"/>
        <v>0</v>
      </c>
      <c r="BY126" s="1168">
        <f t="shared" si="289"/>
        <v>0</v>
      </c>
      <c r="BZ126" s="1168">
        <f t="shared" si="290"/>
        <v>0</v>
      </c>
      <c r="CA126" s="1168">
        <f t="shared" si="291"/>
        <v>0</v>
      </c>
      <c r="CB126" s="1168">
        <f t="shared" si="292"/>
        <v>0</v>
      </c>
      <c r="CC126" s="1168">
        <f t="shared" si="293"/>
        <v>0</v>
      </c>
      <c r="CD126" s="1168">
        <f t="shared" si="294"/>
        <v>0</v>
      </c>
      <c r="CE126" s="1168">
        <f t="shared" si="295"/>
        <v>0</v>
      </c>
      <c r="CF126" s="1168">
        <f t="shared" si="296"/>
        <v>0</v>
      </c>
      <c r="CG126" s="1168">
        <f t="shared" si="297"/>
        <v>0</v>
      </c>
      <c r="CH126" s="1168">
        <f t="shared" si="298"/>
        <v>0</v>
      </c>
      <c r="CI126" s="1168">
        <f t="shared" si="299"/>
        <v>0</v>
      </c>
      <c r="CJ126" s="1168">
        <f t="shared" si="300"/>
        <v>0</v>
      </c>
      <c r="CK126" s="1168"/>
      <c r="CL126" s="1168"/>
      <c r="CM126" s="1168"/>
      <c r="CN126" s="1168"/>
      <c r="CO126" s="1168"/>
      <c r="CP126" s="1168"/>
      <c r="CQ126" s="1168"/>
      <c r="CR126" s="1168"/>
      <c r="CS126" s="1168"/>
      <c r="CT126" s="1168"/>
      <c r="CU126" s="1168"/>
      <c r="CV126" s="1168"/>
      <c r="CW126" s="1168"/>
      <c r="CX126" s="1168"/>
      <c r="CY126" s="1168"/>
      <c r="CZ126" s="1168"/>
      <c r="DA126" s="1168"/>
      <c r="DB126" s="1168"/>
      <c r="DC126" s="1168"/>
      <c r="DD126" s="1168"/>
      <c r="DE126" s="1555"/>
      <c r="DF126" s="1553"/>
      <c r="DG126" s="858">
        <f t="shared" si="328"/>
        <v>0</v>
      </c>
      <c r="DH126" s="858">
        <f t="shared" si="329"/>
        <v>0</v>
      </c>
      <c r="DI126" s="859">
        <f t="shared" si="330"/>
        <v>0</v>
      </c>
      <c r="DJ126" s="1167"/>
      <c r="DK126" s="1167"/>
      <c r="DL126" s="1167"/>
      <c r="DM126" s="1167"/>
      <c r="DN126" s="1167"/>
      <c r="DO126" s="1555"/>
      <c r="DP126" s="1553"/>
      <c r="DQ126" s="858">
        <f t="shared" si="337"/>
        <v>0</v>
      </c>
      <c r="DR126" s="858">
        <f t="shared" si="337"/>
        <v>0</v>
      </c>
      <c r="DS126" s="859">
        <f t="shared" si="337"/>
        <v>0</v>
      </c>
      <c r="DT126" s="1170"/>
      <c r="DU126" s="1170"/>
      <c r="DV126" s="1170"/>
      <c r="DW126" s="1170"/>
      <c r="DX126" s="1170"/>
      <c r="DY126" s="1170"/>
      <c r="DZ126" s="1643"/>
      <c r="EA126" s="1178"/>
      <c r="EB126" s="1178"/>
      <c r="EC126" s="1175">
        <f t="shared" si="333"/>
        <v>0</v>
      </c>
      <c r="ED126" s="1171">
        <f t="shared" si="334"/>
        <v>0</v>
      </c>
      <c r="EE126" s="1171">
        <f t="shared" si="335"/>
        <v>0</v>
      </c>
      <c r="EF126" s="1145"/>
      <c r="EG126" s="1571"/>
      <c r="EH126" s="1185" t="s">
        <v>219</v>
      </c>
      <c r="EI126" s="1168">
        <f t="shared" si="302"/>
        <v>0</v>
      </c>
      <c r="EJ126" s="1168">
        <f t="shared" si="303"/>
        <v>0</v>
      </c>
      <c r="EK126" s="1168">
        <f t="shared" si="304"/>
        <v>0</v>
      </c>
      <c r="EL126" s="1168">
        <f t="shared" si="305"/>
        <v>0</v>
      </c>
      <c r="EM126" s="1168">
        <f t="shared" si="306"/>
        <v>0</v>
      </c>
      <c r="EN126" s="1168">
        <f t="shared" si="307"/>
        <v>0</v>
      </c>
      <c r="EO126" s="1168">
        <f t="shared" si="308"/>
        <v>0</v>
      </c>
      <c r="EP126" s="1168">
        <f t="shared" si="309"/>
        <v>0</v>
      </c>
      <c r="EQ126" s="1168">
        <f t="shared" si="310"/>
        <v>0</v>
      </c>
      <c r="ER126" s="1168">
        <f t="shared" si="311"/>
        <v>0</v>
      </c>
      <c r="ES126" s="1168">
        <f t="shared" si="312"/>
        <v>0</v>
      </c>
      <c r="ET126" s="1168">
        <f t="shared" si="313"/>
        <v>0</v>
      </c>
      <c r="EU126" s="1168">
        <f t="shared" si="314"/>
        <v>0</v>
      </c>
      <c r="EV126" s="1168">
        <f t="shared" si="315"/>
        <v>0</v>
      </c>
      <c r="EW126" s="1168">
        <f t="shared" si="316"/>
        <v>0</v>
      </c>
      <c r="EX126" s="1168">
        <f t="shared" si="317"/>
        <v>0</v>
      </c>
      <c r="EY126" s="1168">
        <f t="shared" si="318"/>
        <v>0</v>
      </c>
      <c r="EZ126" s="1168">
        <f t="shared" si="319"/>
        <v>0</v>
      </c>
      <c r="FA126" s="1168">
        <f t="shared" si="320"/>
        <v>0</v>
      </c>
      <c r="FB126" s="1168">
        <f t="shared" si="321"/>
        <v>0</v>
      </c>
      <c r="FC126" s="1168"/>
      <c r="FD126" s="1168"/>
      <c r="FE126" s="1168"/>
      <c r="FF126" s="1168"/>
      <c r="FG126" s="1168"/>
      <c r="FH126" s="1168"/>
      <c r="FI126" s="1168"/>
      <c r="FJ126" s="1168"/>
      <c r="FK126" s="1168"/>
      <c r="FL126" s="1168"/>
      <c r="FM126" s="1168"/>
      <c r="FN126" s="1168"/>
      <c r="FO126" s="1168"/>
      <c r="FP126" s="1168"/>
      <c r="FQ126" s="1168"/>
      <c r="FR126" s="1168"/>
      <c r="FS126" s="1168"/>
      <c r="FT126" s="1168"/>
      <c r="FU126" s="1168"/>
      <c r="FV126" s="1168"/>
      <c r="FW126" s="1168"/>
      <c r="FX126" s="1182"/>
      <c r="FY126" s="1183"/>
      <c r="FZ126" s="93"/>
      <c r="GA126" s="93"/>
      <c r="GB126" s="1177">
        <f t="shared" si="323"/>
        <v>0</v>
      </c>
      <c r="GC126" s="1573"/>
      <c r="GD126" s="1177">
        <f t="shared" si="324"/>
        <v>0</v>
      </c>
      <c r="GE126" s="1573"/>
      <c r="GF126" s="1177">
        <f t="shared" si="325"/>
        <v>0</v>
      </c>
      <c r="GG126" s="1573"/>
      <c r="GH126" s="1559"/>
      <c r="GI126" s="93"/>
      <c r="GJ126" s="1571"/>
      <c r="GK126" s="1568"/>
      <c r="GL126" s="93"/>
      <c r="GM126" s="93"/>
      <c r="GN126" s="93"/>
      <c r="GO126" s="93"/>
      <c r="GP126" s="93"/>
      <c r="GQ126" s="93"/>
      <c r="GR126" s="93"/>
      <c r="GS126" s="93"/>
    </row>
    <row r="127" spans="1:201" ht="15" customHeight="1" thickBot="1">
      <c r="A127" s="1571"/>
      <c r="B127" s="601" t="s">
        <v>220</v>
      </c>
      <c r="C127" s="661">
        <f t="shared" si="257"/>
        <v>0</v>
      </c>
      <c r="D127" s="661">
        <f t="shared" si="258"/>
        <v>0</v>
      </c>
      <c r="E127" s="661">
        <f t="shared" si="259"/>
        <v>0</v>
      </c>
      <c r="F127" s="661">
        <f t="shared" si="260"/>
        <v>0</v>
      </c>
      <c r="G127" s="661">
        <f t="shared" si="261"/>
        <v>0</v>
      </c>
      <c r="H127" s="661">
        <f t="shared" si="262"/>
        <v>0</v>
      </c>
      <c r="I127" s="661">
        <f t="shared" si="263"/>
        <v>0</v>
      </c>
      <c r="J127" s="661">
        <f t="shared" si="264"/>
        <v>0</v>
      </c>
      <c r="K127" s="661">
        <f t="shared" si="265"/>
        <v>0</v>
      </c>
      <c r="L127" s="661">
        <f t="shared" si="266"/>
        <v>0</v>
      </c>
      <c r="M127" s="661">
        <f t="shared" si="267"/>
        <v>0</v>
      </c>
      <c r="N127" s="661">
        <f t="shared" si="268"/>
        <v>0</v>
      </c>
      <c r="O127" s="661">
        <f t="shared" si="269"/>
        <v>0</v>
      </c>
      <c r="P127" s="661">
        <f t="shared" si="270"/>
        <v>0</v>
      </c>
      <c r="Q127" s="661">
        <f t="shared" si="271"/>
        <v>0</v>
      </c>
      <c r="R127" s="661">
        <f t="shared" si="272"/>
        <v>0</v>
      </c>
      <c r="S127" s="661">
        <f t="shared" si="273"/>
        <v>0</v>
      </c>
      <c r="T127" s="661">
        <f t="shared" si="274"/>
        <v>0</v>
      </c>
      <c r="U127" s="661">
        <f t="shared" si="275"/>
        <v>0</v>
      </c>
      <c r="V127" s="661">
        <f t="shared" si="276"/>
        <v>0</v>
      </c>
      <c r="W127" s="661"/>
      <c r="X127" s="661"/>
      <c r="Y127" s="661"/>
      <c r="Z127" s="661"/>
      <c r="AA127" s="661"/>
      <c r="AB127" s="661"/>
      <c r="AC127" s="661"/>
      <c r="AD127" s="661"/>
      <c r="AE127" s="661"/>
      <c r="AF127" s="661"/>
      <c r="AG127" s="661"/>
      <c r="AH127" s="661"/>
      <c r="AI127" s="661"/>
      <c r="AJ127" s="661"/>
      <c r="AK127" s="661"/>
      <c r="AL127" s="661"/>
      <c r="AM127" s="661"/>
      <c r="AN127" s="661"/>
      <c r="AO127" s="661"/>
      <c r="AP127" s="661"/>
      <c r="AQ127" s="1553"/>
      <c r="AR127" s="1553"/>
      <c r="AS127" s="858">
        <f t="shared" si="278"/>
        <v>0</v>
      </c>
      <c r="AT127" s="858">
        <f t="shared" si="279"/>
        <v>0</v>
      </c>
      <c r="AU127" s="858">
        <f t="shared" si="280"/>
        <v>0</v>
      </c>
      <c r="AV127" s="1167"/>
      <c r="AW127" s="1167"/>
      <c r="AX127" s="1167"/>
      <c r="AY127" s="1167"/>
      <c r="AZ127" s="1167"/>
      <c r="BA127" s="1167"/>
      <c r="BB127" s="1167"/>
      <c r="BC127" s="1167"/>
      <c r="BD127" s="1167"/>
      <c r="BE127" s="1167"/>
      <c r="BF127" s="1167"/>
      <c r="BG127" s="93"/>
      <c r="BH127" s="93"/>
      <c r="BI127" s="93"/>
      <c r="BJ127" s="93"/>
      <c r="BK127" s="93"/>
      <c r="BL127" s="93"/>
      <c r="BM127" s="93"/>
      <c r="BN127" s="93"/>
      <c r="BO127" s="1571"/>
      <c r="BP127" s="601" t="s">
        <v>220</v>
      </c>
      <c r="BQ127" s="1168">
        <f t="shared" si="281"/>
        <v>0</v>
      </c>
      <c r="BR127" s="1168">
        <f t="shared" si="282"/>
        <v>0</v>
      </c>
      <c r="BS127" s="1168">
        <f t="shared" si="283"/>
        <v>0</v>
      </c>
      <c r="BT127" s="1168">
        <f t="shared" si="284"/>
        <v>0</v>
      </c>
      <c r="BU127" s="1168">
        <f t="shared" si="285"/>
        <v>0</v>
      </c>
      <c r="BV127" s="1168">
        <f t="shared" si="286"/>
        <v>0</v>
      </c>
      <c r="BW127" s="1168">
        <f t="shared" si="287"/>
        <v>0</v>
      </c>
      <c r="BX127" s="1168">
        <f t="shared" si="288"/>
        <v>0</v>
      </c>
      <c r="BY127" s="1168">
        <f t="shared" si="289"/>
        <v>0</v>
      </c>
      <c r="BZ127" s="1168">
        <f t="shared" si="290"/>
        <v>0</v>
      </c>
      <c r="CA127" s="1168">
        <f t="shared" si="291"/>
        <v>0</v>
      </c>
      <c r="CB127" s="1168">
        <f t="shared" si="292"/>
        <v>0</v>
      </c>
      <c r="CC127" s="1168">
        <f t="shared" si="293"/>
        <v>0</v>
      </c>
      <c r="CD127" s="1168">
        <f t="shared" si="294"/>
        <v>0</v>
      </c>
      <c r="CE127" s="1168">
        <f t="shared" si="295"/>
        <v>0</v>
      </c>
      <c r="CF127" s="1168">
        <f t="shared" si="296"/>
        <v>0</v>
      </c>
      <c r="CG127" s="1168">
        <f t="shared" si="297"/>
        <v>0</v>
      </c>
      <c r="CH127" s="1168">
        <f t="shared" si="298"/>
        <v>0</v>
      </c>
      <c r="CI127" s="1168">
        <f t="shared" si="299"/>
        <v>0</v>
      </c>
      <c r="CJ127" s="1168">
        <f t="shared" si="300"/>
        <v>0</v>
      </c>
      <c r="CK127" s="1168"/>
      <c r="CL127" s="1168"/>
      <c r="CM127" s="1168"/>
      <c r="CN127" s="1168"/>
      <c r="CO127" s="1168"/>
      <c r="CP127" s="1168"/>
      <c r="CQ127" s="1168"/>
      <c r="CR127" s="1168"/>
      <c r="CS127" s="1168"/>
      <c r="CT127" s="1168"/>
      <c r="CU127" s="1168"/>
      <c r="CV127" s="1168"/>
      <c r="CW127" s="1168"/>
      <c r="CX127" s="1168"/>
      <c r="CY127" s="1168"/>
      <c r="CZ127" s="1168"/>
      <c r="DA127" s="1168"/>
      <c r="DB127" s="1168"/>
      <c r="DC127" s="1168"/>
      <c r="DD127" s="1168"/>
      <c r="DE127" s="1555"/>
      <c r="DF127" s="1553"/>
      <c r="DG127" s="858">
        <f t="shared" si="328"/>
        <v>0</v>
      </c>
      <c r="DH127" s="858">
        <f t="shared" si="329"/>
        <v>0</v>
      </c>
      <c r="DI127" s="859">
        <f t="shared" si="330"/>
        <v>0</v>
      </c>
      <c r="DJ127" s="1167"/>
      <c r="DK127" s="1167"/>
      <c r="DL127" s="1167"/>
      <c r="DM127" s="1167"/>
      <c r="DN127" s="1167"/>
      <c r="DO127" s="1555"/>
      <c r="DP127" s="1553"/>
      <c r="DQ127" s="858">
        <f t="shared" si="337"/>
        <v>0</v>
      </c>
      <c r="DR127" s="858">
        <f t="shared" si="337"/>
        <v>0</v>
      </c>
      <c r="DS127" s="859">
        <f t="shared" si="337"/>
        <v>0</v>
      </c>
      <c r="DT127" s="1170"/>
      <c r="DU127" s="1170"/>
      <c r="DV127" s="1170"/>
      <c r="DW127" s="1170"/>
      <c r="DX127" s="1170"/>
      <c r="DY127" s="1170"/>
      <c r="DZ127" s="1642">
        <v>4</v>
      </c>
      <c r="EA127" s="1178"/>
      <c r="EB127" s="1178"/>
      <c r="EC127" s="1178"/>
      <c r="ED127" s="1171">
        <f t="shared" si="334"/>
        <v>0</v>
      </c>
      <c r="EE127" s="1171">
        <f t="shared" si="335"/>
        <v>0</v>
      </c>
      <c r="EF127" s="1145"/>
      <c r="EG127" s="1571"/>
      <c r="EH127" s="1185" t="s">
        <v>220</v>
      </c>
      <c r="EI127" s="1168">
        <f t="shared" si="302"/>
        <v>0</v>
      </c>
      <c r="EJ127" s="1168">
        <f t="shared" si="303"/>
        <v>0</v>
      </c>
      <c r="EK127" s="1168">
        <f t="shared" si="304"/>
        <v>0</v>
      </c>
      <c r="EL127" s="1168">
        <f t="shared" si="305"/>
        <v>0</v>
      </c>
      <c r="EM127" s="1168">
        <f t="shared" si="306"/>
        <v>0</v>
      </c>
      <c r="EN127" s="1168">
        <f t="shared" si="307"/>
        <v>0</v>
      </c>
      <c r="EO127" s="1168">
        <f t="shared" si="308"/>
        <v>0</v>
      </c>
      <c r="EP127" s="1168">
        <f t="shared" si="309"/>
        <v>0</v>
      </c>
      <c r="EQ127" s="1168">
        <f t="shared" si="310"/>
        <v>0</v>
      </c>
      <c r="ER127" s="1168">
        <f t="shared" si="311"/>
        <v>0</v>
      </c>
      <c r="ES127" s="1168">
        <f t="shared" si="312"/>
        <v>0</v>
      </c>
      <c r="ET127" s="1168">
        <f t="shared" si="313"/>
        <v>0</v>
      </c>
      <c r="EU127" s="1168">
        <f t="shared" si="314"/>
        <v>0</v>
      </c>
      <c r="EV127" s="1168">
        <f t="shared" si="315"/>
        <v>0</v>
      </c>
      <c r="EW127" s="1168">
        <f t="shared" si="316"/>
        <v>0</v>
      </c>
      <c r="EX127" s="1168">
        <f t="shared" si="317"/>
        <v>0</v>
      </c>
      <c r="EY127" s="1168">
        <f t="shared" si="318"/>
        <v>0</v>
      </c>
      <c r="EZ127" s="1168">
        <f t="shared" si="319"/>
        <v>0</v>
      </c>
      <c r="FA127" s="1168">
        <f t="shared" si="320"/>
        <v>0</v>
      </c>
      <c r="FB127" s="1168">
        <f t="shared" si="321"/>
        <v>0</v>
      </c>
      <c r="FC127" s="1168"/>
      <c r="FD127" s="1168"/>
      <c r="FE127" s="1168"/>
      <c r="FF127" s="1168"/>
      <c r="FG127" s="1168"/>
      <c r="FH127" s="1168"/>
      <c r="FI127" s="1168"/>
      <c r="FJ127" s="1168"/>
      <c r="FK127" s="1168"/>
      <c r="FL127" s="1168"/>
      <c r="FM127" s="1168"/>
      <c r="FN127" s="1168"/>
      <c r="FO127" s="1168"/>
      <c r="FP127" s="1168"/>
      <c r="FQ127" s="1168"/>
      <c r="FR127" s="1168"/>
      <c r="FS127" s="1168"/>
      <c r="FT127" s="1168"/>
      <c r="FU127" s="1168"/>
      <c r="FV127" s="1168"/>
      <c r="FW127" s="1168"/>
      <c r="FX127" s="1182"/>
      <c r="FY127" s="1183"/>
      <c r="FZ127" s="93"/>
      <c r="GA127" s="93"/>
      <c r="GB127" s="1177">
        <f t="shared" si="323"/>
        <v>0</v>
      </c>
      <c r="GC127" s="1573"/>
      <c r="GD127" s="1177">
        <f t="shared" si="324"/>
        <v>0</v>
      </c>
      <c r="GE127" s="1573"/>
      <c r="GF127" s="1177">
        <f t="shared" si="325"/>
        <v>0</v>
      </c>
      <c r="GG127" s="1573"/>
      <c r="GH127" s="1559"/>
      <c r="GI127" s="93"/>
      <c r="GJ127" s="1571"/>
      <c r="GK127" s="1568"/>
      <c r="GL127" s="93"/>
      <c r="GM127" s="93"/>
      <c r="GN127" s="93"/>
      <c r="GO127" s="93"/>
      <c r="GP127" s="93"/>
      <c r="GQ127" s="93"/>
      <c r="GR127" s="93"/>
      <c r="GS127" s="93"/>
    </row>
    <row r="128" spans="1:201" ht="15" customHeight="1" thickBot="1">
      <c r="A128" s="1571"/>
      <c r="B128" s="601" t="s">
        <v>221</v>
      </c>
      <c r="C128" s="661">
        <f t="shared" si="257"/>
        <v>0</v>
      </c>
      <c r="D128" s="661">
        <f t="shared" si="258"/>
        <v>0</v>
      </c>
      <c r="E128" s="661">
        <f t="shared" si="259"/>
        <v>0</v>
      </c>
      <c r="F128" s="661">
        <f t="shared" si="260"/>
        <v>0</v>
      </c>
      <c r="G128" s="661">
        <f t="shared" si="261"/>
        <v>0</v>
      </c>
      <c r="H128" s="661">
        <f t="shared" si="262"/>
        <v>0</v>
      </c>
      <c r="I128" s="661">
        <f t="shared" si="263"/>
        <v>0</v>
      </c>
      <c r="J128" s="661">
        <f t="shared" si="264"/>
        <v>0</v>
      </c>
      <c r="K128" s="661">
        <f t="shared" si="265"/>
        <v>0</v>
      </c>
      <c r="L128" s="661">
        <f t="shared" si="266"/>
        <v>0</v>
      </c>
      <c r="M128" s="661">
        <f t="shared" si="267"/>
        <v>0</v>
      </c>
      <c r="N128" s="661">
        <f t="shared" si="268"/>
        <v>0</v>
      </c>
      <c r="O128" s="661">
        <f t="shared" si="269"/>
        <v>0</v>
      </c>
      <c r="P128" s="661">
        <f t="shared" si="270"/>
        <v>0</v>
      </c>
      <c r="Q128" s="661">
        <f t="shared" si="271"/>
        <v>0</v>
      </c>
      <c r="R128" s="661">
        <f t="shared" si="272"/>
        <v>0</v>
      </c>
      <c r="S128" s="661">
        <f t="shared" si="273"/>
        <v>0</v>
      </c>
      <c r="T128" s="661">
        <f t="shared" si="274"/>
        <v>0</v>
      </c>
      <c r="U128" s="661">
        <f t="shared" si="275"/>
        <v>0</v>
      </c>
      <c r="V128" s="661">
        <f t="shared" si="276"/>
        <v>0</v>
      </c>
      <c r="W128" s="661"/>
      <c r="X128" s="661"/>
      <c r="Y128" s="661"/>
      <c r="Z128" s="661"/>
      <c r="AA128" s="661"/>
      <c r="AB128" s="661"/>
      <c r="AC128" s="661"/>
      <c r="AD128" s="661"/>
      <c r="AE128" s="661"/>
      <c r="AF128" s="661"/>
      <c r="AG128" s="661"/>
      <c r="AH128" s="661"/>
      <c r="AI128" s="661"/>
      <c r="AJ128" s="661"/>
      <c r="AK128" s="661"/>
      <c r="AL128" s="661"/>
      <c r="AM128" s="661"/>
      <c r="AN128" s="661"/>
      <c r="AO128" s="661"/>
      <c r="AP128" s="661"/>
      <c r="AQ128" s="1553"/>
      <c r="AR128" s="1553"/>
      <c r="AS128" s="858">
        <f t="shared" si="278"/>
        <v>0</v>
      </c>
      <c r="AT128" s="858">
        <f t="shared" si="279"/>
        <v>0</v>
      </c>
      <c r="AU128" s="858">
        <f t="shared" si="280"/>
        <v>0</v>
      </c>
      <c r="AV128" s="1167"/>
      <c r="AW128" s="1167"/>
      <c r="AX128" s="1167"/>
      <c r="AY128" s="1167"/>
      <c r="AZ128" s="1167"/>
      <c r="BA128" s="1167"/>
      <c r="BB128" s="1167"/>
      <c r="BC128" s="1167"/>
      <c r="BD128" s="1167"/>
      <c r="BE128" s="1167"/>
      <c r="BF128" s="1167"/>
      <c r="BG128" s="93"/>
      <c r="BH128" s="93"/>
      <c r="BI128" s="93"/>
      <c r="BJ128" s="93"/>
      <c r="BK128" s="93"/>
      <c r="BL128" s="93"/>
      <c r="BM128" s="93"/>
      <c r="BN128" s="93"/>
      <c r="BO128" s="1571"/>
      <c r="BP128" s="601" t="s">
        <v>221</v>
      </c>
      <c r="BQ128" s="1168">
        <f t="shared" si="281"/>
        <v>0</v>
      </c>
      <c r="BR128" s="1168">
        <f t="shared" si="282"/>
        <v>0</v>
      </c>
      <c r="BS128" s="1168">
        <f t="shared" si="283"/>
        <v>0</v>
      </c>
      <c r="BT128" s="1168">
        <f t="shared" si="284"/>
        <v>0</v>
      </c>
      <c r="BU128" s="1168">
        <f t="shared" si="285"/>
        <v>0</v>
      </c>
      <c r="BV128" s="1168">
        <f t="shared" si="286"/>
        <v>0</v>
      </c>
      <c r="BW128" s="1168">
        <f t="shared" si="287"/>
        <v>0</v>
      </c>
      <c r="BX128" s="1168">
        <f t="shared" si="288"/>
        <v>0</v>
      </c>
      <c r="BY128" s="1168">
        <f t="shared" si="289"/>
        <v>0</v>
      </c>
      <c r="BZ128" s="1168">
        <f t="shared" si="290"/>
        <v>0</v>
      </c>
      <c r="CA128" s="1168">
        <f t="shared" si="291"/>
        <v>0</v>
      </c>
      <c r="CB128" s="1168">
        <f t="shared" si="292"/>
        <v>0</v>
      </c>
      <c r="CC128" s="1168">
        <f t="shared" si="293"/>
        <v>0</v>
      </c>
      <c r="CD128" s="1168">
        <f t="shared" si="294"/>
        <v>0</v>
      </c>
      <c r="CE128" s="1168">
        <f t="shared" si="295"/>
        <v>0</v>
      </c>
      <c r="CF128" s="1168">
        <f t="shared" si="296"/>
        <v>0</v>
      </c>
      <c r="CG128" s="1168">
        <f t="shared" si="297"/>
        <v>0</v>
      </c>
      <c r="CH128" s="1168">
        <f t="shared" si="298"/>
        <v>0</v>
      </c>
      <c r="CI128" s="1168">
        <f t="shared" si="299"/>
        <v>0</v>
      </c>
      <c r="CJ128" s="1168">
        <f t="shared" si="300"/>
        <v>0</v>
      </c>
      <c r="CK128" s="1168"/>
      <c r="CL128" s="1168"/>
      <c r="CM128" s="1168"/>
      <c r="CN128" s="1168"/>
      <c r="CO128" s="1168"/>
      <c r="CP128" s="1168"/>
      <c r="CQ128" s="1168"/>
      <c r="CR128" s="1168"/>
      <c r="CS128" s="1168"/>
      <c r="CT128" s="1168"/>
      <c r="CU128" s="1168"/>
      <c r="CV128" s="1168"/>
      <c r="CW128" s="1168"/>
      <c r="CX128" s="1168"/>
      <c r="CY128" s="1168"/>
      <c r="CZ128" s="1168"/>
      <c r="DA128" s="1168"/>
      <c r="DB128" s="1168"/>
      <c r="DC128" s="1168"/>
      <c r="DD128" s="1168"/>
      <c r="DE128" s="1555"/>
      <c r="DF128" s="1553"/>
      <c r="DG128" s="858">
        <f t="shared" si="328"/>
        <v>0</v>
      </c>
      <c r="DH128" s="858">
        <f t="shared" si="329"/>
        <v>0</v>
      </c>
      <c r="DI128" s="859">
        <f t="shared" si="330"/>
        <v>0</v>
      </c>
      <c r="DJ128" s="1167"/>
      <c r="DK128" s="1167"/>
      <c r="DL128" s="1167"/>
      <c r="DM128" s="1167"/>
      <c r="DN128" s="1167"/>
      <c r="DO128" s="1555"/>
      <c r="DP128" s="1553"/>
      <c r="DQ128" s="858">
        <f t="shared" si="337"/>
        <v>0</v>
      </c>
      <c r="DR128" s="858">
        <f t="shared" si="337"/>
        <v>0</v>
      </c>
      <c r="DS128" s="859">
        <f t="shared" si="337"/>
        <v>0</v>
      </c>
      <c r="DT128" s="1170"/>
      <c r="DU128" s="1170"/>
      <c r="DV128" s="1170"/>
      <c r="DW128" s="1170"/>
      <c r="DX128" s="1170"/>
      <c r="DY128" s="1170"/>
      <c r="DZ128" s="1642"/>
      <c r="EA128" s="1178"/>
      <c r="EB128" s="1178"/>
      <c r="EC128" s="1178"/>
      <c r="ED128" s="1171">
        <f t="shared" si="334"/>
        <v>0</v>
      </c>
      <c r="EE128" s="1171">
        <f t="shared" si="335"/>
        <v>0</v>
      </c>
      <c r="EF128" s="1145"/>
      <c r="EG128" s="1571"/>
      <c r="EH128" s="1185" t="s">
        <v>221</v>
      </c>
      <c r="EI128" s="1168">
        <f t="shared" si="302"/>
        <v>0</v>
      </c>
      <c r="EJ128" s="1168">
        <f t="shared" si="303"/>
        <v>0</v>
      </c>
      <c r="EK128" s="1168">
        <f t="shared" si="304"/>
        <v>0</v>
      </c>
      <c r="EL128" s="1168">
        <f t="shared" si="305"/>
        <v>0</v>
      </c>
      <c r="EM128" s="1168">
        <f t="shared" si="306"/>
        <v>0</v>
      </c>
      <c r="EN128" s="1168">
        <f t="shared" si="307"/>
        <v>0</v>
      </c>
      <c r="EO128" s="1168">
        <f t="shared" si="308"/>
        <v>0</v>
      </c>
      <c r="EP128" s="1168">
        <f t="shared" si="309"/>
        <v>0</v>
      </c>
      <c r="EQ128" s="1168">
        <f t="shared" si="310"/>
        <v>0</v>
      </c>
      <c r="ER128" s="1168">
        <f t="shared" si="311"/>
        <v>0</v>
      </c>
      <c r="ES128" s="1168">
        <f t="shared" si="312"/>
        <v>0</v>
      </c>
      <c r="ET128" s="1168">
        <f t="shared" si="313"/>
        <v>0</v>
      </c>
      <c r="EU128" s="1168">
        <f t="shared" si="314"/>
        <v>0</v>
      </c>
      <c r="EV128" s="1168">
        <f t="shared" si="315"/>
        <v>0</v>
      </c>
      <c r="EW128" s="1168">
        <f t="shared" si="316"/>
        <v>0</v>
      </c>
      <c r="EX128" s="1168">
        <f t="shared" si="317"/>
        <v>0</v>
      </c>
      <c r="EY128" s="1168">
        <f t="shared" si="318"/>
        <v>0</v>
      </c>
      <c r="EZ128" s="1168">
        <f t="shared" si="319"/>
        <v>0</v>
      </c>
      <c r="FA128" s="1168">
        <f t="shared" si="320"/>
        <v>0</v>
      </c>
      <c r="FB128" s="1168">
        <f t="shared" si="321"/>
        <v>0</v>
      </c>
      <c r="FC128" s="1168"/>
      <c r="FD128" s="1168"/>
      <c r="FE128" s="1168"/>
      <c r="FF128" s="1168"/>
      <c r="FG128" s="1168"/>
      <c r="FH128" s="1168"/>
      <c r="FI128" s="1168"/>
      <c r="FJ128" s="1168"/>
      <c r="FK128" s="1168"/>
      <c r="FL128" s="1168"/>
      <c r="FM128" s="1168"/>
      <c r="FN128" s="1168"/>
      <c r="FO128" s="1168"/>
      <c r="FP128" s="1168"/>
      <c r="FQ128" s="1168"/>
      <c r="FR128" s="1168"/>
      <c r="FS128" s="1168"/>
      <c r="FT128" s="1168"/>
      <c r="FU128" s="1168"/>
      <c r="FV128" s="1168"/>
      <c r="FW128" s="1168"/>
      <c r="FX128" s="1182"/>
      <c r="FY128" s="1183"/>
      <c r="FZ128" s="93"/>
      <c r="GA128" s="93"/>
      <c r="GB128" s="1176">
        <f t="shared" si="323"/>
        <v>0</v>
      </c>
      <c r="GC128" s="1573"/>
      <c r="GD128" s="1177">
        <f t="shared" si="324"/>
        <v>0</v>
      </c>
      <c r="GE128" s="1573"/>
      <c r="GF128" s="1177">
        <f t="shared" si="325"/>
        <v>0</v>
      </c>
      <c r="GG128" s="1573"/>
      <c r="GH128" s="1559"/>
      <c r="GI128" s="93"/>
      <c r="GJ128" s="1571"/>
      <c r="GK128" s="1568"/>
      <c r="GL128" s="93"/>
      <c r="GM128" s="93"/>
      <c r="GN128" s="93"/>
      <c r="GO128" s="93"/>
      <c r="GP128" s="93"/>
      <c r="GQ128" s="93"/>
      <c r="GR128" s="93"/>
      <c r="GS128" s="93"/>
    </row>
    <row r="129" spans="1:201" ht="15" customHeight="1" thickBot="1">
      <c r="A129" s="1571">
        <v>4</v>
      </c>
      <c r="B129" s="601" t="s">
        <v>222</v>
      </c>
      <c r="C129" s="661">
        <f t="shared" si="257"/>
        <v>0</v>
      </c>
      <c r="D129" s="661">
        <f t="shared" si="258"/>
        <v>0</v>
      </c>
      <c r="E129" s="661">
        <f t="shared" si="259"/>
        <v>0</v>
      </c>
      <c r="F129" s="661">
        <f t="shared" si="260"/>
        <v>0</v>
      </c>
      <c r="G129" s="661">
        <f t="shared" si="261"/>
        <v>0</v>
      </c>
      <c r="H129" s="661">
        <f t="shared" si="262"/>
        <v>0</v>
      </c>
      <c r="I129" s="661">
        <f t="shared" si="263"/>
        <v>0</v>
      </c>
      <c r="J129" s="661">
        <f t="shared" si="264"/>
        <v>0</v>
      </c>
      <c r="K129" s="661">
        <f t="shared" si="265"/>
        <v>0</v>
      </c>
      <c r="L129" s="661">
        <f t="shared" si="266"/>
        <v>0</v>
      </c>
      <c r="M129" s="661">
        <f t="shared" si="267"/>
        <v>0</v>
      </c>
      <c r="N129" s="661">
        <f t="shared" si="268"/>
        <v>0</v>
      </c>
      <c r="O129" s="661">
        <f t="shared" si="269"/>
        <v>0</v>
      </c>
      <c r="P129" s="661">
        <f t="shared" si="270"/>
        <v>0</v>
      </c>
      <c r="Q129" s="661">
        <f t="shared" si="271"/>
        <v>0</v>
      </c>
      <c r="R129" s="661">
        <f t="shared" si="272"/>
        <v>0</v>
      </c>
      <c r="S129" s="661">
        <f t="shared" si="273"/>
        <v>0</v>
      </c>
      <c r="T129" s="661">
        <f t="shared" si="274"/>
        <v>0</v>
      </c>
      <c r="U129" s="661">
        <f t="shared" si="275"/>
        <v>0</v>
      </c>
      <c r="V129" s="661">
        <f t="shared" si="276"/>
        <v>0</v>
      </c>
      <c r="W129" s="661"/>
      <c r="X129" s="661"/>
      <c r="Y129" s="661"/>
      <c r="Z129" s="661"/>
      <c r="AA129" s="661"/>
      <c r="AB129" s="661"/>
      <c r="AC129" s="661"/>
      <c r="AD129" s="661"/>
      <c r="AE129" s="661"/>
      <c r="AF129" s="661"/>
      <c r="AG129" s="661"/>
      <c r="AH129" s="661"/>
      <c r="AI129" s="661"/>
      <c r="AJ129" s="661"/>
      <c r="AK129" s="661"/>
      <c r="AL129" s="661"/>
      <c r="AM129" s="661"/>
      <c r="AN129" s="661"/>
      <c r="AO129" s="661"/>
      <c r="AP129" s="661"/>
      <c r="AQ129" s="1553"/>
      <c r="AR129" s="1553"/>
      <c r="AS129" s="858">
        <f t="shared" si="278"/>
        <v>0</v>
      </c>
      <c r="AT129" s="858">
        <f t="shared" si="279"/>
        <v>0</v>
      </c>
      <c r="AU129" s="858">
        <f t="shared" si="280"/>
        <v>0</v>
      </c>
      <c r="AV129" s="1167"/>
      <c r="AW129" s="1167"/>
      <c r="AX129" s="1167"/>
      <c r="AY129" s="1167"/>
      <c r="AZ129" s="1167"/>
      <c r="BA129" s="1167"/>
      <c r="BB129" s="1167"/>
      <c r="BC129" s="1167"/>
      <c r="BD129" s="1167"/>
      <c r="BE129" s="1167"/>
      <c r="BF129" s="1167"/>
      <c r="BG129" s="93"/>
      <c r="BH129" s="93"/>
      <c r="BI129" s="93"/>
      <c r="BJ129" s="93"/>
      <c r="BK129" s="93"/>
      <c r="BL129" s="93"/>
      <c r="BM129" s="93"/>
      <c r="BN129" s="93"/>
      <c r="BO129" s="1571">
        <v>4</v>
      </c>
      <c r="BP129" s="601" t="s">
        <v>222</v>
      </c>
      <c r="BQ129" s="1168">
        <f t="shared" si="281"/>
        <v>0</v>
      </c>
      <c r="BR129" s="1168">
        <f t="shared" si="282"/>
        <v>0</v>
      </c>
      <c r="BS129" s="1168">
        <f t="shared" si="283"/>
        <v>0</v>
      </c>
      <c r="BT129" s="1168">
        <f t="shared" si="284"/>
        <v>0</v>
      </c>
      <c r="BU129" s="1168">
        <f t="shared" si="285"/>
        <v>0</v>
      </c>
      <c r="BV129" s="1168">
        <f t="shared" si="286"/>
        <v>0</v>
      </c>
      <c r="BW129" s="1168">
        <f t="shared" si="287"/>
        <v>0</v>
      </c>
      <c r="BX129" s="1168">
        <f t="shared" si="288"/>
        <v>0</v>
      </c>
      <c r="BY129" s="1168">
        <f t="shared" si="289"/>
        <v>0</v>
      </c>
      <c r="BZ129" s="1168">
        <f t="shared" si="290"/>
        <v>0</v>
      </c>
      <c r="CA129" s="1168">
        <f t="shared" si="291"/>
        <v>0</v>
      </c>
      <c r="CB129" s="1168">
        <f t="shared" si="292"/>
        <v>0</v>
      </c>
      <c r="CC129" s="1168">
        <f t="shared" si="293"/>
        <v>0</v>
      </c>
      <c r="CD129" s="1168">
        <f t="shared" si="294"/>
        <v>0</v>
      </c>
      <c r="CE129" s="1168">
        <f t="shared" si="295"/>
        <v>0</v>
      </c>
      <c r="CF129" s="1168">
        <f t="shared" si="296"/>
        <v>0</v>
      </c>
      <c r="CG129" s="1168">
        <f t="shared" si="297"/>
        <v>0</v>
      </c>
      <c r="CH129" s="1168">
        <f t="shared" si="298"/>
        <v>0</v>
      </c>
      <c r="CI129" s="1168">
        <f t="shared" si="299"/>
        <v>0</v>
      </c>
      <c r="CJ129" s="1168">
        <f t="shared" si="300"/>
        <v>0</v>
      </c>
      <c r="CK129" s="1168"/>
      <c r="CL129" s="1168"/>
      <c r="CM129" s="1168"/>
      <c r="CN129" s="1168"/>
      <c r="CO129" s="1168"/>
      <c r="CP129" s="1168"/>
      <c r="CQ129" s="1168"/>
      <c r="CR129" s="1168"/>
      <c r="CS129" s="1168"/>
      <c r="CT129" s="1168"/>
      <c r="CU129" s="1168"/>
      <c r="CV129" s="1168"/>
      <c r="CW129" s="1168"/>
      <c r="CX129" s="1168"/>
      <c r="CY129" s="1168"/>
      <c r="CZ129" s="1168"/>
      <c r="DA129" s="1168"/>
      <c r="DB129" s="1168"/>
      <c r="DC129" s="1168"/>
      <c r="DD129" s="1168"/>
      <c r="DE129" s="1555"/>
      <c r="DF129" s="1553"/>
      <c r="DG129" s="1588"/>
      <c r="DH129" s="858">
        <f t="shared" si="329"/>
        <v>0</v>
      </c>
      <c r="DI129" s="859">
        <f t="shared" si="330"/>
        <v>0</v>
      </c>
      <c r="DJ129" s="1167"/>
      <c r="DK129" s="1167"/>
      <c r="DL129" s="1167"/>
      <c r="DM129" s="1167"/>
      <c r="DN129" s="1167"/>
      <c r="DO129" s="1555"/>
      <c r="DP129" s="1553"/>
      <c r="DQ129" s="1588"/>
      <c r="DR129" s="858">
        <f t="shared" ref="DR129:DS132" si="338">AT129-DH129</f>
        <v>0</v>
      </c>
      <c r="DS129" s="859">
        <f t="shared" si="338"/>
        <v>0</v>
      </c>
      <c r="DT129" s="1170"/>
      <c r="DU129" s="1170"/>
      <c r="DV129" s="1170"/>
      <c r="DW129" s="1170"/>
      <c r="DX129" s="1170"/>
      <c r="DY129" s="1170"/>
      <c r="DZ129" s="1642"/>
      <c r="EA129" s="1178"/>
      <c r="EB129" s="1178"/>
      <c r="EC129" s="1178"/>
      <c r="ED129" s="1171">
        <f t="shared" si="334"/>
        <v>0</v>
      </c>
      <c r="EE129" s="1171">
        <f t="shared" si="335"/>
        <v>0</v>
      </c>
      <c r="EF129" s="1145"/>
      <c r="EG129" s="1571">
        <v>4</v>
      </c>
      <c r="EH129" s="1185" t="s">
        <v>222</v>
      </c>
      <c r="EI129" s="1168">
        <f t="shared" si="302"/>
        <v>0</v>
      </c>
      <c r="EJ129" s="1168">
        <f t="shared" si="303"/>
        <v>0</v>
      </c>
      <c r="EK129" s="1168">
        <f t="shared" si="304"/>
        <v>0</v>
      </c>
      <c r="EL129" s="1168">
        <f t="shared" si="305"/>
        <v>0</v>
      </c>
      <c r="EM129" s="1168">
        <f t="shared" si="306"/>
        <v>0</v>
      </c>
      <c r="EN129" s="1168">
        <f t="shared" si="307"/>
        <v>0</v>
      </c>
      <c r="EO129" s="1168">
        <f t="shared" si="308"/>
        <v>0</v>
      </c>
      <c r="EP129" s="1168">
        <f t="shared" si="309"/>
        <v>0</v>
      </c>
      <c r="EQ129" s="1168">
        <f t="shared" si="310"/>
        <v>0</v>
      </c>
      <c r="ER129" s="1168">
        <f t="shared" si="311"/>
        <v>0</v>
      </c>
      <c r="ES129" s="1168">
        <f t="shared" si="312"/>
        <v>0</v>
      </c>
      <c r="ET129" s="1168">
        <f t="shared" si="313"/>
        <v>0</v>
      </c>
      <c r="EU129" s="1168">
        <f t="shared" si="314"/>
        <v>0</v>
      </c>
      <c r="EV129" s="1168">
        <f t="shared" si="315"/>
        <v>0</v>
      </c>
      <c r="EW129" s="1168">
        <f t="shared" si="316"/>
        <v>0</v>
      </c>
      <c r="EX129" s="1168">
        <f t="shared" si="317"/>
        <v>0</v>
      </c>
      <c r="EY129" s="1168">
        <f t="shared" si="318"/>
        <v>0</v>
      </c>
      <c r="EZ129" s="1168">
        <f t="shared" si="319"/>
        <v>0</v>
      </c>
      <c r="FA129" s="1168">
        <f t="shared" si="320"/>
        <v>0</v>
      </c>
      <c r="FB129" s="1168">
        <f t="shared" si="321"/>
        <v>0</v>
      </c>
      <c r="FC129" s="1168"/>
      <c r="FD129" s="1168"/>
      <c r="FE129" s="1168"/>
      <c r="FF129" s="1168"/>
      <c r="FG129" s="1168"/>
      <c r="FH129" s="1168"/>
      <c r="FI129" s="1168"/>
      <c r="FJ129" s="1168"/>
      <c r="FK129" s="1168"/>
      <c r="FL129" s="1168"/>
      <c r="FM129" s="1168"/>
      <c r="FN129" s="1168"/>
      <c r="FO129" s="1168"/>
      <c r="FP129" s="1168"/>
      <c r="FQ129" s="1168"/>
      <c r="FR129" s="1168"/>
      <c r="FS129" s="1168"/>
      <c r="FT129" s="1168"/>
      <c r="FU129" s="1168"/>
      <c r="FV129" s="1168"/>
      <c r="FW129" s="1168"/>
      <c r="FX129" s="1182"/>
      <c r="FY129" s="1183"/>
      <c r="FZ129" s="93"/>
      <c r="GA129" s="93"/>
      <c r="GB129" s="1186"/>
      <c r="GC129" s="1187"/>
      <c r="GD129" s="1177">
        <f t="shared" si="324"/>
        <v>0</v>
      </c>
      <c r="GE129" s="1573">
        <f>AVERAGE(GD129:GD132)</f>
        <v>0</v>
      </c>
      <c r="GF129" s="1177">
        <f t="shared" si="325"/>
        <v>0</v>
      </c>
      <c r="GG129" s="1573">
        <f>SUM(GF129:GF132)</f>
        <v>0</v>
      </c>
      <c r="GH129" s="1560"/>
      <c r="GI129" s="93"/>
      <c r="GJ129" s="1571">
        <v>4</v>
      </c>
      <c r="GK129" s="1568"/>
      <c r="GL129" s="93"/>
      <c r="GM129" s="93"/>
      <c r="GN129" s="93"/>
      <c r="GO129" s="93"/>
      <c r="GP129" s="93"/>
      <c r="GQ129" s="93"/>
      <c r="GR129" s="93"/>
      <c r="GS129" s="93"/>
    </row>
    <row r="130" spans="1:201" ht="15" customHeight="1" thickBot="1">
      <c r="A130" s="1571"/>
      <c r="B130" s="593" t="s">
        <v>223</v>
      </c>
      <c r="C130" s="661">
        <f t="shared" si="257"/>
        <v>0</v>
      </c>
      <c r="D130" s="661">
        <f t="shared" si="258"/>
        <v>0</v>
      </c>
      <c r="E130" s="661">
        <f t="shared" si="259"/>
        <v>0</v>
      </c>
      <c r="F130" s="661">
        <f t="shared" si="260"/>
        <v>0</v>
      </c>
      <c r="G130" s="661">
        <f t="shared" si="261"/>
        <v>0</v>
      </c>
      <c r="H130" s="661">
        <f t="shared" si="262"/>
        <v>0</v>
      </c>
      <c r="I130" s="661">
        <f t="shared" si="263"/>
        <v>0</v>
      </c>
      <c r="J130" s="661">
        <f t="shared" si="264"/>
        <v>0</v>
      </c>
      <c r="K130" s="661">
        <f t="shared" si="265"/>
        <v>0</v>
      </c>
      <c r="L130" s="661">
        <f t="shared" si="266"/>
        <v>0</v>
      </c>
      <c r="M130" s="661">
        <f t="shared" si="267"/>
        <v>0</v>
      </c>
      <c r="N130" s="661">
        <f t="shared" si="268"/>
        <v>0</v>
      </c>
      <c r="O130" s="661">
        <f t="shared" si="269"/>
        <v>0</v>
      </c>
      <c r="P130" s="661">
        <f t="shared" si="270"/>
        <v>0</v>
      </c>
      <c r="Q130" s="661">
        <f t="shared" si="271"/>
        <v>0</v>
      </c>
      <c r="R130" s="661">
        <f t="shared" si="272"/>
        <v>0</v>
      </c>
      <c r="S130" s="661">
        <f t="shared" si="273"/>
        <v>0</v>
      </c>
      <c r="T130" s="661">
        <f t="shared" si="274"/>
        <v>0</v>
      </c>
      <c r="U130" s="661">
        <f t="shared" si="275"/>
        <v>0</v>
      </c>
      <c r="V130" s="661">
        <f t="shared" si="276"/>
        <v>0</v>
      </c>
      <c r="W130" s="661"/>
      <c r="X130" s="661"/>
      <c r="Y130" s="661"/>
      <c r="Z130" s="661"/>
      <c r="AA130" s="661"/>
      <c r="AB130" s="661"/>
      <c r="AC130" s="661"/>
      <c r="AD130" s="661"/>
      <c r="AE130" s="661"/>
      <c r="AF130" s="661"/>
      <c r="AG130" s="661"/>
      <c r="AH130" s="661"/>
      <c r="AI130" s="661"/>
      <c r="AJ130" s="661"/>
      <c r="AK130" s="661"/>
      <c r="AL130" s="661"/>
      <c r="AM130" s="661"/>
      <c r="AN130" s="661"/>
      <c r="AO130" s="661"/>
      <c r="AP130" s="661"/>
      <c r="AQ130" s="1553"/>
      <c r="AR130" s="1553"/>
      <c r="AS130" s="1588"/>
      <c r="AT130" s="858">
        <f t="shared" si="279"/>
        <v>0</v>
      </c>
      <c r="AU130" s="858">
        <f t="shared" si="280"/>
        <v>0</v>
      </c>
      <c r="AV130" s="1167"/>
      <c r="AW130" s="1167"/>
      <c r="AX130" s="1167"/>
      <c r="AY130" s="1167"/>
      <c r="AZ130" s="1167"/>
      <c r="BA130" s="1167"/>
      <c r="BB130" s="1167"/>
      <c r="BC130" s="1167"/>
      <c r="BD130" s="1167"/>
      <c r="BE130" s="1167"/>
      <c r="BF130" s="1167"/>
      <c r="BG130" s="93"/>
      <c r="BH130" s="93"/>
      <c r="BI130" s="93"/>
      <c r="BJ130" s="93"/>
      <c r="BK130" s="93"/>
      <c r="BL130" s="93"/>
      <c r="BM130" s="93"/>
      <c r="BN130" s="93"/>
      <c r="BO130" s="1571"/>
      <c r="BP130" s="593" t="s">
        <v>223</v>
      </c>
      <c r="BQ130" s="1168">
        <f t="shared" si="281"/>
        <v>0</v>
      </c>
      <c r="BR130" s="1168">
        <f t="shared" si="282"/>
        <v>0</v>
      </c>
      <c r="BS130" s="1168">
        <f t="shared" si="283"/>
        <v>0</v>
      </c>
      <c r="BT130" s="1168">
        <f t="shared" si="284"/>
        <v>0</v>
      </c>
      <c r="BU130" s="1168">
        <f t="shared" si="285"/>
        <v>0</v>
      </c>
      <c r="BV130" s="1168">
        <f t="shared" si="286"/>
        <v>0</v>
      </c>
      <c r="BW130" s="1168">
        <f t="shared" si="287"/>
        <v>0</v>
      </c>
      <c r="BX130" s="1168">
        <f t="shared" si="288"/>
        <v>0</v>
      </c>
      <c r="BY130" s="1168">
        <f t="shared" si="289"/>
        <v>0</v>
      </c>
      <c r="BZ130" s="1168">
        <f t="shared" si="290"/>
        <v>0</v>
      </c>
      <c r="CA130" s="1168">
        <f t="shared" si="291"/>
        <v>0</v>
      </c>
      <c r="CB130" s="1168">
        <f t="shared" si="292"/>
        <v>0</v>
      </c>
      <c r="CC130" s="1168">
        <f t="shared" si="293"/>
        <v>0</v>
      </c>
      <c r="CD130" s="1168">
        <f t="shared" si="294"/>
        <v>0</v>
      </c>
      <c r="CE130" s="1168">
        <f t="shared" si="295"/>
        <v>0</v>
      </c>
      <c r="CF130" s="1168">
        <f t="shared" si="296"/>
        <v>0</v>
      </c>
      <c r="CG130" s="1168">
        <f t="shared" si="297"/>
        <v>0</v>
      </c>
      <c r="CH130" s="1168">
        <f t="shared" si="298"/>
        <v>0</v>
      </c>
      <c r="CI130" s="1168">
        <f t="shared" si="299"/>
        <v>0</v>
      </c>
      <c r="CJ130" s="1168">
        <f t="shared" si="300"/>
        <v>0</v>
      </c>
      <c r="CK130" s="1168"/>
      <c r="CL130" s="1168"/>
      <c r="CM130" s="1168"/>
      <c r="CN130" s="1168"/>
      <c r="CO130" s="1168"/>
      <c r="CP130" s="1168"/>
      <c r="CQ130" s="1168"/>
      <c r="CR130" s="1168"/>
      <c r="CS130" s="1168"/>
      <c r="CT130" s="1168"/>
      <c r="CU130" s="1168"/>
      <c r="CV130" s="1168"/>
      <c r="CW130" s="1168"/>
      <c r="CX130" s="1168"/>
      <c r="CY130" s="1168"/>
      <c r="CZ130" s="1168"/>
      <c r="DA130" s="1168"/>
      <c r="DB130" s="1168"/>
      <c r="DC130" s="1168"/>
      <c r="DD130" s="1168"/>
      <c r="DE130" s="1555"/>
      <c r="DF130" s="1553"/>
      <c r="DG130" s="1589"/>
      <c r="DH130" s="858">
        <f t="shared" si="329"/>
        <v>0</v>
      </c>
      <c r="DI130" s="859">
        <f t="shared" si="330"/>
        <v>0</v>
      </c>
      <c r="DJ130" s="1167"/>
      <c r="DK130" s="1167"/>
      <c r="DL130" s="1167"/>
      <c r="DM130" s="1167"/>
      <c r="DN130" s="1167"/>
      <c r="DO130" s="1555"/>
      <c r="DP130" s="1553"/>
      <c r="DQ130" s="1589"/>
      <c r="DR130" s="858">
        <f t="shared" si="338"/>
        <v>0</v>
      </c>
      <c r="DS130" s="859">
        <f t="shared" si="338"/>
        <v>0</v>
      </c>
      <c r="DT130" s="1170"/>
      <c r="DU130" s="1170"/>
      <c r="DV130" s="1170"/>
      <c r="DW130" s="1170"/>
      <c r="DX130" s="1170"/>
      <c r="DY130" s="1170"/>
      <c r="DZ130" s="1643"/>
      <c r="EA130" s="1188"/>
      <c r="EB130" s="1188"/>
      <c r="EC130" s="1188"/>
      <c r="ED130" s="1175">
        <f t="shared" si="334"/>
        <v>0</v>
      </c>
      <c r="EE130" s="1175">
        <f t="shared" si="335"/>
        <v>0</v>
      </c>
      <c r="EF130" s="1145"/>
      <c r="EG130" s="1571"/>
      <c r="EH130" s="1174" t="s">
        <v>223</v>
      </c>
      <c r="EI130" s="1168">
        <f t="shared" si="302"/>
        <v>0</v>
      </c>
      <c r="EJ130" s="1168">
        <f t="shared" si="303"/>
        <v>0</v>
      </c>
      <c r="EK130" s="1168">
        <f t="shared" si="304"/>
        <v>0</v>
      </c>
      <c r="EL130" s="1168">
        <f t="shared" si="305"/>
        <v>0</v>
      </c>
      <c r="EM130" s="1168">
        <f t="shared" si="306"/>
        <v>0</v>
      </c>
      <c r="EN130" s="1168">
        <f t="shared" si="307"/>
        <v>0</v>
      </c>
      <c r="EO130" s="1168">
        <f t="shared" si="308"/>
        <v>0</v>
      </c>
      <c r="EP130" s="1168">
        <f t="shared" si="309"/>
        <v>0</v>
      </c>
      <c r="EQ130" s="1168">
        <f t="shared" si="310"/>
        <v>0</v>
      </c>
      <c r="ER130" s="1168">
        <f t="shared" si="311"/>
        <v>0</v>
      </c>
      <c r="ES130" s="1168">
        <f t="shared" si="312"/>
        <v>0</v>
      </c>
      <c r="ET130" s="1168">
        <f t="shared" si="313"/>
        <v>0</v>
      </c>
      <c r="EU130" s="1168">
        <f t="shared" si="314"/>
        <v>0</v>
      </c>
      <c r="EV130" s="1168">
        <f t="shared" si="315"/>
        <v>0</v>
      </c>
      <c r="EW130" s="1168">
        <f t="shared" si="316"/>
        <v>0</v>
      </c>
      <c r="EX130" s="1168">
        <f t="shared" si="317"/>
        <v>0</v>
      </c>
      <c r="EY130" s="1168">
        <f t="shared" si="318"/>
        <v>0</v>
      </c>
      <c r="EZ130" s="1168">
        <f t="shared" si="319"/>
        <v>0</v>
      </c>
      <c r="FA130" s="1168">
        <f t="shared" si="320"/>
        <v>0</v>
      </c>
      <c r="FB130" s="1168">
        <f t="shared" si="321"/>
        <v>0</v>
      </c>
      <c r="FC130" s="1168"/>
      <c r="FD130" s="1168"/>
      <c r="FE130" s="1168"/>
      <c r="FF130" s="1168"/>
      <c r="FG130" s="1168"/>
      <c r="FH130" s="1168"/>
      <c r="FI130" s="1168"/>
      <c r="FJ130" s="1168"/>
      <c r="FK130" s="1168"/>
      <c r="FL130" s="1168"/>
      <c r="FM130" s="1168"/>
      <c r="FN130" s="1168"/>
      <c r="FO130" s="1168"/>
      <c r="FP130" s="1168"/>
      <c r="FQ130" s="1168"/>
      <c r="FR130" s="1168"/>
      <c r="FS130" s="1168"/>
      <c r="FT130" s="1168"/>
      <c r="FU130" s="1168"/>
      <c r="FV130" s="1168"/>
      <c r="FW130" s="1168"/>
      <c r="FX130" s="1182"/>
      <c r="FY130" s="1183"/>
      <c r="FZ130" s="93"/>
      <c r="GA130" s="93"/>
      <c r="GB130" s="1186"/>
      <c r="GC130" s="93"/>
      <c r="GD130" s="1177">
        <f t="shared" si="324"/>
        <v>0</v>
      </c>
      <c r="GE130" s="1573"/>
      <c r="GF130" s="1177">
        <f t="shared" si="325"/>
        <v>0</v>
      </c>
      <c r="GG130" s="1573"/>
      <c r="GH130" s="1558">
        <f>GG130+GE130</f>
        <v>0</v>
      </c>
      <c r="GI130" s="93"/>
      <c r="GJ130" s="1571"/>
      <c r="GK130" s="1568">
        <f>SUM(EK129:FB132)</f>
        <v>0</v>
      </c>
      <c r="GL130" s="93"/>
      <c r="GM130" s="93"/>
      <c r="GN130" s="93"/>
      <c r="GO130" s="93"/>
      <c r="GP130" s="93"/>
      <c r="GQ130" s="93"/>
      <c r="GR130" s="93"/>
      <c r="GS130" s="93"/>
    </row>
    <row r="131" spans="1:201" ht="15" customHeight="1" thickBot="1">
      <c r="A131" s="1571"/>
      <c r="B131" s="593" t="s">
        <v>224</v>
      </c>
      <c r="C131" s="661">
        <f t="shared" si="257"/>
        <v>0</v>
      </c>
      <c r="D131" s="661">
        <f t="shared" si="258"/>
        <v>0</v>
      </c>
      <c r="E131" s="661">
        <f t="shared" si="259"/>
        <v>0</v>
      </c>
      <c r="F131" s="661">
        <f t="shared" si="260"/>
        <v>0</v>
      </c>
      <c r="G131" s="661">
        <f t="shared" si="261"/>
        <v>0</v>
      </c>
      <c r="H131" s="661">
        <f t="shared" si="262"/>
        <v>0</v>
      </c>
      <c r="I131" s="661">
        <f t="shared" si="263"/>
        <v>0</v>
      </c>
      <c r="J131" s="661">
        <f t="shared" si="264"/>
        <v>0</v>
      </c>
      <c r="K131" s="661">
        <f t="shared" si="265"/>
        <v>0</v>
      </c>
      <c r="L131" s="661">
        <f t="shared" si="266"/>
        <v>0</v>
      </c>
      <c r="M131" s="661">
        <f t="shared" si="267"/>
        <v>0</v>
      </c>
      <c r="N131" s="661">
        <f t="shared" si="268"/>
        <v>0</v>
      </c>
      <c r="O131" s="661">
        <f t="shared" si="269"/>
        <v>0</v>
      </c>
      <c r="P131" s="661">
        <f t="shared" si="270"/>
        <v>0</v>
      </c>
      <c r="Q131" s="661">
        <f t="shared" si="271"/>
        <v>0</v>
      </c>
      <c r="R131" s="661">
        <f t="shared" si="272"/>
        <v>0</v>
      </c>
      <c r="S131" s="661">
        <f t="shared" si="273"/>
        <v>0</v>
      </c>
      <c r="T131" s="661">
        <f t="shared" si="274"/>
        <v>0</v>
      </c>
      <c r="U131" s="661">
        <f t="shared" si="275"/>
        <v>0</v>
      </c>
      <c r="V131" s="661">
        <f t="shared" si="276"/>
        <v>0</v>
      </c>
      <c r="W131" s="661"/>
      <c r="X131" s="661"/>
      <c r="Y131" s="661"/>
      <c r="Z131" s="661"/>
      <c r="AA131" s="661"/>
      <c r="AB131" s="661"/>
      <c r="AC131" s="661"/>
      <c r="AD131" s="661"/>
      <c r="AE131" s="661"/>
      <c r="AF131" s="661"/>
      <c r="AG131" s="661"/>
      <c r="AH131" s="661"/>
      <c r="AI131" s="661"/>
      <c r="AJ131" s="661"/>
      <c r="AK131" s="661"/>
      <c r="AL131" s="661"/>
      <c r="AM131" s="661"/>
      <c r="AN131" s="661"/>
      <c r="AO131" s="661"/>
      <c r="AP131" s="661"/>
      <c r="AQ131" s="1553"/>
      <c r="AR131" s="1553"/>
      <c r="AS131" s="1589"/>
      <c r="AT131" s="858">
        <f t="shared" si="279"/>
        <v>0</v>
      </c>
      <c r="AU131" s="858">
        <f t="shared" si="280"/>
        <v>0</v>
      </c>
      <c r="AV131" s="1167"/>
      <c r="AW131" s="1167"/>
      <c r="AX131" s="1167"/>
      <c r="AY131" s="1167"/>
      <c r="AZ131" s="1167"/>
      <c r="BA131" s="1167"/>
      <c r="BB131" s="1167"/>
      <c r="BC131" s="1167"/>
      <c r="BD131" s="1167"/>
      <c r="BE131" s="1167"/>
      <c r="BF131" s="1167"/>
      <c r="BG131" s="93"/>
      <c r="BH131" s="93"/>
      <c r="BI131" s="93"/>
      <c r="BJ131" s="93"/>
      <c r="BK131" s="93"/>
      <c r="BL131" s="93"/>
      <c r="BM131" s="93"/>
      <c r="BN131" s="93"/>
      <c r="BO131" s="1571"/>
      <c r="BP131" s="593" t="s">
        <v>224</v>
      </c>
      <c r="BQ131" s="1168">
        <f t="shared" si="281"/>
        <v>0</v>
      </c>
      <c r="BR131" s="1168">
        <f t="shared" si="282"/>
        <v>0</v>
      </c>
      <c r="BS131" s="1168">
        <f t="shared" si="283"/>
        <v>0</v>
      </c>
      <c r="BT131" s="1168">
        <f t="shared" si="284"/>
        <v>0</v>
      </c>
      <c r="BU131" s="1168">
        <f t="shared" si="285"/>
        <v>0</v>
      </c>
      <c r="BV131" s="1168">
        <f t="shared" si="286"/>
        <v>0</v>
      </c>
      <c r="BW131" s="1168">
        <f t="shared" si="287"/>
        <v>0</v>
      </c>
      <c r="BX131" s="1168">
        <f t="shared" si="288"/>
        <v>0</v>
      </c>
      <c r="BY131" s="1168">
        <f t="shared" si="289"/>
        <v>0</v>
      </c>
      <c r="BZ131" s="1168">
        <f t="shared" si="290"/>
        <v>0</v>
      </c>
      <c r="CA131" s="1168">
        <f t="shared" si="291"/>
        <v>0</v>
      </c>
      <c r="CB131" s="1168">
        <f t="shared" si="292"/>
        <v>0</v>
      </c>
      <c r="CC131" s="1168">
        <f t="shared" si="293"/>
        <v>0</v>
      </c>
      <c r="CD131" s="1168">
        <f t="shared" si="294"/>
        <v>0</v>
      </c>
      <c r="CE131" s="1168">
        <f t="shared" si="295"/>
        <v>0</v>
      </c>
      <c r="CF131" s="1168">
        <f t="shared" si="296"/>
        <v>0</v>
      </c>
      <c r="CG131" s="1168">
        <f t="shared" si="297"/>
        <v>0</v>
      </c>
      <c r="CH131" s="1168">
        <f t="shared" si="298"/>
        <v>0</v>
      </c>
      <c r="CI131" s="1168">
        <f t="shared" si="299"/>
        <v>0</v>
      </c>
      <c r="CJ131" s="1168">
        <f t="shared" si="300"/>
        <v>0</v>
      </c>
      <c r="CK131" s="1168"/>
      <c r="CL131" s="1168"/>
      <c r="CM131" s="1168"/>
      <c r="CN131" s="1168"/>
      <c r="CO131" s="1168"/>
      <c r="CP131" s="1168"/>
      <c r="CQ131" s="1168"/>
      <c r="CR131" s="1168"/>
      <c r="CS131" s="1168"/>
      <c r="CT131" s="1168"/>
      <c r="CU131" s="1168"/>
      <c r="CV131" s="1168"/>
      <c r="CW131" s="1168"/>
      <c r="CX131" s="1168"/>
      <c r="CY131" s="1168"/>
      <c r="CZ131" s="1168"/>
      <c r="DA131" s="1168"/>
      <c r="DB131" s="1168"/>
      <c r="DC131" s="1168"/>
      <c r="DD131" s="1168"/>
      <c r="DE131" s="1555"/>
      <c r="DF131" s="1553"/>
      <c r="DG131" s="1589"/>
      <c r="DH131" s="858">
        <f t="shared" si="329"/>
        <v>0</v>
      </c>
      <c r="DI131" s="859">
        <f t="shared" si="330"/>
        <v>0</v>
      </c>
      <c r="DJ131" s="1167"/>
      <c r="DK131" s="1167"/>
      <c r="DL131" s="1167"/>
      <c r="DM131" s="1167"/>
      <c r="DN131" s="1167"/>
      <c r="DO131" s="1555"/>
      <c r="DP131" s="1553"/>
      <c r="DQ131" s="1589"/>
      <c r="DR131" s="858">
        <f t="shared" si="338"/>
        <v>0</v>
      </c>
      <c r="DS131" s="859">
        <f t="shared" si="338"/>
        <v>0</v>
      </c>
      <c r="DT131" s="1167"/>
      <c r="DU131" s="1167"/>
      <c r="DV131" s="1167"/>
      <c r="DW131" s="1167"/>
      <c r="DX131" s="1167"/>
      <c r="DY131" s="1167"/>
      <c r="DZ131" s="1145"/>
      <c r="EA131" s="1145"/>
      <c r="EB131" s="1145"/>
      <c r="EC131" s="1145"/>
      <c r="ED131" s="1145"/>
      <c r="EE131" s="1145"/>
      <c r="EF131" s="1145"/>
      <c r="EG131" s="1571"/>
      <c r="EH131" s="1174" t="s">
        <v>224</v>
      </c>
      <c r="EI131" s="1168">
        <f t="shared" si="302"/>
        <v>0</v>
      </c>
      <c r="EJ131" s="1168">
        <f t="shared" si="303"/>
        <v>0</v>
      </c>
      <c r="EK131" s="1168">
        <f t="shared" si="304"/>
        <v>0</v>
      </c>
      <c r="EL131" s="1168">
        <f t="shared" si="305"/>
        <v>0</v>
      </c>
      <c r="EM131" s="1168">
        <f t="shared" si="306"/>
        <v>0</v>
      </c>
      <c r="EN131" s="1168">
        <f t="shared" si="307"/>
        <v>0</v>
      </c>
      <c r="EO131" s="1168">
        <f t="shared" si="308"/>
        <v>0</v>
      </c>
      <c r="EP131" s="1168">
        <f t="shared" si="309"/>
        <v>0</v>
      </c>
      <c r="EQ131" s="1168">
        <f t="shared" si="310"/>
        <v>0</v>
      </c>
      <c r="ER131" s="1168">
        <f t="shared" si="311"/>
        <v>0</v>
      </c>
      <c r="ES131" s="1168">
        <f t="shared" si="312"/>
        <v>0</v>
      </c>
      <c r="ET131" s="1168">
        <f t="shared" si="313"/>
        <v>0</v>
      </c>
      <c r="EU131" s="1168">
        <f t="shared" si="314"/>
        <v>0</v>
      </c>
      <c r="EV131" s="1168">
        <f t="shared" si="315"/>
        <v>0</v>
      </c>
      <c r="EW131" s="1168">
        <f t="shared" si="316"/>
        <v>0</v>
      </c>
      <c r="EX131" s="1168">
        <f t="shared" si="317"/>
        <v>0</v>
      </c>
      <c r="EY131" s="1168">
        <f t="shared" si="318"/>
        <v>0</v>
      </c>
      <c r="EZ131" s="1168">
        <f t="shared" si="319"/>
        <v>0</v>
      </c>
      <c r="FA131" s="1168">
        <f t="shared" si="320"/>
        <v>0</v>
      </c>
      <c r="FB131" s="1168">
        <f t="shared" si="321"/>
        <v>0</v>
      </c>
      <c r="FC131" s="1168"/>
      <c r="FD131" s="1168"/>
      <c r="FE131" s="1168"/>
      <c r="FF131" s="1168"/>
      <c r="FG131" s="1168"/>
      <c r="FH131" s="1168"/>
      <c r="FI131" s="1168"/>
      <c r="FJ131" s="1168"/>
      <c r="FK131" s="1168"/>
      <c r="FL131" s="1168"/>
      <c r="FM131" s="1168"/>
      <c r="FN131" s="1168"/>
      <c r="FO131" s="1168"/>
      <c r="FP131" s="1168"/>
      <c r="FQ131" s="1168"/>
      <c r="FR131" s="1168"/>
      <c r="FS131" s="1168"/>
      <c r="FT131" s="1168"/>
      <c r="FU131" s="1168"/>
      <c r="FV131" s="1168"/>
      <c r="FW131" s="1168"/>
      <c r="FX131" s="1143"/>
      <c r="FY131" s="93"/>
      <c r="FZ131" s="93"/>
      <c r="GA131" s="93"/>
      <c r="GB131" s="93"/>
      <c r="GC131" s="93"/>
      <c r="GD131" s="1189">
        <f t="shared" si="324"/>
        <v>0</v>
      </c>
      <c r="GE131" s="1573"/>
      <c r="GF131" s="1177">
        <f t="shared" si="325"/>
        <v>0</v>
      </c>
      <c r="GG131" s="1573"/>
      <c r="GH131" s="1559"/>
      <c r="GI131" s="93"/>
      <c r="GJ131" s="1571"/>
      <c r="GK131" s="1568"/>
      <c r="GL131" s="93"/>
      <c r="GM131" s="93"/>
      <c r="GN131" s="93"/>
      <c r="GO131" s="93"/>
      <c r="GP131" s="93"/>
      <c r="GQ131" s="93"/>
      <c r="GR131" s="93"/>
      <c r="GS131" s="93"/>
    </row>
    <row r="132" spans="1:201" ht="15" customHeight="1" thickBot="1">
      <c r="A132" s="1587"/>
      <c r="B132" s="1190" t="s">
        <v>225</v>
      </c>
      <c r="C132" s="661">
        <f t="shared" si="257"/>
        <v>0</v>
      </c>
      <c r="D132" s="661">
        <f t="shared" si="258"/>
        <v>0</v>
      </c>
      <c r="E132" s="661">
        <f t="shared" si="259"/>
        <v>0</v>
      </c>
      <c r="F132" s="661">
        <f t="shared" si="260"/>
        <v>0</v>
      </c>
      <c r="G132" s="661">
        <f t="shared" si="261"/>
        <v>0</v>
      </c>
      <c r="H132" s="661">
        <f t="shared" si="262"/>
        <v>0</v>
      </c>
      <c r="I132" s="661">
        <f t="shared" si="263"/>
        <v>0</v>
      </c>
      <c r="J132" s="661">
        <f t="shared" si="264"/>
        <v>0</v>
      </c>
      <c r="K132" s="661">
        <f t="shared" si="265"/>
        <v>0</v>
      </c>
      <c r="L132" s="661">
        <f t="shared" si="266"/>
        <v>0</v>
      </c>
      <c r="M132" s="661">
        <f t="shared" si="267"/>
        <v>0</v>
      </c>
      <c r="N132" s="661">
        <f t="shared" si="268"/>
        <v>0</v>
      </c>
      <c r="O132" s="661">
        <f t="shared" si="269"/>
        <v>0</v>
      </c>
      <c r="P132" s="661">
        <f t="shared" si="270"/>
        <v>0</v>
      </c>
      <c r="Q132" s="661">
        <f t="shared" si="271"/>
        <v>0</v>
      </c>
      <c r="R132" s="661">
        <f t="shared" si="272"/>
        <v>0</v>
      </c>
      <c r="S132" s="661">
        <f t="shared" si="273"/>
        <v>0</v>
      </c>
      <c r="T132" s="661">
        <f t="shared" si="274"/>
        <v>0</v>
      </c>
      <c r="U132" s="661">
        <f t="shared" si="275"/>
        <v>0</v>
      </c>
      <c r="V132" s="661">
        <f t="shared" si="276"/>
        <v>0</v>
      </c>
      <c r="W132" s="661"/>
      <c r="X132" s="661"/>
      <c r="Y132" s="661"/>
      <c r="Z132" s="661"/>
      <c r="AA132" s="661"/>
      <c r="AB132" s="661"/>
      <c r="AC132" s="661"/>
      <c r="AD132" s="661"/>
      <c r="AE132" s="661"/>
      <c r="AF132" s="661"/>
      <c r="AG132" s="661"/>
      <c r="AH132" s="661"/>
      <c r="AI132" s="661"/>
      <c r="AJ132" s="661"/>
      <c r="AK132" s="661"/>
      <c r="AL132" s="661"/>
      <c r="AM132" s="661"/>
      <c r="AN132" s="661"/>
      <c r="AO132" s="661"/>
      <c r="AP132" s="661"/>
      <c r="AQ132" s="1553"/>
      <c r="AR132" s="1553"/>
      <c r="AS132" s="1589"/>
      <c r="AT132" s="858">
        <f t="shared" si="279"/>
        <v>0</v>
      </c>
      <c r="AU132" s="858">
        <f t="shared" si="280"/>
        <v>0</v>
      </c>
      <c r="AV132" s="1167"/>
      <c r="AW132" s="1167"/>
      <c r="AX132" s="1167"/>
      <c r="AY132" s="1167"/>
      <c r="AZ132" s="1167"/>
      <c r="BA132" s="1167"/>
      <c r="BB132" s="1167"/>
      <c r="BC132" s="1167"/>
      <c r="BD132" s="1167"/>
      <c r="BE132" s="1167"/>
      <c r="BF132" s="1167"/>
      <c r="BG132" s="93"/>
      <c r="BH132" s="93"/>
      <c r="BI132" s="93"/>
      <c r="BJ132" s="93"/>
      <c r="BK132" s="93"/>
      <c r="BL132" s="93"/>
      <c r="BM132" s="93"/>
      <c r="BN132" s="93"/>
      <c r="BO132" s="1587"/>
      <c r="BP132" s="1190" t="s">
        <v>225</v>
      </c>
      <c r="BQ132" s="1168">
        <f t="shared" si="281"/>
        <v>0</v>
      </c>
      <c r="BR132" s="1168">
        <f t="shared" si="282"/>
        <v>0</v>
      </c>
      <c r="BS132" s="1168">
        <f t="shared" si="283"/>
        <v>0</v>
      </c>
      <c r="BT132" s="1168">
        <f t="shared" si="284"/>
        <v>0</v>
      </c>
      <c r="BU132" s="1168">
        <f t="shared" si="285"/>
        <v>0</v>
      </c>
      <c r="BV132" s="1168">
        <f t="shared" si="286"/>
        <v>0</v>
      </c>
      <c r="BW132" s="1168">
        <f t="shared" si="287"/>
        <v>0</v>
      </c>
      <c r="BX132" s="1168">
        <f t="shared" si="288"/>
        <v>0</v>
      </c>
      <c r="BY132" s="1168">
        <f t="shared" si="289"/>
        <v>0</v>
      </c>
      <c r="BZ132" s="1168">
        <f t="shared" si="290"/>
        <v>0</v>
      </c>
      <c r="CA132" s="1168">
        <f t="shared" si="291"/>
        <v>0</v>
      </c>
      <c r="CB132" s="1168">
        <f t="shared" si="292"/>
        <v>0</v>
      </c>
      <c r="CC132" s="1168">
        <f t="shared" si="293"/>
        <v>0</v>
      </c>
      <c r="CD132" s="1168">
        <f t="shared" si="294"/>
        <v>0</v>
      </c>
      <c r="CE132" s="1168">
        <f t="shared" si="295"/>
        <v>0</v>
      </c>
      <c r="CF132" s="1168">
        <f t="shared" si="296"/>
        <v>0</v>
      </c>
      <c r="CG132" s="1168">
        <f t="shared" si="297"/>
        <v>0</v>
      </c>
      <c r="CH132" s="1168">
        <f t="shared" si="298"/>
        <v>0</v>
      </c>
      <c r="CI132" s="1168">
        <f t="shared" si="299"/>
        <v>0</v>
      </c>
      <c r="CJ132" s="1168">
        <f t="shared" si="300"/>
        <v>0</v>
      </c>
      <c r="CK132" s="1168"/>
      <c r="CL132" s="1168"/>
      <c r="CM132" s="1168"/>
      <c r="CN132" s="1168"/>
      <c r="CO132" s="1168"/>
      <c r="CP132" s="1168"/>
      <c r="CQ132" s="1168"/>
      <c r="CR132" s="1168"/>
      <c r="CS132" s="1168"/>
      <c r="CT132" s="1168"/>
      <c r="CU132" s="1168"/>
      <c r="CV132" s="1168"/>
      <c r="CW132" s="1168"/>
      <c r="CX132" s="1168"/>
      <c r="CY132" s="1168"/>
      <c r="CZ132" s="1168"/>
      <c r="DA132" s="1168"/>
      <c r="DB132" s="1168"/>
      <c r="DC132" s="1168"/>
      <c r="DD132" s="1168"/>
      <c r="DE132" s="1555"/>
      <c r="DF132" s="1553"/>
      <c r="DG132" s="1589"/>
      <c r="DH132" s="858">
        <f t="shared" si="329"/>
        <v>0</v>
      </c>
      <c r="DI132" s="859">
        <f t="shared" si="330"/>
        <v>0</v>
      </c>
      <c r="DJ132" s="1167"/>
      <c r="DK132" s="1167"/>
      <c r="DL132" s="1167"/>
      <c r="DM132" s="1167"/>
      <c r="DN132" s="1167"/>
      <c r="DO132" s="1555"/>
      <c r="DP132" s="1553"/>
      <c r="DQ132" s="1589"/>
      <c r="DR132" s="858">
        <f t="shared" si="338"/>
        <v>0</v>
      </c>
      <c r="DS132" s="859">
        <f t="shared" si="338"/>
        <v>0</v>
      </c>
      <c r="DT132" s="1167"/>
      <c r="DU132" s="1167"/>
      <c r="DV132" s="1167"/>
      <c r="DW132" s="1167"/>
      <c r="DX132" s="1167"/>
      <c r="DY132" s="1167"/>
      <c r="DZ132" s="1145"/>
      <c r="EA132" s="1145"/>
      <c r="EB132" s="1145"/>
      <c r="EC132" s="1145"/>
      <c r="ED132" s="1145"/>
      <c r="EE132" s="1145"/>
      <c r="EF132" s="1145"/>
      <c r="EG132" s="1587"/>
      <c r="EH132" s="1191" t="s">
        <v>225</v>
      </c>
      <c r="EI132" s="1168">
        <f t="shared" si="302"/>
        <v>0</v>
      </c>
      <c r="EJ132" s="1168">
        <f t="shared" si="303"/>
        <v>0</v>
      </c>
      <c r="EK132" s="1168">
        <f t="shared" si="304"/>
        <v>0</v>
      </c>
      <c r="EL132" s="1168">
        <f t="shared" si="305"/>
        <v>0</v>
      </c>
      <c r="EM132" s="1168">
        <f t="shared" si="306"/>
        <v>0</v>
      </c>
      <c r="EN132" s="1168">
        <f t="shared" si="307"/>
        <v>0</v>
      </c>
      <c r="EO132" s="1168">
        <f t="shared" si="308"/>
        <v>0</v>
      </c>
      <c r="EP132" s="1168">
        <f t="shared" si="309"/>
        <v>0</v>
      </c>
      <c r="EQ132" s="1168">
        <f t="shared" si="310"/>
        <v>0</v>
      </c>
      <c r="ER132" s="1168">
        <f t="shared" si="311"/>
        <v>0</v>
      </c>
      <c r="ES132" s="1168">
        <f t="shared" si="312"/>
        <v>0</v>
      </c>
      <c r="ET132" s="1168">
        <f t="shared" si="313"/>
        <v>0</v>
      </c>
      <c r="EU132" s="1168">
        <f t="shared" si="314"/>
        <v>0</v>
      </c>
      <c r="EV132" s="1168">
        <f t="shared" si="315"/>
        <v>0</v>
      </c>
      <c r="EW132" s="1168">
        <f t="shared" si="316"/>
        <v>0</v>
      </c>
      <c r="EX132" s="1168">
        <f t="shared" si="317"/>
        <v>0</v>
      </c>
      <c r="EY132" s="1168">
        <f t="shared" si="318"/>
        <v>0</v>
      </c>
      <c r="EZ132" s="1168">
        <f t="shared" si="319"/>
        <v>0</v>
      </c>
      <c r="FA132" s="1168">
        <f t="shared" si="320"/>
        <v>0</v>
      </c>
      <c r="FB132" s="1168">
        <f t="shared" si="321"/>
        <v>0</v>
      </c>
      <c r="FC132" s="1168"/>
      <c r="FD132" s="1168"/>
      <c r="FE132" s="1168"/>
      <c r="FF132" s="1168"/>
      <c r="FG132" s="1168"/>
      <c r="FH132" s="1168"/>
      <c r="FI132" s="1168"/>
      <c r="FJ132" s="1168"/>
      <c r="FK132" s="1168"/>
      <c r="FL132" s="1168"/>
      <c r="FM132" s="1168"/>
      <c r="FN132" s="1168"/>
      <c r="FO132" s="1168"/>
      <c r="FP132" s="1168"/>
      <c r="FQ132" s="1168"/>
      <c r="FR132" s="1168"/>
      <c r="FS132" s="1168"/>
      <c r="FT132" s="1168"/>
      <c r="FU132" s="1168"/>
      <c r="FV132" s="1168"/>
      <c r="FW132" s="1168"/>
      <c r="FX132" s="1149"/>
      <c r="FY132" s="1150"/>
      <c r="FZ132" s="1150"/>
      <c r="GA132" s="1150"/>
      <c r="GB132" s="1150"/>
      <c r="GC132" s="1150"/>
      <c r="GD132" s="1192">
        <f t="shared" si="324"/>
        <v>0</v>
      </c>
      <c r="GE132" s="1573"/>
      <c r="GF132" s="1176">
        <f t="shared" si="325"/>
        <v>0</v>
      </c>
      <c r="GG132" s="1573"/>
      <c r="GH132" s="1559"/>
      <c r="GI132" s="93"/>
      <c r="GJ132" s="1587"/>
      <c r="GK132" s="1568"/>
      <c r="GL132" s="93"/>
      <c r="GM132" s="93"/>
      <c r="GN132" s="93"/>
      <c r="GO132" s="93"/>
      <c r="GP132" s="93"/>
      <c r="GQ132" s="93"/>
      <c r="GR132" s="93"/>
      <c r="GS132" s="93"/>
    </row>
    <row r="133" spans="1:201" ht="15" customHeight="1">
      <c r="A133" s="1193"/>
      <c r="B133" s="1158"/>
      <c r="C133" s="1106"/>
      <c r="D133" s="1106"/>
      <c r="E133" s="1106"/>
      <c r="F133" s="1106"/>
      <c r="G133" s="1106"/>
      <c r="H133" s="1106"/>
      <c r="I133" s="1106"/>
      <c r="J133" s="1106"/>
      <c r="K133" s="1106"/>
      <c r="L133" s="1106"/>
      <c r="M133" s="1106"/>
      <c r="N133" s="1106"/>
      <c r="O133" s="1106"/>
      <c r="P133" s="1106"/>
      <c r="Q133" s="661"/>
      <c r="R133" s="661"/>
      <c r="S133" s="661"/>
      <c r="T133" s="661"/>
      <c r="U133" s="661"/>
      <c r="V133" s="661"/>
      <c r="W133" s="661"/>
      <c r="X133" s="661"/>
      <c r="Y133" s="661"/>
      <c r="Z133" s="661"/>
      <c r="AA133" s="661"/>
      <c r="AB133" s="661"/>
      <c r="AC133" s="661"/>
      <c r="AD133" s="661"/>
      <c r="AE133" s="661"/>
      <c r="AF133" s="661"/>
      <c r="AG133" s="661"/>
      <c r="AH133" s="661"/>
      <c r="AI133" s="661"/>
      <c r="AJ133" s="661"/>
      <c r="AK133" s="661"/>
      <c r="AL133" s="661"/>
      <c r="AM133" s="661"/>
      <c r="AN133" s="661"/>
      <c r="AO133" s="661"/>
      <c r="AP133" s="661"/>
      <c r="AQ133" s="1553"/>
      <c r="AR133" s="1553"/>
      <c r="AS133" s="1589"/>
      <c r="AT133" s="858">
        <f t="shared" si="279"/>
        <v>0</v>
      </c>
      <c r="AU133" s="858">
        <f t="shared" si="280"/>
        <v>0</v>
      </c>
      <c r="AV133" s="1167"/>
      <c r="AW133" s="1167"/>
      <c r="AX133" s="1167"/>
      <c r="AY133" s="1167"/>
      <c r="AZ133" s="1167"/>
      <c r="BA133" s="1167"/>
      <c r="BB133" s="1167"/>
      <c r="BC133" s="1167"/>
      <c r="BD133" s="1167"/>
      <c r="BE133" s="1167"/>
      <c r="BF133" s="1167"/>
      <c r="BG133" s="93"/>
      <c r="BH133" s="93"/>
      <c r="BI133" s="93"/>
      <c r="BJ133" s="93"/>
      <c r="BK133" s="93"/>
      <c r="BL133" s="93"/>
      <c r="BM133" s="93"/>
      <c r="BN133" s="93"/>
      <c r="BO133" s="1193"/>
      <c r="BP133" s="1158"/>
      <c r="BQ133" s="93"/>
      <c r="BR133" s="93"/>
      <c r="BS133" s="93"/>
      <c r="BT133" s="93"/>
      <c r="BU133" s="93"/>
      <c r="BV133" s="93"/>
      <c r="BW133" s="93"/>
      <c r="BX133" s="93"/>
      <c r="BY133" s="93"/>
      <c r="BZ133" s="93"/>
      <c r="CA133" s="93"/>
      <c r="CB133" s="93"/>
      <c r="CC133" s="93"/>
      <c r="CD133" s="93"/>
      <c r="CE133" s="1168"/>
      <c r="CF133" s="1168"/>
      <c r="CG133" s="1168"/>
      <c r="CH133" s="1168"/>
      <c r="CI133" s="1168"/>
      <c r="CJ133" s="1168"/>
      <c r="CK133" s="1168"/>
      <c r="CL133" s="1168"/>
      <c r="CM133" s="1168"/>
      <c r="CN133" s="1168"/>
      <c r="CO133" s="1168"/>
      <c r="CP133" s="1168"/>
      <c r="CQ133" s="1168"/>
      <c r="CR133" s="1168"/>
      <c r="CS133" s="1168"/>
      <c r="CT133" s="1168"/>
      <c r="CU133" s="1168"/>
      <c r="CV133" s="1168"/>
      <c r="CW133" s="1168"/>
      <c r="CX133" s="1168"/>
      <c r="CY133" s="1168"/>
      <c r="CZ133" s="1168"/>
      <c r="DA133" s="1168"/>
      <c r="DB133" s="1168"/>
      <c r="DC133" s="1168"/>
      <c r="DD133" s="1168"/>
      <c r="DE133" s="1555"/>
      <c r="DF133" s="1553"/>
      <c r="DG133" s="1589"/>
      <c r="DH133" s="1644"/>
      <c r="DI133" s="1645"/>
      <c r="DJ133" s="1167"/>
      <c r="DK133" s="1167"/>
      <c r="DL133" s="1167"/>
      <c r="DM133" s="1167"/>
      <c r="DN133" s="1167"/>
      <c r="DO133" s="1555"/>
      <c r="DP133" s="1553"/>
      <c r="DQ133" s="1589"/>
      <c r="DR133" s="1644"/>
      <c r="DS133" s="1645"/>
      <c r="DT133" s="1167"/>
      <c r="DU133" s="1167"/>
      <c r="DV133" s="1167"/>
      <c r="DW133" s="1167"/>
      <c r="DX133" s="1167"/>
      <c r="DY133" s="1167"/>
      <c r="DZ133" s="1145"/>
      <c r="EA133" s="1145"/>
      <c r="EB133" s="1145"/>
      <c r="EC133" s="1145"/>
      <c r="ED133" s="1145"/>
      <c r="EE133" s="1145"/>
      <c r="EF133" s="1145"/>
      <c r="EG133" s="1193"/>
      <c r="EH133" s="1158"/>
      <c r="EI133" s="93"/>
      <c r="EJ133" s="93"/>
      <c r="EK133" s="1168"/>
      <c r="EL133" s="1168"/>
      <c r="EM133" s="1168"/>
      <c r="EN133" s="1168"/>
      <c r="EO133" s="1168"/>
      <c r="EP133" s="1168"/>
      <c r="EQ133" s="1168"/>
      <c r="ER133" s="1168"/>
      <c r="ES133" s="1168"/>
      <c r="ET133" s="1168"/>
      <c r="EU133" s="1168"/>
      <c r="EV133" s="1168"/>
      <c r="EW133" s="1168"/>
      <c r="EX133" s="1168"/>
      <c r="EY133" s="1168"/>
      <c r="EZ133" s="1168"/>
      <c r="FA133" s="1168"/>
      <c r="FB133" s="1168"/>
      <c r="FC133" s="1168"/>
      <c r="FD133" s="1168"/>
      <c r="FE133" s="1168"/>
      <c r="FF133" s="1168"/>
      <c r="FG133" s="1168"/>
      <c r="FH133" s="1168"/>
      <c r="FI133" s="1168"/>
      <c r="FJ133" s="1168"/>
      <c r="FK133" s="1168"/>
      <c r="FL133" s="1168"/>
      <c r="FM133" s="1168"/>
      <c r="FN133" s="1168"/>
      <c r="FO133" s="1168"/>
      <c r="FP133" s="1168"/>
      <c r="FQ133" s="1168"/>
      <c r="FR133" s="1168"/>
      <c r="FS133" s="1168"/>
      <c r="FT133" s="1168"/>
      <c r="FU133" s="1168"/>
      <c r="FV133" s="1168"/>
      <c r="FW133" s="1168"/>
      <c r="FX133" s="93"/>
      <c r="FY133" s="93"/>
      <c r="FZ133" s="93"/>
      <c r="GA133" s="93"/>
      <c r="GB133" s="93"/>
      <c r="GC133" s="93"/>
      <c r="GD133" s="1186"/>
      <c r="GE133" s="1183"/>
      <c r="GF133" s="1186"/>
      <c r="GG133" s="1183"/>
      <c r="GH133" s="1559"/>
      <c r="GI133" s="93"/>
      <c r="GJ133" s="93"/>
      <c r="GK133" s="1568"/>
      <c r="GL133" s="93"/>
      <c r="GM133" s="93"/>
      <c r="GN133" s="93"/>
      <c r="GO133" s="93"/>
      <c r="GP133" s="93"/>
      <c r="GQ133" s="93"/>
      <c r="GR133" s="93"/>
      <c r="GS133" s="93"/>
    </row>
    <row r="134" spans="1:201" ht="15" customHeight="1">
      <c r="A134" s="1193"/>
      <c r="B134" s="1158"/>
      <c r="C134" s="1106"/>
      <c r="D134" s="1106"/>
      <c r="E134" s="1106"/>
      <c r="F134" s="1106"/>
      <c r="G134" s="1106"/>
      <c r="H134" s="1106"/>
      <c r="I134" s="1106"/>
      <c r="J134" s="1106"/>
      <c r="K134" s="1106"/>
      <c r="L134" s="1106"/>
      <c r="M134" s="1106"/>
      <c r="N134" s="1106"/>
      <c r="O134" s="1106"/>
      <c r="P134" s="1106"/>
      <c r="Q134" s="661"/>
      <c r="R134" s="661"/>
      <c r="S134" s="661"/>
      <c r="T134" s="661"/>
      <c r="U134" s="661"/>
      <c r="V134" s="661"/>
      <c r="W134" s="661"/>
      <c r="X134" s="661"/>
      <c r="Y134" s="661"/>
      <c r="Z134" s="661"/>
      <c r="AA134" s="661"/>
      <c r="AB134" s="661"/>
      <c r="AC134" s="661"/>
      <c r="AD134" s="661"/>
      <c r="AE134" s="661"/>
      <c r="AF134" s="661"/>
      <c r="AG134" s="661"/>
      <c r="AH134" s="661"/>
      <c r="AI134" s="661"/>
      <c r="AJ134" s="661"/>
      <c r="AK134" s="661"/>
      <c r="AL134" s="661"/>
      <c r="AM134" s="661"/>
      <c r="AN134" s="661"/>
      <c r="AO134" s="661"/>
      <c r="AP134" s="661"/>
      <c r="AQ134" s="1553"/>
      <c r="AR134" s="1553"/>
      <c r="AS134" s="1589"/>
      <c r="AT134" s="858">
        <f t="shared" si="279"/>
        <v>0</v>
      </c>
      <c r="AU134" s="858">
        <f t="shared" si="280"/>
        <v>0</v>
      </c>
      <c r="AV134" s="1167"/>
      <c r="AW134" s="1167"/>
      <c r="AX134" s="1167"/>
      <c r="AY134" s="1167"/>
      <c r="AZ134" s="1167"/>
      <c r="BA134" s="1167"/>
      <c r="BB134" s="1167"/>
      <c r="BC134" s="1167"/>
      <c r="BD134" s="1167"/>
      <c r="BE134" s="1167"/>
      <c r="BF134" s="1167"/>
      <c r="BG134" s="93"/>
      <c r="BH134" s="93"/>
      <c r="BI134" s="93"/>
      <c r="BJ134" s="93"/>
      <c r="BK134" s="93"/>
      <c r="BL134" s="93"/>
      <c r="BM134" s="93"/>
      <c r="BN134" s="93"/>
      <c r="BO134" s="1193"/>
      <c r="BP134" s="1158"/>
      <c r="BQ134" s="93"/>
      <c r="BR134" s="93"/>
      <c r="BS134" s="93"/>
      <c r="BT134" s="93"/>
      <c r="BU134" s="93"/>
      <c r="BV134" s="93"/>
      <c r="BW134" s="93"/>
      <c r="BX134" s="93"/>
      <c r="BY134" s="93"/>
      <c r="BZ134" s="93"/>
      <c r="CA134" s="93"/>
      <c r="CB134" s="93"/>
      <c r="CC134" s="93"/>
      <c r="CD134" s="93"/>
      <c r="CE134" s="1168"/>
      <c r="CF134" s="1168"/>
      <c r="CG134" s="1168"/>
      <c r="CH134" s="1168"/>
      <c r="CI134" s="1168"/>
      <c r="CJ134" s="1168"/>
      <c r="CK134" s="1168"/>
      <c r="CL134" s="1168"/>
      <c r="CM134" s="1168"/>
      <c r="CN134" s="1168"/>
      <c r="CO134" s="1168"/>
      <c r="CP134" s="1168"/>
      <c r="CQ134" s="1168"/>
      <c r="CR134" s="1168"/>
      <c r="CS134" s="1168"/>
      <c r="CT134" s="1168"/>
      <c r="CU134" s="1168"/>
      <c r="CV134" s="1168"/>
      <c r="CW134" s="1168"/>
      <c r="CX134" s="1168"/>
      <c r="CY134" s="1168"/>
      <c r="CZ134" s="1168"/>
      <c r="DA134" s="1168"/>
      <c r="DB134" s="1168"/>
      <c r="DC134" s="1168"/>
      <c r="DD134" s="1168"/>
      <c r="DE134" s="1555"/>
      <c r="DF134" s="1553"/>
      <c r="DG134" s="1589"/>
      <c r="DH134" s="1646"/>
      <c r="DI134" s="1647"/>
      <c r="DJ134" s="1167"/>
      <c r="DK134" s="1167"/>
      <c r="DL134" s="1167"/>
      <c r="DM134" s="1167"/>
      <c r="DN134" s="1167"/>
      <c r="DO134" s="1555"/>
      <c r="DP134" s="1553"/>
      <c r="DQ134" s="1589"/>
      <c r="DR134" s="1646"/>
      <c r="DS134" s="1647"/>
      <c r="DT134" s="1167"/>
      <c r="DU134" s="1167"/>
      <c r="DV134" s="1167"/>
      <c r="DW134" s="1167"/>
      <c r="DX134" s="1167"/>
      <c r="DY134" s="1167"/>
      <c r="DZ134" s="1145"/>
      <c r="EA134" s="1145"/>
      <c r="EB134" s="1145"/>
      <c r="EC134" s="1145"/>
      <c r="ED134" s="1145"/>
      <c r="EE134" s="1145"/>
      <c r="EF134" s="1145"/>
      <c r="EG134" s="1193"/>
      <c r="EH134" s="1158"/>
      <c r="EI134" s="93"/>
      <c r="EJ134" s="93"/>
      <c r="EK134" s="1168"/>
      <c r="EL134" s="1168"/>
      <c r="EM134" s="1168"/>
      <c r="EN134" s="1168"/>
      <c r="EO134" s="1168"/>
      <c r="EP134" s="1168"/>
      <c r="EQ134" s="1168"/>
      <c r="ER134" s="1168"/>
      <c r="ES134" s="1168"/>
      <c r="ET134" s="1168"/>
      <c r="EU134" s="1168"/>
      <c r="EV134" s="1168"/>
      <c r="EW134" s="1168"/>
      <c r="EX134" s="1168"/>
      <c r="EY134" s="1168"/>
      <c r="EZ134" s="1168"/>
      <c r="FA134" s="1168"/>
      <c r="FB134" s="1168"/>
      <c r="FC134" s="1168"/>
      <c r="FD134" s="1168"/>
      <c r="FE134" s="1168"/>
      <c r="FF134" s="1168"/>
      <c r="FG134" s="1168"/>
      <c r="FH134" s="1168"/>
      <c r="FI134" s="1168"/>
      <c r="FJ134" s="1168"/>
      <c r="FK134" s="1168"/>
      <c r="FL134" s="1168"/>
      <c r="FM134" s="1168"/>
      <c r="FN134" s="1168"/>
      <c r="FO134" s="1168"/>
      <c r="FP134" s="1168"/>
      <c r="FQ134" s="1168"/>
      <c r="FR134" s="1168"/>
      <c r="FS134" s="1168"/>
      <c r="FT134" s="1168"/>
      <c r="FU134" s="1168"/>
      <c r="FV134" s="1168"/>
      <c r="FW134" s="1168"/>
      <c r="FX134" s="93"/>
      <c r="FY134" s="93"/>
      <c r="FZ134" s="93"/>
      <c r="GA134" s="93"/>
      <c r="GB134" s="93"/>
      <c r="GC134" s="93"/>
      <c r="GD134" s="1186"/>
      <c r="GE134" s="1183"/>
      <c r="GF134" s="1186"/>
      <c r="GG134" s="1183"/>
      <c r="GH134" s="1559"/>
      <c r="GI134" s="93"/>
      <c r="GJ134" s="93"/>
      <c r="GK134" s="1568"/>
      <c r="GL134" s="93"/>
      <c r="GM134" s="93"/>
      <c r="GN134" s="93"/>
      <c r="GO134" s="93"/>
      <c r="GP134" s="93"/>
      <c r="GQ134" s="93"/>
      <c r="GR134" s="93"/>
      <c r="GS134" s="93"/>
    </row>
    <row r="135" spans="1:201" ht="15" customHeight="1">
      <c r="A135" s="1193"/>
      <c r="B135" s="1104"/>
      <c r="C135" s="1106"/>
      <c r="D135" s="1106"/>
      <c r="E135" s="1106"/>
      <c r="F135" s="1106"/>
      <c r="G135" s="1106"/>
      <c r="H135" s="1106"/>
      <c r="I135" s="1106"/>
      <c r="J135" s="1106"/>
      <c r="K135" s="1106"/>
      <c r="L135" s="1106"/>
      <c r="M135" s="1106"/>
      <c r="N135" s="1106"/>
      <c r="O135" s="1106"/>
      <c r="P135" s="1106"/>
      <c r="Q135" s="661"/>
      <c r="R135" s="661"/>
      <c r="S135" s="661"/>
      <c r="T135" s="661"/>
      <c r="U135" s="661"/>
      <c r="V135" s="661"/>
      <c r="W135" s="661"/>
      <c r="X135" s="661"/>
      <c r="Y135" s="661"/>
      <c r="Z135" s="661"/>
      <c r="AA135" s="661"/>
      <c r="AB135" s="661"/>
      <c r="AC135" s="661"/>
      <c r="AD135" s="661"/>
      <c r="AE135" s="661"/>
      <c r="AF135" s="661"/>
      <c r="AG135" s="661"/>
      <c r="AH135" s="661"/>
      <c r="AI135" s="661"/>
      <c r="AJ135" s="661"/>
      <c r="AK135" s="661"/>
      <c r="AL135" s="661"/>
      <c r="AM135" s="661"/>
      <c r="AN135" s="661"/>
      <c r="AO135" s="661"/>
      <c r="AP135" s="661"/>
      <c r="AQ135" s="1553"/>
      <c r="AR135" s="1553"/>
      <c r="AS135" s="1589"/>
      <c r="AT135" s="858">
        <f t="shared" si="279"/>
        <v>0</v>
      </c>
      <c r="AU135" s="858">
        <f t="shared" si="280"/>
        <v>0</v>
      </c>
      <c r="AV135" s="1167"/>
      <c r="AW135" s="1167"/>
      <c r="AX135" s="1167"/>
      <c r="AY135" s="1167"/>
      <c r="AZ135" s="1167"/>
      <c r="BA135" s="1167"/>
      <c r="BB135" s="1167"/>
      <c r="BC135" s="1167"/>
      <c r="BD135" s="1167"/>
      <c r="BE135" s="1167"/>
      <c r="BF135" s="1167"/>
      <c r="BG135" s="93"/>
      <c r="BH135" s="93"/>
      <c r="BI135" s="93"/>
      <c r="BJ135" s="93"/>
      <c r="BK135" s="93"/>
      <c r="BL135" s="93"/>
      <c r="BM135" s="93"/>
      <c r="BN135" s="93"/>
      <c r="BO135" s="1193"/>
      <c r="BP135" s="1104"/>
      <c r="BQ135" s="93"/>
      <c r="BR135" s="93"/>
      <c r="BS135" s="93"/>
      <c r="BT135" s="93"/>
      <c r="BU135" s="93"/>
      <c r="BV135" s="93"/>
      <c r="BW135" s="93"/>
      <c r="BX135" s="93"/>
      <c r="BY135" s="93"/>
      <c r="BZ135" s="93"/>
      <c r="CA135" s="93"/>
      <c r="CB135" s="93"/>
      <c r="CC135" s="93"/>
      <c r="CD135" s="93"/>
      <c r="CE135" s="1168"/>
      <c r="CF135" s="1168"/>
      <c r="CG135" s="1168"/>
      <c r="CH135" s="1168"/>
      <c r="CI135" s="1168"/>
      <c r="CJ135" s="1168"/>
      <c r="CK135" s="1168"/>
      <c r="CL135" s="1168"/>
      <c r="CM135" s="1168"/>
      <c r="CN135" s="1168"/>
      <c r="CO135" s="1168"/>
      <c r="CP135" s="1168"/>
      <c r="CQ135" s="1168"/>
      <c r="CR135" s="1168"/>
      <c r="CS135" s="1168"/>
      <c r="CT135" s="1168"/>
      <c r="CU135" s="1168"/>
      <c r="CV135" s="1168"/>
      <c r="CW135" s="1168"/>
      <c r="CX135" s="1168"/>
      <c r="CY135" s="1168"/>
      <c r="CZ135" s="1168"/>
      <c r="DA135" s="1168"/>
      <c r="DB135" s="1168"/>
      <c r="DC135" s="1168"/>
      <c r="DD135" s="1168"/>
      <c r="DE135" s="1555"/>
      <c r="DF135" s="1553"/>
      <c r="DG135" s="1589"/>
      <c r="DH135" s="1648"/>
      <c r="DI135" s="1649"/>
      <c r="DJ135" s="1167"/>
      <c r="DK135" s="1167"/>
      <c r="DL135" s="1167"/>
      <c r="DM135" s="1167"/>
      <c r="DN135" s="1167"/>
      <c r="DO135" s="1555"/>
      <c r="DP135" s="1553"/>
      <c r="DQ135" s="1589"/>
      <c r="DR135" s="1648"/>
      <c r="DS135" s="1649"/>
      <c r="DT135" s="1167"/>
      <c r="DU135" s="1167"/>
      <c r="DV135" s="1167"/>
      <c r="DW135" s="1167"/>
      <c r="DX135" s="1167"/>
      <c r="DY135" s="1167"/>
      <c r="DZ135" s="1145"/>
      <c r="EA135" s="1145"/>
      <c r="EB135" s="1145"/>
      <c r="EC135" s="1145"/>
      <c r="ED135" s="1145"/>
      <c r="EE135" s="1145"/>
      <c r="EF135" s="1145"/>
      <c r="EG135" s="1193"/>
      <c r="EH135" s="1104"/>
      <c r="EI135" s="93"/>
      <c r="EJ135" s="93"/>
      <c r="EK135" s="1168"/>
      <c r="EL135" s="1168"/>
      <c r="EM135" s="1168"/>
      <c r="EN135" s="1168"/>
      <c r="EO135" s="1168"/>
      <c r="EP135" s="1168"/>
      <c r="EQ135" s="1168"/>
      <c r="ER135" s="1168"/>
      <c r="ES135" s="1168"/>
      <c r="ET135" s="1168"/>
      <c r="EU135" s="1168"/>
      <c r="EV135" s="1168"/>
      <c r="EW135" s="1168"/>
      <c r="EX135" s="1168"/>
      <c r="EY135" s="1168"/>
      <c r="EZ135" s="1168"/>
      <c r="FA135" s="1168"/>
      <c r="FB135" s="1168"/>
      <c r="FC135" s="1168"/>
      <c r="FD135" s="1168"/>
      <c r="FE135" s="1168"/>
      <c r="FF135" s="1168"/>
      <c r="FG135" s="1168"/>
      <c r="FH135" s="1168"/>
      <c r="FI135" s="1168"/>
      <c r="FJ135" s="1168"/>
      <c r="FK135" s="1168"/>
      <c r="FL135" s="1168"/>
      <c r="FM135" s="1168"/>
      <c r="FN135" s="1168"/>
      <c r="FO135" s="1168"/>
      <c r="FP135" s="1168"/>
      <c r="FQ135" s="1168"/>
      <c r="FR135" s="1168"/>
      <c r="FS135" s="1168"/>
      <c r="FT135" s="1168"/>
      <c r="FU135" s="1168"/>
      <c r="FV135" s="1168"/>
      <c r="FW135" s="1168"/>
      <c r="FX135" s="93"/>
      <c r="FY135" s="93"/>
      <c r="FZ135" s="93"/>
      <c r="GA135" s="93"/>
      <c r="GB135" s="93"/>
      <c r="GC135" s="93"/>
      <c r="GD135" s="1186"/>
      <c r="GE135" s="1183"/>
      <c r="GF135" s="1186"/>
      <c r="GG135" s="1183"/>
      <c r="GH135" s="1560"/>
      <c r="GI135" s="93"/>
      <c r="GJ135" s="93"/>
      <c r="GK135" s="1568"/>
      <c r="GL135" s="93"/>
      <c r="GM135" s="93"/>
      <c r="GN135" s="93"/>
      <c r="GO135" s="93"/>
      <c r="GP135" s="93"/>
      <c r="GQ135" s="93"/>
      <c r="GR135" s="93"/>
      <c r="GS135" s="93"/>
    </row>
    <row r="136" spans="1:201" ht="15" customHeight="1">
      <c r="A136" s="1104"/>
      <c r="B136" s="1104"/>
      <c r="C136" s="1106"/>
      <c r="D136" s="1106"/>
      <c r="E136" s="1106"/>
      <c r="F136" s="1106"/>
      <c r="G136" s="1106"/>
      <c r="H136" s="1106"/>
      <c r="I136" s="1106"/>
      <c r="J136" s="1106"/>
      <c r="K136" s="1106"/>
      <c r="L136" s="1106"/>
      <c r="M136" s="1106"/>
      <c r="N136" s="1106"/>
      <c r="O136" s="1106"/>
      <c r="P136" s="1106"/>
      <c r="Q136" s="1106"/>
      <c r="R136" s="1106"/>
      <c r="S136" s="1106"/>
      <c r="T136" s="1106"/>
      <c r="U136" s="1106"/>
      <c r="V136" s="1106"/>
      <c r="W136" s="1106"/>
      <c r="X136" s="1106"/>
      <c r="Y136" s="1106"/>
      <c r="Z136" s="1106"/>
      <c r="AA136" s="1106"/>
      <c r="AB136" s="1106"/>
      <c r="AC136" s="1106"/>
      <c r="AD136" s="1106"/>
      <c r="AE136" s="1106"/>
      <c r="AF136" s="1106"/>
      <c r="AG136" s="1106"/>
      <c r="AH136" s="1106"/>
      <c r="AI136" s="1106"/>
      <c r="AJ136" s="1106"/>
      <c r="AK136" s="1106"/>
      <c r="AL136" s="1106"/>
      <c r="AM136" s="1106"/>
      <c r="AN136" s="1106"/>
      <c r="AO136" s="1106"/>
      <c r="AP136" s="1106"/>
      <c r="AQ136" s="1547" t="s">
        <v>646</v>
      </c>
      <c r="AR136" s="1547"/>
      <c r="AS136" s="1547"/>
      <c r="AT136" s="1547"/>
      <c r="AU136" s="1547"/>
      <c r="AV136" s="1104"/>
      <c r="AW136" s="1104"/>
      <c r="AX136" s="1104"/>
      <c r="AY136" s="1104"/>
      <c r="AZ136" s="1104"/>
      <c r="BA136" s="1104"/>
      <c r="BB136" s="1104"/>
      <c r="BC136" s="1104"/>
      <c r="BD136" s="1104"/>
      <c r="BE136" s="1104"/>
      <c r="BF136" s="1104"/>
      <c r="BG136" s="93"/>
      <c r="BH136" s="93"/>
      <c r="BI136" s="93"/>
      <c r="BJ136" s="93"/>
      <c r="BK136" s="93"/>
      <c r="BL136" s="93"/>
      <c r="BM136" s="93"/>
      <c r="BN136" s="93"/>
      <c r="BO136" s="93"/>
      <c r="BP136" s="93"/>
      <c r="BQ136" s="93"/>
      <c r="BR136" s="93"/>
      <c r="BS136" s="93"/>
      <c r="BT136" s="93"/>
      <c r="BU136" s="93"/>
      <c r="BV136" s="93"/>
      <c r="BW136" s="93"/>
      <c r="BX136" s="93"/>
      <c r="BY136" s="93"/>
      <c r="BZ136" s="93"/>
      <c r="CA136" s="93"/>
      <c r="CB136" s="93"/>
      <c r="CC136" s="93"/>
      <c r="CD136" s="93"/>
      <c r="CE136" s="1168"/>
      <c r="CF136" s="1168"/>
      <c r="CG136" s="1168"/>
      <c r="CH136" s="1168"/>
      <c r="CI136" s="1168"/>
      <c r="CJ136" s="1168"/>
      <c r="CK136" s="1168"/>
      <c r="CL136" s="1168"/>
      <c r="CM136" s="1168"/>
      <c r="CN136" s="1168"/>
      <c r="CO136" s="1168"/>
      <c r="CP136" s="1168"/>
      <c r="CQ136" s="1168"/>
      <c r="CR136" s="1168"/>
      <c r="CS136" s="1168"/>
      <c r="CT136" s="1168"/>
      <c r="CU136" s="1168"/>
      <c r="CV136" s="1168"/>
      <c r="CW136" s="1168"/>
      <c r="CX136" s="1168"/>
      <c r="CY136" s="1168"/>
      <c r="CZ136" s="1168"/>
      <c r="DA136" s="1168"/>
      <c r="DB136" s="1168"/>
      <c r="DC136" s="1168"/>
      <c r="DD136" s="1168"/>
      <c r="DE136" s="1546" t="s">
        <v>647</v>
      </c>
      <c r="DF136" s="1547"/>
      <c r="DG136" s="1547"/>
      <c r="DH136" s="1547"/>
      <c r="DI136" s="1548"/>
      <c r="DJ136" s="1104"/>
      <c r="DK136" s="1104"/>
      <c r="DL136" s="1104"/>
      <c r="DM136" s="1104"/>
      <c r="DN136" s="1104"/>
      <c r="DO136" s="1546" t="s">
        <v>647</v>
      </c>
      <c r="DP136" s="1547"/>
      <c r="DQ136" s="1547"/>
      <c r="DR136" s="1547"/>
      <c r="DS136" s="1548"/>
      <c r="DT136" s="1104"/>
      <c r="DU136" s="1104"/>
      <c r="DV136" s="1104"/>
      <c r="DW136" s="1104"/>
      <c r="DX136" s="1104"/>
      <c r="DY136" s="1104"/>
      <c r="DZ136" s="1145"/>
      <c r="EA136" s="1145"/>
      <c r="EB136" s="1145"/>
      <c r="EC136" s="1145"/>
      <c r="ED136" s="1145"/>
      <c r="EE136" s="1145"/>
      <c r="EF136" s="1145"/>
      <c r="EG136" s="93"/>
      <c r="EH136" s="1547" t="s">
        <v>648</v>
      </c>
      <c r="EI136" s="1547"/>
      <c r="EJ136" s="1547"/>
      <c r="EK136" s="1547"/>
      <c r="EL136" s="1547"/>
      <c r="EM136" s="1547"/>
      <c r="EN136" s="1547"/>
      <c r="EO136" s="1547"/>
      <c r="EP136" s="1547"/>
      <c r="EQ136" s="1547"/>
      <c r="ER136" s="1547"/>
      <c r="ES136" s="1547"/>
      <c r="ET136" s="1547"/>
      <c r="EU136" s="1547"/>
      <c r="EV136" s="1547"/>
      <c r="EW136" s="1547"/>
      <c r="EX136" s="1547"/>
      <c r="EY136" s="1547"/>
      <c r="EZ136" s="1547"/>
      <c r="FA136" s="1547"/>
      <c r="FB136" s="1547"/>
      <c r="FC136" s="1104"/>
      <c r="FD136" s="1104"/>
      <c r="FE136" s="1104"/>
      <c r="FF136" s="1104"/>
      <c r="FG136" s="1104"/>
      <c r="FH136" s="1104"/>
      <c r="FI136" s="1104"/>
      <c r="FJ136" s="1104"/>
      <c r="FK136" s="1104"/>
      <c r="FL136" s="1104"/>
      <c r="FM136" s="1104"/>
      <c r="FN136" s="1104"/>
      <c r="FO136" s="1104"/>
      <c r="FP136" s="1104"/>
      <c r="FQ136" s="1104"/>
      <c r="FR136" s="1104"/>
      <c r="FS136" s="1104"/>
      <c r="FT136" s="1104"/>
      <c r="FU136" s="1104"/>
      <c r="FV136" s="1104"/>
      <c r="FW136" s="1104"/>
      <c r="FX136" s="93"/>
      <c r="FY136" s="93"/>
      <c r="FZ136" s="93"/>
      <c r="GA136" s="93"/>
      <c r="GB136" s="93"/>
      <c r="GC136" s="93"/>
      <c r="GD136" s="93"/>
      <c r="GE136" s="93"/>
      <c r="GF136" s="93"/>
      <c r="GG136" s="93"/>
      <c r="GH136" s="93"/>
      <c r="GI136" s="93"/>
      <c r="GJ136" s="93"/>
      <c r="GK136" s="93"/>
      <c r="GL136" s="93"/>
      <c r="GM136" s="93"/>
      <c r="GN136" s="93"/>
      <c r="GO136" s="93"/>
      <c r="GP136" s="93"/>
      <c r="GQ136" s="93"/>
      <c r="GR136" s="93"/>
      <c r="GS136" s="93"/>
    </row>
    <row r="137" spans="1:201" ht="15" customHeight="1" thickBot="1">
      <c r="A137" s="1546" t="s">
        <v>649</v>
      </c>
      <c r="B137" s="1547"/>
      <c r="C137" s="1106">
        <f>SUM(C116:C135)</f>
        <v>0</v>
      </c>
      <c r="D137" s="1106">
        <f t="shared" ref="D137:V137" si="339">SUM(D116:D135)</f>
        <v>0</v>
      </c>
      <c r="E137" s="1106">
        <f t="shared" si="339"/>
        <v>0</v>
      </c>
      <c r="F137" s="1106">
        <f t="shared" si="339"/>
        <v>0</v>
      </c>
      <c r="G137" s="1106">
        <f t="shared" si="339"/>
        <v>0</v>
      </c>
      <c r="H137" s="1106">
        <f t="shared" si="339"/>
        <v>0</v>
      </c>
      <c r="I137" s="1106">
        <f t="shared" si="339"/>
        <v>0</v>
      </c>
      <c r="J137" s="1106">
        <f t="shared" si="339"/>
        <v>0</v>
      </c>
      <c r="K137" s="1106">
        <f t="shared" si="339"/>
        <v>0</v>
      </c>
      <c r="L137" s="1106">
        <f t="shared" si="339"/>
        <v>0</v>
      </c>
      <c r="M137" s="1106">
        <f t="shared" si="339"/>
        <v>0</v>
      </c>
      <c r="N137" s="1106">
        <f t="shared" si="339"/>
        <v>0</v>
      </c>
      <c r="O137" s="1106">
        <f t="shared" si="339"/>
        <v>0</v>
      </c>
      <c r="P137" s="1106">
        <f t="shared" si="339"/>
        <v>0</v>
      </c>
      <c r="Q137" s="1106">
        <f t="shared" si="339"/>
        <v>0</v>
      </c>
      <c r="R137" s="1106">
        <f t="shared" si="339"/>
        <v>0</v>
      </c>
      <c r="S137" s="1106">
        <f t="shared" si="339"/>
        <v>0</v>
      </c>
      <c r="T137" s="1106">
        <f t="shared" si="339"/>
        <v>0</v>
      </c>
      <c r="U137" s="1106">
        <f t="shared" si="339"/>
        <v>0</v>
      </c>
      <c r="V137" s="1106">
        <f t="shared" si="339"/>
        <v>0</v>
      </c>
      <c r="W137" s="1106"/>
      <c r="X137" s="1106"/>
      <c r="Y137" s="1106"/>
      <c r="Z137" s="1106"/>
      <c r="AA137" s="1106"/>
      <c r="AB137" s="1106"/>
      <c r="AC137" s="1106"/>
      <c r="AD137" s="1106"/>
      <c r="AE137" s="1106"/>
      <c r="AF137" s="1106"/>
      <c r="AG137" s="1106"/>
      <c r="AH137" s="1106"/>
      <c r="AI137" s="1106"/>
      <c r="AJ137" s="1106"/>
      <c r="AK137" s="1106"/>
      <c r="AL137" s="1106"/>
      <c r="AM137" s="1106"/>
      <c r="AN137" s="1106"/>
      <c r="AO137" s="1106"/>
      <c r="AP137" s="1106"/>
      <c r="AQ137" s="1147">
        <f>SUM(AQ116:AQ120)</f>
        <v>0</v>
      </c>
      <c r="AR137" s="1147">
        <f>SUM(AR116:AR124)</f>
        <v>0</v>
      </c>
      <c r="AS137" s="1147">
        <f>SUM(AS116:AS129)</f>
        <v>0</v>
      </c>
      <c r="AT137" s="1147">
        <f>SUM(AT116:AT135)</f>
        <v>0</v>
      </c>
      <c r="AU137" s="1147">
        <f>SUM(AU116:AU135)</f>
        <v>0</v>
      </c>
      <c r="AV137" s="1147"/>
      <c r="AW137" s="1147"/>
      <c r="AX137" s="1147"/>
      <c r="AY137" s="1147"/>
      <c r="AZ137" s="1147"/>
      <c r="BA137" s="1147"/>
      <c r="BB137" s="1147"/>
      <c r="BC137" s="1147"/>
      <c r="BD137" s="1147"/>
      <c r="BE137" s="1147"/>
      <c r="BF137" s="1147"/>
      <c r="BG137" s="93"/>
      <c r="BH137" s="93"/>
      <c r="BI137" s="93"/>
      <c r="BJ137" s="93"/>
      <c r="BK137" s="93"/>
      <c r="BL137" s="93"/>
      <c r="BM137" s="93"/>
      <c r="BN137" s="93"/>
      <c r="BO137" s="93"/>
      <c r="BP137" s="93"/>
      <c r="BQ137" s="93"/>
      <c r="BR137" s="93"/>
      <c r="BS137" s="93"/>
      <c r="BT137" s="93"/>
      <c r="BU137" s="93"/>
      <c r="BV137" s="93"/>
      <c r="BW137" s="93"/>
      <c r="BX137" s="93"/>
      <c r="BY137" s="93"/>
      <c r="BZ137" s="93"/>
      <c r="CA137" s="93"/>
      <c r="CB137" s="93"/>
      <c r="CC137" s="93"/>
      <c r="CD137" s="93"/>
      <c r="CE137" s="93"/>
      <c r="CF137" s="93"/>
      <c r="CG137" s="93"/>
      <c r="CH137" s="93"/>
      <c r="CI137" s="93"/>
      <c r="CJ137" s="93"/>
      <c r="CK137" s="93"/>
      <c r="CL137" s="93"/>
      <c r="CM137" s="93"/>
      <c r="CN137" s="93"/>
      <c r="CO137" s="93"/>
      <c r="CP137" s="93"/>
      <c r="CQ137" s="93"/>
      <c r="CR137" s="93"/>
      <c r="CS137" s="93"/>
      <c r="CT137" s="93"/>
      <c r="CU137" s="93"/>
      <c r="CV137" s="93"/>
      <c r="CW137" s="93"/>
      <c r="CX137" s="93"/>
      <c r="CY137" s="93"/>
      <c r="CZ137" s="93"/>
      <c r="DA137" s="93"/>
      <c r="DB137" s="93"/>
      <c r="DC137" s="93"/>
      <c r="DD137" s="93"/>
      <c r="DE137" s="1149">
        <f>SUM(DE116:DE120)</f>
        <v>0</v>
      </c>
      <c r="DF137" s="1149">
        <f>SUM(DF116:DF124)</f>
        <v>0</v>
      </c>
      <c r="DG137" s="1149">
        <f>SUM(DG116:DG129)</f>
        <v>0</v>
      </c>
      <c r="DH137" s="1149">
        <f>SUM(DH116:DH135)</f>
        <v>0</v>
      </c>
      <c r="DI137" s="1149">
        <f>SUM(DI116:DI135)</f>
        <v>0</v>
      </c>
      <c r="DJ137" s="1149"/>
      <c r="DK137" s="1149"/>
      <c r="DL137" s="1149"/>
      <c r="DM137" s="1149"/>
      <c r="DN137" s="1149"/>
      <c r="DO137" s="1149">
        <f>AQ137-DE137</f>
        <v>0</v>
      </c>
      <c r="DP137" s="1149">
        <f>AR137-DF137</f>
        <v>0</v>
      </c>
      <c r="DQ137" s="1149">
        <f>AS137-DG137</f>
        <v>0</v>
      </c>
      <c r="DR137" s="1149">
        <f>AT137-DH137</f>
        <v>0</v>
      </c>
      <c r="DS137" s="1149">
        <f>AU137-DI137</f>
        <v>0</v>
      </c>
      <c r="DT137" s="1147"/>
      <c r="DU137" s="1147"/>
      <c r="DV137" s="1147"/>
      <c r="DW137" s="1147"/>
      <c r="DX137" s="1147"/>
      <c r="DY137" s="1147"/>
      <c r="DZ137" s="1145"/>
      <c r="EA137" s="1145"/>
      <c r="EB137" s="1145"/>
      <c r="EC137" s="1145"/>
      <c r="ED137" s="1145"/>
      <c r="EE137" s="1145"/>
      <c r="EF137" s="1145"/>
      <c r="EG137" s="1143">
        <v>1</v>
      </c>
      <c r="EH137" s="93" t="s">
        <v>651</v>
      </c>
      <c r="EI137" s="1147">
        <f>SUM(EI116:EI120)</f>
        <v>0</v>
      </c>
      <c r="EJ137" s="1147">
        <f t="shared" ref="EJ137" si="340">SUM(EJ116:EJ120)</f>
        <v>0</v>
      </c>
      <c r="EK137" s="1147">
        <f>SUM(EK116:EK120)</f>
        <v>0</v>
      </c>
      <c r="EL137" s="1147">
        <f>SUM(EL116:EL120)</f>
        <v>0</v>
      </c>
      <c r="EM137" s="1147">
        <f t="shared" ref="EM137:EV137" si="341">SUM(EM116:EM120)</f>
        <v>0</v>
      </c>
      <c r="EN137" s="1147">
        <f t="shared" si="341"/>
        <v>0</v>
      </c>
      <c r="EO137" s="1147">
        <f t="shared" si="341"/>
        <v>0</v>
      </c>
      <c r="EP137" s="1147">
        <f t="shared" si="341"/>
        <v>0</v>
      </c>
      <c r="EQ137" s="1147">
        <f t="shared" si="341"/>
        <v>0</v>
      </c>
      <c r="ER137" s="1147">
        <f t="shared" si="341"/>
        <v>0</v>
      </c>
      <c r="ES137" s="1147">
        <f t="shared" si="341"/>
        <v>0</v>
      </c>
      <c r="ET137" s="1147">
        <f t="shared" si="341"/>
        <v>0</v>
      </c>
      <c r="EU137" s="1147">
        <f t="shared" si="341"/>
        <v>0</v>
      </c>
      <c r="EV137" s="1147">
        <f t="shared" si="341"/>
        <v>0</v>
      </c>
      <c r="EW137" s="1147">
        <f>SUM(EW116:EW120)</f>
        <v>0</v>
      </c>
      <c r="EX137" s="1147">
        <f t="shared" ref="EX137" si="342">SUM(EX116:EX120)</f>
        <v>0</v>
      </c>
      <c r="EY137" s="1147">
        <f>SUM(EY116:EY120)</f>
        <v>0</v>
      </c>
      <c r="EZ137" s="1147">
        <f t="shared" ref="EZ137:FB137" si="343">SUM(EZ116:EZ120)</f>
        <v>0</v>
      </c>
      <c r="FA137" s="1147">
        <f t="shared" si="343"/>
        <v>0</v>
      </c>
      <c r="FB137" s="1147">
        <f t="shared" si="343"/>
        <v>0</v>
      </c>
      <c r="FC137" s="1147"/>
      <c r="FD137" s="1147"/>
      <c r="FE137" s="1147"/>
      <c r="FF137" s="1147"/>
      <c r="FG137" s="1147"/>
      <c r="FH137" s="1147"/>
      <c r="FI137" s="1147"/>
      <c r="FJ137" s="1147"/>
      <c r="FK137" s="1147"/>
      <c r="FL137" s="1147"/>
      <c r="FM137" s="1147"/>
      <c r="FN137" s="1147"/>
      <c r="FO137" s="1147"/>
      <c r="FP137" s="1147"/>
      <c r="FQ137" s="1147"/>
      <c r="FR137" s="1147"/>
      <c r="FS137" s="1147"/>
      <c r="FT137" s="1147"/>
      <c r="FU137" s="1147"/>
      <c r="FV137" s="1147"/>
      <c r="FW137" s="1147"/>
      <c r="FX137" s="93"/>
      <c r="FY137" s="93"/>
      <c r="FZ137" s="93"/>
      <c r="GA137" s="93"/>
      <c r="GB137" s="93"/>
      <c r="GC137" s="93"/>
      <c r="GD137" s="93"/>
      <c r="GE137" s="93"/>
      <c r="GF137" s="93"/>
      <c r="GG137" s="93"/>
      <c r="GH137" s="93"/>
      <c r="GI137" s="93"/>
      <c r="GJ137" s="93"/>
      <c r="GK137" s="93"/>
      <c r="GL137" s="93"/>
      <c r="GM137" s="93"/>
      <c r="GN137" s="93"/>
      <c r="GO137" s="93"/>
      <c r="GP137" s="93"/>
      <c r="GQ137" s="93"/>
      <c r="GR137" s="93"/>
      <c r="GS137" s="93"/>
    </row>
    <row r="138" spans="1:201" ht="15" customHeight="1" thickBot="1">
      <c r="A138" s="1546" t="s">
        <v>650</v>
      </c>
      <c r="B138" s="1547"/>
      <c r="C138" s="1106" cm="1">
        <f t="array" ref="C138:V138">BQ138:CJ138</f>
        <v>0</v>
      </c>
      <c r="D138" s="1106">
        <v>0</v>
      </c>
      <c r="E138" s="1196">
        <v>0</v>
      </c>
      <c r="F138" s="1196">
        <v>0</v>
      </c>
      <c r="G138" s="1196">
        <v>0</v>
      </c>
      <c r="H138" s="1196">
        <v>0</v>
      </c>
      <c r="I138" s="1196">
        <v>0</v>
      </c>
      <c r="J138" s="1196">
        <v>0</v>
      </c>
      <c r="K138" s="1196">
        <v>0</v>
      </c>
      <c r="L138" s="1196">
        <v>0</v>
      </c>
      <c r="M138" s="1196">
        <v>0</v>
      </c>
      <c r="N138" s="1196">
        <v>0</v>
      </c>
      <c r="O138" s="1196">
        <v>0</v>
      </c>
      <c r="P138" s="1196">
        <v>0</v>
      </c>
      <c r="Q138" s="1196">
        <v>0</v>
      </c>
      <c r="R138" s="1196">
        <v>0</v>
      </c>
      <c r="S138" s="1196">
        <v>0</v>
      </c>
      <c r="T138" s="1196">
        <v>0</v>
      </c>
      <c r="U138" s="1196">
        <v>0</v>
      </c>
      <c r="V138" s="1197">
        <v>0</v>
      </c>
      <c r="W138" s="1196"/>
      <c r="X138" s="1196"/>
      <c r="Y138" s="1196"/>
      <c r="Z138" s="1196"/>
      <c r="AA138" s="1196"/>
      <c r="AB138" s="1196"/>
      <c r="AC138" s="1196"/>
      <c r="AD138" s="1196"/>
      <c r="AE138" s="1196"/>
      <c r="AF138" s="1196"/>
      <c r="AG138" s="1196"/>
      <c r="AH138" s="1196"/>
      <c r="AI138" s="1196"/>
      <c r="AJ138" s="1196"/>
      <c r="AK138" s="1196"/>
      <c r="AL138" s="1196"/>
      <c r="AM138" s="1196"/>
      <c r="AN138" s="1196"/>
      <c r="AO138" s="1196"/>
      <c r="AP138" s="1196"/>
      <c r="AQ138" s="93"/>
      <c r="AR138" s="93"/>
      <c r="AS138" s="93"/>
      <c r="AT138" s="93"/>
      <c r="AU138" s="93"/>
      <c r="AV138" s="93"/>
      <c r="AW138" s="93"/>
      <c r="AX138" s="93"/>
      <c r="AY138" s="93"/>
      <c r="AZ138" s="93"/>
      <c r="BA138" s="93"/>
      <c r="BB138" s="93"/>
      <c r="BC138" s="93"/>
      <c r="BD138" s="93"/>
      <c r="BE138" s="93"/>
      <c r="BF138" s="93"/>
      <c r="BG138" s="93"/>
      <c r="BH138" s="93"/>
      <c r="BI138" s="93"/>
      <c r="BJ138" s="93"/>
      <c r="BK138" s="93"/>
      <c r="BL138" s="93"/>
      <c r="BM138" s="93"/>
      <c r="BN138" s="93"/>
      <c r="BO138" s="1590" t="s">
        <v>650</v>
      </c>
      <c r="BP138" s="1591"/>
      <c r="BQ138" s="1150">
        <f>SUM(BQ116:BQ135)</f>
        <v>0</v>
      </c>
      <c r="BR138" s="1150">
        <f t="shared" ref="BR138:CJ138" si="344">SUM(BR116:BR135)</f>
        <v>0</v>
      </c>
      <c r="BS138" s="1150">
        <f t="shared" si="344"/>
        <v>0</v>
      </c>
      <c r="BT138" s="1150">
        <f t="shared" si="344"/>
        <v>0</v>
      </c>
      <c r="BU138" s="1150">
        <f t="shared" si="344"/>
        <v>0</v>
      </c>
      <c r="BV138" s="1150">
        <f t="shared" si="344"/>
        <v>0</v>
      </c>
      <c r="BW138" s="1150">
        <f t="shared" si="344"/>
        <v>0</v>
      </c>
      <c r="BX138" s="1150">
        <f t="shared" si="344"/>
        <v>0</v>
      </c>
      <c r="BY138" s="1150">
        <f t="shared" si="344"/>
        <v>0</v>
      </c>
      <c r="BZ138" s="1150">
        <f t="shared" si="344"/>
        <v>0</v>
      </c>
      <c r="CA138" s="1150">
        <f t="shared" si="344"/>
        <v>0</v>
      </c>
      <c r="CB138" s="1150">
        <f t="shared" si="344"/>
        <v>0</v>
      </c>
      <c r="CC138" s="1150">
        <f t="shared" si="344"/>
        <v>0</v>
      </c>
      <c r="CD138" s="1150">
        <f t="shared" si="344"/>
        <v>0</v>
      </c>
      <c r="CE138" s="1150">
        <f t="shared" si="344"/>
        <v>0</v>
      </c>
      <c r="CF138" s="1150">
        <f t="shared" si="344"/>
        <v>0</v>
      </c>
      <c r="CG138" s="1150">
        <f t="shared" si="344"/>
        <v>0</v>
      </c>
      <c r="CH138" s="1150">
        <f t="shared" si="344"/>
        <v>0</v>
      </c>
      <c r="CI138" s="1150">
        <f t="shared" si="344"/>
        <v>0</v>
      </c>
      <c r="CJ138" s="1150">
        <f t="shared" si="344"/>
        <v>0</v>
      </c>
      <c r="CK138" s="1147"/>
      <c r="CL138" s="1147"/>
      <c r="CM138" s="1147"/>
      <c r="CN138" s="1147"/>
      <c r="CO138" s="1147"/>
      <c r="CP138" s="1147"/>
      <c r="CQ138" s="1147"/>
      <c r="CR138" s="1147"/>
      <c r="CS138" s="1147"/>
      <c r="CT138" s="1147"/>
      <c r="CU138" s="1147"/>
      <c r="CV138" s="1147"/>
      <c r="CW138" s="1147"/>
      <c r="CX138" s="1147"/>
      <c r="CY138" s="1147"/>
      <c r="CZ138" s="1147"/>
      <c r="DA138" s="1147"/>
      <c r="DB138" s="1147"/>
      <c r="DC138" s="1147"/>
      <c r="DD138" s="1147"/>
      <c r="DE138" s="1145"/>
      <c r="DF138" s="1145"/>
      <c r="DG138" s="1145"/>
      <c r="DH138" s="1145"/>
      <c r="DI138" s="1145"/>
      <c r="DJ138" s="1145"/>
      <c r="DK138" s="1145"/>
      <c r="DL138" s="1145"/>
      <c r="DM138" s="1145"/>
      <c r="DN138" s="1145"/>
      <c r="DO138" s="1145"/>
      <c r="DP138" s="1145"/>
      <c r="DQ138" s="1145"/>
      <c r="DR138" s="1145"/>
      <c r="DS138" s="1145"/>
      <c r="DT138" s="1145"/>
      <c r="DU138" s="1145"/>
      <c r="DV138" s="1145"/>
      <c r="DW138" s="1145"/>
      <c r="DX138" s="1145"/>
      <c r="DY138" s="1145"/>
      <c r="DZ138" s="1145"/>
      <c r="EA138" s="1145"/>
      <c r="EB138" s="1145"/>
      <c r="EC138" s="1145"/>
      <c r="ED138" s="1145"/>
      <c r="EE138" s="1145"/>
      <c r="EF138" s="1145"/>
      <c r="EG138" s="1143">
        <v>2</v>
      </c>
      <c r="EH138" s="93" t="s">
        <v>651</v>
      </c>
      <c r="EI138" s="1147">
        <f>SUM(EI121:EI124)</f>
        <v>0</v>
      </c>
      <c r="EJ138" s="1147">
        <f>SUM(EJ121:EJ124)</f>
        <v>0</v>
      </c>
      <c r="EK138" s="1147">
        <f t="shared" ref="EK138:FB138" si="345">SUM(EK121:EK124)</f>
        <v>0</v>
      </c>
      <c r="EL138" s="1147">
        <f t="shared" si="345"/>
        <v>0</v>
      </c>
      <c r="EM138" s="1147">
        <f t="shared" si="345"/>
        <v>0</v>
      </c>
      <c r="EN138" s="1147">
        <f t="shared" si="345"/>
        <v>0</v>
      </c>
      <c r="EO138" s="1147">
        <f t="shared" si="345"/>
        <v>0</v>
      </c>
      <c r="EP138" s="1147">
        <f t="shared" si="345"/>
        <v>0</v>
      </c>
      <c r="EQ138" s="1147">
        <f t="shared" si="345"/>
        <v>0</v>
      </c>
      <c r="ER138" s="1147">
        <f t="shared" si="345"/>
        <v>0</v>
      </c>
      <c r="ES138" s="1147">
        <f t="shared" si="345"/>
        <v>0</v>
      </c>
      <c r="ET138" s="1147">
        <f t="shared" si="345"/>
        <v>0</v>
      </c>
      <c r="EU138" s="1147">
        <f t="shared" si="345"/>
        <v>0</v>
      </c>
      <c r="EV138" s="1147">
        <f t="shared" si="345"/>
        <v>0</v>
      </c>
      <c r="EW138" s="1147">
        <f t="shared" si="345"/>
        <v>0</v>
      </c>
      <c r="EX138" s="1147">
        <f t="shared" si="345"/>
        <v>0</v>
      </c>
      <c r="EY138" s="1147">
        <f t="shared" si="345"/>
        <v>0</v>
      </c>
      <c r="EZ138" s="1147">
        <f t="shared" si="345"/>
        <v>0</v>
      </c>
      <c r="FA138" s="1147">
        <f t="shared" si="345"/>
        <v>0</v>
      </c>
      <c r="FB138" s="1147">
        <f t="shared" si="345"/>
        <v>0</v>
      </c>
      <c r="FC138" s="1147"/>
      <c r="FD138" s="1147"/>
      <c r="FE138" s="1147"/>
      <c r="FF138" s="1147"/>
      <c r="FG138" s="1147"/>
      <c r="FH138" s="1147"/>
      <c r="FI138" s="1147"/>
      <c r="FJ138" s="1147"/>
      <c r="FK138" s="1147"/>
      <c r="FL138" s="1147"/>
      <c r="FM138" s="1147"/>
      <c r="FN138" s="1147"/>
      <c r="FO138" s="1147"/>
      <c r="FP138" s="1147"/>
      <c r="FQ138" s="1147"/>
      <c r="FR138" s="1147"/>
      <c r="FS138" s="1147"/>
      <c r="FT138" s="1147"/>
      <c r="FU138" s="1147"/>
      <c r="FV138" s="1147"/>
      <c r="FW138" s="1147"/>
      <c r="FX138" s="93"/>
      <c r="FY138" s="93"/>
      <c r="FZ138" s="93"/>
      <c r="GA138" s="93"/>
      <c r="GB138" s="93"/>
      <c r="GC138" s="93"/>
      <c r="GD138" s="93"/>
      <c r="GE138" s="93"/>
      <c r="GF138" s="93"/>
      <c r="GG138" s="93"/>
      <c r="GH138" s="93"/>
      <c r="GI138" s="93"/>
      <c r="GJ138" s="93"/>
      <c r="GK138" s="93"/>
      <c r="GL138" s="93"/>
      <c r="GM138" s="93"/>
      <c r="GN138" s="93"/>
      <c r="GO138" s="93"/>
      <c r="GP138" s="93"/>
      <c r="GQ138" s="93"/>
      <c r="GR138" s="93"/>
      <c r="GS138" s="93"/>
    </row>
    <row r="139" spans="1:201" ht="15" customHeight="1">
      <c r="A139" s="1546" t="s">
        <v>661</v>
      </c>
      <c r="B139" s="1547"/>
      <c r="C139" s="1106">
        <f>C137-C138</f>
        <v>0</v>
      </c>
      <c r="D139" s="1106">
        <f t="shared" ref="D139:I139" si="346">D137-D138</f>
        <v>0</v>
      </c>
      <c r="E139" s="1106">
        <f t="shared" si="346"/>
        <v>0</v>
      </c>
      <c r="F139" s="1106">
        <f t="shared" si="346"/>
        <v>0</v>
      </c>
      <c r="G139" s="1106">
        <f t="shared" si="346"/>
        <v>0</v>
      </c>
      <c r="H139" s="1106">
        <f t="shared" si="346"/>
        <v>0</v>
      </c>
      <c r="I139" s="1106">
        <f t="shared" si="346"/>
        <v>0</v>
      </c>
      <c r="J139" s="1106" t="s">
        <v>679</v>
      </c>
      <c r="K139" s="1106">
        <f t="shared" ref="K139:V139" si="347">K137-K138</f>
        <v>0</v>
      </c>
      <c r="L139" s="1106">
        <f t="shared" si="347"/>
        <v>0</v>
      </c>
      <c r="M139" s="1106">
        <f t="shared" si="347"/>
        <v>0</v>
      </c>
      <c r="N139" s="1106">
        <f t="shared" si="347"/>
        <v>0</v>
      </c>
      <c r="O139" s="1106">
        <f t="shared" si="347"/>
        <v>0</v>
      </c>
      <c r="P139" s="1106">
        <f t="shared" si="347"/>
        <v>0</v>
      </c>
      <c r="Q139" s="1106">
        <f t="shared" si="347"/>
        <v>0</v>
      </c>
      <c r="R139" s="1106">
        <f t="shared" si="347"/>
        <v>0</v>
      </c>
      <c r="S139" s="1106">
        <f t="shared" si="347"/>
        <v>0</v>
      </c>
      <c r="T139" s="1106">
        <f t="shared" si="347"/>
        <v>0</v>
      </c>
      <c r="U139" s="1106">
        <f t="shared" si="347"/>
        <v>0</v>
      </c>
      <c r="V139" s="1141">
        <f t="shared" si="347"/>
        <v>0</v>
      </c>
      <c r="W139" s="1106"/>
      <c r="X139" s="1106"/>
      <c r="Y139" s="1106"/>
      <c r="Z139" s="1106"/>
      <c r="AA139" s="1106"/>
      <c r="AB139" s="1106"/>
      <c r="AC139" s="1106"/>
      <c r="AD139" s="1106"/>
      <c r="AE139" s="1106"/>
      <c r="AF139" s="1106"/>
      <c r="AG139" s="1106"/>
      <c r="AH139" s="1106"/>
      <c r="AI139" s="1106"/>
      <c r="AJ139" s="1106"/>
      <c r="AK139" s="1106"/>
      <c r="AL139" s="1106"/>
      <c r="AM139" s="1106"/>
      <c r="AN139" s="1106"/>
      <c r="AO139" s="1106"/>
      <c r="AP139" s="1106"/>
      <c r="AQ139" s="93"/>
      <c r="AR139" s="93"/>
      <c r="AS139" s="93"/>
      <c r="AT139" s="93"/>
      <c r="AU139" s="93"/>
      <c r="AV139" s="93"/>
      <c r="AW139" s="93"/>
      <c r="AX139" s="93"/>
      <c r="AY139" s="93"/>
      <c r="AZ139" s="93"/>
      <c r="BA139" s="93"/>
      <c r="BB139" s="93"/>
      <c r="BC139" s="93"/>
      <c r="BD139" s="93"/>
      <c r="BE139" s="93"/>
      <c r="BF139" s="93"/>
      <c r="BG139" s="93"/>
      <c r="BH139" s="93"/>
      <c r="BI139" s="93"/>
      <c r="BJ139" s="93"/>
      <c r="BK139" s="93"/>
      <c r="BL139" s="93"/>
      <c r="BM139" s="93"/>
      <c r="BN139" s="93"/>
      <c r="BO139" s="93"/>
      <c r="BP139" s="93"/>
      <c r="BQ139" s="93"/>
      <c r="BR139" s="93"/>
      <c r="BS139" s="93"/>
      <c r="BT139" s="93"/>
      <c r="BU139" s="93"/>
      <c r="BV139" s="93"/>
      <c r="BW139" s="93"/>
      <c r="BX139" s="93"/>
      <c r="BY139" s="93"/>
      <c r="BZ139" s="93"/>
      <c r="CA139" s="93"/>
      <c r="CB139" s="93"/>
      <c r="CC139" s="93"/>
      <c r="CD139" s="93"/>
      <c r="CE139" s="93"/>
      <c r="CF139" s="93"/>
      <c r="CG139" s="93"/>
      <c r="CH139" s="93"/>
      <c r="CI139" s="93"/>
      <c r="CJ139" s="93"/>
      <c r="CK139" s="93"/>
      <c r="CL139" s="93"/>
      <c r="CM139" s="93"/>
      <c r="CN139" s="93"/>
      <c r="CO139" s="93"/>
      <c r="CP139" s="93"/>
      <c r="CQ139" s="93"/>
      <c r="CR139" s="93"/>
      <c r="CS139" s="93"/>
      <c r="CT139" s="93"/>
      <c r="CU139" s="93"/>
      <c r="CV139" s="93"/>
      <c r="CW139" s="93"/>
      <c r="CX139" s="93"/>
      <c r="CY139" s="93"/>
      <c r="CZ139" s="93"/>
      <c r="DA139" s="93"/>
      <c r="DB139" s="93"/>
      <c r="DC139" s="93"/>
      <c r="DD139" s="93"/>
      <c r="DE139" s="1145"/>
      <c r="DF139" s="1145"/>
      <c r="DG139" s="1145"/>
      <c r="DH139" s="1145"/>
      <c r="DI139" s="1145"/>
      <c r="DJ139" s="1145"/>
      <c r="DK139" s="1145"/>
      <c r="DL139" s="1145"/>
      <c r="DM139" s="1145"/>
      <c r="DN139" s="1145"/>
      <c r="DO139" s="1145"/>
      <c r="DP139" s="1145"/>
      <c r="DQ139" s="1145"/>
      <c r="DR139" s="1145"/>
      <c r="DS139" s="1145"/>
      <c r="DT139" s="1145"/>
      <c r="DU139" s="1145"/>
      <c r="DV139" s="1145"/>
      <c r="DW139" s="1145"/>
      <c r="DX139" s="1145"/>
      <c r="DY139" s="1145"/>
      <c r="DZ139" s="1145"/>
      <c r="EA139" s="1145"/>
      <c r="EB139" s="1145"/>
      <c r="EC139" s="1145"/>
      <c r="ED139" s="1145"/>
      <c r="EE139" s="1145"/>
      <c r="EF139" s="1145"/>
      <c r="EG139" s="1143">
        <v>3</v>
      </c>
      <c r="EH139" s="93" t="s">
        <v>651</v>
      </c>
      <c r="EI139" s="1147">
        <f>SUM(EI125:EI128)</f>
        <v>0</v>
      </c>
      <c r="EJ139" s="1147">
        <f t="shared" ref="EJ139:EP139" si="348">SUM(EJ125:EJ129)</f>
        <v>0</v>
      </c>
      <c r="EK139" s="1147">
        <f t="shared" si="348"/>
        <v>0</v>
      </c>
      <c r="EL139" s="1147">
        <f t="shared" si="348"/>
        <v>0</v>
      </c>
      <c r="EM139" s="1147">
        <f t="shared" si="348"/>
        <v>0</v>
      </c>
      <c r="EN139" s="1147">
        <f t="shared" si="348"/>
        <v>0</v>
      </c>
      <c r="EO139" s="1147">
        <f t="shared" si="348"/>
        <v>0</v>
      </c>
      <c r="EP139" s="1147">
        <f t="shared" si="348"/>
        <v>0</v>
      </c>
      <c r="EQ139" s="1147">
        <f>SUM(EQ125:EQ128)</f>
        <v>0</v>
      </c>
      <c r="ER139" s="1147">
        <f>SUM(ER125:ER128)</f>
        <v>0</v>
      </c>
      <c r="ES139" s="1147">
        <f t="shared" ref="ES139:FB139" si="349">SUM(ES125:ES128)</f>
        <v>0</v>
      </c>
      <c r="ET139" s="1147">
        <f t="shared" si="349"/>
        <v>0</v>
      </c>
      <c r="EU139" s="1147">
        <f t="shared" si="349"/>
        <v>0</v>
      </c>
      <c r="EV139" s="1147">
        <f t="shared" si="349"/>
        <v>0</v>
      </c>
      <c r="EW139" s="1147">
        <f t="shared" si="349"/>
        <v>0</v>
      </c>
      <c r="EX139" s="1147">
        <f t="shared" si="349"/>
        <v>0</v>
      </c>
      <c r="EY139" s="1147">
        <f t="shared" si="349"/>
        <v>0</v>
      </c>
      <c r="EZ139" s="1147">
        <f t="shared" si="349"/>
        <v>0</v>
      </c>
      <c r="FA139" s="1147">
        <f t="shared" si="349"/>
        <v>0</v>
      </c>
      <c r="FB139" s="1147">
        <f t="shared" si="349"/>
        <v>0</v>
      </c>
      <c r="FC139" s="1147"/>
      <c r="FD139" s="1147"/>
      <c r="FE139" s="1147"/>
      <c r="FF139" s="1147"/>
      <c r="FG139" s="1147"/>
      <c r="FH139" s="1147"/>
      <c r="FI139" s="1147"/>
      <c r="FJ139" s="1147"/>
      <c r="FK139" s="1147"/>
      <c r="FL139" s="1147"/>
      <c r="FM139" s="1147"/>
      <c r="FN139" s="1147"/>
      <c r="FO139" s="1147"/>
      <c r="FP139" s="1147"/>
      <c r="FQ139" s="1147"/>
      <c r="FR139" s="1147"/>
      <c r="FS139" s="1147"/>
      <c r="FT139" s="1147"/>
      <c r="FU139" s="1147"/>
      <c r="FV139" s="1147"/>
      <c r="FW139" s="1147"/>
      <c r="FX139" s="93"/>
      <c r="FY139" s="93"/>
      <c r="FZ139" s="93"/>
      <c r="GA139" s="93"/>
      <c r="GB139" s="93"/>
      <c r="GC139" s="93"/>
      <c r="GD139" s="93"/>
      <c r="GE139" s="93"/>
      <c r="GF139" s="93"/>
      <c r="GG139" s="93"/>
      <c r="GH139" s="93"/>
      <c r="GI139" s="93"/>
      <c r="GJ139" s="93"/>
      <c r="GK139" s="93"/>
      <c r="GL139" s="93"/>
      <c r="GM139" s="93"/>
      <c r="GN139" s="93"/>
      <c r="GO139" s="93"/>
      <c r="GP139" s="93"/>
      <c r="GQ139" s="93"/>
      <c r="GR139" s="93"/>
      <c r="GS139" s="93"/>
    </row>
    <row r="140" spans="1:201" ht="15" customHeight="1">
      <c r="A140" s="1547"/>
      <c r="B140" s="1547"/>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93"/>
      <c r="AR140" s="93"/>
      <c r="AS140" s="93"/>
      <c r="AT140" s="93"/>
      <c r="AU140" s="93"/>
      <c r="AV140" s="93"/>
      <c r="AW140" s="93"/>
      <c r="AX140" s="93"/>
      <c r="AY140" s="93"/>
      <c r="AZ140" s="93"/>
      <c r="BA140" s="93"/>
      <c r="BB140" s="93"/>
      <c r="BC140" s="93"/>
      <c r="BD140" s="93"/>
      <c r="BE140" s="93"/>
      <c r="BF140" s="93"/>
      <c r="BG140" s="93"/>
      <c r="BH140" s="93"/>
      <c r="BI140" s="93"/>
      <c r="BJ140" s="93"/>
      <c r="BK140" s="93"/>
      <c r="BL140" s="93"/>
      <c r="BM140" s="93"/>
      <c r="BN140" s="93"/>
      <c r="BO140" s="93"/>
      <c r="BP140" s="93"/>
      <c r="BQ140" s="93"/>
      <c r="BR140" s="93"/>
      <c r="BS140" s="93"/>
      <c r="BT140" s="93"/>
      <c r="BU140" s="93"/>
      <c r="BV140" s="93"/>
      <c r="BW140" s="93"/>
      <c r="BX140" s="93"/>
      <c r="BY140" s="93"/>
      <c r="BZ140" s="93"/>
      <c r="CA140" s="93"/>
      <c r="CB140" s="93"/>
      <c r="CC140" s="93"/>
      <c r="CD140" s="93"/>
      <c r="CE140" s="93"/>
      <c r="CF140" s="93"/>
      <c r="CG140" s="93"/>
      <c r="CH140" s="93"/>
      <c r="CI140" s="93"/>
      <c r="CJ140" s="93"/>
      <c r="CK140" s="93"/>
      <c r="CL140" s="93"/>
      <c r="CM140" s="93"/>
      <c r="CN140" s="93"/>
      <c r="CO140" s="93"/>
      <c r="CP140" s="93"/>
      <c r="CQ140" s="93"/>
      <c r="CR140" s="93"/>
      <c r="CS140" s="93"/>
      <c r="CT140" s="93"/>
      <c r="CU140" s="93"/>
      <c r="CV140" s="93"/>
      <c r="CW140" s="93"/>
      <c r="CX140" s="93"/>
      <c r="CY140" s="93"/>
      <c r="CZ140" s="93"/>
      <c r="DA140" s="93"/>
      <c r="DB140" s="93"/>
      <c r="DC140" s="93"/>
      <c r="DD140" s="93"/>
      <c r="DE140" s="1145"/>
      <c r="DF140" s="1145"/>
      <c r="DG140" s="1145"/>
      <c r="DH140" s="1145"/>
      <c r="DI140" s="1145"/>
      <c r="DJ140" s="1145"/>
      <c r="DK140" s="1145"/>
      <c r="DL140" s="1145"/>
      <c r="DM140" s="1145"/>
      <c r="DN140" s="1145"/>
      <c r="DO140" s="1145"/>
      <c r="DP140" s="1145"/>
      <c r="DQ140" s="1145"/>
      <c r="DR140" s="1145"/>
      <c r="DS140" s="1145"/>
      <c r="DT140" s="1145"/>
      <c r="DU140" s="1145"/>
      <c r="DV140" s="1145"/>
      <c r="DW140" s="1145"/>
      <c r="DX140" s="1145"/>
      <c r="DY140" s="1145"/>
      <c r="DZ140" s="1145"/>
      <c r="EA140" s="1145"/>
      <c r="EB140" s="1145"/>
      <c r="EC140" s="1145"/>
      <c r="ED140" s="1145"/>
      <c r="EE140" s="1145"/>
      <c r="EF140" s="1145"/>
      <c r="EG140" s="1143">
        <v>4</v>
      </c>
      <c r="EH140" s="93" t="s">
        <v>651</v>
      </c>
      <c r="EI140" s="1147">
        <f>SUM(EI129:EI132)</f>
        <v>0</v>
      </c>
      <c r="EJ140" s="1147">
        <f t="shared" ref="EJ140:FB140" si="350">SUM(EJ129:EJ132)</f>
        <v>0</v>
      </c>
      <c r="EK140" s="1147">
        <f t="shared" si="350"/>
        <v>0</v>
      </c>
      <c r="EL140" s="1147">
        <f t="shared" si="350"/>
        <v>0</v>
      </c>
      <c r="EM140" s="1147">
        <f t="shared" si="350"/>
        <v>0</v>
      </c>
      <c r="EN140" s="1147">
        <f t="shared" si="350"/>
        <v>0</v>
      </c>
      <c r="EO140" s="1147">
        <f t="shared" si="350"/>
        <v>0</v>
      </c>
      <c r="EP140" s="1147">
        <f t="shared" si="350"/>
        <v>0</v>
      </c>
      <c r="EQ140" s="1147">
        <f t="shared" si="350"/>
        <v>0</v>
      </c>
      <c r="ER140" s="1147">
        <f t="shared" si="350"/>
        <v>0</v>
      </c>
      <c r="ES140" s="1147">
        <f t="shared" si="350"/>
        <v>0</v>
      </c>
      <c r="ET140" s="1147">
        <f t="shared" si="350"/>
        <v>0</v>
      </c>
      <c r="EU140" s="1147">
        <f t="shared" si="350"/>
        <v>0</v>
      </c>
      <c r="EV140" s="1147">
        <f t="shared" si="350"/>
        <v>0</v>
      </c>
      <c r="EW140" s="1147">
        <f t="shared" si="350"/>
        <v>0</v>
      </c>
      <c r="EX140" s="1147">
        <f t="shared" si="350"/>
        <v>0</v>
      </c>
      <c r="EY140" s="1147">
        <f t="shared" si="350"/>
        <v>0</v>
      </c>
      <c r="EZ140" s="1147">
        <f t="shared" si="350"/>
        <v>0</v>
      </c>
      <c r="FA140" s="1147">
        <f t="shared" si="350"/>
        <v>0</v>
      </c>
      <c r="FB140" s="1147">
        <f t="shared" si="350"/>
        <v>0</v>
      </c>
      <c r="FC140" s="1147"/>
      <c r="FD140" s="1147"/>
      <c r="FE140" s="1147"/>
      <c r="FF140" s="1147"/>
      <c r="FG140" s="1147"/>
      <c r="FH140" s="1147"/>
      <c r="FI140" s="1147"/>
      <c r="FJ140" s="1147"/>
      <c r="FK140" s="1147"/>
      <c r="FL140" s="1147"/>
      <c r="FM140" s="1147"/>
      <c r="FN140" s="1147"/>
      <c r="FO140" s="1147"/>
      <c r="FP140" s="1147"/>
      <c r="FQ140" s="1147"/>
      <c r="FR140" s="1147"/>
      <c r="FS140" s="1147"/>
      <c r="FT140" s="1147"/>
      <c r="FU140" s="1147"/>
      <c r="FV140" s="1147"/>
      <c r="FW140" s="1147"/>
      <c r="FX140" s="93"/>
      <c r="FY140" s="93"/>
      <c r="FZ140" s="93"/>
      <c r="GA140" s="93"/>
      <c r="GB140" s="93"/>
      <c r="GC140" s="93"/>
      <c r="GD140" s="93"/>
      <c r="GE140" s="93"/>
      <c r="GF140" s="93"/>
      <c r="GG140" s="93"/>
      <c r="GH140" s="93"/>
      <c r="GI140" s="93"/>
      <c r="GJ140" s="93"/>
      <c r="GK140" s="93"/>
      <c r="GL140" s="93"/>
      <c r="GM140" s="93"/>
      <c r="GN140" s="93"/>
      <c r="GO140" s="93"/>
      <c r="GP140" s="93"/>
      <c r="GQ140" s="93"/>
      <c r="GR140" s="93"/>
      <c r="GS140" s="93"/>
    </row>
    <row r="141" spans="1:201">
      <c r="A141" s="1547"/>
      <c r="B141" s="1547"/>
      <c r="C141" s="1106"/>
      <c r="D141" s="1106"/>
      <c r="E141" s="1196"/>
      <c r="F141" s="1196"/>
      <c r="G141" s="1196"/>
      <c r="H141" s="1196"/>
      <c r="I141" s="1196"/>
      <c r="J141" s="1196"/>
      <c r="K141" s="1196"/>
      <c r="L141" s="1196"/>
      <c r="M141" s="1196"/>
      <c r="N141" s="1196"/>
      <c r="O141" s="1196"/>
      <c r="P141" s="1196"/>
      <c r="Q141" s="1196"/>
      <c r="R141" s="1196"/>
      <c r="S141" s="1196"/>
      <c r="T141" s="1196"/>
      <c r="U141" s="1196"/>
      <c r="V141" s="1196"/>
      <c r="W141" s="1196"/>
      <c r="X141" s="1196"/>
      <c r="Y141" s="1196"/>
      <c r="Z141" s="1196"/>
      <c r="AA141" s="1196"/>
      <c r="AB141" s="1196"/>
      <c r="AC141" s="1196"/>
      <c r="AD141" s="1196"/>
      <c r="AE141" s="1196"/>
      <c r="AF141" s="1196"/>
      <c r="AG141" s="1196"/>
      <c r="AH141" s="1196"/>
      <c r="AI141" s="1196"/>
      <c r="AJ141" s="1196"/>
      <c r="AK141" s="1196"/>
      <c r="AL141" s="1196"/>
      <c r="AM141" s="1196"/>
      <c r="AN141" s="1196"/>
      <c r="AO141" s="1196"/>
      <c r="AP141" s="1196"/>
      <c r="AQ141" s="93"/>
      <c r="AR141" s="93"/>
      <c r="AS141" s="93"/>
      <c r="AT141" s="93"/>
      <c r="AU141" s="93"/>
      <c r="AV141" s="93"/>
      <c r="AW141" s="93"/>
      <c r="AX141" s="93"/>
      <c r="AY141" s="93"/>
      <c r="AZ141" s="93"/>
      <c r="BA141" s="93"/>
      <c r="BB141" s="93"/>
      <c r="BC141" s="93"/>
      <c r="BD141" s="93"/>
      <c r="BE141" s="93"/>
      <c r="BF141" s="93"/>
      <c r="BG141" s="93"/>
      <c r="BH141" s="93"/>
      <c r="BI141" s="93"/>
      <c r="BJ141" s="93"/>
      <c r="BK141" s="93"/>
      <c r="BL141" s="93"/>
      <c r="BM141" s="93"/>
      <c r="BN141" s="93"/>
      <c r="BO141" s="93"/>
      <c r="BP141" s="93"/>
      <c r="BQ141" s="93"/>
      <c r="BR141" s="93"/>
      <c r="BS141" s="93"/>
      <c r="BT141" s="93"/>
      <c r="BU141" s="93"/>
      <c r="BV141" s="93"/>
      <c r="BW141" s="93"/>
      <c r="BX141" s="93"/>
      <c r="BY141" s="93"/>
      <c r="BZ141" s="93"/>
      <c r="CA141" s="93"/>
      <c r="CB141" s="93"/>
      <c r="CC141" s="93"/>
      <c r="CD141" s="93"/>
      <c r="CE141" s="93"/>
      <c r="CF141" s="93"/>
      <c r="CG141" s="93"/>
      <c r="CH141" s="93"/>
      <c r="CI141" s="93"/>
      <c r="CJ141" s="93"/>
      <c r="CK141" s="93"/>
      <c r="CL141" s="93"/>
      <c r="CM141" s="93"/>
      <c r="CN141" s="93"/>
      <c r="CO141" s="93"/>
      <c r="CP141" s="93"/>
      <c r="CQ141" s="93"/>
      <c r="CR141" s="93"/>
      <c r="CS141" s="93"/>
      <c r="CT141" s="93"/>
      <c r="CU141" s="93"/>
      <c r="CV141" s="93"/>
      <c r="CW141" s="93"/>
      <c r="CX141" s="93"/>
      <c r="CY141" s="93"/>
      <c r="CZ141" s="93"/>
      <c r="DA141" s="93"/>
      <c r="DB141" s="93"/>
      <c r="DC141" s="93"/>
      <c r="DD141" s="93"/>
      <c r="DE141" s="93"/>
      <c r="DF141" s="93"/>
      <c r="DG141" s="93"/>
      <c r="DH141" s="93"/>
      <c r="DI141" s="93"/>
      <c r="DJ141" s="93"/>
      <c r="DK141" s="93"/>
      <c r="DL141" s="93"/>
      <c r="DM141" s="93"/>
      <c r="DN141" s="93"/>
      <c r="DO141" s="93"/>
      <c r="DP141" s="93"/>
      <c r="DQ141" s="93"/>
      <c r="DR141" s="93"/>
      <c r="DS141" s="93"/>
      <c r="DT141" s="93"/>
      <c r="DU141" s="93"/>
      <c r="DV141" s="93"/>
      <c r="DW141" s="93"/>
      <c r="DX141" s="93"/>
      <c r="DY141" s="93"/>
      <c r="DZ141" s="93"/>
      <c r="EA141" s="93"/>
      <c r="EB141" s="93"/>
      <c r="EC141" s="93"/>
      <c r="ED141" s="93"/>
      <c r="EE141" s="93"/>
      <c r="EF141" s="93"/>
      <c r="EG141" s="1547" t="s">
        <v>658</v>
      </c>
      <c r="EH141" s="1547"/>
      <c r="EI141" s="1547"/>
      <c r="EJ141" s="1547"/>
      <c r="EK141" s="1547"/>
      <c r="EL141" s="1547"/>
      <c r="EM141" s="1547"/>
      <c r="EN141" s="1547"/>
      <c r="EO141" s="1547"/>
      <c r="EP141" s="1547"/>
      <c r="EQ141" s="1547"/>
      <c r="ER141" s="1547"/>
      <c r="ES141" s="1547"/>
      <c r="ET141" s="1547"/>
      <c r="EU141" s="1547"/>
      <c r="EV141" s="1547"/>
      <c r="EW141" s="1547"/>
      <c r="EX141" s="1547"/>
      <c r="EY141" s="1547"/>
      <c r="EZ141" s="1547"/>
      <c r="FA141" s="1547"/>
      <c r="FB141" s="1547"/>
      <c r="FC141" s="1104"/>
      <c r="FD141" s="1104"/>
      <c r="FE141" s="1104"/>
      <c r="FF141" s="1104"/>
      <c r="FG141" s="1104"/>
      <c r="FH141" s="1104"/>
      <c r="FI141" s="1104"/>
      <c r="FJ141" s="1104"/>
      <c r="FK141" s="1104"/>
      <c r="FL141" s="1104"/>
      <c r="FM141" s="1104"/>
      <c r="FN141" s="1104"/>
      <c r="FO141" s="1104"/>
      <c r="FP141" s="1104"/>
      <c r="FQ141" s="1104"/>
      <c r="FR141" s="1104"/>
      <c r="FS141" s="1104"/>
      <c r="FT141" s="1104"/>
      <c r="FU141" s="1104"/>
      <c r="FV141" s="1104"/>
      <c r="FW141" s="1104"/>
      <c r="FX141" s="93"/>
      <c r="FY141" s="93" t="s">
        <v>675</v>
      </c>
      <c r="FZ141" s="93"/>
      <c r="GA141" s="93"/>
      <c r="GB141" s="93"/>
      <c r="GC141" s="93"/>
      <c r="GD141" s="93"/>
      <c r="GE141" s="93"/>
      <c r="GF141" s="93"/>
      <c r="GG141" s="93"/>
      <c r="GH141" s="93"/>
      <c r="GI141" s="93"/>
      <c r="GJ141" s="93"/>
      <c r="GK141" s="93"/>
      <c r="GL141" s="93"/>
      <c r="GM141" s="93"/>
      <c r="GN141" s="93"/>
      <c r="GO141" s="93"/>
      <c r="GP141" s="93"/>
      <c r="GQ141" s="93"/>
      <c r="GR141" s="93"/>
      <c r="GS141" s="93"/>
    </row>
    <row r="142" spans="1:201">
      <c r="A142" s="1547"/>
      <c r="B142" s="1547"/>
      <c r="C142" s="1106"/>
      <c r="D142" s="1106"/>
      <c r="E142" s="1106"/>
      <c r="F142" s="1106"/>
      <c r="G142" s="1106"/>
      <c r="H142" s="1106"/>
      <c r="I142" s="1106"/>
      <c r="J142" s="1106"/>
      <c r="K142" s="1106"/>
      <c r="L142" s="1106"/>
      <c r="M142" s="1106"/>
      <c r="N142" s="1106"/>
      <c r="O142" s="1106"/>
      <c r="P142" s="1106"/>
      <c r="Q142" s="1106"/>
      <c r="R142" s="1106"/>
      <c r="S142" s="1106"/>
      <c r="T142" s="1106"/>
      <c r="U142" s="1106"/>
      <c r="V142" s="1106"/>
      <c r="W142" s="1106"/>
      <c r="X142" s="1106"/>
      <c r="Y142" s="1106"/>
      <c r="Z142" s="1106"/>
      <c r="AA142" s="1106"/>
      <c r="AB142" s="1106"/>
      <c r="AC142" s="1106"/>
      <c r="AD142" s="1106"/>
      <c r="AE142" s="1106"/>
      <c r="AF142" s="1106"/>
      <c r="AG142" s="1106"/>
      <c r="AH142" s="1106"/>
      <c r="AI142" s="1106"/>
      <c r="AJ142" s="1106"/>
      <c r="AK142" s="1106"/>
      <c r="AL142" s="1106"/>
      <c r="AM142" s="1106"/>
      <c r="AN142" s="1106"/>
      <c r="AO142" s="1106"/>
      <c r="AP142" s="1106"/>
      <c r="AQ142" s="93"/>
      <c r="AR142" s="93"/>
      <c r="AS142" s="93"/>
      <c r="AT142" s="93"/>
      <c r="AU142" s="93"/>
      <c r="AV142" s="93"/>
      <c r="AW142" s="93"/>
      <c r="AX142" s="93"/>
      <c r="AY142" s="93"/>
      <c r="AZ142" s="93"/>
      <c r="BA142" s="93"/>
      <c r="BB142" s="93"/>
      <c r="BC142" s="93"/>
      <c r="BD142" s="93"/>
      <c r="BE142" s="93"/>
      <c r="BF142" s="93"/>
      <c r="BG142" s="93"/>
      <c r="BH142" s="93"/>
      <c r="BI142" s="93"/>
      <c r="BJ142" s="93"/>
      <c r="BK142" s="93"/>
      <c r="BL142" s="93"/>
      <c r="BM142" s="93"/>
      <c r="BN142" s="93"/>
      <c r="BO142" s="93"/>
      <c r="BP142" s="93"/>
      <c r="BQ142" s="93"/>
      <c r="BR142" s="93"/>
      <c r="BS142" s="93"/>
      <c r="BT142" s="93"/>
      <c r="BU142" s="93"/>
      <c r="BV142" s="93"/>
      <c r="BW142" s="93"/>
      <c r="BX142" s="93"/>
      <c r="BY142" s="93"/>
      <c r="BZ142" s="93"/>
      <c r="CA142" s="93"/>
      <c r="CB142" s="93"/>
      <c r="CC142" s="93"/>
      <c r="CD142" s="93"/>
      <c r="CE142" s="93"/>
      <c r="CF142" s="93"/>
      <c r="CG142" s="93"/>
      <c r="CH142" s="93"/>
      <c r="CI142" s="93"/>
      <c r="CJ142" s="93"/>
      <c r="CK142" s="93"/>
      <c r="CL142" s="93"/>
      <c r="CM142" s="93"/>
      <c r="CN142" s="93"/>
      <c r="CO142" s="93"/>
      <c r="CP142" s="93"/>
      <c r="CQ142" s="93"/>
      <c r="CR142" s="93"/>
      <c r="CS142" s="93"/>
      <c r="CT142" s="93"/>
      <c r="CU142" s="93"/>
      <c r="CV142" s="93"/>
      <c r="CW142" s="93"/>
      <c r="CX142" s="93"/>
      <c r="CY142" s="93"/>
      <c r="CZ142" s="93"/>
      <c r="DA142" s="93"/>
      <c r="DB142" s="93"/>
      <c r="DC142" s="93"/>
      <c r="DD142" s="93"/>
      <c r="DE142" s="93"/>
      <c r="DF142" s="93"/>
      <c r="DG142" s="93"/>
      <c r="DH142" s="93"/>
      <c r="DI142" s="93"/>
      <c r="DJ142" s="93"/>
      <c r="DK142" s="93"/>
      <c r="DL142" s="93"/>
      <c r="DM142" s="93"/>
      <c r="DN142" s="93"/>
      <c r="DO142" s="93"/>
      <c r="DP142" s="93"/>
      <c r="DQ142" s="93"/>
      <c r="DR142" s="93"/>
      <c r="DS142" s="93"/>
      <c r="DT142" s="93"/>
      <c r="DU142" s="93"/>
      <c r="DV142" s="93"/>
      <c r="DW142" s="93"/>
      <c r="DX142" s="93"/>
      <c r="DY142" s="93"/>
      <c r="DZ142" s="93"/>
      <c r="EA142" s="93"/>
      <c r="EB142" s="93"/>
      <c r="EC142" s="93"/>
      <c r="ED142" s="93"/>
      <c r="EE142" s="93"/>
      <c r="EF142" s="93"/>
      <c r="EG142" s="1143">
        <v>1</v>
      </c>
      <c r="EH142" s="93" t="s">
        <v>651</v>
      </c>
      <c r="EI142" s="1147" cm="1">
        <f t="array" ref="EI142:FB145">EI137:FB140</f>
        <v>0</v>
      </c>
      <c r="EJ142" s="1147">
        <v>0</v>
      </c>
      <c r="EK142" s="1147">
        <v>0</v>
      </c>
      <c r="EL142" s="1147">
        <v>0</v>
      </c>
      <c r="EM142" s="1147">
        <v>0</v>
      </c>
      <c r="EN142" s="1147">
        <v>0</v>
      </c>
      <c r="EO142" s="1147">
        <v>0</v>
      </c>
      <c r="EP142" s="1147">
        <v>0</v>
      </c>
      <c r="EQ142" s="1147">
        <v>0</v>
      </c>
      <c r="ER142" s="1147">
        <v>0</v>
      </c>
      <c r="ES142" s="1147">
        <v>0</v>
      </c>
      <c r="ET142" s="1147">
        <v>0</v>
      </c>
      <c r="EU142" s="1147">
        <v>0</v>
      </c>
      <c r="EV142" s="1147">
        <v>0</v>
      </c>
      <c r="EW142" s="1147">
        <v>0</v>
      </c>
      <c r="EX142" s="1147">
        <v>0</v>
      </c>
      <c r="EY142" s="1147">
        <v>0</v>
      </c>
      <c r="EZ142" s="1147">
        <v>0</v>
      </c>
      <c r="FA142" s="1147">
        <v>0</v>
      </c>
      <c r="FB142" s="1147">
        <v>0</v>
      </c>
      <c r="FC142" s="1147"/>
      <c r="FD142" s="1147"/>
      <c r="FE142" s="1147"/>
      <c r="FF142" s="1147"/>
      <c r="FG142" s="1147"/>
      <c r="FH142" s="1147"/>
      <c r="FI142" s="1147"/>
      <c r="FJ142" s="1147"/>
      <c r="FK142" s="1147"/>
      <c r="FL142" s="1147"/>
      <c r="FM142" s="1147"/>
      <c r="FN142" s="1147"/>
      <c r="FO142" s="1147"/>
      <c r="FP142" s="1147"/>
      <c r="FQ142" s="1147"/>
      <c r="FR142" s="1147"/>
      <c r="FS142" s="1147"/>
      <c r="FT142" s="1147"/>
      <c r="FU142" s="1147"/>
      <c r="FV142" s="1147"/>
      <c r="FW142" s="1147"/>
      <c r="FX142" s="93"/>
      <c r="FY142" s="1147">
        <f>SUM(EI137:FB137)</f>
        <v>0</v>
      </c>
      <c r="FZ142" s="93"/>
      <c r="GA142" s="93"/>
      <c r="GB142" s="93"/>
      <c r="GC142" s="93"/>
      <c r="GD142" s="93"/>
      <c r="GE142" s="93"/>
      <c r="GF142" s="93"/>
      <c r="GG142" s="93"/>
      <c r="GH142" s="93"/>
      <c r="GI142" s="93"/>
      <c r="GJ142" s="93"/>
      <c r="GK142" s="93"/>
      <c r="GL142" s="93"/>
      <c r="GM142" s="93"/>
      <c r="GN142" s="93"/>
      <c r="GO142" s="93"/>
      <c r="GP142" s="93"/>
      <c r="GQ142" s="93"/>
      <c r="GR142" s="93"/>
      <c r="GS142" s="93"/>
    </row>
    <row r="143" spans="1:201">
      <c r="A143" s="93"/>
      <c r="B143" s="93"/>
      <c r="C143" s="93"/>
      <c r="D143" s="93"/>
      <c r="E143" s="93"/>
      <c r="F143" s="93"/>
      <c r="G143" s="93"/>
      <c r="H143" s="93"/>
      <c r="I143" s="93"/>
      <c r="J143" s="93"/>
      <c r="K143" s="93"/>
      <c r="L143" s="93"/>
      <c r="M143" s="93"/>
      <c r="N143" s="93"/>
      <c r="O143" s="93"/>
      <c r="P143" s="93"/>
      <c r="Q143" s="93"/>
      <c r="R143" s="93"/>
      <c r="S143" s="93"/>
      <c r="T143" s="93"/>
      <c r="U143" s="93"/>
      <c r="V143" s="93"/>
      <c r="W143" s="93"/>
      <c r="X143" s="93"/>
      <c r="Y143" s="93"/>
      <c r="Z143" s="93"/>
      <c r="AA143" s="93"/>
      <c r="AB143" s="93"/>
      <c r="AC143" s="93"/>
      <c r="AD143" s="93"/>
      <c r="AE143" s="93"/>
      <c r="AF143" s="93"/>
      <c r="AG143" s="93"/>
      <c r="AH143" s="93"/>
      <c r="AI143" s="93"/>
      <c r="AJ143" s="93"/>
      <c r="AK143" s="93"/>
      <c r="AL143" s="93"/>
      <c r="AM143" s="93"/>
      <c r="AN143" s="93"/>
      <c r="AO143" s="93"/>
      <c r="AP143" s="93"/>
      <c r="AQ143" s="93"/>
      <c r="AR143" s="93"/>
      <c r="AS143" s="93"/>
      <c r="AT143" s="93"/>
      <c r="AU143" s="93"/>
      <c r="AV143" s="93"/>
      <c r="AW143" s="93"/>
      <c r="AX143" s="93"/>
      <c r="AY143" s="93"/>
      <c r="AZ143" s="93"/>
      <c r="BA143" s="93"/>
      <c r="BB143" s="93"/>
      <c r="BC143" s="93"/>
      <c r="BD143" s="93"/>
      <c r="BE143" s="93"/>
      <c r="BF143" s="93"/>
      <c r="BG143" s="93"/>
      <c r="BH143" s="93"/>
      <c r="BI143" s="93"/>
      <c r="BJ143" s="93"/>
      <c r="BK143" s="93"/>
      <c r="BL143" s="93"/>
      <c r="BM143" s="93"/>
      <c r="BN143" s="93"/>
      <c r="BO143" s="93"/>
      <c r="BP143" s="93"/>
      <c r="BQ143" s="93"/>
      <c r="BR143" s="93"/>
      <c r="BS143" s="93"/>
      <c r="BT143" s="93"/>
      <c r="BU143" s="93"/>
      <c r="BV143" s="93"/>
      <c r="BW143" s="93"/>
      <c r="BX143" s="93"/>
      <c r="BY143" s="93"/>
      <c r="BZ143" s="93"/>
      <c r="CA143" s="93"/>
      <c r="CB143" s="93"/>
      <c r="CC143" s="93"/>
      <c r="CD143" s="93"/>
      <c r="CE143" s="93"/>
      <c r="CF143" s="93"/>
      <c r="CG143" s="93"/>
      <c r="CH143" s="93"/>
      <c r="CI143" s="93"/>
      <c r="CJ143" s="93"/>
      <c r="CK143" s="93"/>
      <c r="CL143" s="93"/>
      <c r="CM143" s="93"/>
      <c r="CN143" s="93"/>
      <c r="CO143" s="93"/>
      <c r="CP143" s="93"/>
      <c r="CQ143" s="93"/>
      <c r="CR143" s="93"/>
      <c r="CS143" s="93"/>
      <c r="CT143" s="93"/>
      <c r="CU143" s="93"/>
      <c r="CV143" s="93"/>
      <c r="CW143" s="93"/>
      <c r="CX143" s="93"/>
      <c r="CY143" s="93"/>
      <c r="CZ143" s="93"/>
      <c r="DA143" s="93"/>
      <c r="DB143" s="93"/>
      <c r="DC143" s="93"/>
      <c r="DD143" s="93"/>
      <c r="DE143" s="93"/>
      <c r="DF143" s="93"/>
      <c r="DG143" s="93"/>
      <c r="DH143" s="93"/>
      <c r="DI143" s="93"/>
      <c r="DJ143" s="93"/>
      <c r="DK143" s="93"/>
      <c r="DL143" s="93"/>
      <c r="DM143" s="93"/>
      <c r="DN143" s="93"/>
      <c r="DO143" s="93"/>
      <c r="DP143" s="93"/>
      <c r="DQ143" s="93"/>
      <c r="DR143" s="93"/>
      <c r="DS143" s="93"/>
      <c r="DT143" s="93"/>
      <c r="DU143" s="93"/>
      <c r="DV143" s="93"/>
      <c r="DW143" s="93"/>
      <c r="DX143" s="93"/>
      <c r="DY143" s="93"/>
      <c r="DZ143" s="93"/>
      <c r="EA143" s="93"/>
      <c r="EB143" s="93"/>
      <c r="EC143" s="93"/>
      <c r="ED143" s="93"/>
      <c r="EE143" s="93"/>
      <c r="EF143" s="93"/>
      <c r="EG143" s="1143">
        <v>2</v>
      </c>
      <c r="EH143" s="93" t="s">
        <v>651</v>
      </c>
      <c r="EI143" s="1147">
        <v>0</v>
      </c>
      <c r="EJ143" s="1147">
        <v>0</v>
      </c>
      <c r="EK143" s="1147">
        <v>0</v>
      </c>
      <c r="EL143" s="1147">
        <v>0</v>
      </c>
      <c r="EM143" s="1147">
        <v>0</v>
      </c>
      <c r="EN143" s="1147">
        <v>0</v>
      </c>
      <c r="EO143" s="1147">
        <v>0</v>
      </c>
      <c r="EP143" s="1147">
        <v>0</v>
      </c>
      <c r="EQ143" s="1147">
        <v>0</v>
      </c>
      <c r="ER143" s="1147">
        <v>0</v>
      </c>
      <c r="ES143" s="1147">
        <v>0</v>
      </c>
      <c r="ET143" s="1147">
        <v>0</v>
      </c>
      <c r="EU143" s="1147">
        <v>0</v>
      </c>
      <c r="EV143" s="1147">
        <v>0</v>
      </c>
      <c r="EW143" s="1147">
        <v>0</v>
      </c>
      <c r="EX143" s="1147">
        <v>0</v>
      </c>
      <c r="EY143" s="1147">
        <v>0</v>
      </c>
      <c r="EZ143" s="1147">
        <v>0</v>
      </c>
      <c r="FA143" s="1147">
        <v>0</v>
      </c>
      <c r="FB143" s="1147">
        <v>0</v>
      </c>
      <c r="FC143" s="1147"/>
      <c r="FD143" s="1147"/>
      <c r="FE143" s="1147"/>
      <c r="FF143" s="1147"/>
      <c r="FG143" s="1147"/>
      <c r="FH143" s="1147"/>
      <c r="FI143" s="1147"/>
      <c r="FJ143" s="1147"/>
      <c r="FK143" s="1147"/>
      <c r="FL143" s="1147"/>
      <c r="FM143" s="1147"/>
      <c r="FN143" s="1147"/>
      <c r="FO143" s="1147"/>
      <c r="FP143" s="1147"/>
      <c r="FQ143" s="1147"/>
      <c r="FR143" s="1147"/>
      <c r="FS143" s="1147"/>
      <c r="FT143" s="1147"/>
      <c r="FU143" s="1147"/>
      <c r="FV143" s="1147"/>
      <c r="FW143" s="1147"/>
      <c r="FX143" s="93"/>
      <c r="FY143" s="1147">
        <f>SUM(EI138:FB138)</f>
        <v>0</v>
      </c>
      <c r="FZ143" s="93"/>
      <c r="GA143" s="93"/>
      <c r="GB143" s="93"/>
      <c r="GC143" s="93"/>
      <c r="GD143" s="93"/>
      <c r="GE143" s="93"/>
      <c r="GF143" s="93"/>
      <c r="GG143" s="93"/>
      <c r="GH143" s="93"/>
      <c r="GI143" s="93"/>
      <c r="GJ143" s="93"/>
      <c r="GK143" s="93"/>
      <c r="GL143" s="93"/>
      <c r="GM143" s="93"/>
      <c r="GN143" s="93"/>
      <c r="GO143" s="93"/>
      <c r="GP143" s="93"/>
      <c r="GQ143" s="93"/>
      <c r="GR143" s="93"/>
      <c r="GS143" s="93"/>
    </row>
    <row r="144" spans="1:201">
      <c r="A144" s="93"/>
      <c r="B144" s="93"/>
      <c r="C144" s="93"/>
      <c r="D144" s="93"/>
      <c r="E144" s="93"/>
      <c r="F144" s="93"/>
      <c r="G144" s="93"/>
      <c r="H144" s="93"/>
      <c r="I144" s="93"/>
      <c r="J144" s="93"/>
      <c r="K144" s="93"/>
      <c r="L144" s="93"/>
      <c r="M144" s="93"/>
      <c r="N144" s="93"/>
      <c r="O144" s="93"/>
      <c r="P144" s="93"/>
      <c r="Q144" s="93"/>
      <c r="R144" s="93"/>
      <c r="S144" s="93"/>
      <c r="T144" s="93"/>
      <c r="U144" s="93"/>
      <c r="V144" s="93"/>
      <c r="W144" s="93"/>
      <c r="X144" s="93"/>
      <c r="Y144" s="93"/>
      <c r="Z144" s="93"/>
      <c r="AA144" s="93"/>
      <c r="AB144" s="93"/>
      <c r="AC144" s="93"/>
      <c r="AD144" s="93"/>
      <c r="AE144" s="93"/>
      <c r="AF144" s="93"/>
      <c r="AG144" s="93"/>
      <c r="AH144" s="93"/>
      <c r="AI144" s="93"/>
      <c r="AJ144" s="93"/>
      <c r="AK144" s="93"/>
      <c r="AL144" s="93"/>
      <c r="AM144" s="93"/>
      <c r="AN144" s="93"/>
      <c r="AO144" s="93"/>
      <c r="AP144" s="93"/>
      <c r="AQ144" s="93"/>
      <c r="AR144" s="93"/>
      <c r="AS144" s="93"/>
      <c r="AT144" s="93"/>
      <c r="AU144" s="93"/>
      <c r="AV144" s="93"/>
      <c r="AW144" s="93"/>
      <c r="AX144" s="93"/>
      <c r="AY144" s="93"/>
      <c r="AZ144" s="93"/>
      <c r="BA144" s="93"/>
      <c r="BB144" s="93"/>
      <c r="BC144" s="93"/>
      <c r="BD144" s="93"/>
      <c r="BE144" s="93"/>
      <c r="BF144" s="93"/>
      <c r="BG144" s="93"/>
      <c r="BH144" s="93"/>
      <c r="BI144" s="93"/>
      <c r="BJ144" s="93"/>
      <c r="BK144" s="93"/>
      <c r="BL144" s="93"/>
      <c r="BM144" s="93"/>
      <c r="BN144" s="93"/>
      <c r="BO144" s="93"/>
      <c r="BP144" s="93"/>
      <c r="BQ144" s="93"/>
      <c r="BR144" s="93"/>
      <c r="BS144" s="93"/>
      <c r="BT144" s="93"/>
      <c r="BU144" s="93"/>
      <c r="BV144" s="93"/>
      <c r="BW144" s="93"/>
      <c r="BX144" s="93"/>
      <c r="BY144" s="93"/>
      <c r="BZ144" s="93"/>
      <c r="CA144" s="93"/>
      <c r="CB144" s="93"/>
      <c r="CC144" s="93"/>
      <c r="CD144" s="93"/>
      <c r="CE144" s="93"/>
      <c r="CF144" s="93"/>
      <c r="CG144" s="93"/>
      <c r="CH144" s="93"/>
      <c r="CI144" s="93"/>
      <c r="CJ144" s="93"/>
      <c r="CK144" s="93"/>
      <c r="CL144" s="93"/>
      <c r="CM144" s="93"/>
      <c r="CN144" s="93"/>
      <c r="CO144" s="93"/>
      <c r="CP144" s="93"/>
      <c r="CQ144" s="93"/>
      <c r="CR144" s="93"/>
      <c r="CS144" s="93"/>
      <c r="CT144" s="93"/>
      <c r="CU144" s="93"/>
      <c r="CV144" s="93"/>
      <c r="CW144" s="93"/>
      <c r="CX144" s="93"/>
      <c r="CY144" s="93"/>
      <c r="CZ144" s="93"/>
      <c r="DA144" s="93"/>
      <c r="DB144" s="93"/>
      <c r="DC144" s="93"/>
      <c r="DD144" s="93"/>
      <c r="DE144" s="93"/>
      <c r="DF144" s="93"/>
      <c r="DG144" s="93"/>
      <c r="DH144" s="93"/>
      <c r="DI144" s="93"/>
      <c r="DJ144" s="93"/>
      <c r="DK144" s="93"/>
      <c r="DL144" s="93"/>
      <c r="DM144" s="93"/>
      <c r="DN144" s="93"/>
      <c r="DO144" s="93"/>
      <c r="DP144" s="93"/>
      <c r="DQ144" s="93"/>
      <c r="DR144" s="93"/>
      <c r="DS144" s="93"/>
      <c r="DT144" s="93"/>
      <c r="DU144" s="93"/>
      <c r="DV144" s="93"/>
      <c r="DW144" s="93"/>
      <c r="DX144" s="93"/>
      <c r="DY144" s="93"/>
      <c r="DZ144" s="93"/>
      <c r="EA144" s="93"/>
      <c r="EB144" s="93"/>
      <c r="EC144" s="93"/>
      <c r="ED144" s="93"/>
      <c r="EE144" s="93"/>
      <c r="EF144" s="93"/>
      <c r="EG144" s="1143">
        <v>3</v>
      </c>
      <c r="EH144" s="93" t="s">
        <v>651</v>
      </c>
      <c r="EI144" s="1147">
        <v>0</v>
      </c>
      <c r="EJ144" s="1147">
        <v>0</v>
      </c>
      <c r="EK144" s="1147">
        <v>0</v>
      </c>
      <c r="EL144" s="1147">
        <v>0</v>
      </c>
      <c r="EM144" s="1147">
        <v>0</v>
      </c>
      <c r="EN144" s="1147">
        <v>0</v>
      </c>
      <c r="EO144" s="1147">
        <v>0</v>
      </c>
      <c r="EP144" s="1147">
        <v>0</v>
      </c>
      <c r="EQ144" s="1147">
        <v>0</v>
      </c>
      <c r="ER144" s="1147">
        <v>0</v>
      </c>
      <c r="ES144" s="1147">
        <v>0</v>
      </c>
      <c r="ET144" s="1147">
        <v>0</v>
      </c>
      <c r="EU144" s="1147">
        <v>0</v>
      </c>
      <c r="EV144" s="1147">
        <v>0</v>
      </c>
      <c r="EW144" s="1147">
        <v>0</v>
      </c>
      <c r="EX144" s="1147">
        <v>0</v>
      </c>
      <c r="EY144" s="1147">
        <v>0</v>
      </c>
      <c r="EZ144" s="1147">
        <v>0</v>
      </c>
      <c r="FA144" s="1147">
        <v>0</v>
      </c>
      <c r="FB144" s="1147">
        <v>0</v>
      </c>
      <c r="FC144" s="1147"/>
      <c r="FD144" s="1147"/>
      <c r="FE144" s="1147"/>
      <c r="FF144" s="1147"/>
      <c r="FG144" s="1147"/>
      <c r="FH144" s="1147"/>
      <c r="FI144" s="1147"/>
      <c r="FJ144" s="1147"/>
      <c r="FK144" s="1147"/>
      <c r="FL144" s="1147"/>
      <c r="FM144" s="1147"/>
      <c r="FN144" s="1147"/>
      <c r="FO144" s="1147"/>
      <c r="FP144" s="1147"/>
      <c r="FQ144" s="1147"/>
      <c r="FR144" s="1147"/>
      <c r="FS144" s="1147"/>
      <c r="FT144" s="1147"/>
      <c r="FU144" s="1147"/>
      <c r="FV144" s="1147"/>
      <c r="FW144" s="1147"/>
      <c r="FX144" s="93"/>
      <c r="FY144" s="1147">
        <f>SUM(EI139:FB139)</f>
        <v>0</v>
      </c>
      <c r="FZ144" s="93"/>
      <c r="GA144" s="93"/>
      <c r="GB144" s="93"/>
      <c r="GC144" s="93"/>
      <c r="GD144" s="93"/>
      <c r="GE144" s="93"/>
      <c r="GF144" s="93"/>
      <c r="GG144" s="93"/>
      <c r="GH144" s="93"/>
      <c r="GI144" s="93"/>
      <c r="GJ144" s="93"/>
      <c r="GK144" s="93"/>
      <c r="GL144" s="93"/>
      <c r="GM144" s="93"/>
      <c r="GN144" s="93"/>
      <c r="GO144" s="93"/>
      <c r="GP144" s="93"/>
      <c r="GQ144" s="93"/>
      <c r="GR144" s="93"/>
      <c r="GS144" s="93"/>
    </row>
    <row r="145" spans="1:201">
      <c r="A145" s="93"/>
      <c r="B145" s="93"/>
      <c r="C145" s="93"/>
      <c r="D145" s="93"/>
      <c r="E145" s="93"/>
      <c r="F145" s="93"/>
      <c r="G145" s="93"/>
      <c r="H145" s="93"/>
      <c r="I145" s="93"/>
      <c r="J145" s="93"/>
      <c r="K145" s="93"/>
      <c r="L145" s="93"/>
      <c r="M145" s="93"/>
      <c r="N145" s="93"/>
      <c r="O145" s="93"/>
      <c r="P145" s="93"/>
      <c r="Q145" s="93"/>
      <c r="R145" s="93"/>
      <c r="S145" s="93"/>
      <c r="T145" s="93"/>
      <c r="U145" s="93"/>
      <c r="V145" s="93"/>
      <c r="W145" s="93"/>
      <c r="X145" s="93"/>
      <c r="Y145" s="93"/>
      <c r="Z145" s="93"/>
      <c r="AA145" s="93"/>
      <c r="AB145" s="93"/>
      <c r="AC145" s="93"/>
      <c r="AD145" s="93"/>
      <c r="AE145" s="93"/>
      <c r="AF145" s="93"/>
      <c r="AG145" s="93"/>
      <c r="AH145" s="93"/>
      <c r="AI145" s="93"/>
      <c r="AJ145" s="93"/>
      <c r="AK145" s="93"/>
      <c r="AL145" s="93"/>
      <c r="AM145" s="93"/>
      <c r="AN145" s="93"/>
      <c r="AO145" s="93"/>
      <c r="AP145" s="93"/>
      <c r="AQ145" s="93"/>
      <c r="AR145" s="93"/>
      <c r="AS145" s="93"/>
      <c r="AT145" s="93"/>
      <c r="AU145" s="93"/>
      <c r="AV145" s="93"/>
      <c r="AW145" s="93"/>
      <c r="AX145" s="93"/>
      <c r="AY145" s="93"/>
      <c r="AZ145" s="93"/>
      <c r="BA145" s="93"/>
      <c r="BB145" s="93"/>
      <c r="BC145" s="93"/>
      <c r="BD145" s="93"/>
      <c r="BE145" s="93"/>
      <c r="BF145" s="93"/>
      <c r="BG145" s="93"/>
      <c r="BH145" s="93"/>
      <c r="BI145" s="93"/>
      <c r="BJ145" s="93"/>
      <c r="BK145" s="93"/>
      <c r="BL145" s="93"/>
      <c r="BM145" s="93"/>
      <c r="BN145" s="93"/>
      <c r="BO145" s="93"/>
      <c r="BP145" s="93"/>
      <c r="BQ145" s="93"/>
      <c r="BR145" s="93"/>
      <c r="BS145" s="93"/>
      <c r="BT145" s="93"/>
      <c r="BU145" s="93"/>
      <c r="BV145" s="93"/>
      <c r="BW145" s="93"/>
      <c r="BX145" s="93"/>
      <c r="BY145" s="93"/>
      <c r="BZ145" s="93"/>
      <c r="CA145" s="93"/>
      <c r="CB145" s="93"/>
      <c r="CC145" s="93"/>
      <c r="CD145" s="93"/>
      <c r="CE145" s="93"/>
      <c r="CF145" s="93"/>
      <c r="CG145" s="93"/>
      <c r="CH145" s="93"/>
      <c r="CI145" s="93"/>
      <c r="CJ145" s="93"/>
      <c r="CK145" s="93"/>
      <c r="CL145" s="93"/>
      <c r="CM145" s="93"/>
      <c r="CN145" s="93"/>
      <c r="CO145" s="93"/>
      <c r="CP145" s="93"/>
      <c r="CQ145" s="93"/>
      <c r="CR145" s="93"/>
      <c r="CS145" s="93"/>
      <c r="CT145" s="93"/>
      <c r="CU145" s="93"/>
      <c r="CV145" s="93"/>
      <c r="CW145" s="93"/>
      <c r="CX145" s="93"/>
      <c r="CY145" s="93"/>
      <c r="CZ145" s="93"/>
      <c r="DA145" s="93"/>
      <c r="DB145" s="93"/>
      <c r="DC145" s="93"/>
      <c r="DD145" s="93"/>
      <c r="DE145" s="93"/>
      <c r="DF145" s="93"/>
      <c r="DG145" s="93"/>
      <c r="DH145" s="93"/>
      <c r="DI145" s="93"/>
      <c r="DJ145" s="93"/>
      <c r="DK145" s="93"/>
      <c r="DL145" s="93"/>
      <c r="DM145" s="93"/>
      <c r="DN145" s="93"/>
      <c r="DO145" s="93"/>
      <c r="DP145" s="93"/>
      <c r="DQ145" s="93"/>
      <c r="DR145" s="93"/>
      <c r="DS145" s="93"/>
      <c r="DT145" s="93"/>
      <c r="DU145" s="93"/>
      <c r="DV145" s="93"/>
      <c r="DW145" s="93"/>
      <c r="DX145" s="93"/>
      <c r="DY145" s="93"/>
      <c r="DZ145" s="93"/>
      <c r="EA145" s="93"/>
      <c r="EB145" s="93"/>
      <c r="EC145" s="93"/>
      <c r="ED145" s="93"/>
      <c r="EE145" s="93"/>
      <c r="EF145" s="93"/>
      <c r="EG145" s="1143">
        <v>4</v>
      </c>
      <c r="EH145" s="93" t="s">
        <v>651</v>
      </c>
      <c r="EI145" s="1147">
        <v>0</v>
      </c>
      <c r="EJ145" s="1147">
        <v>0</v>
      </c>
      <c r="EK145" s="1147">
        <v>0</v>
      </c>
      <c r="EL145" s="1147">
        <v>0</v>
      </c>
      <c r="EM145" s="1147">
        <v>0</v>
      </c>
      <c r="EN145" s="1147">
        <v>0</v>
      </c>
      <c r="EO145" s="1147">
        <v>0</v>
      </c>
      <c r="EP145" s="1147">
        <v>0</v>
      </c>
      <c r="EQ145" s="1147">
        <v>0</v>
      </c>
      <c r="ER145" s="1147">
        <v>0</v>
      </c>
      <c r="ES145" s="1147">
        <v>0</v>
      </c>
      <c r="ET145" s="1147">
        <v>0</v>
      </c>
      <c r="EU145" s="1147">
        <v>0</v>
      </c>
      <c r="EV145" s="1147">
        <v>0</v>
      </c>
      <c r="EW145" s="1147">
        <v>0</v>
      </c>
      <c r="EX145" s="1147">
        <v>0</v>
      </c>
      <c r="EY145" s="1147">
        <v>0</v>
      </c>
      <c r="EZ145" s="1147">
        <v>0</v>
      </c>
      <c r="FA145" s="1147">
        <v>0</v>
      </c>
      <c r="FB145" s="1147">
        <v>0</v>
      </c>
      <c r="FC145" s="1147"/>
      <c r="FD145" s="1147"/>
      <c r="FE145" s="1147"/>
      <c r="FF145" s="1147"/>
      <c r="FG145" s="1147"/>
      <c r="FH145" s="1147"/>
      <c r="FI145" s="1147"/>
      <c r="FJ145" s="1147"/>
      <c r="FK145" s="1147"/>
      <c r="FL145" s="1147"/>
      <c r="FM145" s="1147"/>
      <c r="FN145" s="1147"/>
      <c r="FO145" s="1147"/>
      <c r="FP145" s="1147"/>
      <c r="FQ145" s="1147"/>
      <c r="FR145" s="1147"/>
      <c r="FS145" s="1147"/>
      <c r="FT145" s="1147"/>
      <c r="FU145" s="1147"/>
      <c r="FV145" s="1147"/>
      <c r="FW145" s="1147"/>
      <c r="FX145" s="93"/>
      <c r="FY145" s="1147">
        <f>SUM(EI140:FB140)</f>
        <v>0</v>
      </c>
      <c r="FZ145" s="93"/>
      <c r="GA145" s="93"/>
      <c r="GB145" s="93"/>
      <c r="GC145" s="93"/>
      <c r="GD145" s="93"/>
      <c r="GE145" s="93"/>
      <c r="GF145" s="93"/>
      <c r="GG145" s="93"/>
      <c r="GH145" s="93"/>
      <c r="GI145" s="93"/>
      <c r="GJ145" s="93"/>
      <c r="GK145" s="93"/>
      <c r="GL145" s="93"/>
      <c r="GM145" s="93"/>
      <c r="GN145" s="93"/>
      <c r="GO145" s="93"/>
      <c r="GP145" s="93"/>
      <c r="GQ145" s="93"/>
      <c r="GR145" s="93"/>
      <c r="GS145" s="93"/>
    </row>
    <row r="146" spans="1:201">
      <c r="A146" s="93"/>
      <c r="B146" s="93"/>
      <c r="C146" s="93"/>
      <c r="D146" s="93"/>
      <c r="E146" s="93"/>
      <c r="F146" s="93"/>
      <c r="G146" s="93"/>
      <c r="H146" s="93"/>
      <c r="I146" s="93"/>
      <c r="J146" s="93"/>
      <c r="K146" s="93"/>
      <c r="L146" s="93"/>
      <c r="M146" s="93"/>
      <c r="N146" s="93"/>
      <c r="O146" s="93"/>
      <c r="P146" s="93"/>
      <c r="Q146" s="93"/>
      <c r="R146" s="93"/>
      <c r="S146" s="93"/>
      <c r="T146" s="93"/>
      <c r="U146" s="93"/>
      <c r="V146" s="93"/>
      <c r="W146" s="93"/>
      <c r="X146" s="93"/>
      <c r="Y146" s="93"/>
      <c r="Z146" s="93"/>
      <c r="AA146" s="93"/>
      <c r="AB146" s="93"/>
      <c r="AC146" s="93"/>
      <c r="AD146" s="93"/>
      <c r="AE146" s="93"/>
      <c r="AF146" s="93"/>
      <c r="AG146" s="93"/>
      <c r="AH146" s="93"/>
      <c r="AI146" s="93"/>
      <c r="AJ146" s="93"/>
      <c r="AK146" s="93"/>
      <c r="AL146" s="93"/>
      <c r="AM146" s="93"/>
      <c r="AN146" s="93"/>
      <c r="AO146" s="93"/>
      <c r="AP146" s="93"/>
      <c r="AQ146" s="93"/>
      <c r="AR146" s="93"/>
      <c r="AS146" s="93"/>
      <c r="AT146" s="93"/>
      <c r="AU146" s="93"/>
      <c r="AV146" s="93"/>
      <c r="AW146" s="93"/>
      <c r="AX146" s="93"/>
      <c r="AY146" s="93"/>
      <c r="AZ146" s="93"/>
      <c r="BA146" s="93"/>
      <c r="BB146" s="93"/>
      <c r="BC146" s="93"/>
      <c r="BD146" s="93"/>
      <c r="BE146" s="93"/>
      <c r="BF146" s="93"/>
      <c r="BG146" s="93"/>
      <c r="BH146" s="93"/>
      <c r="BI146" s="93"/>
      <c r="BJ146" s="93"/>
      <c r="BK146" s="93"/>
      <c r="BL146" s="93"/>
      <c r="BM146" s="93"/>
      <c r="BN146" s="93"/>
      <c r="BO146" s="93"/>
      <c r="BP146" s="93"/>
      <c r="BQ146" s="93"/>
      <c r="BR146" s="93"/>
      <c r="BS146" s="93"/>
      <c r="BT146" s="93"/>
      <c r="BU146" s="93"/>
      <c r="BV146" s="93"/>
      <c r="BW146" s="93"/>
      <c r="BX146" s="93"/>
      <c r="BY146" s="93"/>
      <c r="BZ146" s="93"/>
      <c r="CA146" s="93"/>
      <c r="CB146" s="93"/>
      <c r="CC146" s="93"/>
      <c r="CD146" s="93"/>
      <c r="CE146" s="93"/>
      <c r="CF146" s="93"/>
      <c r="CG146" s="93"/>
      <c r="CH146" s="93"/>
      <c r="CI146" s="93"/>
      <c r="CJ146" s="93"/>
      <c r="CK146" s="93"/>
      <c r="CL146" s="93"/>
      <c r="CM146" s="93"/>
      <c r="CN146" s="93"/>
      <c r="CO146" s="93"/>
      <c r="CP146" s="93"/>
      <c r="CQ146" s="93"/>
      <c r="CR146" s="93"/>
      <c r="CS146" s="93"/>
      <c r="CT146" s="93"/>
      <c r="CU146" s="93"/>
      <c r="CV146" s="93"/>
      <c r="CW146" s="93"/>
      <c r="CX146" s="93"/>
      <c r="CY146" s="93"/>
      <c r="CZ146" s="93"/>
      <c r="DA146" s="93"/>
      <c r="DB146" s="93"/>
      <c r="DC146" s="93"/>
      <c r="DD146" s="93"/>
      <c r="DE146" s="93"/>
      <c r="DF146" s="93"/>
      <c r="DG146" s="93"/>
      <c r="DH146" s="93"/>
      <c r="DI146" s="93"/>
      <c r="DJ146" s="93"/>
      <c r="DK146" s="93"/>
      <c r="DL146" s="93"/>
      <c r="DM146" s="93"/>
      <c r="DN146" s="93"/>
      <c r="DO146" s="93"/>
      <c r="DP146" s="93"/>
      <c r="DQ146" s="93"/>
      <c r="DR146" s="93"/>
      <c r="DS146" s="93"/>
      <c r="DT146" s="93"/>
      <c r="DU146" s="93"/>
      <c r="DV146" s="93"/>
      <c r="DW146" s="93"/>
      <c r="DX146" s="93"/>
      <c r="DY146" s="93"/>
      <c r="DZ146" s="93"/>
      <c r="EA146" s="93"/>
      <c r="EB146" s="93"/>
      <c r="EC146" s="93"/>
      <c r="ED146" s="93"/>
      <c r="EE146" s="93"/>
      <c r="EF146" s="93"/>
      <c r="EG146" s="93"/>
      <c r="EH146" s="93"/>
      <c r="EI146" s="93"/>
      <c r="EJ146" s="93"/>
      <c r="EK146" s="93"/>
      <c r="EL146" s="93"/>
      <c r="EM146" s="93"/>
      <c r="EN146" s="93"/>
      <c r="EO146" s="93"/>
      <c r="EP146" s="93"/>
      <c r="EQ146" s="93"/>
      <c r="ER146" s="93"/>
      <c r="ES146" s="93"/>
      <c r="ET146" s="93"/>
      <c r="EU146" s="93"/>
      <c r="EV146" s="93"/>
      <c r="EW146" s="93"/>
      <c r="EX146" s="93"/>
      <c r="EY146" s="93"/>
      <c r="EZ146" s="93"/>
      <c r="FA146" s="93"/>
      <c r="FB146" s="93"/>
      <c r="FC146" s="93"/>
      <c r="FD146" s="93"/>
      <c r="FE146" s="93"/>
      <c r="FF146" s="93"/>
      <c r="FG146" s="93"/>
      <c r="FH146" s="93"/>
      <c r="FI146" s="93"/>
      <c r="FJ146" s="93"/>
      <c r="FK146" s="93"/>
      <c r="FL146" s="93"/>
      <c r="FM146" s="93"/>
      <c r="FN146" s="93"/>
      <c r="FO146" s="93"/>
      <c r="FP146" s="93"/>
      <c r="FQ146" s="93"/>
      <c r="FR146" s="93"/>
      <c r="FS146" s="93"/>
      <c r="FT146" s="93"/>
      <c r="FU146" s="93"/>
      <c r="FV146" s="93"/>
      <c r="FW146" s="93"/>
      <c r="FX146" s="93"/>
      <c r="FY146" s="93"/>
      <c r="FZ146" s="93"/>
      <c r="GA146" s="93"/>
      <c r="GB146" s="93"/>
      <c r="GC146" s="93"/>
      <c r="GD146" s="93"/>
      <c r="GE146" s="93"/>
      <c r="GF146" s="93"/>
      <c r="GG146" s="93"/>
      <c r="GH146" s="93"/>
      <c r="GI146" s="93"/>
      <c r="GJ146" s="93"/>
      <c r="GK146" s="93"/>
      <c r="GL146" s="93"/>
      <c r="GM146" s="93"/>
      <c r="GN146" s="93"/>
      <c r="GO146" s="93"/>
      <c r="GP146" s="93"/>
      <c r="GQ146" s="93"/>
      <c r="GR146" s="93"/>
      <c r="GS146" s="93"/>
    </row>
    <row r="147" spans="1:201">
      <c r="A147" s="93"/>
      <c r="B147" s="93"/>
      <c r="C147" s="93"/>
      <c r="D147" s="93"/>
      <c r="E147" s="93"/>
      <c r="F147" s="93"/>
      <c r="G147" s="93"/>
      <c r="H147" s="93"/>
      <c r="I147" s="93"/>
      <c r="J147" s="93"/>
      <c r="K147" s="93"/>
      <c r="L147" s="93"/>
      <c r="M147" s="93"/>
      <c r="N147" s="93"/>
      <c r="O147" s="93"/>
      <c r="P147" s="93"/>
      <c r="Q147" s="93"/>
      <c r="R147" s="93"/>
      <c r="S147" s="93"/>
      <c r="T147" s="93"/>
      <c r="U147" s="93"/>
      <c r="V147" s="93"/>
      <c r="W147" s="93"/>
      <c r="X147" s="93"/>
      <c r="Y147" s="93"/>
      <c r="Z147" s="93"/>
      <c r="AA147" s="93"/>
      <c r="AB147" s="93"/>
      <c r="AC147" s="93"/>
      <c r="AD147" s="93"/>
      <c r="AE147" s="93"/>
      <c r="AF147" s="93"/>
      <c r="AG147" s="93"/>
      <c r="AH147" s="93"/>
      <c r="AI147" s="93"/>
      <c r="AJ147" s="93"/>
      <c r="AK147" s="93"/>
      <c r="AL147" s="93"/>
      <c r="AM147" s="93"/>
      <c r="AN147" s="93"/>
      <c r="AO147" s="93"/>
      <c r="AP147" s="93"/>
      <c r="AQ147" s="93"/>
      <c r="AR147" s="93"/>
      <c r="AS147" s="93"/>
      <c r="AT147" s="93"/>
      <c r="AU147" s="93"/>
      <c r="AV147" s="93"/>
      <c r="AW147" s="93"/>
      <c r="AX147" s="93"/>
      <c r="AY147" s="93"/>
      <c r="AZ147" s="93"/>
      <c r="BA147" s="93"/>
      <c r="BB147" s="93"/>
      <c r="BC147" s="93"/>
      <c r="BD147" s="93"/>
      <c r="BE147" s="93"/>
      <c r="BF147" s="93"/>
      <c r="BG147" s="93"/>
      <c r="BH147" s="93"/>
      <c r="BI147" s="93"/>
      <c r="BJ147" s="93"/>
      <c r="BK147" s="93"/>
      <c r="BL147" s="93"/>
      <c r="BM147" s="93"/>
      <c r="BN147" s="93"/>
      <c r="BO147" s="93"/>
      <c r="BP147" s="93"/>
      <c r="BQ147" s="93"/>
      <c r="BR147" s="93"/>
      <c r="BS147" s="93"/>
      <c r="BT147" s="93"/>
      <c r="BU147" s="93"/>
      <c r="BV147" s="93"/>
      <c r="BW147" s="93"/>
      <c r="BX147" s="93"/>
      <c r="BY147" s="93"/>
      <c r="BZ147" s="93"/>
      <c r="CA147" s="93"/>
      <c r="CB147" s="93"/>
      <c r="CC147" s="93"/>
      <c r="CD147" s="93"/>
      <c r="CE147" s="93"/>
      <c r="CF147" s="93"/>
      <c r="CG147" s="93"/>
      <c r="CH147" s="93"/>
      <c r="CI147" s="93"/>
      <c r="CJ147" s="93"/>
      <c r="CK147" s="93"/>
      <c r="CL147" s="93"/>
      <c r="CM147" s="93"/>
      <c r="CN147" s="93"/>
      <c r="CO147" s="93"/>
      <c r="CP147" s="93"/>
      <c r="CQ147" s="93"/>
      <c r="CR147" s="93"/>
      <c r="CS147" s="93"/>
      <c r="CT147" s="93"/>
      <c r="CU147" s="93"/>
      <c r="CV147" s="93"/>
      <c r="CW147" s="93"/>
      <c r="CX147" s="93"/>
      <c r="CY147" s="93"/>
      <c r="CZ147" s="93"/>
      <c r="DA147" s="93"/>
      <c r="DB147" s="93"/>
      <c r="DC147" s="93"/>
      <c r="DD147" s="93"/>
      <c r="DE147" s="93"/>
      <c r="DF147" s="93"/>
      <c r="DG147" s="93"/>
      <c r="DH147" s="93"/>
      <c r="DI147" s="93"/>
      <c r="DJ147" s="93"/>
      <c r="DK147" s="93"/>
      <c r="DL147" s="93"/>
      <c r="DM147" s="93"/>
      <c r="DN147" s="93"/>
      <c r="DO147" s="93"/>
      <c r="DP147" s="93"/>
      <c r="DQ147" s="93"/>
      <c r="DR147" s="93"/>
      <c r="DS147" s="93"/>
      <c r="DT147" s="93"/>
      <c r="DU147" s="93"/>
      <c r="DV147" s="93"/>
      <c r="DW147" s="93"/>
      <c r="DX147" s="93"/>
      <c r="DY147" s="93"/>
      <c r="DZ147" s="93"/>
      <c r="EA147" s="93"/>
      <c r="EB147" s="93"/>
      <c r="EC147" s="93"/>
      <c r="ED147" s="93"/>
      <c r="EE147" s="93"/>
      <c r="EF147" s="93"/>
      <c r="EG147" s="93"/>
      <c r="EH147" s="93"/>
      <c r="EI147" s="93"/>
      <c r="EJ147" s="93"/>
      <c r="EK147" s="93"/>
      <c r="EL147" s="93"/>
      <c r="EM147" s="93"/>
      <c r="EN147" s="93"/>
      <c r="EO147" s="93"/>
      <c r="EP147" s="93"/>
      <c r="EQ147" s="93"/>
      <c r="ER147" s="93"/>
      <c r="ES147" s="93"/>
      <c r="ET147" s="93"/>
      <c r="EU147" s="93"/>
      <c r="EV147" s="93"/>
      <c r="EW147" s="93"/>
      <c r="EX147" s="93"/>
      <c r="EY147" s="1147"/>
      <c r="EZ147" s="93"/>
      <c r="FA147" s="93"/>
      <c r="FB147" s="93"/>
      <c r="FC147" s="93"/>
      <c r="FD147" s="93"/>
      <c r="FE147" s="93"/>
      <c r="FF147" s="93"/>
      <c r="FG147" s="93"/>
      <c r="FH147" s="93"/>
      <c r="FI147" s="93"/>
      <c r="FJ147" s="93"/>
      <c r="FK147" s="93"/>
      <c r="FL147" s="93"/>
      <c r="FM147" s="93"/>
      <c r="FN147" s="93"/>
      <c r="FO147" s="93"/>
      <c r="FP147" s="93"/>
      <c r="FQ147" s="93"/>
      <c r="FR147" s="93"/>
      <c r="FS147" s="93"/>
      <c r="FT147" s="93"/>
      <c r="FU147" s="93"/>
      <c r="FV147" s="93"/>
      <c r="FW147" s="93"/>
      <c r="FX147" s="93"/>
      <c r="FY147" s="93"/>
      <c r="FZ147" s="93"/>
      <c r="GA147" s="93"/>
      <c r="GB147" s="93"/>
      <c r="GC147" s="93"/>
      <c r="GD147" s="93"/>
      <c r="GE147" s="93"/>
      <c r="GF147" s="93"/>
      <c r="GG147" s="93"/>
      <c r="GH147" s="93"/>
      <c r="GI147" s="93"/>
      <c r="GJ147" s="93"/>
      <c r="GK147" s="93"/>
      <c r="GL147" s="93"/>
      <c r="GM147" s="93"/>
      <c r="GN147" s="93"/>
      <c r="GO147" s="93"/>
      <c r="GP147" s="93"/>
      <c r="GQ147" s="93"/>
      <c r="GR147" s="93"/>
      <c r="GS147" s="93"/>
    </row>
    <row r="148" spans="1:201">
      <c r="A148" s="93"/>
      <c r="B148" s="93"/>
      <c r="C148" s="93"/>
      <c r="D148" s="93"/>
      <c r="E148" s="93"/>
      <c r="F148" s="93"/>
      <c r="G148" s="93"/>
      <c r="H148" s="93"/>
      <c r="I148" s="93"/>
      <c r="J148" s="93"/>
      <c r="K148" s="93"/>
      <c r="L148" s="93"/>
      <c r="M148" s="93"/>
      <c r="N148" s="93"/>
      <c r="O148" s="93"/>
      <c r="P148" s="93"/>
      <c r="Q148" s="93"/>
      <c r="R148" s="93"/>
      <c r="S148" s="93"/>
      <c r="T148" s="93"/>
      <c r="U148" s="93"/>
      <c r="V148" s="93"/>
      <c r="W148" s="93"/>
      <c r="X148" s="93"/>
      <c r="Y148" s="93"/>
      <c r="Z148" s="93"/>
      <c r="AA148" s="93"/>
      <c r="AB148" s="93"/>
      <c r="AC148" s="93"/>
      <c r="AD148" s="93"/>
      <c r="AE148" s="93"/>
      <c r="AF148" s="93"/>
      <c r="AG148" s="93"/>
      <c r="AH148" s="93"/>
      <c r="AI148" s="93"/>
      <c r="AJ148" s="93"/>
      <c r="AK148" s="93"/>
      <c r="AL148" s="93"/>
      <c r="AM148" s="93"/>
      <c r="AN148" s="93"/>
      <c r="AO148" s="93"/>
      <c r="AP148" s="93"/>
      <c r="AQ148" s="93"/>
      <c r="AR148" s="93"/>
      <c r="AS148" s="93"/>
      <c r="AT148" s="93"/>
      <c r="AU148" s="93"/>
      <c r="AV148" s="93"/>
      <c r="AW148" s="93"/>
      <c r="AX148" s="93"/>
      <c r="AY148" s="93"/>
      <c r="AZ148" s="93"/>
      <c r="BA148" s="93"/>
      <c r="BB148" s="93"/>
      <c r="BC148" s="93"/>
      <c r="BD148" s="93"/>
      <c r="BE148" s="93"/>
      <c r="BF148" s="93"/>
      <c r="BG148" s="93"/>
      <c r="BH148" s="93"/>
      <c r="BI148" s="93"/>
      <c r="BJ148" s="93"/>
      <c r="BK148" s="93"/>
      <c r="BL148" s="93"/>
      <c r="BM148" s="93"/>
      <c r="BN148" s="93"/>
      <c r="BO148" s="93"/>
      <c r="BP148" s="93"/>
      <c r="BQ148" s="93"/>
      <c r="BR148" s="93"/>
      <c r="BS148" s="93"/>
      <c r="BT148" s="93"/>
      <c r="BU148" s="93"/>
      <c r="BV148" s="93"/>
      <c r="BW148" s="93"/>
      <c r="BX148" s="93"/>
      <c r="BY148" s="93"/>
      <c r="BZ148" s="93"/>
      <c r="CA148" s="93"/>
      <c r="CB148" s="93"/>
      <c r="CC148" s="93"/>
      <c r="CD148" s="93"/>
      <c r="CE148" s="93"/>
      <c r="CF148" s="93"/>
      <c r="CG148" s="93"/>
      <c r="CH148" s="93"/>
      <c r="CI148" s="93"/>
      <c r="CJ148" s="93"/>
      <c r="CK148" s="93"/>
      <c r="CL148" s="93"/>
      <c r="CM148" s="93"/>
      <c r="CN148" s="93"/>
      <c r="CO148" s="93"/>
      <c r="CP148" s="93"/>
      <c r="CQ148" s="93"/>
      <c r="CR148" s="93"/>
      <c r="CS148" s="93"/>
      <c r="CT148" s="93"/>
      <c r="CU148" s="93"/>
      <c r="CV148" s="93"/>
      <c r="CW148" s="93"/>
      <c r="CX148" s="93"/>
      <c r="CY148" s="93"/>
      <c r="CZ148" s="93"/>
      <c r="DA148" s="93"/>
      <c r="DB148" s="93"/>
      <c r="DC148" s="93"/>
      <c r="DD148" s="93"/>
      <c r="DE148" s="93"/>
      <c r="DF148" s="93"/>
      <c r="DG148" s="93"/>
      <c r="DH148" s="93"/>
      <c r="DI148" s="93"/>
      <c r="DJ148" s="93"/>
      <c r="DK148" s="93"/>
      <c r="DL148" s="93"/>
      <c r="DM148" s="93"/>
      <c r="DN148" s="93"/>
      <c r="DO148" s="93"/>
      <c r="DP148" s="93"/>
      <c r="DQ148" s="93"/>
      <c r="DR148" s="93"/>
      <c r="DS148" s="93"/>
      <c r="DT148" s="93"/>
      <c r="DU148" s="93"/>
      <c r="DV148" s="93"/>
      <c r="DW148" s="93"/>
      <c r="DX148" s="93"/>
      <c r="DY148" s="93"/>
      <c r="DZ148" s="93"/>
      <c r="EA148" s="93"/>
      <c r="EB148" s="93"/>
      <c r="EC148" s="93"/>
      <c r="ED148" s="93"/>
      <c r="EE148" s="93"/>
      <c r="EF148" s="93"/>
      <c r="EG148" s="93"/>
      <c r="EH148" s="93"/>
      <c r="EI148" s="93"/>
      <c r="EJ148" s="93"/>
      <c r="EK148" s="93"/>
      <c r="EL148" s="93"/>
      <c r="EM148" s="93"/>
      <c r="EN148" s="93"/>
      <c r="EO148" s="93"/>
      <c r="EP148" s="93"/>
      <c r="EQ148" s="93"/>
      <c r="ER148" s="93"/>
      <c r="ES148" s="93"/>
      <c r="ET148" s="93"/>
      <c r="EU148" s="93"/>
      <c r="EV148" s="93"/>
      <c r="EW148" s="93"/>
      <c r="EX148" s="93"/>
      <c r="EY148" s="93"/>
      <c r="EZ148" s="93"/>
      <c r="FA148" s="93"/>
      <c r="FB148" s="93"/>
      <c r="FC148" s="93"/>
      <c r="FD148" s="93"/>
      <c r="FE148" s="93"/>
      <c r="FF148" s="93"/>
      <c r="FG148" s="93"/>
      <c r="FH148" s="93"/>
      <c r="FI148" s="93"/>
      <c r="FJ148" s="93"/>
      <c r="FK148" s="93"/>
      <c r="FL148" s="93"/>
      <c r="FM148" s="93"/>
      <c r="FN148" s="93"/>
      <c r="FO148" s="93"/>
      <c r="FP148" s="93"/>
      <c r="FQ148" s="93"/>
      <c r="FR148" s="93"/>
      <c r="FS148" s="93"/>
      <c r="FT148" s="93"/>
      <c r="FU148" s="93"/>
      <c r="FV148" s="93"/>
      <c r="FW148" s="93"/>
      <c r="FX148" s="93"/>
      <c r="FY148" s="93"/>
      <c r="FZ148" s="93"/>
      <c r="GA148" s="93"/>
      <c r="GB148" s="93"/>
      <c r="GC148" s="93"/>
      <c r="GD148" s="93"/>
      <c r="GE148" s="93"/>
      <c r="GF148" s="93"/>
      <c r="GG148" s="93"/>
      <c r="GH148" s="93"/>
      <c r="GI148" s="93"/>
      <c r="GJ148" s="93"/>
      <c r="GK148" s="93"/>
      <c r="GL148" s="93"/>
      <c r="GM148" s="93"/>
      <c r="GN148" s="93"/>
      <c r="GO148" s="93"/>
      <c r="GP148" s="93"/>
      <c r="GQ148" s="93"/>
      <c r="GR148" s="93"/>
      <c r="GS148" s="93"/>
    </row>
    <row r="149" spans="1:201">
      <c r="A149" s="93"/>
      <c r="B149" s="93"/>
      <c r="C149" s="93"/>
      <c r="D149" s="93"/>
      <c r="E149" s="93"/>
      <c r="F149" s="93"/>
      <c r="G149" s="93"/>
      <c r="H149" s="93"/>
      <c r="I149" s="93"/>
      <c r="J149" s="93"/>
      <c r="K149" s="93"/>
      <c r="L149" s="93"/>
      <c r="M149" s="93"/>
      <c r="N149" s="93"/>
      <c r="O149" s="93"/>
      <c r="P149" s="93"/>
      <c r="Q149" s="93"/>
      <c r="R149" s="93"/>
      <c r="S149" s="93"/>
      <c r="T149" s="93"/>
      <c r="U149" s="93"/>
      <c r="V149" s="93"/>
      <c r="W149" s="93"/>
      <c r="X149" s="93"/>
      <c r="Y149" s="93"/>
      <c r="Z149" s="93"/>
      <c r="AA149" s="93"/>
      <c r="AB149" s="93"/>
      <c r="AC149" s="93"/>
      <c r="AD149" s="93"/>
      <c r="AE149" s="93"/>
      <c r="AF149" s="93"/>
      <c r="AG149" s="93"/>
      <c r="AH149" s="93"/>
      <c r="AI149" s="93"/>
      <c r="AJ149" s="93"/>
      <c r="AK149" s="93"/>
      <c r="AL149" s="93"/>
      <c r="AM149" s="93"/>
      <c r="AN149" s="93"/>
      <c r="AO149" s="93"/>
      <c r="AP149" s="93"/>
      <c r="AQ149" s="93"/>
      <c r="AR149" s="93"/>
      <c r="AS149" s="93"/>
      <c r="AT149" s="93"/>
      <c r="AU149" s="93"/>
      <c r="AV149" s="93"/>
      <c r="AW149" s="93"/>
      <c r="AX149" s="93"/>
      <c r="AY149" s="93"/>
      <c r="AZ149" s="93"/>
      <c r="BA149" s="93"/>
      <c r="BB149" s="93"/>
      <c r="BC149" s="93"/>
      <c r="BD149" s="93"/>
      <c r="BE149" s="93"/>
      <c r="BF149" s="93"/>
      <c r="BG149" s="93"/>
      <c r="BH149" s="93"/>
      <c r="BI149" s="93"/>
      <c r="BJ149" s="93"/>
      <c r="BK149" s="93"/>
      <c r="BL149" s="93"/>
      <c r="BM149" s="93"/>
      <c r="BN149" s="93"/>
      <c r="BO149" s="93"/>
      <c r="BP149" s="93"/>
      <c r="BQ149" s="93"/>
      <c r="BR149" s="93"/>
      <c r="BS149" s="93"/>
      <c r="BT149" s="93"/>
      <c r="BU149" s="93"/>
      <c r="BV149" s="93"/>
      <c r="BW149" s="93"/>
      <c r="BX149" s="93"/>
      <c r="BY149" s="93"/>
      <c r="BZ149" s="93"/>
      <c r="CA149" s="93"/>
      <c r="CB149" s="93"/>
      <c r="CC149" s="93"/>
      <c r="CD149" s="93"/>
      <c r="CE149" s="93"/>
      <c r="CF149" s="93"/>
      <c r="CG149" s="93"/>
      <c r="CH149" s="93"/>
      <c r="CI149" s="93"/>
      <c r="CJ149" s="93"/>
      <c r="CK149" s="93"/>
      <c r="CL149" s="93"/>
      <c r="CM149" s="93"/>
      <c r="CN149" s="93"/>
      <c r="CO149" s="93"/>
      <c r="CP149" s="93"/>
      <c r="CQ149" s="93"/>
      <c r="CR149" s="93"/>
      <c r="CS149" s="93"/>
      <c r="CT149" s="93"/>
      <c r="CU149" s="93"/>
      <c r="CV149" s="93"/>
      <c r="CW149" s="93"/>
      <c r="CX149" s="93"/>
      <c r="CY149" s="93"/>
      <c r="CZ149" s="93"/>
      <c r="DA149" s="93"/>
      <c r="DB149" s="93"/>
      <c r="DC149" s="93"/>
      <c r="DD149" s="93"/>
      <c r="DE149" s="93"/>
      <c r="DF149" s="93"/>
      <c r="DG149" s="93"/>
      <c r="DH149" s="93"/>
      <c r="DI149" s="93"/>
      <c r="DJ149" s="93"/>
      <c r="DK149" s="93"/>
      <c r="DL149" s="93"/>
      <c r="DM149" s="93"/>
      <c r="DN149" s="93"/>
      <c r="DO149" s="93"/>
      <c r="DP149" s="93"/>
      <c r="DQ149" s="93"/>
      <c r="DR149" s="93"/>
      <c r="DS149" s="93"/>
      <c r="DT149" s="93"/>
      <c r="DU149" s="93"/>
      <c r="DV149" s="93"/>
      <c r="DW149" s="93"/>
      <c r="DX149" s="93"/>
      <c r="DY149" s="93"/>
      <c r="DZ149" s="93"/>
      <c r="EA149" s="93"/>
      <c r="EB149" s="93"/>
      <c r="EC149" s="93"/>
      <c r="ED149" s="93"/>
      <c r="EE149" s="93"/>
      <c r="EF149" s="93"/>
      <c r="EG149" s="93"/>
      <c r="EH149" s="93"/>
      <c r="EI149" s="93"/>
      <c r="EJ149" s="93"/>
      <c r="EK149" s="93"/>
      <c r="EL149" s="93"/>
      <c r="EM149" s="93"/>
      <c r="EN149" s="93"/>
      <c r="EO149" s="93"/>
      <c r="EP149" s="93"/>
      <c r="EQ149" s="93"/>
      <c r="ER149" s="93"/>
      <c r="ES149" s="93"/>
      <c r="ET149" s="93"/>
      <c r="EU149" s="93"/>
      <c r="EV149" s="93"/>
      <c r="EW149" s="93"/>
      <c r="EX149" s="93"/>
      <c r="EY149" s="93"/>
      <c r="EZ149" s="93"/>
      <c r="FA149" s="93"/>
      <c r="FB149" s="93"/>
      <c r="FC149" s="93"/>
      <c r="FD149" s="93"/>
      <c r="FE149" s="93"/>
      <c r="FF149" s="93"/>
      <c r="FG149" s="93"/>
      <c r="FH149" s="93"/>
      <c r="FI149" s="93"/>
      <c r="FJ149" s="93"/>
      <c r="FK149" s="93"/>
      <c r="FL149" s="93"/>
      <c r="FM149" s="93"/>
      <c r="FN149" s="93"/>
      <c r="FO149" s="93"/>
      <c r="FP149" s="93"/>
      <c r="FQ149" s="93"/>
      <c r="FR149" s="93"/>
      <c r="FS149" s="93"/>
      <c r="FT149" s="93"/>
      <c r="FU149" s="93"/>
      <c r="FV149" s="93"/>
      <c r="FW149" s="93"/>
      <c r="FX149" s="93"/>
      <c r="FY149" s="93"/>
      <c r="FZ149" s="93"/>
      <c r="GA149" s="93"/>
      <c r="GB149" s="93"/>
      <c r="GC149" s="93"/>
      <c r="GD149" s="93"/>
      <c r="GE149" s="93"/>
      <c r="GF149" s="93"/>
      <c r="GG149" s="93"/>
      <c r="GH149" s="93"/>
      <c r="GI149" s="93"/>
      <c r="GJ149" s="93"/>
      <c r="GK149" s="93"/>
      <c r="GL149" s="93"/>
      <c r="GM149" s="93"/>
      <c r="GN149" s="93"/>
      <c r="GO149" s="93"/>
      <c r="GP149" s="93"/>
      <c r="GQ149" s="93"/>
      <c r="GR149" s="93"/>
      <c r="GS149" s="93"/>
    </row>
    <row r="150" spans="1:201" ht="23.65" customHeight="1">
      <c r="A150" s="93"/>
      <c r="B150" s="93"/>
      <c r="C150" s="93"/>
      <c r="D150" s="93"/>
      <c r="E150" s="93"/>
      <c r="F150" s="93"/>
      <c r="G150" s="93"/>
      <c r="H150" s="93"/>
      <c r="I150" s="93"/>
      <c r="J150" s="93"/>
      <c r="K150" s="93"/>
      <c r="L150" s="93"/>
      <c r="M150" s="93"/>
      <c r="N150" s="93"/>
      <c r="O150" s="93"/>
      <c r="P150" s="93"/>
      <c r="Q150" s="93"/>
      <c r="R150" s="93"/>
      <c r="S150" s="93"/>
      <c r="T150" s="93"/>
      <c r="U150" s="93"/>
      <c r="V150" s="93"/>
      <c r="W150" s="93"/>
      <c r="X150" s="93"/>
      <c r="Y150" s="93"/>
      <c r="Z150" s="93"/>
      <c r="AA150" s="93"/>
      <c r="AB150" s="93"/>
      <c r="AC150" s="93"/>
      <c r="AD150" s="93"/>
      <c r="AE150" s="93"/>
      <c r="AF150" s="93"/>
      <c r="AG150" s="93"/>
      <c r="AH150" s="93"/>
      <c r="AI150" s="93"/>
      <c r="AJ150" s="93"/>
      <c r="AK150" s="93"/>
      <c r="AL150" s="93"/>
      <c r="AM150" s="93"/>
      <c r="AN150" s="93"/>
      <c r="AO150" s="93"/>
      <c r="AP150" s="93"/>
      <c r="AQ150" s="93" t="str" cm="1">
        <f t="array" ref="AQ150:BE150">TRANSPOSE((B4:B18))</f>
        <v>PLM-SUB</v>
      </c>
      <c r="AR150" s="93" t="str">
        <v>SUB-CGK</v>
      </c>
      <c r="AS150" s="93" t="str">
        <v>CGK-PKY</v>
      </c>
      <c r="AT150" s="93" t="str">
        <v>PKY-CGK</v>
      </c>
      <c r="AU150" s="93" t="str">
        <v>CGK-PLM</v>
      </c>
      <c r="AV150" s="93" t="str">
        <v>MDC-SRG</v>
      </c>
      <c r="AW150" s="93" t="str">
        <v>SRG-KDI</v>
      </c>
      <c r="AX150" s="93" t="str">
        <v>KDI-PNK</v>
      </c>
      <c r="AY150" s="93" t="str">
        <v>PNK-MDC</v>
      </c>
      <c r="AZ150" s="93" t="str">
        <v>TTE-KNO</v>
      </c>
      <c r="BA150" s="93" t="str">
        <v>KNO-PKU</v>
      </c>
      <c r="BB150" s="93" t="str">
        <v>PKU-BDO</v>
      </c>
      <c r="BC150" s="93" t="str">
        <v>BDO-TTE</v>
      </c>
      <c r="BD150" s="93" t="str">
        <v>LOP-TIM</v>
      </c>
      <c r="BE150" s="93" t="str">
        <v>TIM-AMQ</v>
      </c>
      <c r="BF150" s="93"/>
      <c r="BG150" s="93"/>
      <c r="BH150" s="93"/>
      <c r="BI150" s="93"/>
      <c r="BJ150" s="93"/>
      <c r="BK150" s="93"/>
      <c r="BL150" s="93"/>
      <c r="BM150" s="93"/>
      <c r="BN150" s="93"/>
      <c r="BO150" s="93"/>
      <c r="BP150" s="93"/>
      <c r="BQ150" s="93"/>
      <c r="BR150" s="93"/>
      <c r="BS150" s="93"/>
      <c r="BT150" s="93"/>
      <c r="BU150" s="93"/>
      <c r="BV150" s="93"/>
      <c r="BW150" s="93"/>
      <c r="BX150" s="93"/>
      <c r="BY150" s="93"/>
      <c r="BZ150" s="93"/>
      <c r="CA150" s="93"/>
      <c r="CB150" s="93"/>
      <c r="CC150" s="93"/>
      <c r="CD150" s="93"/>
      <c r="CE150" s="93"/>
      <c r="CF150" s="93"/>
      <c r="CG150" s="93"/>
      <c r="CH150" s="93"/>
      <c r="CI150" s="93"/>
      <c r="CJ150" s="93"/>
      <c r="CK150" s="93"/>
      <c r="CL150" s="93"/>
      <c r="CM150" s="93"/>
      <c r="CN150" s="93"/>
      <c r="CO150" s="93"/>
      <c r="CP150" s="93"/>
      <c r="CQ150" s="93"/>
      <c r="CR150" s="93"/>
      <c r="CS150" s="93"/>
      <c r="CT150" s="93"/>
      <c r="CU150" s="93"/>
      <c r="CV150" s="93"/>
      <c r="CW150" s="93"/>
      <c r="CX150" s="93"/>
      <c r="CY150" s="93"/>
      <c r="CZ150" s="93"/>
      <c r="DA150" s="93"/>
      <c r="DB150" s="93"/>
      <c r="DC150" s="93"/>
      <c r="DD150" s="93"/>
      <c r="DE150" s="93"/>
      <c r="DF150" s="93"/>
      <c r="DG150" s="93"/>
      <c r="DH150" s="93"/>
      <c r="DI150" s="93"/>
      <c r="DJ150" s="93"/>
      <c r="DK150" s="93"/>
      <c r="DL150" s="93"/>
      <c r="DM150" s="93"/>
      <c r="DN150" s="93"/>
      <c r="DO150" s="93"/>
      <c r="DP150" s="93"/>
      <c r="DQ150" s="93"/>
      <c r="DR150" s="93"/>
      <c r="DS150" s="93"/>
      <c r="DT150" s="93"/>
      <c r="DU150" s="93"/>
      <c r="DV150" s="93"/>
      <c r="DW150" s="93"/>
      <c r="DX150" s="93"/>
      <c r="DY150" s="93"/>
      <c r="DZ150" s="93"/>
      <c r="EA150" s="93"/>
      <c r="EB150" s="93"/>
      <c r="EC150" s="93"/>
      <c r="ED150" s="93"/>
      <c r="EE150" s="93"/>
      <c r="EF150" s="93"/>
      <c r="EG150" s="93"/>
      <c r="EH150" s="93"/>
      <c r="EI150" s="93"/>
      <c r="EJ150" s="93"/>
      <c r="EK150" s="93"/>
      <c r="EL150" s="93"/>
      <c r="EM150" s="93"/>
      <c r="EN150" s="93"/>
      <c r="EO150" s="93"/>
      <c r="EP150" s="93"/>
      <c r="EQ150" s="93"/>
      <c r="ER150" s="93"/>
      <c r="ES150" s="93"/>
      <c r="ET150" s="93"/>
      <c r="EU150" s="93"/>
      <c r="EV150" s="93"/>
      <c r="EW150" s="93"/>
      <c r="EX150" s="93"/>
      <c r="EY150" s="93"/>
      <c r="EZ150" s="93"/>
      <c r="FA150" s="93"/>
      <c r="FB150" s="93"/>
      <c r="FC150" s="93"/>
      <c r="FD150" s="93"/>
      <c r="FE150" s="93"/>
      <c r="FF150" s="93"/>
      <c r="FG150" s="93"/>
      <c r="FH150" s="93"/>
      <c r="FI150" s="93"/>
      <c r="FJ150" s="93"/>
      <c r="FK150" s="93"/>
      <c r="FL150" s="93"/>
      <c r="FM150" s="93"/>
      <c r="FN150" s="93"/>
      <c r="FO150" s="93"/>
      <c r="FP150" s="93"/>
      <c r="FQ150" s="93"/>
      <c r="FR150" s="93"/>
      <c r="FS150" s="93"/>
      <c r="FT150" s="93"/>
      <c r="FU150" s="93"/>
      <c r="FV150" s="93"/>
      <c r="FW150" s="93"/>
      <c r="FX150" s="93"/>
      <c r="FY150" s="93"/>
      <c r="FZ150" s="93"/>
      <c r="GA150" s="93"/>
      <c r="GB150" s="93"/>
      <c r="GC150" s="93"/>
      <c r="GD150" s="93"/>
      <c r="GE150" s="93"/>
      <c r="GF150" s="93"/>
      <c r="GG150" s="93"/>
      <c r="GH150" s="93"/>
      <c r="GI150" s="93"/>
      <c r="GJ150" s="93"/>
      <c r="GK150" s="93"/>
      <c r="GL150" s="93"/>
      <c r="GM150" s="93"/>
      <c r="GN150" s="93"/>
      <c r="GO150" s="93"/>
      <c r="GP150" s="93"/>
      <c r="GQ150" s="93"/>
      <c r="GR150" s="93"/>
      <c r="GS150" s="93"/>
    </row>
    <row r="151" spans="1:201" ht="23.65" customHeight="1">
      <c r="A151" s="93"/>
      <c r="B151" s="93"/>
      <c r="C151" s="93"/>
      <c r="D151" s="93"/>
      <c r="E151" s="93"/>
      <c r="F151" s="93"/>
      <c r="G151" s="93"/>
      <c r="H151" s="93"/>
      <c r="I151" s="93"/>
      <c r="J151" s="93"/>
      <c r="K151" s="93"/>
      <c r="L151" s="93"/>
      <c r="M151" s="93"/>
      <c r="N151" s="93"/>
      <c r="O151" s="93"/>
      <c r="P151" s="93"/>
      <c r="Q151" s="93"/>
      <c r="R151" s="93"/>
      <c r="S151" s="93"/>
      <c r="T151" s="93"/>
      <c r="U151" s="93"/>
      <c r="V151" s="93" t="s">
        <v>680</v>
      </c>
      <c r="W151" s="93"/>
      <c r="X151" s="93"/>
      <c r="Y151" s="93"/>
      <c r="Z151" s="93"/>
      <c r="AA151" s="93"/>
      <c r="AB151" s="93"/>
      <c r="AC151" s="93"/>
      <c r="AD151" s="93"/>
      <c r="AE151" s="93"/>
      <c r="AF151" s="93"/>
      <c r="AG151" s="93"/>
      <c r="AH151" s="93"/>
      <c r="AI151" s="93"/>
      <c r="AJ151" s="93"/>
      <c r="AK151" s="93"/>
      <c r="AL151" s="93"/>
      <c r="AM151" s="93"/>
      <c r="AN151" s="93"/>
      <c r="AO151" s="93"/>
      <c r="AP151" s="1254"/>
      <c r="AQ151" s="1254" cm="1">
        <f t="array" ref="AQ151:BJ151">TRANSPOSE(AQ4:AQ23)</f>
        <v>0</v>
      </c>
      <c r="AR151" s="1254">
        <v>0</v>
      </c>
      <c r="AS151" s="1254">
        <v>0</v>
      </c>
      <c r="AT151" s="1254">
        <v>0</v>
      </c>
      <c r="AU151" s="1254">
        <v>0</v>
      </c>
      <c r="AV151" s="1254">
        <v>0</v>
      </c>
      <c r="AW151" s="93">
        <v>0</v>
      </c>
      <c r="AX151" s="93">
        <v>0</v>
      </c>
      <c r="AY151" s="93">
        <v>0</v>
      </c>
      <c r="AZ151" s="93">
        <v>0</v>
      </c>
      <c r="BA151" s="93">
        <v>0</v>
      </c>
      <c r="BB151" s="93">
        <v>0</v>
      </c>
      <c r="BC151" s="93">
        <v>0</v>
      </c>
      <c r="BD151" s="93">
        <v>0</v>
      </c>
      <c r="BE151" s="93">
        <v>0</v>
      </c>
      <c r="BF151" s="93">
        <v>0</v>
      </c>
      <c r="BG151" s="93">
        <v>0</v>
      </c>
      <c r="BH151" s="93">
        <v>0</v>
      </c>
      <c r="BI151" s="93">
        <v>0</v>
      </c>
      <c r="BJ151" s="93">
        <v>0</v>
      </c>
      <c r="BK151" s="93"/>
      <c r="BL151" s="93"/>
      <c r="BM151" s="93"/>
      <c r="BN151" s="93"/>
      <c r="BO151" s="93"/>
      <c r="BP151" s="93"/>
      <c r="BQ151" s="93"/>
      <c r="BR151" s="93"/>
      <c r="BS151" s="93"/>
      <c r="BT151" s="93"/>
      <c r="BU151" s="93"/>
      <c r="BV151" s="93"/>
      <c r="BW151" s="93"/>
      <c r="BX151" s="93"/>
      <c r="BY151" s="93"/>
      <c r="BZ151" s="93"/>
      <c r="CA151" s="93"/>
      <c r="CB151" s="93"/>
      <c r="CC151" s="93"/>
      <c r="CD151" s="93"/>
      <c r="CE151" s="93"/>
      <c r="CF151" s="93"/>
      <c r="CG151" s="93"/>
      <c r="CH151" s="93"/>
      <c r="CI151" s="93"/>
      <c r="CJ151" s="93"/>
      <c r="CK151" s="93"/>
      <c r="CL151" s="93"/>
      <c r="CM151" s="93"/>
      <c r="CN151" s="93"/>
      <c r="CO151" s="93"/>
      <c r="CP151" s="93"/>
      <c r="CQ151" s="93"/>
      <c r="CR151" s="93"/>
      <c r="CS151" s="93"/>
      <c r="CT151" s="93"/>
      <c r="CU151" s="93"/>
      <c r="CV151" s="93"/>
      <c r="CW151" s="93"/>
      <c r="CX151" s="93"/>
      <c r="CY151" s="93"/>
      <c r="CZ151" s="93"/>
      <c r="DA151" s="93"/>
      <c r="DB151" s="93"/>
      <c r="DC151" s="93"/>
      <c r="DD151" s="93"/>
      <c r="DE151" s="93"/>
      <c r="DF151" s="93"/>
      <c r="DG151" s="93"/>
      <c r="DH151" s="93"/>
      <c r="DI151" s="93"/>
      <c r="DJ151" s="93"/>
      <c r="DK151" s="93"/>
      <c r="DL151" s="93"/>
      <c r="DM151" s="93"/>
      <c r="DN151" s="93"/>
      <c r="DO151" s="93"/>
      <c r="DP151" s="93"/>
      <c r="DQ151" s="93"/>
      <c r="DR151" s="93"/>
      <c r="DS151" s="93"/>
      <c r="DT151" s="93"/>
      <c r="DU151" s="93"/>
      <c r="DV151" s="93"/>
      <c r="DW151" s="93"/>
      <c r="DX151" s="93"/>
      <c r="DY151" s="93"/>
      <c r="DZ151" s="93"/>
      <c r="EA151" s="93"/>
      <c r="EB151" s="93"/>
      <c r="EC151" s="93"/>
      <c r="ED151" s="93"/>
      <c r="EE151" s="93"/>
      <c r="EF151" s="93"/>
      <c r="EG151" s="93"/>
      <c r="EH151" s="93"/>
      <c r="EI151" s="93"/>
      <c r="EJ151" s="93"/>
      <c r="EK151" s="93"/>
      <c r="EL151" s="93"/>
      <c r="EM151" s="93"/>
      <c r="EN151" s="93"/>
      <c r="EO151" s="93"/>
      <c r="EP151" s="93"/>
      <c r="EQ151" s="93"/>
      <c r="ER151" s="93"/>
      <c r="ES151" s="93"/>
      <c r="ET151" s="93"/>
      <c r="EU151" s="93"/>
      <c r="EV151" s="93"/>
      <c r="EW151" s="93"/>
      <c r="EX151" s="93"/>
      <c r="EY151" s="93"/>
      <c r="EZ151" s="93"/>
      <c r="FA151" s="93"/>
      <c r="FB151" s="93"/>
      <c r="FC151" s="93"/>
      <c r="FD151" s="93"/>
      <c r="FE151" s="93"/>
      <c r="FF151" s="93"/>
      <c r="FG151" s="93"/>
      <c r="FH151" s="93"/>
      <c r="FI151" s="93"/>
      <c r="FJ151" s="93"/>
      <c r="FK151" s="93"/>
      <c r="FL151" s="93"/>
      <c r="FM151" s="93"/>
      <c r="FN151" s="93"/>
      <c r="FO151" s="93"/>
      <c r="FP151" s="93"/>
      <c r="FQ151" s="93"/>
      <c r="FR151" s="93"/>
      <c r="FS151" s="93"/>
      <c r="FT151" s="93"/>
      <c r="FU151" s="93"/>
      <c r="FV151" s="93"/>
      <c r="FW151" s="93"/>
      <c r="FX151" s="93"/>
      <c r="FY151" s="93"/>
      <c r="FZ151" s="93"/>
      <c r="GA151" s="93"/>
      <c r="GB151" s="93"/>
      <c r="GC151" s="93"/>
      <c r="GD151" s="93"/>
      <c r="GE151" s="93"/>
      <c r="GF151" s="93"/>
      <c r="GG151" s="93"/>
      <c r="GH151" s="93"/>
      <c r="GI151" s="93"/>
      <c r="GJ151" s="93"/>
      <c r="GK151" s="93"/>
      <c r="GL151" s="93"/>
      <c r="GM151" s="93"/>
      <c r="GN151" s="93"/>
      <c r="GO151" s="93"/>
      <c r="GP151" s="93"/>
      <c r="GQ151" s="93"/>
      <c r="GR151" s="93"/>
      <c r="GS151" s="93"/>
    </row>
    <row r="152" spans="1:201" ht="23.65" customHeight="1">
      <c r="A152" s="93"/>
      <c r="B152" s="93"/>
      <c r="C152" s="93"/>
      <c r="D152" s="93"/>
      <c r="E152" s="93"/>
      <c r="F152" s="93"/>
      <c r="G152" s="93"/>
      <c r="H152" s="93"/>
      <c r="I152" s="93"/>
      <c r="J152" s="93"/>
      <c r="K152" s="93"/>
      <c r="L152" s="93"/>
      <c r="M152" s="93"/>
      <c r="N152" s="93"/>
      <c r="O152" s="93"/>
      <c r="P152" s="93"/>
      <c r="Q152" s="93"/>
      <c r="R152" s="93"/>
      <c r="S152" s="93"/>
      <c r="T152" s="93"/>
      <c r="U152" s="93"/>
      <c r="V152" s="93"/>
      <c r="W152" s="93"/>
      <c r="X152" s="93"/>
      <c r="Y152" s="93"/>
      <c r="Z152" s="93"/>
      <c r="AA152" s="93"/>
      <c r="AB152" s="93"/>
      <c r="AC152" s="93"/>
      <c r="AD152" s="93"/>
      <c r="AE152" s="93"/>
      <c r="AF152" s="93"/>
      <c r="AG152" s="93"/>
      <c r="AH152" s="93"/>
      <c r="AI152" s="93"/>
      <c r="AJ152" s="93"/>
      <c r="AK152" s="93"/>
      <c r="AL152" s="93"/>
      <c r="AM152" s="93"/>
      <c r="AN152" s="93"/>
      <c r="AO152" s="93"/>
      <c r="AP152" s="1254"/>
      <c r="AQ152" s="1254"/>
      <c r="AR152" s="1254"/>
      <c r="AS152" s="1254"/>
      <c r="AT152" s="1254"/>
      <c r="AU152" s="1254"/>
      <c r="AV152" s="1254"/>
      <c r="AW152" s="93"/>
      <c r="AX152" s="93"/>
      <c r="AY152" s="93"/>
      <c r="AZ152" s="93"/>
      <c r="BA152" s="93"/>
      <c r="BB152" s="93"/>
      <c r="BC152" s="93"/>
      <c r="BD152" s="93"/>
      <c r="BE152" s="93"/>
      <c r="BF152" s="93"/>
      <c r="BG152" s="93"/>
      <c r="BH152" s="93"/>
      <c r="BI152" s="93"/>
      <c r="BJ152" s="93"/>
      <c r="BK152" s="93"/>
      <c r="BL152" s="93"/>
      <c r="BM152" s="93"/>
      <c r="BN152" s="93"/>
      <c r="BO152" s="93"/>
      <c r="BP152" s="93"/>
      <c r="BQ152" s="93"/>
      <c r="BR152" s="93"/>
      <c r="BS152" s="93"/>
      <c r="BT152" s="93"/>
      <c r="BU152" s="93"/>
      <c r="BV152" s="93"/>
      <c r="BW152" s="93"/>
      <c r="BX152" s="93"/>
      <c r="BY152" s="93"/>
      <c r="BZ152" s="93"/>
      <c r="CA152" s="93"/>
      <c r="CB152" s="93"/>
      <c r="CC152" s="93"/>
      <c r="CD152" s="93"/>
      <c r="CE152" s="93"/>
      <c r="CF152" s="93"/>
      <c r="CG152" s="93"/>
      <c r="CH152" s="93"/>
      <c r="CI152" s="93"/>
      <c r="CJ152" s="93"/>
      <c r="CK152" s="93"/>
      <c r="CL152" s="93"/>
      <c r="CM152" s="93"/>
      <c r="CN152" s="93"/>
      <c r="CO152" s="93"/>
      <c r="CP152" s="93"/>
      <c r="CQ152" s="93"/>
      <c r="CR152" s="93"/>
      <c r="CS152" s="93"/>
      <c r="CT152" s="93"/>
      <c r="CU152" s="93"/>
      <c r="CV152" s="93"/>
      <c r="CW152" s="93"/>
      <c r="CX152" s="93"/>
      <c r="CY152" s="93"/>
      <c r="CZ152" s="93"/>
      <c r="DA152" s="93"/>
      <c r="DB152" s="93"/>
      <c r="DC152" s="93"/>
      <c r="DD152" s="93"/>
      <c r="DE152" s="93"/>
      <c r="DF152" s="93"/>
      <c r="DG152" s="93"/>
      <c r="DH152" s="93"/>
      <c r="DI152" s="93"/>
      <c r="DJ152" s="93"/>
      <c r="DK152" s="93"/>
      <c r="DL152" s="93"/>
      <c r="DM152" s="93"/>
      <c r="DN152" s="93"/>
      <c r="DO152" s="93"/>
      <c r="DP152" s="93"/>
      <c r="DQ152" s="93"/>
      <c r="DR152" s="93"/>
      <c r="DS152" s="93"/>
      <c r="DT152" s="93"/>
      <c r="DU152" s="93"/>
      <c r="DV152" s="93"/>
      <c r="DW152" s="93"/>
      <c r="DX152" s="93"/>
      <c r="DY152" s="93"/>
      <c r="DZ152" s="93"/>
      <c r="EA152" s="93"/>
      <c r="EB152" s="93"/>
      <c r="EC152" s="93"/>
      <c r="ED152" s="93"/>
      <c r="EE152" s="93"/>
      <c r="EF152" s="93"/>
      <c r="EG152" s="93"/>
      <c r="EH152" s="93"/>
      <c r="EI152" s="93"/>
      <c r="EJ152" s="93"/>
      <c r="EK152" s="93"/>
      <c r="EL152" s="93"/>
      <c r="EM152" s="93"/>
      <c r="EN152" s="93"/>
      <c r="EO152" s="93"/>
      <c r="EP152" s="93"/>
      <c r="EQ152" s="93"/>
      <c r="ER152" s="93"/>
      <c r="ES152" s="93"/>
      <c r="ET152" s="93"/>
      <c r="EU152" s="93"/>
      <c r="EV152" s="93"/>
      <c r="EW152" s="93"/>
      <c r="EX152" s="93"/>
      <c r="EY152" s="93"/>
      <c r="EZ152" s="93"/>
      <c r="FA152" s="93"/>
      <c r="FB152" s="93"/>
      <c r="FC152" s="93"/>
      <c r="FD152" s="93"/>
      <c r="FE152" s="93"/>
      <c r="FF152" s="93"/>
      <c r="FG152" s="93"/>
      <c r="FH152" s="93"/>
      <c r="FI152" s="93"/>
      <c r="FJ152" s="93"/>
      <c r="FK152" s="93"/>
      <c r="FL152" s="93"/>
      <c r="FM152" s="93"/>
      <c r="FN152" s="93"/>
      <c r="FO152" s="93"/>
      <c r="FP152" s="93"/>
      <c r="FQ152" s="93"/>
      <c r="FR152" s="93"/>
      <c r="FS152" s="93"/>
      <c r="FT152" s="93"/>
      <c r="FU152" s="93"/>
      <c r="FV152" s="93"/>
      <c r="FW152" s="93"/>
      <c r="FX152" s="93"/>
      <c r="FY152" s="93"/>
      <c r="FZ152" s="93"/>
      <c r="GA152" s="93"/>
      <c r="GB152" s="93"/>
      <c r="GC152" s="93"/>
      <c r="GD152" s="93"/>
      <c r="GE152" s="93"/>
      <c r="GF152" s="93"/>
      <c r="GG152" s="93"/>
      <c r="GH152" s="93"/>
      <c r="GI152" s="93"/>
      <c r="GJ152" s="93"/>
      <c r="GK152" s="93"/>
      <c r="GL152" s="93"/>
      <c r="GM152" s="93"/>
      <c r="GN152" s="93"/>
      <c r="GO152" s="93"/>
      <c r="GP152" s="93"/>
      <c r="GQ152" s="93"/>
      <c r="GR152" s="93"/>
      <c r="GS152" s="93"/>
    </row>
    <row r="153" spans="1:201">
      <c r="A153" s="93"/>
      <c r="B153" s="93"/>
      <c r="C153" s="93"/>
      <c r="D153" s="93"/>
      <c r="E153" s="93"/>
      <c r="F153" s="93"/>
      <c r="G153" s="93"/>
      <c r="H153" s="93"/>
      <c r="I153" s="93"/>
      <c r="J153" s="93"/>
      <c r="K153" s="93"/>
      <c r="L153" s="93"/>
      <c r="M153" s="93"/>
      <c r="N153" s="93"/>
      <c r="O153" s="93"/>
      <c r="P153" s="93"/>
      <c r="Q153" s="93"/>
      <c r="R153" s="93"/>
      <c r="S153" s="93"/>
      <c r="T153" s="93"/>
      <c r="U153" s="93"/>
      <c r="V153" s="93"/>
      <c r="W153" s="93"/>
      <c r="X153" s="93"/>
      <c r="Y153" s="93"/>
      <c r="Z153" s="93"/>
      <c r="AA153" s="93"/>
      <c r="AB153" s="93"/>
      <c r="AC153" s="93"/>
      <c r="AD153" s="93"/>
      <c r="AE153" s="93"/>
      <c r="AF153" s="93"/>
      <c r="AG153" s="93"/>
      <c r="AH153" s="93"/>
      <c r="AI153" s="93"/>
      <c r="AJ153" s="93"/>
      <c r="AK153" s="93"/>
      <c r="AL153" s="93"/>
      <c r="AM153" s="93"/>
      <c r="AN153" s="93"/>
      <c r="AO153" s="93"/>
      <c r="AP153" s="1254"/>
      <c r="AQ153" s="1254"/>
      <c r="AR153" s="1254"/>
      <c r="AS153" s="1254"/>
      <c r="AT153" s="1254"/>
      <c r="AU153" s="1254"/>
      <c r="AV153" s="1254"/>
      <c r="AW153" s="93"/>
      <c r="AX153" s="93"/>
      <c r="AY153" s="93"/>
      <c r="AZ153" s="93"/>
      <c r="BA153" s="93"/>
      <c r="BB153" s="93"/>
      <c r="BC153" s="93"/>
      <c r="BD153" s="93"/>
      <c r="BE153" s="93"/>
      <c r="BF153" s="93"/>
      <c r="BG153" s="93"/>
      <c r="BH153" s="93"/>
      <c r="BI153" s="93"/>
      <c r="BJ153" s="93"/>
      <c r="BK153" s="93"/>
      <c r="BL153" s="93"/>
      <c r="BM153" s="93"/>
      <c r="BN153" s="93"/>
      <c r="BO153" s="93"/>
      <c r="BP153" s="93"/>
      <c r="BQ153" s="93"/>
      <c r="BR153" s="93"/>
      <c r="BS153" s="93"/>
      <c r="BT153" s="93"/>
      <c r="BU153" s="93"/>
      <c r="BV153" s="93"/>
      <c r="BW153" s="93"/>
      <c r="BX153" s="93"/>
      <c r="BY153" s="93"/>
      <c r="BZ153" s="93"/>
      <c r="CA153" s="93"/>
      <c r="CB153" s="93"/>
      <c r="CC153" s="93"/>
      <c r="CD153" s="93"/>
      <c r="CE153" s="93"/>
      <c r="CF153" s="93"/>
      <c r="CG153" s="93"/>
      <c r="CH153" s="93"/>
      <c r="CI153" s="93"/>
      <c r="CJ153" s="93"/>
      <c r="CK153" s="93"/>
      <c r="CL153" s="93"/>
      <c r="CM153" s="93"/>
      <c r="CN153" s="93"/>
      <c r="CO153" s="93"/>
      <c r="CP153" s="93"/>
      <c r="CQ153" s="93"/>
      <c r="CR153" s="93"/>
      <c r="CS153" s="93"/>
      <c r="CT153" s="93"/>
      <c r="CU153" s="93"/>
      <c r="CV153" s="93"/>
      <c r="CW153" s="93"/>
      <c r="CX153" s="93"/>
      <c r="CY153" s="93"/>
      <c r="CZ153" s="93"/>
      <c r="DA153" s="93"/>
      <c r="DB153" s="93"/>
      <c r="DC153" s="93"/>
      <c r="DD153" s="93"/>
      <c r="DE153" s="93"/>
      <c r="DF153" s="93"/>
      <c r="DG153" s="93"/>
      <c r="DH153" s="93"/>
      <c r="DI153" s="93"/>
      <c r="DJ153" s="93"/>
      <c r="DK153" s="93"/>
      <c r="DL153" s="93"/>
      <c r="DM153" s="93"/>
      <c r="DN153" s="93"/>
      <c r="DO153" s="93"/>
      <c r="DP153" s="93"/>
      <c r="DQ153" s="93"/>
      <c r="DR153" s="93"/>
      <c r="DS153" s="93"/>
      <c r="DT153" s="93"/>
      <c r="DU153" s="93"/>
      <c r="DV153" s="93"/>
      <c r="DW153" s="93"/>
      <c r="DX153" s="93"/>
      <c r="DY153" s="93"/>
      <c r="DZ153" s="93"/>
      <c r="EA153" s="93"/>
      <c r="EB153" s="93"/>
      <c r="EC153" s="93"/>
      <c r="ED153" s="93"/>
      <c r="EE153" s="93"/>
      <c r="EF153" s="93"/>
      <c r="EG153" s="93"/>
      <c r="EH153" s="93"/>
      <c r="EI153" s="93"/>
      <c r="EJ153" s="93"/>
      <c r="EK153" s="93"/>
      <c r="EL153" s="93"/>
      <c r="EM153" s="93"/>
      <c r="EN153" s="93"/>
      <c r="EO153" s="93"/>
      <c r="EP153" s="93"/>
      <c r="EQ153" s="93"/>
      <c r="ER153" s="93"/>
      <c r="ES153" s="93"/>
      <c r="ET153" s="93"/>
      <c r="EU153" s="93"/>
      <c r="EV153" s="93"/>
      <c r="EW153" s="93"/>
      <c r="EX153" s="93"/>
      <c r="EY153" s="93"/>
      <c r="EZ153" s="93"/>
      <c r="FA153" s="93"/>
      <c r="FB153" s="93"/>
      <c r="FC153" s="93"/>
      <c r="FD153" s="93"/>
      <c r="FE153" s="93"/>
      <c r="FF153" s="93"/>
      <c r="FG153" s="93"/>
      <c r="FH153" s="93"/>
      <c r="FI153" s="93"/>
      <c r="FJ153" s="93"/>
      <c r="FK153" s="93"/>
      <c r="FL153" s="93"/>
      <c r="FM153" s="93"/>
      <c r="FN153" s="93"/>
      <c r="FO153" s="93"/>
      <c r="FP153" s="93"/>
      <c r="FQ153" s="93"/>
      <c r="FR153" s="93"/>
      <c r="FS153" s="93"/>
      <c r="FT153" s="93"/>
      <c r="FU153" s="93"/>
      <c r="FV153" s="93"/>
      <c r="FW153" s="93"/>
      <c r="FX153" s="93"/>
      <c r="FY153" s="93"/>
      <c r="FZ153" s="93"/>
      <c r="GA153" s="93"/>
      <c r="GB153" s="93"/>
      <c r="GC153" s="93"/>
      <c r="GD153" s="93"/>
      <c r="GE153" s="93"/>
      <c r="GF153" s="93"/>
      <c r="GG153" s="93"/>
      <c r="GH153" s="93"/>
      <c r="GI153" s="93"/>
      <c r="GJ153" s="93"/>
      <c r="GK153" s="93"/>
      <c r="GL153" s="93"/>
      <c r="GM153" s="93"/>
      <c r="GN153" s="93"/>
      <c r="GO153" s="93"/>
      <c r="GP153" s="93"/>
      <c r="GQ153" s="93"/>
      <c r="GR153" s="93"/>
      <c r="GS153" s="93"/>
    </row>
    <row r="154" spans="1:201" ht="15" thickBot="1">
      <c r="A154" s="93"/>
      <c r="B154" s="93"/>
      <c r="C154" s="93"/>
      <c r="D154" s="93"/>
      <c r="E154" s="93"/>
      <c r="F154" s="93"/>
      <c r="G154" s="93"/>
      <c r="H154" s="93"/>
      <c r="I154" s="93"/>
      <c r="J154" s="93"/>
      <c r="K154" s="93"/>
      <c r="L154" s="93"/>
      <c r="M154" s="93"/>
      <c r="N154" s="93"/>
      <c r="O154" s="93"/>
      <c r="P154" s="93"/>
      <c r="Q154" s="93"/>
      <c r="R154" s="93"/>
      <c r="S154" s="93"/>
      <c r="T154" s="93"/>
      <c r="U154" s="93"/>
      <c r="V154" s="93"/>
      <c r="W154" s="93"/>
      <c r="X154" s="93"/>
      <c r="Y154" s="93"/>
      <c r="Z154" s="93"/>
      <c r="AA154" s="93"/>
      <c r="AB154" s="93"/>
      <c r="AC154" s="93"/>
      <c r="AD154" s="93"/>
      <c r="AE154" s="93"/>
      <c r="AF154" s="93"/>
      <c r="AG154" s="93"/>
      <c r="AH154" s="93"/>
      <c r="AI154" s="93"/>
      <c r="AJ154" s="93"/>
      <c r="AK154" s="93"/>
      <c r="AL154" s="93"/>
      <c r="AM154" s="93"/>
      <c r="AN154" s="93"/>
      <c r="AO154" s="93"/>
      <c r="AP154" s="93"/>
      <c r="AQ154" s="93"/>
      <c r="AR154" s="93"/>
      <c r="AS154" s="93"/>
      <c r="AT154" s="93"/>
      <c r="AU154" s="93"/>
      <c r="AV154" s="93"/>
      <c r="AW154" s="93"/>
      <c r="AX154" s="93"/>
      <c r="AY154" s="93"/>
      <c r="AZ154" s="93"/>
      <c r="BA154" s="93"/>
      <c r="BB154" s="93"/>
      <c r="BC154" s="93"/>
      <c r="BD154" s="93"/>
      <c r="BE154" s="93"/>
      <c r="BF154" s="93"/>
      <c r="BG154" s="93"/>
      <c r="BH154" s="93"/>
      <c r="BI154" s="93"/>
      <c r="BJ154" s="93"/>
      <c r="BK154" s="93"/>
      <c r="BL154" s="93"/>
      <c r="BM154" s="93"/>
      <c r="BN154" s="93"/>
      <c r="BO154" s="93"/>
      <c r="BP154" s="93"/>
      <c r="BQ154" s="93"/>
      <c r="BR154" s="93"/>
      <c r="BS154" s="93"/>
      <c r="BT154" s="93"/>
      <c r="BU154" s="93"/>
      <c r="BV154" s="93"/>
      <c r="BW154" s="93"/>
      <c r="BX154" s="93"/>
      <c r="BY154" s="93"/>
      <c r="BZ154" s="93"/>
      <c r="CA154" s="93"/>
      <c r="CB154" s="93"/>
      <c r="CC154" s="93"/>
      <c r="CD154" s="93"/>
      <c r="CE154" s="93"/>
      <c r="CF154" s="93"/>
      <c r="CG154" s="93"/>
      <c r="CH154" s="93"/>
      <c r="CI154" s="93"/>
      <c r="CJ154" s="93"/>
      <c r="CK154" s="93"/>
      <c r="CL154" s="93"/>
      <c r="CM154" s="93"/>
      <c r="CN154" s="93"/>
      <c r="CO154" s="93"/>
      <c r="CP154" s="93"/>
      <c r="CQ154" s="93"/>
      <c r="CR154" s="93"/>
      <c r="CS154" s="93"/>
      <c r="CT154" s="93"/>
      <c r="CU154" s="93"/>
      <c r="CV154" s="93"/>
      <c r="CW154" s="93"/>
      <c r="CX154" s="93"/>
      <c r="CY154" s="93"/>
      <c r="CZ154" s="93"/>
      <c r="DA154" s="93"/>
      <c r="DB154" s="93"/>
      <c r="DC154" s="93"/>
      <c r="DD154" s="93"/>
      <c r="DE154" s="93"/>
      <c r="DF154" s="93"/>
      <c r="DG154" s="93"/>
      <c r="DH154" s="93"/>
      <c r="DI154" s="93"/>
      <c r="DJ154" s="93"/>
      <c r="DK154" s="93"/>
      <c r="DL154" s="93"/>
      <c r="DM154" s="93"/>
      <c r="DN154" s="93"/>
      <c r="DO154" s="93"/>
      <c r="DP154" s="93"/>
      <c r="DQ154" s="93"/>
      <c r="DR154" s="93"/>
      <c r="DS154" s="93"/>
      <c r="DT154" s="93"/>
      <c r="DU154" s="93"/>
      <c r="DV154" s="93"/>
      <c r="DW154" s="93"/>
      <c r="DX154" s="93"/>
      <c r="DY154" s="93"/>
      <c r="DZ154" s="93"/>
      <c r="EA154" s="93"/>
      <c r="EB154" s="93"/>
      <c r="EC154" s="93"/>
      <c r="ED154" s="93"/>
      <c r="EE154" s="93"/>
      <c r="EF154" s="93"/>
      <c r="EG154" s="93"/>
      <c r="EH154" s="93"/>
      <c r="EI154" s="93"/>
      <c r="EJ154" s="93"/>
      <c r="EK154" s="93"/>
      <c r="EL154" s="93"/>
      <c r="EM154" s="93"/>
      <c r="EN154" s="93"/>
      <c r="EO154" s="93"/>
      <c r="EP154" s="93"/>
      <c r="EQ154" s="93"/>
      <c r="ER154" s="93"/>
      <c r="ES154" s="93"/>
      <c r="ET154" s="93"/>
      <c r="EU154" s="93"/>
      <c r="EV154" s="93"/>
      <c r="EW154" s="93"/>
      <c r="EX154" s="93"/>
      <c r="EY154" s="93"/>
      <c r="EZ154" s="93"/>
      <c r="FA154" s="93"/>
      <c r="FB154" s="93"/>
      <c r="FC154" s="93"/>
      <c r="FD154" s="93"/>
      <c r="FE154" s="93"/>
      <c r="FF154" s="93"/>
      <c r="FG154" s="93"/>
      <c r="FH154" s="93"/>
      <c r="FI154" s="93"/>
      <c r="FJ154" s="93"/>
      <c r="FK154" s="93"/>
      <c r="FL154" s="93"/>
      <c r="FM154" s="93"/>
      <c r="FN154" s="93"/>
      <c r="FO154" s="93"/>
      <c r="FP154" s="93"/>
      <c r="FQ154" s="93"/>
      <c r="FR154" s="93"/>
      <c r="FS154" s="93"/>
      <c r="FT154" s="93"/>
      <c r="FU154" s="93"/>
      <c r="FV154" s="93"/>
      <c r="FW154" s="93"/>
      <c r="FX154" s="93"/>
      <c r="FY154" s="93"/>
      <c r="FZ154" s="93"/>
      <c r="GA154" s="93"/>
      <c r="GB154" s="93"/>
      <c r="GC154" s="93"/>
      <c r="GD154" s="93"/>
      <c r="GE154" s="93"/>
      <c r="GF154" s="93"/>
      <c r="GG154" s="93"/>
      <c r="GH154" s="93"/>
      <c r="GI154" s="93"/>
      <c r="GJ154" s="93"/>
      <c r="GK154" s="93"/>
      <c r="GL154" s="93"/>
      <c r="GM154" s="93"/>
      <c r="GN154" s="93"/>
      <c r="GO154" s="93"/>
      <c r="GP154" s="93"/>
      <c r="GQ154" s="93"/>
      <c r="GR154" s="93"/>
      <c r="GS154" s="93"/>
    </row>
    <row r="155" spans="1:201" ht="15" thickBot="1">
      <c r="A155" s="1631" t="s">
        <v>681</v>
      </c>
      <c r="B155" s="1632"/>
      <c r="C155" s="1632"/>
      <c r="D155" s="1632"/>
      <c r="E155" s="1632"/>
      <c r="F155" s="1632"/>
      <c r="G155" s="1632"/>
      <c r="H155" s="1632"/>
      <c r="I155" s="1632"/>
      <c r="J155" s="1632"/>
      <c r="K155" s="1632"/>
      <c r="L155" s="1632"/>
      <c r="M155" s="1632"/>
      <c r="N155" s="1632"/>
      <c r="O155" s="1632"/>
      <c r="P155" s="1632"/>
      <c r="Q155" s="1632"/>
      <c r="R155" s="1632"/>
      <c r="S155" s="1632"/>
      <c r="T155" s="1632"/>
      <c r="U155" s="1632"/>
      <c r="V155" s="1633"/>
      <c r="W155" s="1154"/>
      <c r="X155" s="1154"/>
      <c r="Y155" s="1154"/>
      <c r="Z155" s="1154"/>
      <c r="AA155" s="1154"/>
      <c r="AB155" s="1154"/>
      <c r="AC155" s="1154"/>
      <c r="AD155" s="1154"/>
      <c r="AE155" s="1154"/>
      <c r="AF155" s="1154"/>
      <c r="AG155" s="1154"/>
      <c r="AH155" s="1154"/>
      <c r="AI155" s="1154"/>
      <c r="AJ155" s="1154"/>
      <c r="AK155" s="1154"/>
      <c r="AL155" s="1154"/>
      <c r="AM155" s="1154"/>
      <c r="AN155" s="1154"/>
      <c r="AO155" s="1154"/>
      <c r="AP155" s="1154"/>
      <c r="AQ155" s="1623" t="s">
        <v>622</v>
      </c>
      <c r="AR155" s="1623"/>
      <c r="AS155" s="1623"/>
      <c r="AT155" s="1623"/>
      <c r="AU155" s="1624"/>
      <c r="AV155" s="1155"/>
      <c r="AW155" s="1155"/>
      <c r="AX155" s="1155"/>
      <c r="AY155" s="1155"/>
      <c r="AZ155" s="1155"/>
      <c r="BA155" s="1155"/>
      <c r="BB155" s="1155"/>
      <c r="BC155" s="1155"/>
      <c r="BD155" s="1155"/>
      <c r="BE155" s="1155"/>
      <c r="BF155" s="1155"/>
      <c r="BG155" s="93"/>
      <c r="BH155" s="93"/>
      <c r="BI155" s="93"/>
      <c r="BJ155" s="93"/>
      <c r="BK155" s="93"/>
      <c r="BL155" s="93"/>
      <c r="BM155" s="93"/>
      <c r="BN155" s="93"/>
      <c r="BO155" s="1653" t="s">
        <v>682</v>
      </c>
      <c r="BP155" s="1654"/>
      <c r="BQ155" s="1654"/>
      <c r="BR155" s="1654"/>
      <c r="BS155" s="1654"/>
      <c r="BT155" s="1654"/>
      <c r="BU155" s="1654"/>
      <c r="BV155" s="1654"/>
      <c r="BW155" s="1654"/>
      <c r="BX155" s="1654"/>
      <c r="BY155" s="1654"/>
      <c r="BZ155" s="1654"/>
      <c r="CA155" s="1654"/>
      <c r="CB155" s="1654"/>
      <c r="CC155" s="1654"/>
      <c r="CD155" s="1654"/>
      <c r="CE155" s="1654"/>
      <c r="CF155" s="1654"/>
      <c r="CG155" s="1654"/>
      <c r="CH155" s="1654"/>
      <c r="CI155" s="1654"/>
      <c r="CJ155" s="1655"/>
      <c r="CK155" s="1156"/>
      <c r="CL155" s="1156"/>
      <c r="CM155" s="1156"/>
      <c r="CN155" s="1156"/>
      <c r="CO155" s="1156"/>
      <c r="CP155" s="1156"/>
      <c r="CQ155" s="1156"/>
      <c r="CR155" s="1156"/>
      <c r="CS155" s="1156"/>
      <c r="CT155" s="1156"/>
      <c r="CU155" s="1156"/>
      <c r="CV155" s="1156"/>
      <c r="CW155" s="1156"/>
      <c r="CX155" s="1156"/>
      <c r="CY155" s="1156"/>
      <c r="CZ155" s="1156"/>
      <c r="DA155" s="1156"/>
      <c r="DB155" s="1156"/>
      <c r="DC155" s="1156"/>
      <c r="DD155" s="1156"/>
      <c r="DE155" s="1622" t="s">
        <v>624</v>
      </c>
      <c r="DF155" s="1623"/>
      <c r="DG155" s="1623"/>
      <c r="DH155" s="1623"/>
      <c r="DI155" s="1624"/>
      <c r="DJ155" s="1042"/>
      <c r="DK155" s="1042"/>
      <c r="DL155" s="1042"/>
      <c r="DM155" s="1042"/>
      <c r="DN155" s="1042"/>
      <c r="DO155" s="1622" t="s">
        <v>665</v>
      </c>
      <c r="DP155" s="1623"/>
      <c r="DQ155" s="1623"/>
      <c r="DR155" s="1623"/>
      <c r="DS155" s="1624"/>
      <c r="DT155" s="1155"/>
      <c r="DU155" s="1155"/>
      <c r="DV155" s="1155"/>
      <c r="DW155" s="1155"/>
      <c r="DX155" s="1155"/>
      <c r="DY155" s="1155"/>
      <c r="DZ155" s="93"/>
      <c r="EA155" s="93"/>
      <c r="EB155" s="93"/>
      <c r="EC155" s="93"/>
      <c r="ED155" s="93"/>
      <c r="EE155" s="93"/>
      <c r="EF155" s="93"/>
      <c r="EG155" s="1653" t="s">
        <v>683</v>
      </c>
      <c r="EH155" s="1654"/>
      <c r="EI155" s="1654"/>
      <c r="EJ155" s="1654"/>
      <c r="EK155" s="1654"/>
      <c r="EL155" s="1654"/>
      <c r="EM155" s="1654"/>
      <c r="EN155" s="1654"/>
      <c r="EO155" s="1654"/>
      <c r="EP155" s="1654"/>
      <c r="EQ155" s="1654"/>
      <c r="ER155" s="1654"/>
      <c r="ES155" s="1654"/>
      <c r="ET155" s="1654"/>
      <c r="EU155" s="1654"/>
      <c r="EV155" s="1654"/>
      <c r="EW155" s="1654"/>
      <c r="EX155" s="1654"/>
      <c r="EY155" s="1654"/>
      <c r="EZ155" s="1654"/>
      <c r="FA155" s="1654"/>
      <c r="FB155" s="1654"/>
      <c r="FC155" s="1654"/>
      <c r="FD155" s="1654"/>
      <c r="FE155" s="1654"/>
      <c r="FF155" s="1654"/>
      <c r="FG155" s="1654"/>
      <c r="FH155" s="1654"/>
      <c r="FI155" s="1654"/>
      <c r="FJ155" s="1654"/>
      <c r="FK155" s="1654"/>
      <c r="FL155" s="1654"/>
      <c r="FM155" s="1654"/>
      <c r="FN155" s="1654"/>
      <c r="FO155" s="1654"/>
      <c r="FP155" s="1654"/>
      <c r="FQ155" s="1654"/>
      <c r="FR155" s="1654"/>
      <c r="FS155" s="1654"/>
      <c r="FT155" s="1654"/>
      <c r="FU155" s="1654"/>
      <c r="FV155" s="1654"/>
      <c r="FW155" s="1654"/>
      <c r="FX155" s="1654"/>
      <c r="FY155" s="1654"/>
      <c r="FZ155" s="1654"/>
      <c r="GA155" s="1654"/>
      <c r="GB155" s="1654"/>
      <c r="GC155" s="1654"/>
      <c r="GD155" s="1654"/>
      <c r="GE155" s="1654"/>
      <c r="GF155" s="1654"/>
      <c r="GG155" s="1655"/>
      <c r="GH155" s="93"/>
      <c r="GI155" s="93"/>
      <c r="GJ155" s="93"/>
      <c r="GK155" s="93"/>
      <c r="GL155" s="93"/>
      <c r="GM155" s="93"/>
      <c r="GN155" s="93"/>
      <c r="GO155" s="93"/>
      <c r="GP155" s="93"/>
      <c r="GQ155" s="93"/>
      <c r="GR155" s="93"/>
      <c r="GS155" s="93"/>
    </row>
    <row r="156" spans="1:201" ht="15" thickBot="1">
      <c r="A156" s="1157"/>
      <c r="B156" s="1158"/>
      <c r="C156" s="1634">
        <v>2023</v>
      </c>
      <c r="D156" s="1635"/>
      <c r="E156" s="1635"/>
      <c r="F156" s="1636"/>
      <c r="G156" s="1634">
        <v>2024</v>
      </c>
      <c r="H156" s="1635"/>
      <c r="I156" s="1635"/>
      <c r="J156" s="1636"/>
      <c r="K156" s="1634">
        <v>2025</v>
      </c>
      <c r="L156" s="1635"/>
      <c r="M156" s="1635"/>
      <c r="N156" s="1636"/>
      <c r="O156" s="1634">
        <v>2026</v>
      </c>
      <c r="P156" s="1635"/>
      <c r="Q156" s="1635"/>
      <c r="R156" s="1636"/>
      <c r="S156" s="1637">
        <v>2027</v>
      </c>
      <c r="T156" s="1638"/>
      <c r="U156" s="1638"/>
      <c r="V156" s="1639"/>
      <c r="W156" s="1159"/>
      <c r="X156" s="1159"/>
      <c r="Y156" s="1159"/>
      <c r="Z156" s="1159"/>
      <c r="AA156" s="1159"/>
      <c r="AB156" s="1159"/>
      <c r="AC156" s="1159"/>
      <c r="AD156" s="1159"/>
      <c r="AE156" s="1159"/>
      <c r="AF156" s="1159"/>
      <c r="AG156" s="1159"/>
      <c r="AH156" s="1159"/>
      <c r="AI156" s="1159"/>
      <c r="AJ156" s="1159"/>
      <c r="AK156" s="1159"/>
      <c r="AL156" s="1159"/>
      <c r="AM156" s="1159"/>
      <c r="AN156" s="1159"/>
      <c r="AO156" s="1159"/>
      <c r="AP156" s="1159"/>
      <c r="AQ156" s="1626"/>
      <c r="AR156" s="1626"/>
      <c r="AS156" s="1626"/>
      <c r="AT156" s="1626"/>
      <c r="AU156" s="1626"/>
      <c r="AV156" s="1155"/>
      <c r="AW156" s="1155"/>
      <c r="AX156" s="1155"/>
      <c r="AY156" s="1155"/>
      <c r="AZ156" s="1155"/>
      <c r="BA156" s="1155"/>
      <c r="BB156" s="1155"/>
      <c r="BC156" s="1155"/>
      <c r="BD156" s="1155"/>
      <c r="BE156" s="1155"/>
      <c r="BF156" s="1155"/>
      <c r="BG156" s="93"/>
      <c r="BH156" s="93"/>
      <c r="BI156" s="93"/>
      <c r="BJ156" s="93"/>
      <c r="BK156" s="93"/>
      <c r="BL156" s="93"/>
      <c r="BM156" s="93"/>
      <c r="BN156" s="93"/>
      <c r="BO156" s="1160"/>
      <c r="BP156" s="1161"/>
      <c r="BQ156" s="1549">
        <v>2022</v>
      </c>
      <c r="BR156" s="1549"/>
      <c r="BS156" s="1549"/>
      <c r="BT156" s="1549"/>
      <c r="BU156" s="1549">
        <v>2023</v>
      </c>
      <c r="BV156" s="1549"/>
      <c r="BW156" s="1549"/>
      <c r="BX156" s="1549"/>
      <c r="BY156" s="1549">
        <v>2024</v>
      </c>
      <c r="BZ156" s="1549"/>
      <c r="CA156" s="1549"/>
      <c r="CB156" s="1549"/>
      <c r="CC156" s="1549">
        <v>2025</v>
      </c>
      <c r="CD156" s="1549"/>
      <c r="CE156" s="1549"/>
      <c r="CF156" s="1549"/>
      <c r="CG156" s="1550">
        <v>2026</v>
      </c>
      <c r="CH156" s="1550"/>
      <c r="CI156" s="1550"/>
      <c r="CJ156" s="1551"/>
      <c r="CK156" s="1159"/>
      <c r="CL156" s="1159"/>
      <c r="CM156" s="1159"/>
      <c r="CN156" s="1159"/>
      <c r="CO156" s="1159"/>
      <c r="CP156" s="1159"/>
      <c r="CQ156" s="1159"/>
      <c r="CR156" s="1159"/>
      <c r="CS156" s="1159"/>
      <c r="CT156" s="1159"/>
      <c r="CU156" s="1159"/>
      <c r="CV156" s="1159"/>
      <c r="CW156" s="1159"/>
      <c r="CX156" s="1159"/>
      <c r="CY156" s="1159"/>
      <c r="CZ156" s="1159"/>
      <c r="DA156" s="1159"/>
      <c r="DB156" s="1159"/>
      <c r="DC156" s="1159"/>
      <c r="DD156" s="1159"/>
      <c r="DE156" s="1625"/>
      <c r="DF156" s="1626"/>
      <c r="DG156" s="1626"/>
      <c r="DH156" s="1626"/>
      <c r="DI156" s="1627"/>
      <c r="DJ156" s="1044"/>
      <c r="DK156" s="1044"/>
      <c r="DL156" s="1044"/>
      <c r="DM156" s="1044"/>
      <c r="DN156" s="1044"/>
      <c r="DO156" s="1625"/>
      <c r="DP156" s="1626"/>
      <c r="DQ156" s="1626"/>
      <c r="DR156" s="1626"/>
      <c r="DS156" s="1627"/>
      <c r="DT156" s="1155"/>
      <c r="DU156" s="1155"/>
      <c r="DV156" s="1155"/>
      <c r="DW156" s="1155"/>
      <c r="DX156" s="1155"/>
      <c r="DY156" s="1155"/>
      <c r="DZ156" s="93"/>
      <c r="EA156" s="93"/>
      <c r="EB156" s="93"/>
      <c r="EC156" s="93"/>
      <c r="ED156" s="93"/>
      <c r="EE156" s="93"/>
      <c r="EF156" s="93"/>
      <c r="EG156" s="1160"/>
      <c r="EH156" s="1161"/>
      <c r="EI156" s="1549">
        <v>2022</v>
      </c>
      <c r="EJ156" s="1549"/>
      <c r="EK156" s="1549"/>
      <c r="EL156" s="1549"/>
      <c r="EM156" s="1549">
        <v>2023</v>
      </c>
      <c r="EN156" s="1549"/>
      <c r="EO156" s="1549"/>
      <c r="EP156" s="1549"/>
      <c r="EQ156" s="1549">
        <v>2024</v>
      </c>
      <c r="ER156" s="1549"/>
      <c r="ES156" s="1549"/>
      <c r="ET156" s="1549"/>
      <c r="EU156" s="1549">
        <v>2025</v>
      </c>
      <c r="EV156" s="1549"/>
      <c r="EW156" s="1549"/>
      <c r="EX156" s="1549"/>
      <c r="EY156" s="1550">
        <v>2026</v>
      </c>
      <c r="EZ156" s="1550"/>
      <c r="FA156" s="1550"/>
      <c r="FB156" s="1550"/>
      <c r="FC156" s="1159"/>
      <c r="FD156" s="1159"/>
      <c r="FE156" s="1159"/>
      <c r="FF156" s="1159"/>
      <c r="FG156" s="1159"/>
      <c r="FH156" s="1159"/>
      <c r="FI156" s="1159"/>
      <c r="FJ156" s="1159"/>
      <c r="FK156" s="1159"/>
      <c r="FL156" s="1159"/>
      <c r="FM156" s="1159"/>
      <c r="FN156" s="1159"/>
      <c r="FO156" s="1159"/>
      <c r="FP156" s="1159"/>
      <c r="FQ156" s="1159"/>
      <c r="FR156" s="1159"/>
      <c r="FS156" s="1159"/>
      <c r="FT156" s="1159"/>
      <c r="FU156" s="1159"/>
      <c r="FV156" s="1159"/>
      <c r="FW156" s="1159"/>
      <c r="FX156" s="1578" t="s">
        <v>629</v>
      </c>
      <c r="FY156" s="1650"/>
      <c r="FZ156" s="1578" t="s">
        <v>630</v>
      </c>
      <c r="GA156" s="1579"/>
      <c r="GB156" s="1578" t="s">
        <v>631</v>
      </c>
      <c r="GC156" s="1579"/>
      <c r="GD156" s="1578" t="s">
        <v>632</v>
      </c>
      <c r="GE156" s="1579"/>
      <c r="GF156" s="1578" t="s">
        <v>633</v>
      </c>
      <c r="GG156" s="1579"/>
      <c r="GH156" s="1561" t="s">
        <v>634</v>
      </c>
      <c r="GI156" s="93"/>
      <c r="GJ156" s="93"/>
      <c r="GK156" s="1567" t="s">
        <v>635</v>
      </c>
      <c r="GL156" s="93"/>
      <c r="GM156" s="93"/>
      <c r="GN156" s="93"/>
      <c r="GO156" s="93"/>
      <c r="GP156" s="93"/>
      <c r="GQ156" s="93"/>
      <c r="GR156" s="93"/>
      <c r="GS156" s="93"/>
    </row>
    <row r="157" spans="1:201" ht="15" thickBot="1">
      <c r="A157" s="1157"/>
      <c r="B157" s="1158"/>
      <c r="C157" s="1158">
        <v>1</v>
      </c>
      <c r="D157" s="1158">
        <v>2</v>
      </c>
      <c r="E157" s="1158">
        <v>3</v>
      </c>
      <c r="F157" s="1158">
        <v>4</v>
      </c>
      <c r="G157" s="1158">
        <v>1</v>
      </c>
      <c r="H157" s="1158">
        <v>2</v>
      </c>
      <c r="I157" s="1158">
        <v>3</v>
      </c>
      <c r="J157" s="1158">
        <v>4</v>
      </c>
      <c r="K157" s="1158">
        <v>1</v>
      </c>
      <c r="L157" s="1158">
        <v>2</v>
      </c>
      <c r="M157" s="1158">
        <v>3</v>
      </c>
      <c r="N157" s="1158">
        <v>4</v>
      </c>
      <c r="O157" s="1158">
        <v>1</v>
      </c>
      <c r="P157" s="1158">
        <v>2</v>
      </c>
      <c r="Q157" s="1158">
        <v>3</v>
      </c>
      <c r="R157" s="1158">
        <v>4</v>
      </c>
      <c r="S157" s="1158">
        <v>1</v>
      </c>
      <c r="T157" s="1158">
        <v>2</v>
      </c>
      <c r="U157" s="1158">
        <v>3</v>
      </c>
      <c r="V157" s="1162">
        <v>4</v>
      </c>
      <c r="W157" s="1162"/>
      <c r="X157" s="1162"/>
      <c r="Y157" s="1162"/>
      <c r="Z157" s="1162"/>
      <c r="AA157" s="1162"/>
      <c r="AB157" s="1162"/>
      <c r="AC157" s="1162"/>
      <c r="AD157" s="1162"/>
      <c r="AE157" s="1162"/>
      <c r="AF157" s="1162"/>
      <c r="AG157" s="1162"/>
      <c r="AH157" s="1162"/>
      <c r="AI157" s="1162"/>
      <c r="AJ157" s="1162"/>
      <c r="AK157" s="1162"/>
      <c r="AL157" s="1162"/>
      <c r="AM157" s="1162"/>
      <c r="AN157" s="1162"/>
      <c r="AO157" s="1162"/>
      <c r="AP157" s="1162"/>
      <c r="AQ157" s="1043" t="s">
        <v>667</v>
      </c>
      <c r="AR157" s="856" t="s">
        <v>668</v>
      </c>
      <c r="AS157" s="856" t="s">
        <v>669</v>
      </c>
      <c r="AT157" s="856" t="s">
        <v>670</v>
      </c>
      <c r="AU157" s="1041" t="s">
        <v>671</v>
      </c>
      <c r="AV157" s="1155"/>
      <c r="AW157" s="1155"/>
      <c r="AX157" s="1155"/>
      <c r="AY157" s="1155"/>
      <c r="AZ157" s="1155"/>
      <c r="BA157" s="1155"/>
      <c r="BB157" s="1155"/>
      <c r="BC157" s="1155"/>
      <c r="BD157" s="1155"/>
      <c r="BE157" s="1155"/>
      <c r="BF157" s="1155"/>
      <c r="BG157" s="93"/>
      <c r="BH157" s="93"/>
      <c r="BI157" s="93"/>
      <c r="BJ157" s="93"/>
      <c r="BK157" s="93"/>
      <c r="BL157" s="93"/>
      <c r="BM157" s="93"/>
      <c r="BN157" s="93"/>
      <c r="BO157" s="1160"/>
      <c r="BP157" s="1161"/>
      <c r="BQ157" s="1161">
        <v>1</v>
      </c>
      <c r="BR157" s="1161">
        <v>2</v>
      </c>
      <c r="BS157" s="1161">
        <v>3</v>
      </c>
      <c r="BT157" s="1161">
        <v>4</v>
      </c>
      <c r="BU157" s="1161">
        <v>1</v>
      </c>
      <c r="BV157" s="1161">
        <v>2</v>
      </c>
      <c r="BW157" s="1161">
        <v>3</v>
      </c>
      <c r="BX157" s="1161">
        <v>4</v>
      </c>
      <c r="BY157" s="1161">
        <v>1</v>
      </c>
      <c r="BZ157" s="1161">
        <v>2</v>
      </c>
      <c r="CA157" s="1161">
        <v>3</v>
      </c>
      <c r="CB157" s="1161">
        <v>4</v>
      </c>
      <c r="CC157" s="1161">
        <v>1</v>
      </c>
      <c r="CD157" s="1161">
        <v>2</v>
      </c>
      <c r="CE157" s="1161">
        <v>3</v>
      </c>
      <c r="CF157" s="1161">
        <v>4</v>
      </c>
      <c r="CG157" s="1161">
        <v>1</v>
      </c>
      <c r="CH157" s="1161">
        <v>2</v>
      </c>
      <c r="CI157" s="1161">
        <v>3</v>
      </c>
      <c r="CJ157" s="1163">
        <v>4</v>
      </c>
      <c r="CK157" s="1163"/>
      <c r="CL157" s="1163"/>
      <c r="CM157" s="1163"/>
      <c r="CN157" s="1163"/>
      <c r="CO157" s="1163"/>
      <c r="CP157" s="1163"/>
      <c r="CQ157" s="1163"/>
      <c r="CR157" s="1163"/>
      <c r="CS157" s="1163"/>
      <c r="CT157" s="1163"/>
      <c r="CU157" s="1163"/>
      <c r="CV157" s="1163"/>
      <c r="CW157" s="1163"/>
      <c r="CX157" s="1163"/>
      <c r="CY157" s="1163"/>
      <c r="CZ157" s="1163"/>
      <c r="DA157" s="1163"/>
      <c r="DB157" s="1163"/>
      <c r="DC157" s="1163"/>
      <c r="DD157" s="1163"/>
      <c r="DE157" s="856" t="s">
        <v>667</v>
      </c>
      <c r="DF157" s="856" t="s">
        <v>668</v>
      </c>
      <c r="DG157" s="856" t="s">
        <v>669</v>
      </c>
      <c r="DH157" s="856" t="s">
        <v>670</v>
      </c>
      <c r="DI157" s="856" t="s">
        <v>671</v>
      </c>
      <c r="DJ157" s="856"/>
      <c r="DK157" s="856"/>
      <c r="DL157" s="856"/>
      <c r="DM157" s="856"/>
      <c r="DN157" s="856"/>
      <c r="DO157" s="856" t="s">
        <v>667</v>
      </c>
      <c r="DP157" s="856" t="s">
        <v>668</v>
      </c>
      <c r="DQ157" s="856" t="s">
        <v>669</v>
      </c>
      <c r="DR157" s="856" t="s">
        <v>670</v>
      </c>
      <c r="DS157" s="856" t="s">
        <v>671</v>
      </c>
      <c r="DT157" s="1155"/>
      <c r="DU157" s="1155"/>
      <c r="DV157" s="1155"/>
      <c r="DW157" s="1155"/>
      <c r="DX157" s="1155"/>
      <c r="DY157" s="1155"/>
      <c r="DZ157" s="93"/>
      <c r="EA157" s="93"/>
      <c r="EB157" s="93"/>
      <c r="EC157" s="93"/>
      <c r="ED157" s="93"/>
      <c r="EE157" s="93"/>
      <c r="EF157" s="93"/>
      <c r="EG157" s="1160"/>
      <c r="EH157" s="1161"/>
      <c r="EI157" s="1161">
        <v>1</v>
      </c>
      <c r="EJ157" s="1161">
        <v>2</v>
      </c>
      <c r="EK157" s="1161">
        <v>3</v>
      </c>
      <c r="EL157" s="1161">
        <v>4</v>
      </c>
      <c r="EM157" s="1161">
        <v>1</v>
      </c>
      <c r="EN157" s="1161">
        <v>2</v>
      </c>
      <c r="EO157" s="1161">
        <v>3</v>
      </c>
      <c r="EP157" s="1161">
        <v>4</v>
      </c>
      <c r="EQ157" s="1161">
        <v>1</v>
      </c>
      <c r="ER157" s="1161">
        <v>2</v>
      </c>
      <c r="ES157" s="1161">
        <v>3</v>
      </c>
      <c r="ET157" s="1161">
        <v>4</v>
      </c>
      <c r="EU157" s="1161">
        <v>1</v>
      </c>
      <c r="EV157" s="1161">
        <v>2</v>
      </c>
      <c r="EW157" s="1161">
        <v>3</v>
      </c>
      <c r="EX157" s="1161">
        <v>4</v>
      </c>
      <c r="EY157" s="1161">
        <v>1</v>
      </c>
      <c r="EZ157" s="1161">
        <v>2</v>
      </c>
      <c r="FA157" s="1161">
        <v>3</v>
      </c>
      <c r="FB157" s="1161">
        <v>4</v>
      </c>
      <c r="FC157" s="1161"/>
      <c r="FD157" s="1161"/>
      <c r="FE157" s="1161"/>
      <c r="FF157" s="1161"/>
      <c r="FG157" s="1161"/>
      <c r="FH157" s="1161"/>
      <c r="FI157" s="1161"/>
      <c r="FJ157" s="1161"/>
      <c r="FK157" s="1161"/>
      <c r="FL157" s="1161"/>
      <c r="FM157" s="1161"/>
      <c r="FN157" s="1161"/>
      <c r="FO157" s="1161"/>
      <c r="FP157" s="1161"/>
      <c r="FQ157" s="1161"/>
      <c r="FR157" s="1161"/>
      <c r="FS157" s="1161"/>
      <c r="FT157" s="1161"/>
      <c r="FU157" s="1161"/>
      <c r="FV157" s="1161"/>
      <c r="FW157" s="1161"/>
      <c r="FX157" s="1580"/>
      <c r="FY157" s="1651"/>
      <c r="FZ157" s="1580"/>
      <c r="GA157" s="1581"/>
      <c r="GB157" s="1580"/>
      <c r="GC157" s="1581"/>
      <c r="GD157" s="1580"/>
      <c r="GE157" s="1581"/>
      <c r="GF157" s="1580"/>
      <c r="GG157" s="1581"/>
      <c r="GH157" s="1561"/>
      <c r="GI157" s="93"/>
      <c r="GJ157" s="93"/>
      <c r="GK157" s="1567"/>
      <c r="GL157" s="93"/>
      <c r="GM157" s="93"/>
      <c r="GN157" s="93"/>
      <c r="GO157" s="93"/>
      <c r="GP157" s="93"/>
      <c r="GQ157" s="93"/>
      <c r="GR157" s="93"/>
      <c r="GS157" s="93"/>
    </row>
    <row r="158" spans="1:201">
      <c r="A158" s="1571">
        <v>1</v>
      </c>
      <c r="B158" s="593" t="s">
        <v>209</v>
      </c>
      <c r="C158" s="661">
        <f t="shared" ref="C158:C174" si="351">(IF(GV4=1,IF(C4&lt;=$BJ$49,C4*1000*$BI4,$BJ$49*1000*$BI4),IF(GV4*$BJ$49&gt;=C4,C4*1000*$BI4,GV4*1000*$BJ$49*$BI4)))*90*$C$26</f>
        <v>605596.12884830369</v>
      </c>
      <c r="D158" s="661">
        <f t="shared" ref="D158:D174" si="352">(IF(GW4=1,IF(D4&lt;=$BJ$49,D4*1000*$BI4,$BJ$49*1000*$BI4),IF(GW4*$BJ$49&gt;=D4,D4*1000*$BI4,GW4*1000*$BJ$49*$BI4)))*90*$C$26</f>
        <v>615689.39766244206</v>
      </c>
      <c r="E158" s="661">
        <f t="shared" ref="E158:E174" si="353">(IF(GX4=1,IF(E4&lt;=$BJ$49,E4*1000*$BI4,$BJ$49*1000*$BI4),IF(GX4*$BJ$49&gt;=E4,E4*1000*$BI4,GX4*1000*$BJ$49*$BI4)))*90*$C$26</f>
        <v>626186.3972291461</v>
      </c>
      <c r="F158" s="661">
        <f t="shared" ref="F158:F174" si="354">(IF(GY4=1,IF(F4&lt;=$BJ$49,F4*1000*$BI4,$BJ$49*1000*$BI4),IF(GY4*$BJ$49&gt;=F4,F4*1000*$BI4,GY4*1000*$BJ$49*$BI4)))*90*$C$26</f>
        <v>635068.4737855877</v>
      </c>
      <c r="G158" s="661">
        <f t="shared" ref="G158:G174" si="355">(IF(GZ4=1,IF(G4&lt;=$BJ$49,G4*1000*$BI4,$BJ$49*1000*$BI4),IF(GZ4*$BJ$49&gt;=G4,G4*1000*$BI4,GZ4*1000*$BJ$49*$BI4)))*90*$C$26</f>
        <v>663830.25259835669</v>
      </c>
      <c r="H158" s="661">
        <f t="shared" ref="H158:H174" si="356">(IF(HA4=1,IF(H4&lt;=$BJ$49,H4*1000*$BI4,$BJ$49*1000*$BI4),IF(HA4*$BJ$49&gt;=H4,H4*1000*$BI4,HA4*1000*$BJ$49*$BI4)))*90*$C$26</f>
        <v>670007.33311260934</v>
      </c>
      <c r="I158" s="661">
        <f t="shared" ref="I158:I174" si="357">(IF(HB4=1,IF(I4&lt;=$BJ$49,I4*1000*$BI4,$BJ$49*1000*$BI4),IF(HB4*$BJ$49&gt;=I4,I4*1000*$BI4,HB4*1000*$BJ$49*$BI4)))*90*$C$26</f>
        <v>670007.33311260934</v>
      </c>
      <c r="J158" s="661">
        <f t="shared" ref="J158:J174" si="358">(IF(HC4=1,IF(J4&lt;=$BJ$49,J4*1000*$BI4,$BJ$49*1000*$BI4),IF(HC4*$BJ$49&gt;=J4,J4*1000*$BI4,HC4*1000*$BJ$49*$BI4)))*90*$C$26</f>
        <v>673713.58142116095</v>
      </c>
      <c r="K158" s="661">
        <f t="shared" ref="K158:K174" si="359">(IF(HD4=1,IF(K4&lt;=$BJ$49,K4*1000*$BI4,$BJ$49*1000*$BI4),IF(HD4*$BJ$49&gt;=K4,K4*1000*$BI4,HD4*1000*$BJ$49*$BI4)))*90*$C$26</f>
        <v>695168.64107399865</v>
      </c>
      <c r="L158" s="661">
        <f t="shared" ref="L158:L174" si="360">(IF(HE4=1,IF(L4&lt;=$BJ$49,L4*1000*$BI4,$BJ$49*1000*$BI4),IF(HE4*$BJ$49&gt;=L4,L4*1000*$BI4,HE4*1000*$BJ$49*$BI4)))*90*$C$26</f>
        <v>701889.3046735056</v>
      </c>
      <c r="M158" s="661">
        <f t="shared" ref="M158:M174" si="361">(IF(HF4=1,IF(M4&lt;=$BJ$49,M4*1000*$BI4,$BJ$49*1000*$BI4),IF(HF4*$BJ$49&gt;=M4,M4*1000*$BI4,HF4*1000*$BJ$49*$BI4)))*90*$C$26</f>
        <v>704409.5535233207</v>
      </c>
      <c r="N158" s="661">
        <f t="shared" ref="N158:N174" si="362">(IF(HG4=1,IF(N4&lt;=$BJ$49,N4*1000*$BI4,$BJ$49*1000*$BI4),IF(HG4*$BJ$49&gt;=N4,N4*1000*$BI4,HG4*1000*$BJ$49*$BI4)))*90*$C$26</f>
        <v>709450.05122295092</v>
      </c>
      <c r="O158" s="661">
        <f t="shared" ref="O158:O174" si="363">(IF(HH4=1,IF(O4&lt;=$BJ$49,O4*1000*$BI4,$BJ$49*1000*$BI4),IF(HH4*$BJ$49&gt;=O4,O4*1000*$BI4,HH4*1000*$BJ$49*$BI4)))*90*$C$26</f>
        <v>732636.3406412499</v>
      </c>
      <c r="P158" s="661">
        <f t="shared" ref="P158:P174" si="364">(IF(HI4=1,IF(P4&lt;=$BJ$49,P4*1000*$BI4,$BJ$49*1000*$BI4),IF(HI4*$BJ$49&gt;=P4,P4*1000*$BI4,HI4*1000*$BJ$49*$BI4)))*90*$C$26</f>
        <v>743775.84055743273</v>
      </c>
      <c r="Q158" s="661">
        <f t="shared" ref="Q158:Q174" si="365">(IF(HJ4=1,IF(Q4&lt;=$BJ$49,Q4*1000*$BI4,$BJ$49*1000*$BI4),IF(HJ4*$BJ$49&gt;=Q4,Q4*1000*$BI4,HJ4*1000*$BJ$49*$BI4)))*90*$C$26</f>
        <v>757057.55199595832</v>
      </c>
      <c r="R158" s="661">
        <f t="shared" ref="R158:R174" si="366">(IF(HK4=1,IF(R4&lt;=$BJ$49,R4*1000*$BI4,$BJ$49*1000*$BI4),IF(HK4*$BJ$49&gt;=R4,R4*1000*$BI4,HK4*1000*$BJ$49*$BI4)))*90*$C$26</f>
        <v>775480.5710881066</v>
      </c>
      <c r="S158" s="661">
        <f t="shared" ref="S158:S174" si="367">(IF(HL4=1,IF(S4&lt;=$BJ$49,S4*1000*$BI4,$BJ$49*1000*$BI4),IF(HL4*$BJ$49&gt;=S4,S4*1000*$BI4,HL4*1000*$BJ$49*$BI4)))*90*$C$26</f>
        <v>801041.43897270143</v>
      </c>
      <c r="T158" s="661">
        <f t="shared" ref="T158:T174" si="368">(IF(HM4=1,IF(T4&lt;=$BJ$49,T4*1000*$BI4,$BJ$49*1000*$BI4),IF(HM4*$BJ$49&gt;=T4,T4*1000*$BI4,HM4*1000*$BJ$49*$BI4)))*90*$C$26</f>
        <v>822891.99650059827</v>
      </c>
      <c r="U158" s="661">
        <f t="shared" ref="U158:U174" si="369">(IF(HN4=1,IF(U4&lt;=$BJ$49,U4*1000*$BI4,$BJ$49*1000*$BI4),IF(HN4*$BJ$49&gt;=U4,U4*1000*$BI4,HN4*1000*$BJ$49*$BI4)))*90*$C$26</f>
        <v>844742.5540284951</v>
      </c>
      <c r="V158" s="661">
        <f t="shared" ref="V158:V174" si="370">(IF(HO4=1,IF(V4&lt;=$BJ$49,V4*1000*$BI4,$BJ$49*1000*$BI4),IF(HO4*$BJ$49&gt;=V4,V4*1000*$BI4,HO4*1000*$BJ$49*$BI4)))*90*$C$26</f>
        <v>866593.11155639216</v>
      </c>
      <c r="W158" s="661"/>
      <c r="X158" s="661"/>
      <c r="Y158" s="661"/>
      <c r="Z158" s="661"/>
      <c r="AA158" s="661"/>
      <c r="AB158" s="661"/>
      <c r="AC158" s="661"/>
      <c r="AD158" s="661"/>
      <c r="AE158" s="661"/>
      <c r="AF158" s="661"/>
      <c r="AG158" s="661"/>
      <c r="AH158" s="661"/>
      <c r="AI158" s="661"/>
      <c r="AJ158" s="661"/>
      <c r="AK158" s="661"/>
      <c r="AL158" s="661"/>
      <c r="AM158" s="661"/>
      <c r="AN158" s="661"/>
      <c r="AO158" s="661"/>
      <c r="AP158" s="661"/>
      <c r="AQ158" s="858">
        <f>SUM(C158:F158)</f>
        <v>2482540.3975254796</v>
      </c>
      <c r="AR158" s="858">
        <f t="shared" ref="AR158:AR166" si="371">SUM(G158:J158)</f>
        <v>2677558.5002447362</v>
      </c>
      <c r="AS158" s="858">
        <f t="shared" ref="AS158:AS171" si="372">SUM(K158:N158)</f>
        <v>2810917.5504937759</v>
      </c>
      <c r="AT158" s="858">
        <f t="shared" ref="AT158:AT177" si="373">SUM(O158:R158)</f>
        <v>3008950.3042827472</v>
      </c>
      <c r="AU158" s="858">
        <f t="shared" ref="AU158:AU177" si="374">SUM(S158:V158)</f>
        <v>3335269.101058187</v>
      </c>
      <c r="AV158" s="1167"/>
      <c r="AW158" s="1167"/>
      <c r="AX158" s="1167"/>
      <c r="AY158" s="1167"/>
      <c r="AZ158" s="1167"/>
      <c r="BA158" s="1167"/>
      <c r="BB158" s="1167"/>
      <c r="BC158" s="1167"/>
      <c r="BD158" s="1167"/>
      <c r="BE158" s="1167"/>
      <c r="BF158" s="1167"/>
      <c r="BG158" s="93"/>
      <c r="BH158" s="93"/>
      <c r="BI158" s="93"/>
      <c r="BJ158" s="93"/>
      <c r="BK158" s="93"/>
      <c r="BL158" s="93"/>
      <c r="BM158" s="93"/>
      <c r="BN158" s="93"/>
      <c r="BO158" s="1571">
        <v>1</v>
      </c>
      <c r="BP158" s="593" t="s">
        <v>209</v>
      </c>
      <c r="BQ158" s="1168">
        <f t="shared" ref="BQ158:BQ174" si="375">GV4*$DR4*90</f>
        <v>831904.94331435964</v>
      </c>
      <c r="BR158" s="1168">
        <f t="shared" ref="BR158:BR174" si="376">GW4*$DR4*90</f>
        <v>831904.94331435964</v>
      </c>
      <c r="BS158" s="1168">
        <f t="shared" ref="BS158:BS174" si="377">GX4*$DR4*90</f>
        <v>831904.94331435964</v>
      </c>
      <c r="BT158" s="1168">
        <f t="shared" ref="BT158:BT174" si="378">GY4*$DR4*90</f>
        <v>831904.94331435964</v>
      </c>
      <c r="BU158" s="1168">
        <f t="shared" ref="BU158:BU174" si="379">GZ4*$DR4*90</f>
        <v>831904.94331435964</v>
      </c>
      <c r="BV158" s="1168">
        <f t="shared" ref="BV158:BV174" si="380">HA4*$DR4*90</f>
        <v>831904.94331435964</v>
      </c>
      <c r="BW158" s="1168">
        <f t="shared" ref="BW158:BW174" si="381">HB4*$DR4*90</f>
        <v>831904.94331435964</v>
      </c>
      <c r="BX158" s="1168">
        <f t="shared" ref="BX158:BX174" si="382">HC4*$DR4*90</f>
        <v>831904.94331435964</v>
      </c>
      <c r="BY158" s="1168">
        <f t="shared" ref="BY158:BY174" si="383">HD4*$DR4*90</f>
        <v>831904.94331435964</v>
      </c>
      <c r="BZ158" s="1168">
        <f t="shared" ref="BZ158:BZ174" si="384">HE4*$DR4*90</f>
        <v>831904.94331435964</v>
      </c>
      <c r="CA158" s="1168">
        <f t="shared" ref="CA158:CA174" si="385">HF4*$DR4*90</f>
        <v>831904.94331435964</v>
      </c>
      <c r="CB158" s="1168">
        <f t="shared" ref="CB158:CB174" si="386">HG4*$DR4*90</f>
        <v>831904.94331435964</v>
      </c>
      <c r="CC158" s="1168">
        <f t="shared" ref="CC158:CC174" si="387">HH4*$DR4*90</f>
        <v>831904.94331435964</v>
      </c>
      <c r="CD158" s="1168">
        <f t="shared" ref="CD158:CD174" si="388">HI4*$DR4*90</f>
        <v>831904.94331435964</v>
      </c>
      <c r="CE158" s="1168">
        <f t="shared" ref="CE158:CE174" si="389">HJ4*$DR4*90</f>
        <v>831904.94331435964</v>
      </c>
      <c r="CF158" s="1168">
        <f t="shared" ref="CF158:CF174" si="390">HK4*$DR4*90</f>
        <v>831904.94331435964</v>
      </c>
      <c r="CG158" s="1168">
        <f t="shared" ref="CG158:CG174" si="391">HL4*$DR4*90</f>
        <v>831904.94331435964</v>
      </c>
      <c r="CH158" s="1168">
        <f t="shared" ref="CH158:CH174" si="392">HM4*$DR4*90</f>
        <v>831904.94331435964</v>
      </c>
      <c r="CI158" s="1168">
        <f t="shared" ref="CI158:CI174" si="393">HN4*$DR4*90</f>
        <v>831904.94331435964</v>
      </c>
      <c r="CJ158" s="1168">
        <f t="shared" ref="CJ158:CJ174" si="394">HO4*$DR4*90</f>
        <v>831904.94331435964</v>
      </c>
      <c r="CK158" s="1168"/>
      <c r="CL158" s="1168"/>
      <c r="CM158" s="1168"/>
      <c r="CN158" s="1168"/>
      <c r="CO158" s="1168"/>
      <c r="CP158" s="1168"/>
      <c r="CQ158" s="1168"/>
      <c r="CR158" s="1168"/>
      <c r="CS158" s="1168"/>
      <c r="CT158" s="1168"/>
      <c r="CU158" s="1168"/>
      <c r="CV158" s="1168"/>
      <c r="CW158" s="1168"/>
      <c r="CX158" s="1168"/>
      <c r="CY158" s="1168"/>
      <c r="CZ158" s="1168"/>
      <c r="DA158" s="1168"/>
      <c r="DB158" s="1168"/>
      <c r="DC158" s="1168"/>
      <c r="DD158" s="1168"/>
      <c r="DE158" s="857">
        <f>SUM(BQ158:BT158)</f>
        <v>3327619.7732574386</v>
      </c>
      <c r="DF158" s="858">
        <f>SUM(BU158:BX158)</f>
        <v>3327619.7732574386</v>
      </c>
      <c r="DG158" s="858">
        <f>SUM(BY158:CB158)</f>
        <v>3327619.7732574386</v>
      </c>
      <c r="DH158" s="858">
        <f>SUM(CC158:CF158)</f>
        <v>3327619.7732574386</v>
      </c>
      <c r="DI158" s="859">
        <f>SUM(CG158:CJ158)</f>
        <v>3327619.7732574386</v>
      </c>
      <c r="DJ158" s="1169"/>
      <c r="DK158" s="1169"/>
      <c r="DL158" s="1169"/>
      <c r="DM158" s="1169"/>
      <c r="DN158" s="1169"/>
      <c r="DO158" s="857">
        <f t="shared" ref="DO158:DS162" si="395">AQ158-DE158</f>
        <v>-845079.37573195901</v>
      </c>
      <c r="DP158" s="858">
        <f t="shared" si="395"/>
        <v>-650061.27301270235</v>
      </c>
      <c r="DQ158" s="858">
        <f t="shared" si="395"/>
        <v>-516702.22276366269</v>
      </c>
      <c r="DR158" s="858">
        <f t="shared" si="395"/>
        <v>-318669.46897469135</v>
      </c>
      <c r="DS158" s="859">
        <f t="shared" si="395"/>
        <v>7649.3278007484041</v>
      </c>
      <c r="DT158" s="1167"/>
      <c r="DU158" s="1167"/>
      <c r="DV158" s="1167"/>
      <c r="DW158" s="1167"/>
      <c r="DX158" s="1167"/>
      <c r="DY158" s="1167"/>
      <c r="DZ158" s="93"/>
      <c r="EA158" s="93"/>
      <c r="EB158" s="93"/>
      <c r="EC158" s="93"/>
      <c r="ED158" s="93"/>
      <c r="EE158" s="93"/>
      <c r="EF158" s="93"/>
      <c r="EG158" s="1592">
        <v>1</v>
      </c>
      <c r="EH158" s="1172" t="s">
        <v>209</v>
      </c>
      <c r="EI158" s="1168">
        <f t="shared" ref="EI158:EI174" si="396">C158-BQ158</f>
        <v>-226308.81446605595</v>
      </c>
      <c r="EJ158" s="1168">
        <f t="shared" ref="EJ158:EJ174" si="397">D158-BR158</f>
        <v>-216215.54565191758</v>
      </c>
      <c r="EK158" s="1168">
        <f t="shared" ref="EK158:EK174" si="398">E158-BS158</f>
        <v>-205718.54608521354</v>
      </c>
      <c r="EL158" s="1168">
        <f t="shared" ref="EL158:EL174" si="399">F158-BT158</f>
        <v>-196836.46952877194</v>
      </c>
      <c r="EM158" s="1168">
        <f t="shared" ref="EM158:EM174" si="400">G158-BU158</f>
        <v>-168074.69071600295</v>
      </c>
      <c r="EN158" s="1168">
        <f t="shared" ref="EN158:EN174" si="401">H158-BV158</f>
        <v>-161897.6102017503</v>
      </c>
      <c r="EO158" s="1168">
        <f t="shared" ref="EO158:EO174" si="402">I158-BW158</f>
        <v>-161897.6102017503</v>
      </c>
      <c r="EP158" s="1168">
        <f t="shared" ref="EP158:EP174" si="403">J158-BX158</f>
        <v>-158191.36189319869</v>
      </c>
      <c r="EQ158" s="1168">
        <f t="shared" ref="EQ158:EQ174" si="404">K158-BY158</f>
        <v>-136736.30224036099</v>
      </c>
      <c r="ER158" s="1168">
        <f t="shared" ref="ER158:ER174" si="405">L158-BZ158</f>
        <v>-130015.63864085404</v>
      </c>
      <c r="ES158" s="1168">
        <f t="shared" ref="ES158:ES174" si="406">M158-CA158</f>
        <v>-127495.38979103894</v>
      </c>
      <c r="ET158" s="1168">
        <f t="shared" ref="ET158:ET174" si="407">N158-CB158</f>
        <v>-122454.89209140872</v>
      </c>
      <c r="EU158" s="1168">
        <f t="shared" ref="EU158:EU174" si="408">O158-CC158</f>
        <v>-99268.602673109737</v>
      </c>
      <c r="EV158" s="1168">
        <f t="shared" ref="EV158:EV174" si="409">P158-CD158</f>
        <v>-88129.102756926906</v>
      </c>
      <c r="EW158" s="1168">
        <f t="shared" ref="EW158:EW174" si="410">Q158-CE158</f>
        <v>-74847.391318401322</v>
      </c>
      <c r="EX158" s="1168">
        <f t="shared" ref="EX158:EX174" si="411">R158-CF158</f>
        <v>-56424.372226253035</v>
      </c>
      <c r="EY158" s="1168">
        <f t="shared" ref="EY158:EY174" si="412">S158-CG158</f>
        <v>-30863.504341658205</v>
      </c>
      <c r="EZ158" s="1168">
        <f t="shared" ref="EZ158:EZ174" si="413">T158-CH158</f>
        <v>-9012.9468137613731</v>
      </c>
      <c r="FA158" s="1168">
        <f t="shared" ref="FA158:FA174" si="414">U158-CI158</f>
        <v>12837.610714135459</v>
      </c>
      <c r="FB158" s="1168">
        <f t="shared" ref="FB158:FB174" si="415">V158-CJ158</f>
        <v>34688.168242032523</v>
      </c>
      <c r="FC158" s="1168"/>
      <c r="FD158" s="1168"/>
      <c r="FE158" s="1168"/>
      <c r="FF158" s="1168"/>
      <c r="FG158" s="1168"/>
      <c r="FH158" s="1168"/>
      <c r="FI158" s="1168"/>
      <c r="FJ158" s="1168"/>
      <c r="FK158" s="1168"/>
      <c r="FL158" s="1168"/>
      <c r="FM158" s="1168"/>
      <c r="FN158" s="1168"/>
      <c r="FO158" s="1168"/>
      <c r="FP158" s="1168"/>
      <c r="FQ158" s="1168"/>
      <c r="FR158" s="1168"/>
      <c r="FS158" s="1168"/>
      <c r="FT158" s="1168"/>
      <c r="FU158" s="1168"/>
      <c r="FV158" s="1168"/>
      <c r="FW158" s="1168"/>
      <c r="FX158" s="1173">
        <f>AVERAGE(EI158:EL158)</f>
        <v>-211269.84393298975</v>
      </c>
      <c r="FY158" s="1584">
        <f>SUM(FX158:FX162)</f>
        <v>-499711.55457252078</v>
      </c>
      <c r="FZ158" s="1173">
        <f t="shared" ref="FZ158:FZ166" si="416">AVERAGE(EM158:EP158)</f>
        <v>-162515.31825317556</v>
      </c>
      <c r="GA158" s="1584">
        <f>SUM(FZ158:FZ162)</f>
        <v>-32758.827056469861</v>
      </c>
      <c r="GB158" s="1173">
        <f t="shared" ref="GB158:GB170" si="417">AVERAGE(EQ158:ET158)</f>
        <v>-129175.55569091567</v>
      </c>
      <c r="GC158" s="1584">
        <f>SUM(GB158:GB162)</f>
        <v>310655.40670945274</v>
      </c>
      <c r="GD158" s="1173">
        <f t="shared" ref="GD158:GD174" si="418">AVERAGE(EU158:EX158)</f>
        <v>-79667.36724367275</v>
      </c>
      <c r="GE158" s="1584">
        <f>SUM(GD158:GD162)</f>
        <v>475715.63353148336</v>
      </c>
      <c r="GF158" s="1173">
        <f t="shared" ref="GF158:GF174" si="419">AVERAGE(EY158:FB158)</f>
        <v>1912.331950187101</v>
      </c>
      <c r="GG158" s="1584">
        <f>SUM(GF158:GF162)</f>
        <v>660732.13097203593</v>
      </c>
      <c r="GH158" s="1558">
        <f>GG158+GE158+GC158+GA158+FY158</f>
        <v>914632.7895839815</v>
      </c>
      <c r="GI158" s="93"/>
      <c r="GJ158" s="1592">
        <v>1</v>
      </c>
      <c r="GK158" s="1568">
        <f>SUM(EK158:FB162)</f>
        <v>4787228.3141650511</v>
      </c>
      <c r="GL158" s="93"/>
      <c r="GM158" s="93"/>
      <c r="GN158" s="93"/>
      <c r="GO158" s="93"/>
      <c r="GP158" s="93"/>
      <c r="GQ158" s="93"/>
      <c r="GR158" s="93"/>
      <c r="GS158" s="93"/>
    </row>
    <row r="159" spans="1:201">
      <c r="A159" s="1571"/>
      <c r="B159" s="593" t="s">
        <v>210</v>
      </c>
      <c r="C159" s="661">
        <f t="shared" si="351"/>
        <v>355351.85876012949</v>
      </c>
      <c r="D159" s="661">
        <f t="shared" si="352"/>
        <v>355351.85876012949</v>
      </c>
      <c r="E159" s="661">
        <f t="shared" si="353"/>
        <v>355351.85876012949</v>
      </c>
      <c r="F159" s="661">
        <f t="shared" si="354"/>
        <v>355351.85876012949</v>
      </c>
      <c r="G159" s="661">
        <f t="shared" si="355"/>
        <v>376913.81215380371</v>
      </c>
      <c r="H159" s="661">
        <f t="shared" si="356"/>
        <v>391714.91463309334</v>
      </c>
      <c r="I159" s="661">
        <f t="shared" si="357"/>
        <v>400831.2891856592</v>
      </c>
      <c r="J159" s="661">
        <f t="shared" si="358"/>
        <v>412790.02770158765</v>
      </c>
      <c r="K159" s="661">
        <f t="shared" si="359"/>
        <v>446914.11926208466</v>
      </c>
      <c r="L159" s="661">
        <f t="shared" si="360"/>
        <v>459490.62708460056</v>
      </c>
      <c r="M159" s="661">
        <f t="shared" si="361"/>
        <v>472067.13490711839</v>
      </c>
      <c r="N159" s="661">
        <f t="shared" si="362"/>
        <v>484643.64272963587</v>
      </c>
      <c r="O159" s="661">
        <f t="shared" si="363"/>
        <v>523137.20188850211</v>
      </c>
      <c r="P159" s="661">
        <f t="shared" si="364"/>
        <v>536363.32917993225</v>
      </c>
      <c r="Q159" s="661">
        <f t="shared" si="365"/>
        <v>549589.4564713639</v>
      </c>
      <c r="R159" s="661">
        <f t="shared" si="366"/>
        <v>562815.58376279392</v>
      </c>
      <c r="S159" s="661">
        <f t="shared" si="367"/>
        <v>606038.25622034236</v>
      </c>
      <c r="T159" s="661">
        <f t="shared" si="368"/>
        <v>619947.49330846022</v>
      </c>
      <c r="U159" s="661">
        <f t="shared" si="369"/>
        <v>633856.73039657844</v>
      </c>
      <c r="V159" s="661">
        <f t="shared" si="370"/>
        <v>637402.43723790045</v>
      </c>
      <c r="W159" s="661"/>
      <c r="X159" s="661"/>
      <c r="Y159" s="661"/>
      <c r="Z159" s="661"/>
      <c r="AA159" s="661"/>
      <c r="AB159" s="661"/>
      <c r="AC159" s="661"/>
      <c r="AD159" s="661"/>
      <c r="AE159" s="661"/>
      <c r="AF159" s="661"/>
      <c r="AG159" s="661"/>
      <c r="AH159" s="661"/>
      <c r="AI159" s="661"/>
      <c r="AJ159" s="661"/>
      <c r="AK159" s="661"/>
      <c r="AL159" s="661"/>
      <c r="AM159" s="661"/>
      <c r="AN159" s="661"/>
      <c r="AO159" s="661"/>
      <c r="AP159" s="661"/>
      <c r="AQ159" s="858">
        <f>SUM(C159:F159)</f>
        <v>1421407.4350405179</v>
      </c>
      <c r="AR159" s="858">
        <f t="shared" si="371"/>
        <v>1582250.043674144</v>
      </c>
      <c r="AS159" s="858">
        <f t="shared" si="372"/>
        <v>1863115.5239834394</v>
      </c>
      <c r="AT159" s="858">
        <f t="shared" si="373"/>
        <v>2171905.5713025923</v>
      </c>
      <c r="AU159" s="858">
        <f t="shared" si="374"/>
        <v>2497244.9171632817</v>
      </c>
      <c r="AV159" s="1167"/>
      <c r="AW159" s="1167"/>
      <c r="AX159" s="1167"/>
      <c r="AY159" s="1167"/>
      <c r="AZ159" s="1167"/>
      <c r="BA159" s="1167"/>
      <c r="BB159" s="1167"/>
      <c r="BC159" s="1167"/>
      <c r="BD159" s="1167"/>
      <c r="BE159" s="1167"/>
      <c r="BF159" s="1167"/>
      <c r="BG159" s="93"/>
      <c r="BH159" s="93"/>
      <c r="BI159" s="93"/>
      <c r="BJ159" s="93"/>
      <c r="BK159" s="93"/>
      <c r="BL159" s="93"/>
      <c r="BM159" s="93"/>
      <c r="BN159" s="93"/>
      <c r="BO159" s="1571"/>
      <c r="BP159" s="593" t="s">
        <v>210</v>
      </c>
      <c r="BQ159" s="1168">
        <f t="shared" si="375"/>
        <v>691959.86724266096</v>
      </c>
      <c r="BR159" s="1168">
        <f t="shared" si="376"/>
        <v>691959.86724266096</v>
      </c>
      <c r="BS159" s="1168">
        <f t="shared" si="377"/>
        <v>691959.86724266096</v>
      </c>
      <c r="BT159" s="1168">
        <f t="shared" si="378"/>
        <v>691959.86724266096</v>
      </c>
      <c r="BU159" s="1168">
        <f t="shared" si="379"/>
        <v>691959.86724266096</v>
      </c>
      <c r="BV159" s="1168">
        <f t="shared" si="380"/>
        <v>691959.86724266096</v>
      </c>
      <c r="BW159" s="1168">
        <f t="shared" si="381"/>
        <v>691959.86724266096</v>
      </c>
      <c r="BX159" s="1168">
        <f t="shared" si="382"/>
        <v>691959.86724266096</v>
      </c>
      <c r="BY159" s="1168">
        <f t="shared" si="383"/>
        <v>691959.86724266096</v>
      </c>
      <c r="BZ159" s="1168">
        <f t="shared" si="384"/>
        <v>691959.86724266096</v>
      </c>
      <c r="CA159" s="1168">
        <f t="shared" si="385"/>
        <v>691959.86724266096</v>
      </c>
      <c r="CB159" s="1168">
        <f t="shared" si="386"/>
        <v>691959.86724266096</v>
      </c>
      <c r="CC159" s="1168">
        <f t="shared" si="387"/>
        <v>691959.86724266096</v>
      </c>
      <c r="CD159" s="1168">
        <f t="shared" si="388"/>
        <v>691959.86724266096</v>
      </c>
      <c r="CE159" s="1168">
        <f t="shared" si="389"/>
        <v>691959.86724266096</v>
      </c>
      <c r="CF159" s="1168">
        <f t="shared" si="390"/>
        <v>691959.86724266096</v>
      </c>
      <c r="CG159" s="1168">
        <f t="shared" si="391"/>
        <v>691959.86724266096</v>
      </c>
      <c r="CH159" s="1168">
        <f t="shared" si="392"/>
        <v>691959.86724266096</v>
      </c>
      <c r="CI159" s="1168">
        <f t="shared" si="393"/>
        <v>691959.86724266096</v>
      </c>
      <c r="CJ159" s="1168">
        <f t="shared" si="394"/>
        <v>691959.86724266096</v>
      </c>
      <c r="CK159" s="1168"/>
      <c r="CL159" s="1168"/>
      <c r="CM159" s="1168"/>
      <c r="CN159" s="1168"/>
      <c r="CO159" s="1168"/>
      <c r="CP159" s="1168"/>
      <c r="CQ159" s="1168"/>
      <c r="CR159" s="1168"/>
      <c r="CS159" s="1168"/>
      <c r="CT159" s="1168"/>
      <c r="CU159" s="1168"/>
      <c r="CV159" s="1168"/>
      <c r="CW159" s="1168"/>
      <c r="CX159" s="1168"/>
      <c r="CY159" s="1168"/>
      <c r="CZ159" s="1168"/>
      <c r="DA159" s="1168"/>
      <c r="DB159" s="1168"/>
      <c r="DC159" s="1168"/>
      <c r="DD159" s="1168"/>
      <c r="DE159" s="857">
        <f t="shared" ref="DE159:DE162" si="420">SUM(BQ159:BT159)</f>
        <v>2767839.4689706438</v>
      </c>
      <c r="DF159" s="858">
        <f t="shared" ref="DF159:DF166" si="421">SUM(BU159:BX159)</f>
        <v>2767839.4689706438</v>
      </c>
      <c r="DG159" s="858">
        <f t="shared" ref="DG159:DG170" si="422">SUM(BY159:CB159)</f>
        <v>2767839.4689706438</v>
      </c>
      <c r="DH159" s="858">
        <f t="shared" ref="DH159:DH174" si="423">SUM(CC159:CF159)</f>
        <v>2767839.4689706438</v>
      </c>
      <c r="DI159" s="859">
        <f t="shared" ref="DI159:DI174" si="424">SUM(CG159:CJ159)</f>
        <v>2767839.4689706438</v>
      </c>
      <c r="DJ159" s="1169"/>
      <c r="DK159" s="1169"/>
      <c r="DL159" s="1169"/>
      <c r="DM159" s="1169"/>
      <c r="DN159" s="1169"/>
      <c r="DO159" s="857">
        <f t="shared" si="395"/>
        <v>-1346432.0339301259</v>
      </c>
      <c r="DP159" s="858">
        <f t="shared" si="395"/>
        <v>-1185589.4252964999</v>
      </c>
      <c r="DQ159" s="858">
        <f t="shared" si="395"/>
        <v>-904723.94498720439</v>
      </c>
      <c r="DR159" s="858">
        <f t="shared" si="395"/>
        <v>-595933.89766805153</v>
      </c>
      <c r="DS159" s="859">
        <f t="shared" si="395"/>
        <v>-270594.55180736212</v>
      </c>
      <c r="DT159" s="1167"/>
      <c r="DU159" s="1167"/>
      <c r="DV159" s="1167"/>
      <c r="DW159" s="1167"/>
      <c r="DX159" s="1167"/>
      <c r="DY159" s="1167"/>
      <c r="DZ159" s="93"/>
      <c r="EA159" s="93"/>
      <c r="EB159" s="93"/>
      <c r="EC159" s="93"/>
      <c r="ED159" s="93"/>
      <c r="EE159" s="93"/>
      <c r="EF159" s="93"/>
      <c r="EG159" s="1571"/>
      <c r="EH159" s="1174" t="s">
        <v>210</v>
      </c>
      <c r="EI159" s="1168">
        <f t="shared" si="396"/>
        <v>-336608.00848253147</v>
      </c>
      <c r="EJ159" s="1168">
        <f t="shared" si="397"/>
        <v>-336608.00848253147</v>
      </c>
      <c r="EK159" s="1168">
        <f t="shared" si="398"/>
        <v>-336608.00848253147</v>
      </c>
      <c r="EL159" s="1168">
        <f t="shared" si="399"/>
        <v>-336608.00848253147</v>
      </c>
      <c r="EM159" s="1168">
        <f t="shared" si="400"/>
        <v>-315046.05508885725</v>
      </c>
      <c r="EN159" s="1168">
        <f t="shared" si="401"/>
        <v>-300244.95260956761</v>
      </c>
      <c r="EO159" s="1168">
        <f t="shared" si="402"/>
        <v>-291128.57805700175</v>
      </c>
      <c r="EP159" s="1168">
        <f t="shared" si="403"/>
        <v>-279169.83954107331</v>
      </c>
      <c r="EQ159" s="1168">
        <f t="shared" si="404"/>
        <v>-245045.7479805763</v>
      </c>
      <c r="ER159" s="1168">
        <f t="shared" si="405"/>
        <v>-232469.24015806039</v>
      </c>
      <c r="ES159" s="1168">
        <f t="shared" si="406"/>
        <v>-219892.73233554256</v>
      </c>
      <c r="ET159" s="1168">
        <f t="shared" si="407"/>
        <v>-207316.22451302508</v>
      </c>
      <c r="EU159" s="1168">
        <f t="shared" si="408"/>
        <v>-168822.66535415885</v>
      </c>
      <c r="EV159" s="1168">
        <f t="shared" si="409"/>
        <v>-155596.53806272871</v>
      </c>
      <c r="EW159" s="1168">
        <f t="shared" si="410"/>
        <v>-142370.41077129706</v>
      </c>
      <c r="EX159" s="1168">
        <f t="shared" si="411"/>
        <v>-129144.28347986704</v>
      </c>
      <c r="EY159" s="1168">
        <f t="shared" si="412"/>
        <v>-85921.611022318597</v>
      </c>
      <c r="EZ159" s="1168">
        <f t="shared" si="413"/>
        <v>-72012.373934200732</v>
      </c>
      <c r="FA159" s="1168">
        <f t="shared" si="414"/>
        <v>-58103.136846082518</v>
      </c>
      <c r="FB159" s="1168">
        <f t="shared" si="415"/>
        <v>-54557.430004760507</v>
      </c>
      <c r="FC159" s="1168"/>
      <c r="FD159" s="1168"/>
      <c r="FE159" s="1168"/>
      <c r="FF159" s="1168"/>
      <c r="FG159" s="1168"/>
      <c r="FH159" s="1168"/>
      <c r="FI159" s="1168"/>
      <c r="FJ159" s="1168"/>
      <c r="FK159" s="1168"/>
      <c r="FL159" s="1168"/>
      <c r="FM159" s="1168"/>
      <c r="FN159" s="1168"/>
      <c r="FO159" s="1168"/>
      <c r="FP159" s="1168"/>
      <c r="FQ159" s="1168"/>
      <c r="FR159" s="1168"/>
      <c r="FS159" s="1168"/>
      <c r="FT159" s="1168"/>
      <c r="FU159" s="1168"/>
      <c r="FV159" s="1168"/>
      <c r="FW159" s="1168"/>
      <c r="FX159" s="1173">
        <f>AVERAGE(EI159:EL159)</f>
        <v>-336608.00848253147</v>
      </c>
      <c r="FY159" s="1573"/>
      <c r="FZ159" s="1173">
        <f t="shared" si="416"/>
        <v>-296397.35632412496</v>
      </c>
      <c r="GA159" s="1573"/>
      <c r="GB159" s="1173">
        <f t="shared" si="417"/>
        <v>-226180.9862468011</v>
      </c>
      <c r="GC159" s="1573"/>
      <c r="GD159" s="1173">
        <f t="shared" si="418"/>
        <v>-148983.47441701291</v>
      </c>
      <c r="GE159" s="1573"/>
      <c r="GF159" s="1173">
        <f t="shared" si="419"/>
        <v>-67648.637951840588</v>
      </c>
      <c r="GG159" s="1573"/>
      <c r="GH159" s="1559"/>
      <c r="GI159" s="93"/>
      <c r="GJ159" s="1571"/>
      <c r="GK159" s="1568"/>
      <c r="GL159" s="93"/>
      <c r="GM159" s="93"/>
      <c r="GN159" s="93"/>
      <c r="GO159" s="93"/>
      <c r="GP159" s="93"/>
      <c r="GQ159" s="93"/>
      <c r="GR159" s="93"/>
      <c r="GS159" s="93"/>
    </row>
    <row r="160" spans="1:201">
      <c r="A160" s="1571"/>
      <c r="B160" s="593" t="s">
        <v>211</v>
      </c>
      <c r="C160" s="661">
        <f t="shared" si="351"/>
        <v>766576.77136138373</v>
      </c>
      <c r="D160" s="661">
        <f t="shared" si="352"/>
        <v>716595.96586862113</v>
      </c>
      <c r="E160" s="661">
        <f t="shared" si="353"/>
        <v>759830.89577340311</v>
      </c>
      <c r="F160" s="661">
        <f t="shared" si="354"/>
        <v>804292.34851236362</v>
      </c>
      <c r="G160" s="661">
        <f t="shared" si="355"/>
        <v>885742.78099365998</v>
      </c>
      <c r="H160" s="661">
        <f t="shared" si="356"/>
        <v>910681.55497022206</v>
      </c>
      <c r="I160" s="661">
        <f t="shared" si="357"/>
        <v>926041.97861232876</v>
      </c>
      <c r="J160" s="661">
        <f t="shared" si="358"/>
        <v>946191.57742166345</v>
      </c>
      <c r="K160" s="661">
        <f t="shared" si="359"/>
        <v>970348.20872466662</v>
      </c>
      <c r="L160" s="661">
        <f t="shared" si="360"/>
        <v>981513.85934560793</v>
      </c>
      <c r="M160" s="661">
        <f t="shared" si="361"/>
        <v>998917.6074689849</v>
      </c>
      <c r="N160" s="661">
        <f t="shared" si="362"/>
        <v>998917.6074689849</v>
      </c>
      <c r="O160" s="661">
        <f t="shared" si="363"/>
        <v>1018895.9596183646</v>
      </c>
      <c r="P160" s="661">
        <f t="shared" si="364"/>
        <v>1018895.9596183646</v>
      </c>
      <c r="Q160" s="661">
        <f t="shared" si="365"/>
        <v>1018895.9596183646</v>
      </c>
      <c r="R160" s="661">
        <f t="shared" si="366"/>
        <v>1017956.4161817662</v>
      </c>
      <c r="S160" s="661">
        <f t="shared" si="367"/>
        <v>1038868.7227390218</v>
      </c>
      <c r="T160" s="661">
        <f t="shared" si="368"/>
        <v>1039273.8788107318</v>
      </c>
      <c r="U160" s="661">
        <f t="shared" si="369"/>
        <v>1039273.8788107318</v>
      </c>
      <c r="V160" s="661">
        <f t="shared" si="370"/>
        <v>1039273.8788107318</v>
      </c>
      <c r="W160" s="661"/>
      <c r="X160" s="661"/>
      <c r="Y160" s="661"/>
      <c r="Z160" s="661"/>
      <c r="AA160" s="661"/>
      <c r="AB160" s="661"/>
      <c r="AC160" s="661"/>
      <c r="AD160" s="661"/>
      <c r="AE160" s="661"/>
      <c r="AF160" s="661"/>
      <c r="AG160" s="661"/>
      <c r="AH160" s="661"/>
      <c r="AI160" s="661"/>
      <c r="AJ160" s="661"/>
      <c r="AK160" s="661"/>
      <c r="AL160" s="661"/>
      <c r="AM160" s="661"/>
      <c r="AN160" s="661"/>
      <c r="AO160" s="661"/>
      <c r="AP160" s="661"/>
      <c r="AQ160" s="858">
        <f>SUM(C160:F160)</f>
        <v>3047295.9815157717</v>
      </c>
      <c r="AR160" s="858">
        <f t="shared" si="371"/>
        <v>3668657.8919978742</v>
      </c>
      <c r="AS160" s="858">
        <f t="shared" si="372"/>
        <v>3949697.2830082444</v>
      </c>
      <c r="AT160" s="858">
        <f t="shared" si="373"/>
        <v>4074644.2950368598</v>
      </c>
      <c r="AU160" s="858">
        <f t="shared" si="374"/>
        <v>4156690.3591712168</v>
      </c>
      <c r="AV160" s="1167"/>
      <c r="AW160" s="1167"/>
      <c r="AX160" s="1167"/>
      <c r="AY160" s="1167"/>
      <c r="AZ160" s="1167"/>
      <c r="BA160" s="1167"/>
      <c r="BB160" s="1167"/>
      <c r="BC160" s="1167"/>
      <c r="BD160" s="1167"/>
      <c r="BE160" s="1167"/>
      <c r="BF160" s="1167"/>
      <c r="BG160" s="93"/>
      <c r="BH160" s="93"/>
      <c r="BI160" s="93"/>
      <c r="BJ160" s="93"/>
      <c r="BK160" s="93"/>
      <c r="BL160" s="93"/>
      <c r="BM160" s="93"/>
      <c r="BN160" s="93"/>
      <c r="BO160" s="1571"/>
      <c r="BP160" s="593" t="s">
        <v>211</v>
      </c>
      <c r="BQ160" s="1168">
        <f t="shared" si="375"/>
        <v>765630.85600631358</v>
      </c>
      <c r="BR160" s="1168">
        <f t="shared" si="376"/>
        <v>765630.85600631358</v>
      </c>
      <c r="BS160" s="1168">
        <f t="shared" si="377"/>
        <v>765630.85600631358</v>
      </c>
      <c r="BT160" s="1168">
        <f t="shared" si="378"/>
        <v>765630.85600631358</v>
      </c>
      <c r="BU160" s="1168">
        <f t="shared" si="379"/>
        <v>765630.85600631358</v>
      </c>
      <c r="BV160" s="1168">
        <f t="shared" si="380"/>
        <v>765630.85600631358</v>
      </c>
      <c r="BW160" s="1168">
        <f t="shared" si="381"/>
        <v>765630.85600631358</v>
      </c>
      <c r="BX160" s="1168">
        <f t="shared" si="382"/>
        <v>765630.85600631358</v>
      </c>
      <c r="BY160" s="1168">
        <f t="shared" si="383"/>
        <v>765630.85600631358</v>
      </c>
      <c r="BZ160" s="1168">
        <f t="shared" si="384"/>
        <v>765630.85600631358</v>
      </c>
      <c r="CA160" s="1168">
        <f t="shared" si="385"/>
        <v>765630.85600631358</v>
      </c>
      <c r="CB160" s="1168">
        <f t="shared" si="386"/>
        <v>765630.85600631358</v>
      </c>
      <c r="CC160" s="1168">
        <f t="shared" si="387"/>
        <v>765630.85600631358</v>
      </c>
      <c r="CD160" s="1168">
        <f t="shared" si="388"/>
        <v>765630.85600631358</v>
      </c>
      <c r="CE160" s="1168">
        <f t="shared" si="389"/>
        <v>765630.85600631358</v>
      </c>
      <c r="CF160" s="1168">
        <f t="shared" si="390"/>
        <v>765630.85600631358</v>
      </c>
      <c r="CG160" s="1168">
        <f t="shared" si="391"/>
        <v>765630.85600631358</v>
      </c>
      <c r="CH160" s="1168">
        <f t="shared" si="392"/>
        <v>765630.85600631358</v>
      </c>
      <c r="CI160" s="1168">
        <f t="shared" si="393"/>
        <v>765630.85600631358</v>
      </c>
      <c r="CJ160" s="1168">
        <f t="shared" si="394"/>
        <v>765630.85600631358</v>
      </c>
      <c r="CK160" s="1168"/>
      <c r="CL160" s="1168"/>
      <c r="CM160" s="1168"/>
      <c r="CN160" s="1168"/>
      <c r="CO160" s="1168"/>
      <c r="CP160" s="1168"/>
      <c r="CQ160" s="1168"/>
      <c r="CR160" s="1168"/>
      <c r="CS160" s="1168"/>
      <c r="CT160" s="1168"/>
      <c r="CU160" s="1168"/>
      <c r="CV160" s="1168"/>
      <c r="CW160" s="1168"/>
      <c r="CX160" s="1168"/>
      <c r="CY160" s="1168"/>
      <c r="CZ160" s="1168"/>
      <c r="DA160" s="1168"/>
      <c r="DB160" s="1168"/>
      <c r="DC160" s="1168"/>
      <c r="DD160" s="1168"/>
      <c r="DE160" s="857">
        <f t="shared" si="420"/>
        <v>3062523.4240252543</v>
      </c>
      <c r="DF160" s="858">
        <f t="shared" si="421"/>
        <v>3062523.4240252543</v>
      </c>
      <c r="DG160" s="858">
        <f t="shared" si="422"/>
        <v>3062523.4240252543</v>
      </c>
      <c r="DH160" s="858">
        <f t="shared" si="423"/>
        <v>3062523.4240252543</v>
      </c>
      <c r="DI160" s="859">
        <f t="shared" si="424"/>
        <v>3062523.4240252543</v>
      </c>
      <c r="DJ160" s="1169"/>
      <c r="DK160" s="1169"/>
      <c r="DL160" s="1169"/>
      <c r="DM160" s="1169"/>
      <c r="DN160" s="1169"/>
      <c r="DO160" s="857">
        <f t="shared" si="395"/>
        <v>-15227.442509482615</v>
      </c>
      <c r="DP160" s="858">
        <f t="shared" si="395"/>
        <v>606134.46797261992</v>
      </c>
      <c r="DQ160" s="858">
        <f t="shared" si="395"/>
        <v>887173.85898299003</v>
      </c>
      <c r="DR160" s="858">
        <f t="shared" si="395"/>
        <v>1012120.8710116055</v>
      </c>
      <c r="DS160" s="859">
        <f t="shared" si="395"/>
        <v>1094166.9351459625</v>
      </c>
      <c r="DT160" s="1167"/>
      <c r="DU160" s="1167"/>
      <c r="DV160" s="1167"/>
      <c r="DW160" s="1167"/>
      <c r="DX160" s="1167"/>
      <c r="DY160" s="1167"/>
      <c r="DZ160" s="93"/>
      <c r="EA160" s="93"/>
      <c r="EB160" s="93"/>
      <c r="EC160" s="93"/>
      <c r="ED160" s="93"/>
      <c r="EE160" s="93"/>
      <c r="EF160" s="93"/>
      <c r="EG160" s="1571"/>
      <c r="EH160" s="1174" t="s">
        <v>211</v>
      </c>
      <c r="EI160" s="1168">
        <f t="shared" si="396"/>
        <v>945.91535507014487</v>
      </c>
      <c r="EJ160" s="1168">
        <f t="shared" si="397"/>
        <v>-49034.890137692448</v>
      </c>
      <c r="EK160" s="1168">
        <f t="shared" si="398"/>
        <v>-5799.9602329104673</v>
      </c>
      <c r="EL160" s="1168">
        <f t="shared" si="399"/>
        <v>38661.492506050039</v>
      </c>
      <c r="EM160" s="1168">
        <f t="shared" si="400"/>
        <v>120111.9249873464</v>
      </c>
      <c r="EN160" s="1168">
        <f t="shared" si="401"/>
        <v>145050.69896390848</v>
      </c>
      <c r="EO160" s="1168">
        <f t="shared" si="402"/>
        <v>160411.12260601518</v>
      </c>
      <c r="EP160" s="1168">
        <f t="shared" si="403"/>
        <v>180560.72141534986</v>
      </c>
      <c r="EQ160" s="1168">
        <f t="shared" si="404"/>
        <v>204717.35271835304</v>
      </c>
      <c r="ER160" s="1168">
        <f t="shared" si="405"/>
        <v>215883.00333929434</v>
      </c>
      <c r="ES160" s="1168">
        <f t="shared" si="406"/>
        <v>233286.75146267132</v>
      </c>
      <c r="ET160" s="1168">
        <f t="shared" si="407"/>
        <v>233286.75146267132</v>
      </c>
      <c r="EU160" s="1168">
        <f t="shared" si="408"/>
        <v>253265.103612051</v>
      </c>
      <c r="EV160" s="1168">
        <f t="shared" si="409"/>
        <v>253265.103612051</v>
      </c>
      <c r="EW160" s="1168">
        <f t="shared" si="410"/>
        <v>253265.103612051</v>
      </c>
      <c r="EX160" s="1168">
        <f t="shared" si="411"/>
        <v>252325.56017545261</v>
      </c>
      <c r="EY160" s="1168">
        <f t="shared" si="412"/>
        <v>273237.86673270818</v>
      </c>
      <c r="EZ160" s="1168">
        <f t="shared" si="413"/>
        <v>273643.02280441823</v>
      </c>
      <c r="FA160" s="1168">
        <f t="shared" si="414"/>
        <v>273643.02280441823</v>
      </c>
      <c r="FB160" s="1168">
        <f t="shared" si="415"/>
        <v>273643.02280441823</v>
      </c>
      <c r="FC160" s="1168"/>
      <c r="FD160" s="1168"/>
      <c r="FE160" s="1168"/>
      <c r="FF160" s="1168"/>
      <c r="FG160" s="1168"/>
      <c r="FH160" s="1168"/>
      <c r="FI160" s="1168"/>
      <c r="FJ160" s="1168"/>
      <c r="FK160" s="1168"/>
      <c r="FL160" s="1168"/>
      <c r="FM160" s="1168"/>
      <c r="FN160" s="1168"/>
      <c r="FO160" s="1168"/>
      <c r="FP160" s="1168"/>
      <c r="FQ160" s="1168"/>
      <c r="FR160" s="1168"/>
      <c r="FS160" s="1168"/>
      <c r="FT160" s="1168"/>
      <c r="FU160" s="1168"/>
      <c r="FV160" s="1168"/>
      <c r="FW160" s="1168"/>
      <c r="FX160" s="1173">
        <f>AVERAGE(EI160:EL160)</f>
        <v>-3806.8606273706828</v>
      </c>
      <c r="FY160" s="1573"/>
      <c r="FZ160" s="1173">
        <f t="shared" si="416"/>
        <v>151533.61699315498</v>
      </c>
      <c r="GA160" s="1573"/>
      <c r="GB160" s="1173">
        <f t="shared" si="417"/>
        <v>221793.46474574751</v>
      </c>
      <c r="GC160" s="1573"/>
      <c r="GD160" s="1173">
        <f t="shared" si="418"/>
        <v>253030.2177529014</v>
      </c>
      <c r="GE160" s="1573"/>
      <c r="GF160" s="1173">
        <f t="shared" si="419"/>
        <v>273541.73378649075</v>
      </c>
      <c r="GG160" s="1573"/>
      <c r="GH160" s="1559"/>
      <c r="GI160" s="93"/>
      <c r="GJ160" s="1571"/>
      <c r="GK160" s="1568"/>
      <c r="GL160" s="93"/>
      <c r="GM160" s="93"/>
      <c r="GN160" s="93"/>
      <c r="GO160" s="93"/>
      <c r="GP160" s="93"/>
      <c r="GQ160" s="93"/>
      <c r="GR160" s="93"/>
      <c r="GS160" s="93"/>
    </row>
    <row r="161" spans="1:201" ht="15" thickBot="1">
      <c r="A161" s="1571"/>
      <c r="B161" s="593" t="s">
        <v>212</v>
      </c>
      <c r="C161" s="661">
        <f t="shared" si="351"/>
        <v>367188.99634088797</v>
      </c>
      <c r="D161" s="661">
        <f t="shared" si="352"/>
        <v>379546.94600662735</v>
      </c>
      <c r="E161" s="661">
        <f t="shared" si="353"/>
        <v>388804.18859215494</v>
      </c>
      <c r="F161" s="661">
        <f t="shared" si="354"/>
        <v>398061.43117768236</v>
      </c>
      <c r="G161" s="661">
        <f t="shared" si="355"/>
        <v>434784.54026265891</v>
      </c>
      <c r="H161" s="661">
        <f t="shared" si="356"/>
        <v>447026.23571960622</v>
      </c>
      <c r="I161" s="661">
        <f t="shared" si="357"/>
        <v>454566.20654949074</v>
      </c>
      <c r="J161" s="661">
        <f t="shared" si="358"/>
        <v>464457.03969290684</v>
      </c>
      <c r="K161" s="661">
        <f t="shared" si="359"/>
        <v>485326.72458161681</v>
      </c>
      <c r="L161" s="661">
        <f t="shared" si="360"/>
        <v>489501.64466993604</v>
      </c>
      <c r="M161" s="661">
        <f t="shared" si="361"/>
        <v>493676.56475825526</v>
      </c>
      <c r="N161" s="661">
        <f t="shared" si="362"/>
        <v>497851.4848465746</v>
      </c>
      <c r="O161" s="661">
        <f t="shared" si="363"/>
        <v>497851.4848465746</v>
      </c>
      <c r="P161" s="661">
        <f t="shared" si="364"/>
        <v>497851.4848465746</v>
      </c>
      <c r="Q161" s="661">
        <f t="shared" si="365"/>
        <v>497851.4848465746</v>
      </c>
      <c r="R161" s="661">
        <f t="shared" si="366"/>
        <v>497851.4848465746</v>
      </c>
      <c r="S161" s="661">
        <f t="shared" si="367"/>
        <v>497851.4848465746</v>
      </c>
      <c r="T161" s="661">
        <f t="shared" si="368"/>
        <v>497851.4848465746</v>
      </c>
      <c r="U161" s="661">
        <f t="shared" si="369"/>
        <v>501032.37634243688</v>
      </c>
      <c r="V161" s="661">
        <f t="shared" si="370"/>
        <v>501032.37634243688</v>
      </c>
      <c r="W161" s="661"/>
      <c r="X161" s="661"/>
      <c r="Y161" s="661"/>
      <c r="Z161" s="661"/>
      <c r="AA161" s="661"/>
      <c r="AB161" s="661"/>
      <c r="AC161" s="661"/>
      <c r="AD161" s="661"/>
      <c r="AE161" s="661"/>
      <c r="AF161" s="661"/>
      <c r="AG161" s="661"/>
      <c r="AH161" s="661"/>
      <c r="AI161" s="661"/>
      <c r="AJ161" s="661"/>
      <c r="AK161" s="661"/>
      <c r="AL161" s="661"/>
      <c r="AM161" s="661"/>
      <c r="AN161" s="661"/>
      <c r="AO161" s="661"/>
      <c r="AP161" s="661"/>
      <c r="AQ161" s="858">
        <f>SUM(C161:F161)</f>
        <v>1533601.5621173526</v>
      </c>
      <c r="AR161" s="858">
        <f t="shared" si="371"/>
        <v>1800834.0222246628</v>
      </c>
      <c r="AS161" s="858">
        <f t="shared" si="372"/>
        <v>1966356.4188563828</v>
      </c>
      <c r="AT161" s="858">
        <f t="shared" si="373"/>
        <v>1991405.9393862984</v>
      </c>
      <c r="AU161" s="858">
        <f t="shared" si="374"/>
        <v>1997767.722378023</v>
      </c>
      <c r="AV161" s="1167"/>
      <c r="AW161" s="1167"/>
      <c r="AX161" s="1167"/>
      <c r="AY161" s="1167"/>
      <c r="AZ161" s="1167"/>
      <c r="BA161" s="1167"/>
      <c r="BB161" s="1167"/>
      <c r="BC161" s="1167"/>
      <c r="BD161" s="1167"/>
      <c r="BE161" s="1167"/>
      <c r="BF161" s="1167"/>
      <c r="BG161" s="93"/>
      <c r="BH161" s="93"/>
      <c r="BI161" s="93"/>
      <c r="BJ161" s="93"/>
      <c r="BK161" s="93"/>
      <c r="BL161" s="93"/>
      <c r="BM161" s="93"/>
      <c r="BN161" s="93"/>
      <c r="BO161" s="1571"/>
      <c r="BP161" s="593" t="s">
        <v>212</v>
      </c>
      <c r="BQ161" s="1168">
        <f t="shared" si="375"/>
        <v>784966.47283281828</v>
      </c>
      <c r="BR161" s="1168">
        <f t="shared" si="376"/>
        <v>784966.47283281828</v>
      </c>
      <c r="BS161" s="1168">
        <f t="shared" si="377"/>
        <v>784966.47283281828</v>
      </c>
      <c r="BT161" s="1168">
        <f t="shared" si="378"/>
        <v>784966.47283281828</v>
      </c>
      <c r="BU161" s="1168">
        <f t="shared" si="379"/>
        <v>784966.47283281828</v>
      </c>
      <c r="BV161" s="1168">
        <f t="shared" si="380"/>
        <v>784966.47283281828</v>
      </c>
      <c r="BW161" s="1168">
        <f t="shared" si="381"/>
        <v>784966.47283281828</v>
      </c>
      <c r="BX161" s="1168">
        <f t="shared" si="382"/>
        <v>784966.47283281828</v>
      </c>
      <c r="BY161" s="1168">
        <f t="shared" si="383"/>
        <v>784966.47283281828</v>
      </c>
      <c r="BZ161" s="1168">
        <f t="shared" si="384"/>
        <v>784966.47283281828</v>
      </c>
      <c r="CA161" s="1168">
        <f t="shared" si="385"/>
        <v>784966.47283281828</v>
      </c>
      <c r="CB161" s="1168">
        <f t="shared" si="386"/>
        <v>784966.47283281828</v>
      </c>
      <c r="CC161" s="1168">
        <f t="shared" si="387"/>
        <v>784966.47283281828</v>
      </c>
      <c r="CD161" s="1168">
        <f t="shared" si="388"/>
        <v>784966.47283281828</v>
      </c>
      <c r="CE161" s="1168">
        <f t="shared" si="389"/>
        <v>784966.47283281828</v>
      </c>
      <c r="CF161" s="1168">
        <f t="shared" si="390"/>
        <v>784966.47283281828</v>
      </c>
      <c r="CG161" s="1168">
        <f t="shared" si="391"/>
        <v>784966.47283281828</v>
      </c>
      <c r="CH161" s="1168">
        <f t="shared" si="392"/>
        <v>784966.47283281828</v>
      </c>
      <c r="CI161" s="1168">
        <f t="shared" si="393"/>
        <v>784966.47283281828</v>
      </c>
      <c r="CJ161" s="1168">
        <f t="shared" si="394"/>
        <v>784966.47283281828</v>
      </c>
      <c r="CK161" s="1168"/>
      <c r="CL161" s="1168"/>
      <c r="CM161" s="1168"/>
      <c r="CN161" s="1168"/>
      <c r="CO161" s="1168"/>
      <c r="CP161" s="1168"/>
      <c r="CQ161" s="1168"/>
      <c r="CR161" s="1168"/>
      <c r="CS161" s="1168"/>
      <c r="CT161" s="1168"/>
      <c r="CU161" s="1168"/>
      <c r="CV161" s="1168"/>
      <c r="CW161" s="1168"/>
      <c r="CX161" s="1168"/>
      <c r="CY161" s="1168"/>
      <c r="CZ161" s="1168"/>
      <c r="DA161" s="1168"/>
      <c r="DB161" s="1168"/>
      <c r="DC161" s="1168"/>
      <c r="DD161" s="1168"/>
      <c r="DE161" s="857">
        <f t="shared" si="420"/>
        <v>3139865.8913312731</v>
      </c>
      <c r="DF161" s="858">
        <f t="shared" si="421"/>
        <v>3139865.8913312731</v>
      </c>
      <c r="DG161" s="858">
        <f t="shared" si="422"/>
        <v>3139865.8913312731</v>
      </c>
      <c r="DH161" s="858">
        <f t="shared" si="423"/>
        <v>3139865.8913312731</v>
      </c>
      <c r="DI161" s="859">
        <f t="shared" si="424"/>
        <v>3139865.8913312731</v>
      </c>
      <c r="DJ161" s="1169"/>
      <c r="DK161" s="1169"/>
      <c r="DL161" s="1169"/>
      <c r="DM161" s="1169"/>
      <c r="DN161" s="1169"/>
      <c r="DO161" s="857">
        <f t="shared" si="395"/>
        <v>-1606264.3292139205</v>
      </c>
      <c r="DP161" s="858">
        <f t="shared" si="395"/>
        <v>-1339031.8691066103</v>
      </c>
      <c r="DQ161" s="858">
        <f t="shared" si="395"/>
        <v>-1173509.4724748903</v>
      </c>
      <c r="DR161" s="858">
        <f t="shared" si="395"/>
        <v>-1148459.9519449747</v>
      </c>
      <c r="DS161" s="859">
        <f t="shared" si="395"/>
        <v>-1142098.1689532502</v>
      </c>
      <c r="DT161" s="1167"/>
      <c r="DU161" s="1167"/>
      <c r="DV161" s="1167"/>
      <c r="DW161" s="1167"/>
      <c r="DX161" s="1167"/>
      <c r="DY161" s="1167"/>
      <c r="DZ161" s="93"/>
      <c r="EA161" s="93"/>
      <c r="EB161" s="93"/>
      <c r="EC161" s="93"/>
      <c r="ED161" s="93"/>
      <c r="EE161" s="93"/>
      <c r="EF161" s="93"/>
      <c r="EG161" s="1571"/>
      <c r="EH161" s="1174" t="s">
        <v>212</v>
      </c>
      <c r="EI161" s="1168">
        <f t="shared" si="396"/>
        <v>-417777.47649193031</v>
      </c>
      <c r="EJ161" s="1168">
        <f t="shared" si="397"/>
        <v>-405419.52682619094</v>
      </c>
      <c r="EK161" s="1168">
        <f t="shared" si="398"/>
        <v>-396162.28424066334</v>
      </c>
      <c r="EL161" s="1168">
        <f t="shared" si="399"/>
        <v>-386905.04165513592</v>
      </c>
      <c r="EM161" s="1168">
        <f t="shared" si="400"/>
        <v>-350181.93257015938</v>
      </c>
      <c r="EN161" s="1168">
        <f t="shared" si="401"/>
        <v>-337940.23711321206</v>
      </c>
      <c r="EO161" s="1168">
        <f t="shared" si="402"/>
        <v>-330400.26628332754</v>
      </c>
      <c r="EP161" s="1168">
        <f t="shared" si="403"/>
        <v>-320509.43313991145</v>
      </c>
      <c r="EQ161" s="1168">
        <f t="shared" si="404"/>
        <v>-299639.74825120147</v>
      </c>
      <c r="ER161" s="1168">
        <f t="shared" si="405"/>
        <v>-295464.82816288224</v>
      </c>
      <c r="ES161" s="1168">
        <f t="shared" si="406"/>
        <v>-291289.90807456302</v>
      </c>
      <c r="ET161" s="1168">
        <f t="shared" si="407"/>
        <v>-287114.98798624368</v>
      </c>
      <c r="EU161" s="1168">
        <f t="shared" si="408"/>
        <v>-287114.98798624368</v>
      </c>
      <c r="EV161" s="1168">
        <f t="shared" si="409"/>
        <v>-287114.98798624368</v>
      </c>
      <c r="EW161" s="1168">
        <f t="shared" si="410"/>
        <v>-287114.98798624368</v>
      </c>
      <c r="EX161" s="1168">
        <f t="shared" si="411"/>
        <v>-287114.98798624368</v>
      </c>
      <c r="EY161" s="1168">
        <f t="shared" si="412"/>
        <v>-287114.98798624368</v>
      </c>
      <c r="EZ161" s="1168">
        <f t="shared" si="413"/>
        <v>-287114.98798624368</v>
      </c>
      <c r="FA161" s="1168">
        <f t="shared" si="414"/>
        <v>-283934.0964903814</v>
      </c>
      <c r="FB161" s="1168">
        <f t="shared" si="415"/>
        <v>-283934.0964903814</v>
      </c>
      <c r="FC161" s="1168"/>
      <c r="FD161" s="1168"/>
      <c r="FE161" s="1168"/>
      <c r="FF161" s="1168"/>
      <c r="FG161" s="1168"/>
      <c r="FH161" s="1168"/>
      <c r="FI161" s="1168"/>
      <c r="FJ161" s="1168"/>
      <c r="FK161" s="1168"/>
      <c r="FL161" s="1168"/>
      <c r="FM161" s="1168"/>
      <c r="FN161" s="1168"/>
      <c r="FO161" s="1168"/>
      <c r="FP161" s="1168"/>
      <c r="FQ161" s="1168"/>
      <c r="FR161" s="1168"/>
      <c r="FS161" s="1168"/>
      <c r="FT161" s="1168"/>
      <c r="FU161" s="1168"/>
      <c r="FV161" s="1168"/>
      <c r="FW161" s="1168"/>
      <c r="FX161" s="1173">
        <f>AVERAGE(EI161:EL161)</f>
        <v>-401566.08230348013</v>
      </c>
      <c r="FY161" s="1573"/>
      <c r="FZ161" s="1176">
        <f t="shared" si="416"/>
        <v>-334757.96727665258</v>
      </c>
      <c r="GA161" s="1573"/>
      <c r="GB161" s="1177">
        <f t="shared" si="417"/>
        <v>-293377.36811872257</v>
      </c>
      <c r="GC161" s="1573"/>
      <c r="GD161" s="1177">
        <f t="shared" si="418"/>
        <v>-287114.98798624368</v>
      </c>
      <c r="GE161" s="1573"/>
      <c r="GF161" s="1177">
        <f t="shared" si="419"/>
        <v>-285524.54223831254</v>
      </c>
      <c r="GG161" s="1573"/>
      <c r="GH161" s="1559"/>
      <c r="GI161" s="93"/>
      <c r="GJ161" s="1571"/>
      <c r="GK161" s="1568"/>
      <c r="GL161" s="93"/>
      <c r="GM161" s="93"/>
      <c r="GN161" s="93"/>
      <c r="GO161" s="93"/>
      <c r="GP161" s="93"/>
      <c r="GQ161" s="93"/>
      <c r="GR161" s="93"/>
      <c r="GS161" s="93"/>
    </row>
    <row r="162" spans="1:201" ht="15" thickBot="1">
      <c r="A162" s="1571"/>
      <c r="B162" s="593" t="s">
        <v>213</v>
      </c>
      <c r="C162" s="661">
        <f t="shared" si="351"/>
        <v>974985.64386099542</v>
      </c>
      <c r="D162" s="661">
        <f t="shared" si="352"/>
        <v>999360.28495752031</v>
      </c>
      <c r="E162" s="661">
        <f t="shared" si="353"/>
        <v>1023734.9260540454</v>
      </c>
      <c r="F162" s="661">
        <f t="shared" si="354"/>
        <v>1048109.5671505703</v>
      </c>
      <c r="G162" s="661">
        <f t="shared" si="355"/>
        <v>1127392.3607332041</v>
      </c>
      <c r="H162" s="661">
        <f t="shared" si="356"/>
        <v>1159134.9657767215</v>
      </c>
      <c r="I162" s="661">
        <f t="shared" si="357"/>
        <v>1178686.0416006865</v>
      </c>
      <c r="J162" s="661">
        <f t="shared" si="358"/>
        <v>1204332.882034428</v>
      </c>
      <c r="K162" s="661">
        <f t="shared" si="359"/>
        <v>1293038.0365359765</v>
      </c>
      <c r="L162" s="661">
        <f t="shared" si="360"/>
        <v>1296459.610157443</v>
      </c>
      <c r="M162" s="661">
        <f t="shared" si="361"/>
        <v>1296459.610157443</v>
      </c>
      <c r="N162" s="661">
        <f t="shared" si="362"/>
        <v>1296459.610157443</v>
      </c>
      <c r="O162" s="661">
        <f t="shared" si="363"/>
        <v>1296459.610157443</v>
      </c>
      <c r="P162" s="661">
        <f t="shared" si="364"/>
        <v>1296459.610157443</v>
      </c>
      <c r="Q162" s="661">
        <f t="shared" si="365"/>
        <v>1296459.610157443</v>
      </c>
      <c r="R162" s="661">
        <f t="shared" si="366"/>
        <v>1296459.610157443</v>
      </c>
      <c r="S162" s="661">
        <f t="shared" si="367"/>
        <v>1296459.610157443</v>
      </c>
      <c r="T162" s="661">
        <f t="shared" si="368"/>
        <v>1296459.610157443</v>
      </c>
      <c r="U162" s="661">
        <f t="shared" si="369"/>
        <v>1296459.610157443</v>
      </c>
      <c r="V162" s="661">
        <f t="shared" si="370"/>
        <v>1296459.610157443</v>
      </c>
      <c r="W162" s="661"/>
      <c r="X162" s="661"/>
      <c r="Y162" s="661"/>
      <c r="Z162" s="661"/>
      <c r="AA162" s="661"/>
      <c r="AB162" s="661"/>
      <c r="AC162" s="661"/>
      <c r="AD162" s="661"/>
      <c r="AE162" s="661"/>
      <c r="AF162" s="661"/>
      <c r="AG162" s="661"/>
      <c r="AH162" s="661"/>
      <c r="AI162" s="661"/>
      <c r="AJ162" s="661"/>
      <c r="AK162" s="661"/>
      <c r="AL162" s="661"/>
      <c r="AM162" s="661"/>
      <c r="AN162" s="661"/>
      <c r="AO162" s="661"/>
      <c r="AP162" s="661"/>
      <c r="AQ162" s="858">
        <f>SUM(C162:F162)</f>
        <v>4046190.4220231315</v>
      </c>
      <c r="AR162" s="858">
        <f t="shared" si="371"/>
        <v>4669546.2501450405</v>
      </c>
      <c r="AS162" s="858">
        <f t="shared" si="372"/>
        <v>5182416.8670083061</v>
      </c>
      <c r="AT162" s="858">
        <f t="shared" si="373"/>
        <v>5185838.4406297719</v>
      </c>
      <c r="AU162" s="858">
        <f t="shared" si="374"/>
        <v>5185838.4406297719</v>
      </c>
      <c r="AV162" s="1167"/>
      <c r="AW162" s="1167"/>
      <c r="AX162" s="1167"/>
      <c r="AY162" s="1167"/>
      <c r="AZ162" s="1167"/>
      <c r="BA162" s="1167"/>
      <c r="BB162" s="1167"/>
      <c r="BC162" s="1167"/>
      <c r="BD162" s="1167"/>
      <c r="BE162" s="1167"/>
      <c r="BF162" s="1167"/>
      <c r="BG162" s="93"/>
      <c r="BH162" s="93"/>
      <c r="BI162" s="93"/>
      <c r="BJ162" s="93"/>
      <c r="BK162" s="93"/>
      <c r="BL162" s="93"/>
      <c r="BM162" s="93"/>
      <c r="BN162" s="93"/>
      <c r="BO162" s="1571"/>
      <c r="BP162" s="593" t="s">
        <v>213</v>
      </c>
      <c r="BQ162" s="1168">
        <f t="shared" si="375"/>
        <v>558008.36473193171</v>
      </c>
      <c r="BR162" s="1168">
        <f t="shared" si="376"/>
        <v>558008.36473193171</v>
      </c>
      <c r="BS162" s="1168">
        <f t="shared" si="377"/>
        <v>558008.36473193171</v>
      </c>
      <c r="BT162" s="1168">
        <f t="shared" si="378"/>
        <v>558008.36473193171</v>
      </c>
      <c r="BU162" s="1168">
        <f t="shared" si="379"/>
        <v>558008.36473193171</v>
      </c>
      <c r="BV162" s="1168">
        <f t="shared" si="380"/>
        <v>558008.36473193171</v>
      </c>
      <c r="BW162" s="1168">
        <f t="shared" si="381"/>
        <v>558008.36473193171</v>
      </c>
      <c r="BX162" s="1168">
        <f t="shared" si="382"/>
        <v>558008.36473193171</v>
      </c>
      <c r="BY162" s="1168">
        <f t="shared" si="383"/>
        <v>558008.36473193171</v>
      </c>
      <c r="BZ162" s="1168">
        <f t="shared" si="384"/>
        <v>558008.36473193171</v>
      </c>
      <c r="CA162" s="1168">
        <f t="shared" si="385"/>
        <v>558008.36473193171</v>
      </c>
      <c r="CB162" s="1168">
        <f t="shared" si="386"/>
        <v>558008.36473193171</v>
      </c>
      <c r="CC162" s="1168">
        <f t="shared" si="387"/>
        <v>558008.36473193171</v>
      </c>
      <c r="CD162" s="1168">
        <f t="shared" si="388"/>
        <v>558008.36473193171</v>
      </c>
      <c r="CE162" s="1168">
        <f t="shared" si="389"/>
        <v>558008.36473193171</v>
      </c>
      <c r="CF162" s="1168">
        <f t="shared" si="390"/>
        <v>558008.36473193171</v>
      </c>
      <c r="CG162" s="1168">
        <f t="shared" si="391"/>
        <v>558008.36473193171</v>
      </c>
      <c r="CH162" s="1168">
        <f t="shared" si="392"/>
        <v>558008.36473193171</v>
      </c>
      <c r="CI162" s="1168">
        <f t="shared" si="393"/>
        <v>558008.36473193171</v>
      </c>
      <c r="CJ162" s="1168">
        <f t="shared" si="394"/>
        <v>558008.36473193171</v>
      </c>
      <c r="CK162" s="1168"/>
      <c r="CL162" s="1168"/>
      <c r="CM162" s="1168"/>
      <c r="CN162" s="1168"/>
      <c r="CO162" s="1168"/>
      <c r="CP162" s="1168"/>
      <c r="CQ162" s="1168"/>
      <c r="CR162" s="1168"/>
      <c r="CS162" s="1168"/>
      <c r="CT162" s="1168"/>
      <c r="CU162" s="1168"/>
      <c r="CV162" s="1168"/>
      <c r="CW162" s="1168"/>
      <c r="CX162" s="1168"/>
      <c r="CY162" s="1168"/>
      <c r="CZ162" s="1168"/>
      <c r="DA162" s="1168"/>
      <c r="DB162" s="1168"/>
      <c r="DC162" s="1168"/>
      <c r="DD162" s="1168"/>
      <c r="DE162" s="857">
        <f t="shared" si="420"/>
        <v>2232033.4589277268</v>
      </c>
      <c r="DF162" s="858">
        <f t="shared" si="421"/>
        <v>2232033.4589277268</v>
      </c>
      <c r="DG162" s="858">
        <f t="shared" si="422"/>
        <v>2232033.4589277268</v>
      </c>
      <c r="DH162" s="858">
        <f t="shared" si="423"/>
        <v>2232033.4589277268</v>
      </c>
      <c r="DI162" s="859">
        <f t="shared" si="424"/>
        <v>2232033.4589277268</v>
      </c>
      <c r="DJ162" s="1169"/>
      <c r="DK162" s="1169"/>
      <c r="DL162" s="1169"/>
      <c r="DM162" s="1169"/>
      <c r="DN162" s="1169"/>
      <c r="DO162" s="857">
        <f t="shared" si="395"/>
        <v>1814156.9630954047</v>
      </c>
      <c r="DP162" s="858">
        <f t="shared" si="395"/>
        <v>2437512.7912173136</v>
      </c>
      <c r="DQ162" s="858">
        <f t="shared" si="395"/>
        <v>2950383.4080805792</v>
      </c>
      <c r="DR162" s="858">
        <f t="shared" si="395"/>
        <v>2953804.9817020451</v>
      </c>
      <c r="DS162" s="859">
        <f t="shared" si="395"/>
        <v>2953804.9817020451</v>
      </c>
      <c r="DT162" s="1167"/>
      <c r="DU162" s="1167"/>
      <c r="DV162" s="1167"/>
      <c r="DW162" s="1167"/>
      <c r="DX162" s="1167"/>
      <c r="DY162" s="1167"/>
      <c r="DZ162" s="93"/>
      <c r="EA162" s="93"/>
      <c r="EB162" s="93"/>
      <c r="EC162" s="93"/>
      <c r="ED162" s="93"/>
      <c r="EE162" s="93"/>
      <c r="EF162" s="93"/>
      <c r="EG162" s="1571"/>
      <c r="EH162" s="1174" t="s">
        <v>213</v>
      </c>
      <c r="EI162" s="1168">
        <f t="shared" si="396"/>
        <v>416977.27912906371</v>
      </c>
      <c r="EJ162" s="1168">
        <f t="shared" si="397"/>
        <v>441351.9202255886</v>
      </c>
      <c r="EK162" s="1168">
        <f t="shared" si="398"/>
        <v>465726.56132211373</v>
      </c>
      <c r="EL162" s="1168">
        <f t="shared" si="399"/>
        <v>490101.20241863863</v>
      </c>
      <c r="EM162" s="1168">
        <f t="shared" si="400"/>
        <v>569383.99600127235</v>
      </c>
      <c r="EN162" s="1168">
        <f t="shared" si="401"/>
        <v>601126.60104478977</v>
      </c>
      <c r="EO162" s="1168">
        <f t="shared" si="402"/>
        <v>620677.67686875479</v>
      </c>
      <c r="EP162" s="1168">
        <f t="shared" si="403"/>
        <v>646324.51730249624</v>
      </c>
      <c r="EQ162" s="1168">
        <f t="shared" si="404"/>
        <v>735029.67180404474</v>
      </c>
      <c r="ER162" s="1168">
        <f t="shared" si="405"/>
        <v>738451.24542551127</v>
      </c>
      <c r="ES162" s="1168">
        <f t="shared" si="406"/>
        <v>738451.24542551127</v>
      </c>
      <c r="ET162" s="1168">
        <f t="shared" si="407"/>
        <v>738451.24542551127</v>
      </c>
      <c r="EU162" s="1168">
        <f t="shared" si="408"/>
        <v>738451.24542551127</v>
      </c>
      <c r="EV162" s="1168">
        <f t="shared" si="409"/>
        <v>738451.24542551127</v>
      </c>
      <c r="EW162" s="1168">
        <f t="shared" si="410"/>
        <v>738451.24542551127</v>
      </c>
      <c r="EX162" s="1168">
        <f t="shared" si="411"/>
        <v>738451.24542551127</v>
      </c>
      <c r="EY162" s="1168">
        <f t="shared" si="412"/>
        <v>738451.24542551127</v>
      </c>
      <c r="EZ162" s="1168">
        <f t="shared" si="413"/>
        <v>738451.24542551127</v>
      </c>
      <c r="FA162" s="1168">
        <f t="shared" si="414"/>
        <v>738451.24542551127</v>
      </c>
      <c r="FB162" s="1168">
        <f t="shared" si="415"/>
        <v>738451.24542551127</v>
      </c>
      <c r="FC162" s="1168"/>
      <c r="FD162" s="1168"/>
      <c r="FE162" s="1168"/>
      <c r="FF162" s="1168"/>
      <c r="FG162" s="1168"/>
      <c r="FH162" s="1168"/>
      <c r="FI162" s="1168"/>
      <c r="FJ162" s="1168"/>
      <c r="FK162" s="1168"/>
      <c r="FL162" s="1168"/>
      <c r="FM162" s="1168"/>
      <c r="FN162" s="1168"/>
      <c r="FO162" s="1168"/>
      <c r="FP162" s="1168"/>
      <c r="FQ162" s="1168"/>
      <c r="FR162" s="1168"/>
      <c r="FS162" s="1168"/>
      <c r="FT162" s="1168"/>
      <c r="FU162" s="1168"/>
      <c r="FV162" s="1168"/>
      <c r="FW162" s="1168"/>
      <c r="FX162" s="1173">
        <f>AVERAGE(EI162:EL162)</f>
        <v>453539.24077385117</v>
      </c>
      <c r="FY162" s="1573"/>
      <c r="FZ162" s="1179">
        <f t="shared" si="416"/>
        <v>609378.19780432829</v>
      </c>
      <c r="GA162" s="1585"/>
      <c r="GB162" s="1180">
        <f t="shared" si="417"/>
        <v>737595.85202014458</v>
      </c>
      <c r="GC162" s="1585"/>
      <c r="GD162" s="1180">
        <f t="shared" si="418"/>
        <v>738451.24542551127</v>
      </c>
      <c r="GE162" s="1585"/>
      <c r="GF162" s="1180">
        <f t="shared" si="419"/>
        <v>738451.24542551127</v>
      </c>
      <c r="GG162" s="1585"/>
      <c r="GH162" s="1560"/>
      <c r="GI162" s="93"/>
      <c r="GJ162" s="1571"/>
      <c r="GK162" s="1568"/>
      <c r="GL162" s="93"/>
      <c r="GM162" s="93"/>
      <c r="GN162" s="93"/>
      <c r="GO162" s="93"/>
      <c r="GP162" s="93"/>
      <c r="GQ162" s="93"/>
      <c r="GR162" s="93"/>
      <c r="GS162" s="93"/>
    </row>
    <row r="163" spans="1:201" ht="15" thickBot="1">
      <c r="A163" s="1571">
        <v>2</v>
      </c>
      <c r="B163" s="593" t="s">
        <v>214</v>
      </c>
      <c r="C163" s="661" t="e">
        <f t="shared" si="351"/>
        <v>#REF!</v>
      </c>
      <c r="D163" s="661" t="e">
        <f t="shared" si="352"/>
        <v>#REF!</v>
      </c>
      <c r="E163" s="661" t="e">
        <f t="shared" si="353"/>
        <v>#REF!</v>
      </c>
      <c r="F163" s="661" t="e">
        <f t="shared" si="354"/>
        <v>#REF!</v>
      </c>
      <c r="G163" s="661" t="e">
        <f t="shared" si="355"/>
        <v>#REF!</v>
      </c>
      <c r="H163" s="661" t="e">
        <f t="shared" si="356"/>
        <v>#REF!</v>
      </c>
      <c r="I163" s="661" t="e">
        <f t="shared" si="357"/>
        <v>#REF!</v>
      </c>
      <c r="J163" s="661" t="e">
        <f t="shared" si="358"/>
        <v>#REF!</v>
      </c>
      <c r="K163" s="661" t="e">
        <f t="shared" si="359"/>
        <v>#REF!</v>
      </c>
      <c r="L163" s="661">
        <f t="shared" si="360"/>
        <v>385680.59075397998</v>
      </c>
      <c r="M163" s="661">
        <f t="shared" si="361"/>
        <v>391591.40440538188</v>
      </c>
      <c r="N163" s="661">
        <f t="shared" si="362"/>
        <v>397502.21805678401</v>
      </c>
      <c r="O163" s="661">
        <f t="shared" si="363"/>
        <v>425863.83849820273</v>
      </c>
      <c r="P163" s="661">
        <f t="shared" si="364"/>
        <v>432103.60169964156</v>
      </c>
      <c r="Q163" s="661">
        <f t="shared" si="365"/>
        <v>438343.36490108044</v>
      </c>
      <c r="R163" s="661">
        <f t="shared" si="366"/>
        <v>444583.12810251932</v>
      </c>
      <c r="S163" s="661">
        <f t="shared" si="367"/>
        <v>475867.08443669614</v>
      </c>
      <c r="T163" s="661">
        <f t="shared" si="368"/>
        <v>482453.48006903805</v>
      </c>
      <c r="U163" s="661">
        <f t="shared" si="369"/>
        <v>489039.87570137979</v>
      </c>
      <c r="V163" s="661">
        <f t="shared" si="370"/>
        <v>495626.2713337217</v>
      </c>
      <c r="W163" s="661"/>
      <c r="X163" s="661"/>
      <c r="Y163" s="661"/>
      <c r="Z163" s="661"/>
      <c r="AA163" s="661"/>
      <c r="AB163" s="661"/>
      <c r="AC163" s="661"/>
      <c r="AD163" s="661"/>
      <c r="AE163" s="661"/>
      <c r="AF163" s="661"/>
      <c r="AG163" s="661"/>
      <c r="AH163" s="661"/>
      <c r="AI163" s="661"/>
      <c r="AJ163" s="661"/>
      <c r="AK163" s="661"/>
      <c r="AL163" s="661"/>
      <c r="AM163" s="661"/>
      <c r="AN163" s="661"/>
      <c r="AO163" s="661"/>
      <c r="AP163" s="661"/>
      <c r="AQ163" s="1552"/>
      <c r="AR163" s="858" t="e">
        <f t="shared" si="371"/>
        <v>#REF!</v>
      </c>
      <c r="AS163" s="858" t="e">
        <f t="shared" si="372"/>
        <v>#REF!</v>
      </c>
      <c r="AT163" s="858">
        <f t="shared" si="373"/>
        <v>1740893.9332014441</v>
      </c>
      <c r="AU163" s="858">
        <f t="shared" si="374"/>
        <v>1942986.7115408357</v>
      </c>
      <c r="AV163" s="1167"/>
      <c r="AW163" s="1167"/>
      <c r="AX163" s="1167"/>
      <c r="AY163" s="1167"/>
      <c r="AZ163" s="1167"/>
      <c r="BA163" s="1167"/>
      <c r="BB163" s="1167"/>
      <c r="BC163" s="1167"/>
      <c r="BD163" s="1167"/>
      <c r="BE163" s="1167"/>
      <c r="BF163" s="1167"/>
      <c r="BG163" s="93"/>
      <c r="BH163" s="93"/>
      <c r="BI163" s="93"/>
      <c r="BJ163" s="93"/>
      <c r="BK163" s="93"/>
      <c r="BL163" s="93"/>
      <c r="BM163" s="93"/>
      <c r="BN163" s="93"/>
      <c r="BO163" s="1571">
        <v>2</v>
      </c>
      <c r="BP163" s="593" t="s">
        <v>214</v>
      </c>
      <c r="BQ163" s="1168" t="e">
        <f t="shared" si="375"/>
        <v>#REF!</v>
      </c>
      <c r="BR163" s="1168" t="e">
        <f t="shared" si="376"/>
        <v>#REF!</v>
      </c>
      <c r="BS163" s="1168" t="e">
        <f t="shared" si="377"/>
        <v>#REF!</v>
      </c>
      <c r="BT163" s="1168" t="e">
        <f t="shared" si="378"/>
        <v>#REF!</v>
      </c>
      <c r="BU163" s="1168" t="e">
        <f t="shared" si="379"/>
        <v>#REF!</v>
      </c>
      <c r="BV163" s="1168" t="e">
        <f t="shared" si="380"/>
        <v>#REF!</v>
      </c>
      <c r="BW163" s="1168" t="e">
        <f t="shared" si="381"/>
        <v>#REF!</v>
      </c>
      <c r="BX163" s="1168" t="e">
        <f t="shared" si="382"/>
        <v>#REF!</v>
      </c>
      <c r="BY163" s="1168" t="e">
        <f t="shared" si="383"/>
        <v>#REF!</v>
      </c>
      <c r="BZ163" s="1168">
        <f t="shared" si="384"/>
        <v>1137552.3299626466</v>
      </c>
      <c r="CA163" s="1168">
        <f t="shared" si="385"/>
        <v>1137552.3299626466</v>
      </c>
      <c r="CB163" s="1168">
        <f t="shared" si="386"/>
        <v>1137552.3299626466</v>
      </c>
      <c r="CC163" s="1168">
        <f t="shared" si="387"/>
        <v>1137552.3299626466</v>
      </c>
      <c r="CD163" s="1168">
        <f t="shared" si="388"/>
        <v>1137552.3299626466</v>
      </c>
      <c r="CE163" s="1168">
        <f t="shared" si="389"/>
        <v>1137552.3299626466</v>
      </c>
      <c r="CF163" s="1168">
        <f t="shared" si="390"/>
        <v>1137552.3299626466</v>
      </c>
      <c r="CG163" s="1168">
        <f t="shared" si="391"/>
        <v>1137552.3299626466</v>
      </c>
      <c r="CH163" s="1168">
        <f t="shared" si="392"/>
        <v>1137552.3299626466</v>
      </c>
      <c r="CI163" s="1168">
        <f t="shared" si="393"/>
        <v>1137552.3299626466</v>
      </c>
      <c r="CJ163" s="1168">
        <f t="shared" si="394"/>
        <v>1137552.3299626466</v>
      </c>
      <c r="CK163" s="1168"/>
      <c r="CL163" s="1168"/>
      <c r="CM163" s="1168"/>
      <c r="CN163" s="1168"/>
      <c r="CO163" s="1168"/>
      <c r="CP163" s="1168"/>
      <c r="CQ163" s="1168"/>
      <c r="CR163" s="1168"/>
      <c r="CS163" s="1168"/>
      <c r="CT163" s="1168"/>
      <c r="CU163" s="1168"/>
      <c r="CV163" s="1168"/>
      <c r="CW163" s="1168"/>
      <c r="CX163" s="1168"/>
      <c r="CY163" s="1168"/>
      <c r="CZ163" s="1168"/>
      <c r="DA163" s="1168"/>
      <c r="DB163" s="1168"/>
      <c r="DC163" s="1168"/>
      <c r="DD163" s="1168"/>
      <c r="DE163" s="1554"/>
      <c r="DF163" s="858" t="e">
        <f t="shared" si="421"/>
        <v>#REF!</v>
      </c>
      <c r="DG163" s="858" t="e">
        <f t="shared" si="422"/>
        <v>#REF!</v>
      </c>
      <c r="DH163" s="858">
        <f t="shared" si="423"/>
        <v>4550209.3198505864</v>
      </c>
      <c r="DI163" s="859">
        <f t="shared" si="424"/>
        <v>4550209.3198505864</v>
      </c>
      <c r="DJ163" s="1181"/>
      <c r="DK163" s="1181"/>
      <c r="DL163" s="1181"/>
      <c r="DM163" s="1181"/>
      <c r="DN163" s="1181"/>
      <c r="DO163" s="1554"/>
      <c r="DP163" s="858" t="e">
        <f t="shared" ref="DP163:DS166" si="425">AR163-DF163</f>
        <v>#REF!</v>
      </c>
      <c r="DQ163" s="858" t="e">
        <f t="shared" si="425"/>
        <v>#REF!</v>
      </c>
      <c r="DR163" s="858">
        <f t="shared" si="425"/>
        <v>-2809315.386649142</v>
      </c>
      <c r="DS163" s="859">
        <f t="shared" si="425"/>
        <v>-2607222.6083097504</v>
      </c>
      <c r="DT163" s="1167"/>
      <c r="DU163" s="1167"/>
      <c r="DV163" s="1167"/>
      <c r="DW163" s="1167"/>
      <c r="DX163" s="1167"/>
      <c r="DY163" s="1167"/>
      <c r="DZ163" s="93"/>
      <c r="EA163" s="93"/>
      <c r="EB163" s="93"/>
      <c r="EC163" s="93"/>
      <c r="ED163" s="93"/>
      <c r="EE163" s="93"/>
      <c r="EF163" s="93"/>
      <c r="EG163" s="1571">
        <v>2</v>
      </c>
      <c r="EH163" s="1174" t="s">
        <v>214</v>
      </c>
      <c r="EI163" s="1168" t="e">
        <f t="shared" si="396"/>
        <v>#REF!</v>
      </c>
      <c r="EJ163" s="1168" t="e">
        <f t="shared" si="397"/>
        <v>#REF!</v>
      </c>
      <c r="EK163" s="1168" t="e">
        <f t="shared" si="398"/>
        <v>#REF!</v>
      </c>
      <c r="EL163" s="1168" t="e">
        <f t="shared" si="399"/>
        <v>#REF!</v>
      </c>
      <c r="EM163" s="1168" t="e">
        <f t="shared" si="400"/>
        <v>#REF!</v>
      </c>
      <c r="EN163" s="1168" t="e">
        <f t="shared" si="401"/>
        <v>#REF!</v>
      </c>
      <c r="EO163" s="1168" t="e">
        <f t="shared" si="402"/>
        <v>#REF!</v>
      </c>
      <c r="EP163" s="1168" t="e">
        <f t="shared" si="403"/>
        <v>#REF!</v>
      </c>
      <c r="EQ163" s="1168" t="e">
        <f t="shared" si="404"/>
        <v>#REF!</v>
      </c>
      <c r="ER163" s="1168">
        <f t="shared" si="405"/>
        <v>-751871.73920866661</v>
      </c>
      <c r="ES163" s="1168">
        <f t="shared" si="406"/>
        <v>-745960.92555726471</v>
      </c>
      <c r="ET163" s="1168">
        <f t="shared" si="407"/>
        <v>-740050.11190586258</v>
      </c>
      <c r="EU163" s="1168">
        <f t="shared" si="408"/>
        <v>-711688.49146444385</v>
      </c>
      <c r="EV163" s="1168">
        <f t="shared" si="409"/>
        <v>-705448.72826300503</v>
      </c>
      <c r="EW163" s="1168">
        <f t="shared" si="410"/>
        <v>-699208.96506156609</v>
      </c>
      <c r="EX163" s="1168">
        <f t="shared" si="411"/>
        <v>-692969.20186012727</v>
      </c>
      <c r="EY163" s="1168">
        <f t="shared" si="412"/>
        <v>-661685.24552595045</v>
      </c>
      <c r="EZ163" s="1168">
        <f t="shared" si="413"/>
        <v>-655098.8498936086</v>
      </c>
      <c r="FA163" s="1168">
        <f t="shared" si="414"/>
        <v>-648512.45426126686</v>
      </c>
      <c r="FB163" s="1168">
        <f t="shared" si="415"/>
        <v>-641926.05862892489</v>
      </c>
      <c r="FC163" s="1168"/>
      <c r="FD163" s="1168"/>
      <c r="FE163" s="1168"/>
      <c r="FF163" s="1168"/>
      <c r="FG163" s="1168"/>
      <c r="FH163" s="1168"/>
      <c r="FI163" s="1168"/>
      <c r="FJ163" s="1168"/>
      <c r="FK163" s="1168"/>
      <c r="FL163" s="1168"/>
      <c r="FM163" s="1168"/>
      <c r="FN163" s="1168"/>
      <c r="FO163" s="1168"/>
      <c r="FP163" s="1168"/>
      <c r="FQ163" s="1168"/>
      <c r="FR163" s="1168"/>
      <c r="FS163" s="1168"/>
      <c r="FT163" s="1168"/>
      <c r="FU163" s="1168"/>
      <c r="FV163" s="1168"/>
      <c r="FW163" s="1168"/>
      <c r="FX163" s="1182"/>
      <c r="FY163" s="1183"/>
      <c r="FZ163" s="1179" t="e">
        <f t="shared" si="416"/>
        <v>#REF!</v>
      </c>
      <c r="GA163" s="1572" t="e">
        <f>SUM(FZ163:FZ166)</f>
        <v>#REF!</v>
      </c>
      <c r="GB163" s="1177" t="e">
        <f t="shared" si="417"/>
        <v>#REF!</v>
      </c>
      <c r="GC163" s="1572" t="e">
        <f>SUM(GB163:GB166)</f>
        <v>#REF!</v>
      </c>
      <c r="GD163" s="1177">
        <f t="shared" si="418"/>
        <v>-702328.8466622855</v>
      </c>
      <c r="GE163" s="1572" t="e">
        <f>SUM(GD163:GD166)</f>
        <v>#REF!</v>
      </c>
      <c r="GF163" s="1177">
        <f t="shared" si="419"/>
        <v>-651805.65207743773</v>
      </c>
      <c r="GG163" s="1572" t="e">
        <f>SUM(GF163:GF166)</f>
        <v>#REF!</v>
      </c>
      <c r="GH163" s="1558" t="e">
        <f>GG163+GE163+GC163+GA163</f>
        <v>#REF!</v>
      </c>
      <c r="GI163" s="93"/>
      <c r="GJ163" s="1571">
        <v>2</v>
      </c>
      <c r="GK163" s="1568" t="e">
        <f>SUM(EK163:FB167)</f>
        <v>#REF!</v>
      </c>
      <c r="GL163" s="93"/>
      <c r="GM163" s="93"/>
      <c r="GN163" s="93"/>
      <c r="GO163" s="93"/>
      <c r="GP163" s="93"/>
      <c r="GQ163" s="93"/>
      <c r="GR163" s="93"/>
      <c r="GS163" s="93"/>
    </row>
    <row r="164" spans="1:201" ht="15" thickBot="1">
      <c r="A164" s="1571"/>
      <c r="B164" s="593" t="s">
        <v>215</v>
      </c>
      <c r="C164" s="661" t="e">
        <f t="shared" si="351"/>
        <v>#REF!</v>
      </c>
      <c r="D164" s="661" t="e">
        <f t="shared" si="352"/>
        <v>#REF!</v>
      </c>
      <c r="E164" s="661" t="e">
        <f t="shared" si="353"/>
        <v>#REF!</v>
      </c>
      <c r="F164" s="661" t="e">
        <f t="shared" si="354"/>
        <v>#REF!</v>
      </c>
      <c r="G164" s="661" t="e">
        <f t="shared" si="355"/>
        <v>#REF!</v>
      </c>
      <c r="H164" s="661" t="e">
        <f t="shared" si="356"/>
        <v>#REF!</v>
      </c>
      <c r="I164" s="661" t="e">
        <f t="shared" si="357"/>
        <v>#REF!</v>
      </c>
      <c r="J164" s="661" t="e">
        <f t="shared" si="358"/>
        <v>#REF!</v>
      </c>
      <c r="K164" s="661" t="e">
        <f t="shared" si="359"/>
        <v>#REF!</v>
      </c>
      <c r="L164" s="661" t="e">
        <f t="shared" si="360"/>
        <v>#REF!</v>
      </c>
      <c r="M164" s="661" t="e">
        <f t="shared" si="361"/>
        <v>#REF!</v>
      </c>
      <c r="N164" s="661" t="e">
        <f t="shared" si="362"/>
        <v>#REF!</v>
      </c>
      <c r="O164" s="661" t="e">
        <f t="shared" si="363"/>
        <v>#REF!</v>
      </c>
      <c r="P164" s="661" t="e">
        <f t="shared" si="364"/>
        <v>#REF!</v>
      </c>
      <c r="Q164" s="661" t="e">
        <f t="shared" si="365"/>
        <v>#REF!</v>
      </c>
      <c r="R164" s="661" t="e">
        <f t="shared" si="366"/>
        <v>#REF!</v>
      </c>
      <c r="S164" s="661" t="e">
        <f t="shared" si="367"/>
        <v>#REF!</v>
      </c>
      <c r="T164" s="661" t="e">
        <f t="shared" si="368"/>
        <v>#REF!</v>
      </c>
      <c r="U164" s="661" t="e">
        <f t="shared" si="369"/>
        <v>#REF!</v>
      </c>
      <c r="V164" s="661" t="e">
        <f t="shared" si="370"/>
        <v>#REF!</v>
      </c>
      <c r="W164" s="661"/>
      <c r="X164" s="661"/>
      <c r="Y164" s="661"/>
      <c r="Z164" s="661"/>
      <c r="AA164" s="661"/>
      <c r="AB164" s="661"/>
      <c r="AC164" s="661"/>
      <c r="AD164" s="661"/>
      <c r="AE164" s="661"/>
      <c r="AF164" s="661"/>
      <c r="AG164" s="661"/>
      <c r="AH164" s="661"/>
      <c r="AI164" s="661"/>
      <c r="AJ164" s="661"/>
      <c r="AK164" s="661"/>
      <c r="AL164" s="661"/>
      <c r="AM164" s="661"/>
      <c r="AN164" s="661"/>
      <c r="AO164" s="661"/>
      <c r="AP164" s="661"/>
      <c r="AQ164" s="1553"/>
      <c r="AR164" s="858" t="e">
        <f t="shared" si="371"/>
        <v>#REF!</v>
      </c>
      <c r="AS164" s="858" t="e">
        <f t="shared" si="372"/>
        <v>#REF!</v>
      </c>
      <c r="AT164" s="858" t="e">
        <f t="shared" si="373"/>
        <v>#REF!</v>
      </c>
      <c r="AU164" s="858" t="e">
        <f t="shared" si="374"/>
        <v>#REF!</v>
      </c>
      <c r="AV164" s="1167"/>
      <c r="AW164" s="1167"/>
      <c r="AX164" s="1167"/>
      <c r="AY164" s="1167"/>
      <c r="AZ164" s="1167"/>
      <c r="BA164" s="1167"/>
      <c r="BB164" s="1167"/>
      <c r="BC164" s="1167"/>
      <c r="BD164" s="1167"/>
      <c r="BE164" s="1167"/>
      <c r="BF164" s="1167"/>
      <c r="BG164" s="93"/>
      <c r="BH164" s="93"/>
      <c r="BI164" s="93"/>
      <c r="BJ164" s="93"/>
      <c r="BK164" s="93"/>
      <c r="BL164" s="93"/>
      <c r="BM164" s="93"/>
      <c r="BN164" s="93"/>
      <c r="BO164" s="1571"/>
      <c r="BP164" s="593" t="s">
        <v>215</v>
      </c>
      <c r="BQ164" s="1168" t="e">
        <f t="shared" si="375"/>
        <v>#REF!</v>
      </c>
      <c r="BR164" s="1168" t="e">
        <f t="shared" si="376"/>
        <v>#REF!</v>
      </c>
      <c r="BS164" s="1168" t="e">
        <f t="shared" si="377"/>
        <v>#REF!</v>
      </c>
      <c r="BT164" s="1168" t="e">
        <f t="shared" si="378"/>
        <v>#REF!</v>
      </c>
      <c r="BU164" s="1168" t="e">
        <f t="shared" si="379"/>
        <v>#REF!</v>
      </c>
      <c r="BV164" s="1168" t="e">
        <f t="shared" si="380"/>
        <v>#REF!</v>
      </c>
      <c r="BW164" s="1168" t="e">
        <f t="shared" si="381"/>
        <v>#REF!</v>
      </c>
      <c r="BX164" s="1168" t="e">
        <f t="shared" si="382"/>
        <v>#REF!</v>
      </c>
      <c r="BY164" s="1168" t="e">
        <f t="shared" si="383"/>
        <v>#REF!</v>
      </c>
      <c r="BZ164" s="1168" t="e">
        <f t="shared" si="384"/>
        <v>#REF!</v>
      </c>
      <c r="CA164" s="1168" t="e">
        <f t="shared" si="385"/>
        <v>#REF!</v>
      </c>
      <c r="CB164" s="1168" t="e">
        <f t="shared" si="386"/>
        <v>#REF!</v>
      </c>
      <c r="CC164" s="1168" t="e">
        <f t="shared" si="387"/>
        <v>#REF!</v>
      </c>
      <c r="CD164" s="1168" t="e">
        <f t="shared" si="388"/>
        <v>#REF!</v>
      </c>
      <c r="CE164" s="1168" t="e">
        <f t="shared" si="389"/>
        <v>#REF!</v>
      </c>
      <c r="CF164" s="1168" t="e">
        <f t="shared" si="390"/>
        <v>#REF!</v>
      </c>
      <c r="CG164" s="1168" t="e">
        <f t="shared" si="391"/>
        <v>#REF!</v>
      </c>
      <c r="CH164" s="1168" t="e">
        <f t="shared" si="392"/>
        <v>#REF!</v>
      </c>
      <c r="CI164" s="1168" t="e">
        <f t="shared" si="393"/>
        <v>#REF!</v>
      </c>
      <c r="CJ164" s="1168" t="e">
        <f t="shared" si="394"/>
        <v>#REF!</v>
      </c>
      <c r="CK164" s="1168"/>
      <c r="CL164" s="1168"/>
      <c r="CM164" s="1168"/>
      <c r="CN164" s="1168"/>
      <c r="CO164" s="1168"/>
      <c r="CP164" s="1168"/>
      <c r="CQ164" s="1168"/>
      <c r="CR164" s="1168"/>
      <c r="CS164" s="1168"/>
      <c r="CT164" s="1168"/>
      <c r="CU164" s="1168"/>
      <c r="CV164" s="1168"/>
      <c r="CW164" s="1168"/>
      <c r="CX164" s="1168"/>
      <c r="CY164" s="1168"/>
      <c r="CZ164" s="1168"/>
      <c r="DA164" s="1168"/>
      <c r="DB164" s="1168"/>
      <c r="DC164" s="1168"/>
      <c r="DD164" s="1168"/>
      <c r="DE164" s="1555"/>
      <c r="DF164" s="858" t="e">
        <f t="shared" si="421"/>
        <v>#REF!</v>
      </c>
      <c r="DG164" s="858" t="e">
        <f t="shared" si="422"/>
        <v>#REF!</v>
      </c>
      <c r="DH164" s="858" t="e">
        <f t="shared" si="423"/>
        <v>#REF!</v>
      </c>
      <c r="DI164" s="859" t="e">
        <f t="shared" si="424"/>
        <v>#REF!</v>
      </c>
      <c r="DJ164" s="1167"/>
      <c r="DK164" s="1167"/>
      <c r="DL164" s="1167"/>
      <c r="DM164" s="1167"/>
      <c r="DN164" s="1167"/>
      <c r="DO164" s="1555"/>
      <c r="DP164" s="858" t="e">
        <f t="shared" si="425"/>
        <v>#REF!</v>
      </c>
      <c r="DQ164" s="858" t="e">
        <f t="shared" si="425"/>
        <v>#REF!</v>
      </c>
      <c r="DR164" s="858" t="e">
        <f t="shared" si="425"/>
        <v>#REF!</v>
      </c>
      <c r="DS164" s="859" t="e">
        <f t="shared" si="425"/>
        <v>#REF!</v>
      </c>
      <c r="DT164" s="1167"/>
      <c r="DU164" s="1167"/>
      <c r="DV164" s="1167"/>
      <c r="DW164" s="1167"/>
      <c r="DX164" s="1167"/>
      <c r="DY164" s="1167"/>
      <c r="DZ164" s="93"/>
      <c r="EA164" s="93"/>
      <c r="EB164" s="93"/>
      <c r="EC164" s="93"/>
      <c r="ED164" s="93"/>
      <c r="EE164" s="93"/>
      <c r="EF164" s="93"/>
      <c r="EG164" s="1571"/>
      <c r="EH164" s="1174" t="s">
        <v>215</v>
      </c>
      <c r="EI164" s="1168" t="e">
        <f t="shared" si="396"/>
        <v>#REF!</v>
      </c>
      <c r="EJ164" s="1168" t="e">
        <f t="shared" si="397"/>
        <v>#REF!</v>
      </c>
      <c r="EK164" s="1168" t="e">
        <f t="shared" si="398"/>
        <v>#REF!</v>
      </c>
      <c r="EL164" s="1168" t="e">
        <f t="shared" si="399"/>
        <v>#REF!</v>
      </c>
      <c r="EM164" s="1168" t="e">
        <f t="shared" si="400"/>
        <v>#REF!</v>
      </c>
      <c r="EN164" s="1168" t="e">
        <f t="shared" si="401"/>
        <v>#REF!</v>
      </c>
      <c r="EO164" s="1168" t="e">
        <f t="shared" si="402"/>
        <v>#REF!</v>
      </c>
      <c r="EP164" s="1168" t="e">
        <f t="shared" si="403"/>
        <v>#REF!</v>
      </c>
      <c r="EQ164" s="1168" t="e">
        <f t="shared" si="404"/>
        <v>#REF!</v>
      </c>
      <c r="ER164" s="1168" t="e">
        <f t="shared" si="405"/>
        <v>#REF!</v>
      </c>
      <c r="ES164" s="1168" t="e">
        <f t="shared" si="406"/>
        <v>#REF!</v>
      </c>
      <c r="ET164" s="1168" t="e">
        <f t="shared" si="407"/>
        <v>#REF!</v>
      </c>
      <c r="EU164" s="1168" t="e">
        <f t="shared" si="408"/>
        <v>#REF!</v>
      </c>
      <c r="EV164" s="1168" t="e">
        <f t="shared" si="409"/>
        <v>#REF!</v>
      </c>
      <c r="EW164" s="1168" t="e">
        <f t="shared" si="410"/>
        <v>#REF!</v>
      </c>
      <c r="EX164" s="1168" t="e">
        <f t="shared" si="411"/>
        <v>#REF!</v>
      </c>
      <c r="EY164" s="1168" t="e">
        <f t="shared" si="412"/>
        <v>#REF!</v>
      </c>
      <c r="EZ164" s="1168" t="e">
        <f t="shared" si="413"/>
        <v>#REF!</v>
      </c>
      <c r="FA164" s="1168" t="e">
        <f t="shared" si="414"/>
        <v>#REF!</v>
      </c>
      <c r="FB164" s="1168" t="e">
        <f t="shared" si="415"/>
        <v>#REF!</v>
      </c>
      <c r="FC164" s="1168"/>
      <c r="FD164" s="1168"/>
      <c r="FE164" s="1168"/>
      <c r="FF164" s="1168"/>
      <c r="FG164" s="1168"/>
      <c r="FH164" s="1168"/>
      <c r="FI164" s="1168"/>
      <c r="FJ164" s="1168"/>
      <c r="FK164" s="1168"/>
      <c r="FL164" s="1168"/>
      <c r="FM164" s="1168"/>
      <c r="FN164" s="1168"/>
      <c r="FO164" s="1168"/>
      <c r="FP164" s="1168"/>
      <c r="FQ164" s="1168"/>
      <c r="FR164" s="1168"/>
      <c r="FS164" s="1168"/>
      <c r="FT164" s="1168"/>
      <c r="FU164" s="1168"/>
      <c r="FV164" s="1168"/>
      <c r="FW164" s="1168"/>
      <c r="FX164" s="1182"/>
      <c r="FY164" s="1183"/>
      <c r="FZ164" s="1179" t="e">
        <f t="shared" si="416"/>
        <v>#REF!</v>
      </c>
      <c r="GA164" s="1573"/>
      <c r="GB164" s="1177" t="e">
        <f t="shared" si="417"/>
        <v>#REF!</v>
      </c>
      <c r="GC164" s="1573"/>
      <c r="GD164" s="1177" t="e">
        <f t="shared" si="418"/>
        <v>#REF!</v>
      </c>
      <c r="GE164" s="1573"/>
      <c r="GF164" s="1177" t="e">
        <f t="shared" si="419"/>
        <v>#REF!</v>
      </c>
      <c r="GG164" s="1573"/>
      <c r="GH164" s="1559"/>
      <c r="GI164" s="93"/>
      <c r="GJ164" s="1571"/>
      <c r="GK164" s="1568"/>
      <c r="GL164" s="93"/>
      <c r="GM164" s="93"/>
      <c r="GN164" s="93"/>
      <c r="GO164" s="93"/>
      <c r="GP164" s="93"/>
      <c r="GQ164" s="93"/>
      <c r="GR164" s="93"/>
      <c r="GS164" s="93"/>
    </row>
    <row r="165" spans="1:201" ht="15" thickBot="1">
      <c r="A165" s="1571"/>
      <c r="B165" s="593" t="s">
        <v>216</v>
      </c>
      <c r="C165" s="661" t="e">
        <f t="shared" si="351"/>
        <v>#REF!</v>
      </c>
      <c r="D165" s="661" t="e">
        <f t="shared" si="352"/>
        <v>#REF!</v>
      </c>
      <c r="E165" s="661" t="e">
        <f t="shared" si="353"/>
        <v>#REF!</v>
      </c>
      <c r="F165" s="661" t="e">
        <f t="shared" si="354"/>
        <v>#REF!</v>
      </c>
      <c r="G165" s="661" t="e">
        <f t="shared" si="355"/>
        <v>#REF!</v>
      </c>
      <c r="H165" s="661" t="e">
        <f t="shared" si="356"/>
        <v>#REF!</v>
      </c>
      <c r="I165" s="661" t="e">
        <f t="shared" si="357"/>
        <v>#REF!</v>
      </c>
      <c r="J165" s="661" t="e">
        <f t="shared" si="358"/>
        <v>#REF!</v>
      </c>
      <c r="K165" s="661" t="e">
        <f t="shared" si="359"/>
        <v>#REF!</v>
      </c>
      <c r="L165" s="661" t="e">
        <f t="shared" si="360"/>
        <v>#REF!</v>
      </c>
      <c r="M165" s="661" t="e">
        <f t="shared" si="361"/>
        <v>#REF!</v>
      </c>
      <c r="N165" s="661" t="e">
        <f t="shared" si="362"/>
        <v>#REF!</v>
      </c>
      <c r="O165" s="661" t="e">
        <f t="shared" si="363"/>
        <v>#REF!</v>
      </c>
      <c r="P165" s="661" t="e">
        <f t="shared" si="364"/>
        <v>#REF!</v>
      </c>
      <c r="Q165" s="661" t="e">
        <f t="shared" si="365"/>
        <v>#REF!</v>
      </c>
      <c r="R165" s="661" t="e">
        <f t="shared" si="366"/>
        <v>#REF!</v>
      </c>
      <c r="S165" s="661" t="e">
        <f t="shared" si="367"/>
        <v>#REF!</v>
      </c>
      <c r="T165" s="661" t="e">
        <f t="shared" si="368"/>
        <v>#REF!</v>
      </c>
      <c r="U165" s="661" t="e">
        <f t="shared" si="369"/>
        <v>#REF!</v>
      </c>
      <c r="V165" s="661" t="e">
        <f t="shared" si="370"/>
        <v>#REF!</v>
      </c>
      <c r="W165" s="661"/>
      <c r="X165" s="661"/>
      <c r="Y165" s="661"/>
      <c r="Z165" s="661"/>
      <c r="AA165" s="661"/>
      <c r="AB165" s="661"/>
      <c r="AC165" s="661"/>
      <c r="AD165" s="661"/>
      <c r="AE165" s="661"/>
      <c r="AF165" s="661"/>
      <c r="AG165" s="661"/>
      <c r="AH165" s="661"/>
      <c r="AI165" s="661"/>
      <c r="AJ165" s="661"/>
      <c r="AK165" s="661"/>
      <c r="AL165" s="661"/>
      <c r="AM165" s="661"/>
      <c r="AN165" s="661"/>
      <c r="AO165" s="661"/>
      <c r="AP165" s="661"/>
      <c r="AQ165" s="1553"/>
      <c r="AR165" s="858" t="e">
        <f t="shared" si="371"/>
        <v>#REF!</v>
      </c>
      <c r="AS165" s="858" t="e">
        <f t="shared" si="372"/>
        <v>#REF!</v>
      </c>
      <c r="AT165" s="858" t="e">
        <f t="shared" si="373"/>
        <v>#REF!</v>
      </c>
      <c r="AU165" s="858" t="e">
        <f t="shared" si="374"/>
        <v>#REF!</v>
      </c>
      <c r="AV165" s="1167"/>
      <c r="AW165" s="1167"/>
      <c r="AX165" s="1167"/>
      <c r="AY165" s="1167"/>
      <c r="AZ165" s="1167"/>
      <c r="BA165" s="1167"/>
      <c r="BB165" s="1167"/>
      <c r="BC165" s="1167"/>
      <c r="BD165" s="1167"/>
      <c r="BE165" s="1167"/>
      <c r="BF165" s="1167"/>
      <c r="BG165" s="93"/>
      <c r="BH165" s="93"/>
      <c r="BI165" s="93"/>
      <c r="BJ165" s="93"/>
      <c r="BK165" s="93"/>
      <c r="BL165" s="93"/>
      <c r="BM165" s="93"/>
      <c r="BN165" s="93"/>
      <c r="BO165" s="1571"/>
      <c r="BP165" s="593" t="s">
        <v>216</v>
      </c>
      <c r="BQ165" s="1168" t="e">
        <f t="shared" si="375"/>
        <v>#REF!</v>
      </c>
      <c r="BR165" s="1168" t="e">
        <f t="shared" si="376"/>
        <v>#REF!</v>
      </c>
      <c r="BS165" s="1168" t="e">
        <f t="shared" si="377"/>
        <v>#REF!</v>
      </c>
      <c r="BT165" s="1168" t="e">
        <f t="shared" si="378"/>
        <v>#REF!</v>
      </c>
      <c r="BU165" s="1168" t="e">
        <f t="shared" si="379"/>
        <v>#REF!</v>
      </c>
      <c r="BV165" s="1168" t="e">
        <f t="shared" si="380"/>
        <v>#REF!</v>
      </c>
      <c r="BW165" s="1168" t="e">
        <f t="shared" si="381"/>
        <v>#REF!</v>
      </c>
      <c r="BX165" s="1168" t="e">
        <f t="shared" si="382"/>
        <v>#REF!</v>
      </c>
      <c r="BY165" s="1168" t="e">
        <f t="shared" si="383"/>
        <v>#REF!</v>
      </c>
      <c r="BZ165" s="1168" t="e">
        <f t="shared" si="384"/>
        <v>#REF!</v>
      </c>
      <c r="CA165" s="1168" t="e">
        <f t="shared" si="385"/>
        <v>#REF!</v>
      </c>
      <c r="CB165" s="1168" t="e">
        <f t="shared" si="386"/>
        <v>#REF!</v>
      </c>
      <c r="CC165" s="1168" t="e">
        <f t="shared" si="387"/>
        <v>#REF!</v>
      </c>
      <c r="CD165" s="1168" t="e">
        <f t="shared" si="388"/>
        <v>#REF!</v>
      </c>
      <c r="CE165" s="1168" t="e">
        <f t="shared" si="389"/>
        <v>#REF!</v>
      </c>
      <c r="CF165" s="1168" t="e">
        <f t="shared" si="390"/>
        <v>#REF!</v>
      </c>
      <c r="CG165" s="1168" t="e">
        <f t="shared" si="391"/>
        <v>#REF!</v>
      </c>
      <c r="CH165" s="1168" t="e">
        <f t="shared" si="392"/>
        <v>#REF!</v>
      </c>
      <c r="CI165" s="1168" t="e">
        <f t="shared" si="393"/>
        <v>#REF!</v>
      </c>
      <c r="CJ165" s="1168" t="e">
        <f t="shared" si="394"/>
        <v>#REF!</v>
      </c>
      <c r="CK165" s="1168"/>
      <c r="CL165" s="1168"/>
      <c r="CM165" s="1168"/>
      <c r="CN165" s="1168"/>
      <c r="CO165" s="1168"/>
      <c r="CP165" s="1168"/>
      <c r="CQ165" s="1168"/>
      <c r="CR165" s="1168"/>
      <c r="CS165" s="1168"/>
      <c r="CT165" s="1168"/>
      <c r="CU165" s="1168"/>
      <c r="CV165" s="1168"/>
      <c r="CW165" s="1168"/>
      <c r="CX165" s="1168"/>
      <c r="CY165" s="1168"/>
      <c r="CZ165" s="1168"/>
      <c r="DA165" s="1168"/>
      <c r="DB165" s="1168"/>
      <c r="DC165" s="1168"/>
      <c r="DD165" s="1168"/>
      <c r="DE165" s="1555"/>
      <c r="DF165" s="858" t="e">
        <f t="shared" si="421"/>
        <v>#REF!</v>
      </c>
      <c r="DG165" s="858" t="e">
        <f t="shared" si="422"/>
        <v>#REF!</v>
      </c>
      <c r="DH165" s="858" t="e">
        <f t="shared" si="423"/>
        <v>#REF!</v>
      </c>
      <c r="DI165" s="859" t="e">
        <f t="shared" si="424"/>
        <v>#REF!</v>
      </c>
      <c r="DJ165" s="1167"/>
      <c r="DK165" s="1167"/>
      <c r="DL165" s="1167"/>
      <c r="DM165" s="1167"/>
      <c r="DN165" s="1167"/>
      <c r="DO165" s="1555"/>
      <c r="DP165" s="858" t="e">
        <f t="shared" si="425"/>
        <v>#REF!</v>
      </c>
      <c r="DQ165" s="858" t="e">
        <f t="shared" si="425"/>
        <v>#REF!</v>
      </c>
      <c r="DR165" s="858" t="e">
        <f t="shared" si="425"/>
        <v>#REF!</v>
      </c>
      <c r="DS165" s="859" t="e">
        <f t="shared" si="425"/>
        <v>#REF!</v>
      </c>
      <c r="DT165" s="1167"/>
      <c r="DU165" s="1167"/>
      <c r="DV165" s="1167"/>
      <c r="DW165" s="1167"/>
      <c r="DX165" s="1167"/>
      <c r="DY165" s="1167"/>
      <c r="DZ165" s="93"/>
      <c r="EA165" s="93"/>
      <c r="EB165" s="93"/>
      <c r="EC165" s="93"/>
      <c r="ED165" s="93"/>
      <c r="EE165" s="93"/>
      <c r="EF165" s="93"/>
      <c r="EG165" s="1571"/>
      <c r="EH165" s="1174" t="s">
        <v>216</v>
      </c>
      <c r="EI165" s="1168" t="e">
        <f t="shared" si="396"/>
        <v>#REF!</v>
      </c>
      <c r="EJ165" s="1168" t="e">
        <f t="shared" si="397"/>
        <v>#REF!</v>
      </c>
      <c r="EK165" s="1168" t="e">
        <f t="shared" si="398"/>
        <v>#REF!</v>
      </c>
      <c r="EL165" s="1168" t="e">
        <f t="shared" si="399"/>
        <v>#REF!</v>
      </c>
      <c r="EM165" s="1168" t="e">
        <f t="shared" si="400"/>
        <v>#REF!</v>
      </c>
      <c r="EN165" s="1168" t="e">
        <f t="shared" si="401"/>
        <v>#REF!</v>
      </c>
      <c r="EO165" s="1168" t="e">
        <f t="shared" si="402"/>
        <v>#REF!</v>
      </c>
      <c r="EP165" s="1168" t="e">
        <f t="shared" si="403"/>
        <v>#REF!</v>
      </c>
      <c r="EQ165" s="1168" t="e">
        <f t="shared" si="404"/>
        <v>#REF!</v>
      </c>
      <c r="ER165" s="1168" t="e">
        <f t="shared" si="405"/>
        <v>#REF!</v>
      </c>
      <c r="ES165" s="1168" t="e">
        <f t="shared" si="406"/>
        <v>#REF!</v>
      </c>
      <c r="ET165" s="1168" t="e">
        <f t="shared" si="407"/>
        <v>#REF!</v>
      </c>
      <c r="EU165" s="1168" t="e">
        <f t="shared" si="408"/>
        <v>#REF!</v>
      </c>
      <c r="EV165" s="1168" t="e">
        <f t="shared" si="409"/>
        <v>#REF!</v>
      </c>
      <c r="EW165" s="1168" t="e">
        <f t="shared" si="410"/>
        <v>#REF!</v>
      </c>
      <c r="EX165" s="1168" t="e">
        <f t="shared" si="411"/>
        <v>#REF!</v>
      </c>
      <c r="EY165" s="1168" t="e">
        <f t="shared" si="412"/>
        <v>#REF!</v>
      </c>
      <c r="EZ165" s="1168" t="e">
        <f t="shared" si="413"/>
        <v>#REF!</v>
      </c>
      <c r="FA165" s="1168" t="e">
        <f t="shared" si="414"/>
        <v>#REF!</v>
      </c>
      <c r="FB165" s="1168" t="e">
        <f t="shared" si="415"/>
        <v>#REF!</v>
      </c>
      <c r="FC165" s="1168"/>
      <c r="FD165" s="1168"/>
      <c r="FE165" s="1168"/>
      <c r="FF165" s="1168"/>
      <c r="FG165" s="1168"/>
      <c r="FH165" s="1168"/>
      <c r="FI165" s="1168"/>
      <c r="FJ165" s="1168"/>
      <c r="FK165" s="1168"/>
      <c r="FL165" s="1168"/>
      <c r="FM165" s="1168"/>
      <c r="FN165" s="1168"/>
      <c r="FO165" s="1168"/>
      <c r="FP165" s="1168"/>
      <c r="FQ165" s="1168"/>
      <c r="FR165" s="1168"/>
      <c r="FS165" s="1168"/>
      <c r="FT165" s="1168"/>
      <c r="FU165" s="1168"/>
      <c r="FV165" s="1168"/>
      <c r="FW165" s="1168"/>
      <c r="FX165" s="1182"/>
      <c r="FY165" s="1183"/>
      <c r="FZ165" s="1184" t="e">
        <f t="shared" si="416"/>
        <v>#REF!</v>
      </c>
      <c r="GA165" s="1573"/>
      <c r="GB165" s="1177" t="e">
        <f t="shared" si="417"/>
        <v>#REF!</v>
      </c>
      <c r="GC165" s="1573"/>
      <c r="GD165" s="1177" t="e">
        <f t="shared" si="418"/>
        <v>#REF!</v>
      </c>
      <c r="GE165" s="1573"/>
      <c r="GF165" s="1177" t="e">
        <f t="shared" si="419"/>
        <v>#REF!</v>
      </c>
      <c r="GG165" s="1573"/>
      <c r="GH165" s="1559"/>
      <c r="GI165" s="93"/>
      <c r="GJ165" s="1571"/>
      <c r="GK165" s="1568"/>
      <c r="GL165" s="93"/>
      <c r="GM165" s="93"/>
      <c r="GN165" s="93"/>
      <c r="GO165" s="93"/>
      <c r="GP165" s="93"/>
      <c r="GQ165" s="93"/>
      <c r="GR165" s="93"/>
      <c r="GS165" s="93"/>
    </row>
    <row r="166" spans="1:201" ht="15" thickBot="1">
      <c r="A166" s="1571"/>
      <c r="B166" s="601" t="s">
        <v>217</v>
      </c>
      <c r="C166" s="661" t="e">
        <f t="shared" si="351"/>
        <v>#REF!</v>
      </c>
      <c r="D166" s="661" t="e">
        <f t="shared" si="352"/>
        <v>#REF!</v>
      </c>
      <c r="E166" s="661" t="e">
        <f t="shared" si="353"/>
        <v>#REF!</v>
      </c>
      <c r="F166" s="661" t="e">
        <f t="shared" si="354"/>
        <v>#REF!</v>
      </c>
      <c r="G166" s="661" t="e">
        <f t="shared" si="355"/>
        <v>#REF!</v>
      </c>
      <c r="H166" s="661" t="e">
        <f t="shared" si="356"/>
        <v>#REF!</v>
      </c>
      <c r="I166" s="661" t="e">
        <f t="shared" si="357"/>
        <v>#REF!</v>
      </c>
      <c r="J166" s="661" t="e">
        <f t="shared" si="358"/>
        <v>#REF!</v>
      </c>
      <c r="K166" s="661" t="e">
        <f t="shared" si="359"/>
        <v>#REF!</v>
      </c>
      <c r="L166" s="661" t="e">
        <f t="shared" si="360"/>
        <v>#REF!</v>
      </c>
      <c r="M166" s="661" t="e">
        <f t="shared" si="361"/>
        <v>#REF!</v>
      </c>
      <c r="N166" s="661" t="e">
        <f t="shared" si="362"/>
        <v>#REF!</v>
      </c>
      <c r="O166" s="661" t="e">
        <f t="shared" si="363"/>
        <v>#REF!</v>
      </c>
      <c r="P166" s="661" t="e">
        <f t="shared" si="364"/>
        <v>#REF!</v>
      </c>
      <c r="Q166" s="661" t="e">
        <f t="shared" si="365"/>
        <v>#REF!</v>
      </c>
      <c r="R166" s="661" t="e">
        <f t="shared" si="366"/>
        <v>#REF!</v>
      </c>
      <c r="S166" s="661" t="e">
        <f t="shared" si="367"/>
        <v>#REF!</v>
      </c>
      <c r="T166" s="661" t="e">
        <f t="shared" si="368"/>
        <v>#REF!</v>
      </c>
      <c r="U166" s="661" t="e">
        <f t="shared" si="369"/>
        <v>#REF!</v>
      </c>
      <c r="V166" s="661" t="e">
        <f t="shared" si="370"/>
        <v>#REF!</v>
      </c>
      <c r="W166" s="661"/>
      <c r="X166" s="661"/>
      <c r="Y166" s="661"/>
      <c r="Z166" s="661"/>
      <c r="AA166" s="661"/>
      <c r="AB166" s="661"/>
      <c r="AC166" s="661"/>
      <c r="AD166" s="661"/>
      <c r="AE166" s="661"/>
      <c r="AF166" s="661"/>
      <c r="AG166" s="661"/>
      <c r="AH166" s="661"/>
      <c r="AI166" s="661"/>
      <c r="AJ166" s="661"/>
      <c r="AK166" s="661"/>
      <c r="AL166" s="661"/>
      <c r="AM166" s="661"/>
      <c r="AN166" s="661"/>
      <c r="AO166" s="661"/>
      <c r="AP166" s="661"/>
      <c r="AQ166" s="1553"/>
      <c r="AR166" s="858" t="e">
        <f t="shared" si="371"/>
        <v>#REF!</v>
      </c>
      <c r="AS166" s="858" t="e">
        <f t="shared" si="372"/>
        <v>#REF!</v>
      </c>
      <c r="AT166" s="858" t="e">
        <f t="shared" si="373"/>
        <v>#REF!</v>
      </c>
      <c r="AU166" s="858" t="e">
        <f t="shared" si="374"/>
        <v>#REF!</v>
      </c>
      <c r="AV166" s="1167"/>
      <c r="AW166" s="1167"/>
      <c r="AX166" s="1167"/>
      <c r="AY166" s="1167"/>
      <c r="AZ166" s="1167"/>
      <c r="BA166" s="1167"/>
      <c r="BB166" s="1167"/>
      <c r="BC166" s="1167"/>
      <c r="BD166" s="1167"/>
      <c r="BE166" s="1167"/>
      <c r="BF166" s="1167"/>
      <c r="BG166" s="93"/>
      <c r="BH166" s="93"/>
      <c r="BI166" s="93"/>
      <c r="BJ166" s="93"/>
      <c r="BK166" s="93"/>
      <c r="BL166" s="93"/>
      <c r="BM166" s="93"/>
      <c r="BN166" s="93"/>
      <c r="BO166" s="1571"/>
      <c r="BP166" s="601" t="s">
        <v>217</v>
      </c>
      <c r="BQ166" s="1168" t="e">
        <f t="shared" si="375"/>
        <v>#REF!</v>
      </c>
      <c r="BR166" s="1168" t="e">
        <f t="shared" si="376"/>
        <v>#REF!</v>
      </c>
      <c r="BS166" s="1168" t="e">
        <f t="shared" si="377"/>
        <v>#REF!</v>
      </c>
      <c r="BT166" s="1168" t="e">
        <f t="shared" si="378"/>
        <v>#REF!</v>
      </c>
      <c r="BU166" s="1168" t="e">
        <f t="shared" si="379"/>
        <v>#REF!</v>
      </c>
      <c r="BV166" s="1168" t="e">
        <f t="shared" si="380"/>
        <v>#REF!</v>
      </c>
      <c r="BW166" s="1168" t="e">
        <f t="shared" si="381"/>
        <v>#REF!</v>
      </c>
      <c r="BX166" s="1168" t="e">
        <f t="shared" si="382"/>
        <v>#REF!</v>
      </c>
      <c r="BY166" s="1168" t="e">
        <f t="shared" si="383"/>
        <v>#REF!</v>
      </c>
      <c r="BZ166" s="1168" t="e">
        <f t="shared" si="384"/>
        <v>#REF!</v>
      </c>
      <c r="CA166" s="1168" t="e">
        <f t="shared" si="385"/>
        <v>#REF!</v>
      </c>
      <c r="CB166" s="1168" t="e">
        <f t="shared" si="386"/>
        <v>#REF!</v>
      </c>
      <c r="CC166" s="1168" t="e">
        <f t="shared" si="387"/>
        <v>#REF!</v>
      </c>
      <c r="CD166" s="1168" t="e">
        <f t="shared" si="388"/>
        <v>#REF!</v>
      </c>
      <c r="CE166" s="1168" t="e">
        <f t="shared" si="389"/>
        <v>#REF!</v>
      </c>
      <c r="CF166" s="1168" t="e">
        <f t="shared" si="390"/>
        <v>#REF!</v>
      </c>
      <c r="CG166" s="1168" t="e">
        <f t="shared" si="391"/>
        <v>#REF!</v>
      </c>
      <c r="CH166" s="1168" t="e">
        <f t="shared" si="392"/>
        <v>#REF!</v>
      </c>
      <c r="CI166" s="1168" t="e">
        <f t="shared" si="393"/>
        <v>#REF!</v>
      </c>
      <c r="CJ166" s="1168" t="e">
        <f t="shared" si="394"/>
        <v>#REF!</v>
      </c>
      <c r="CK166" s="1168"/>
      <c r="CL166" s="1168"/>
      <c r="CM166" s="1168"/>
      <c r="CN166" s="1168"/>
      <c r="CO166" s="1168"/>
      <c r="CP166" s="1168"/>
      <c r="CQ166" s="1168"/>
      <c r="CR166" s="1168"/>
      <c r="CS166" s="1168"/>
      <c r="CT166" s="1168"/>
      <c r="CU166" s="1168"/>
      <c r="CV166" s="1168"/>
      <c r="CW166" s="1168"/>
      <c r="CX166" s="1168"/>
      <c r="CY166" s="1168"/>
      <c r="CZ166" s="1168"/>
      <c r="DA166" s="1168"/>
      <c r="DB166" s="1168"/>
      <c r="DC166" s="1168"/>
      <c r="DD166" s="1168"/>
      <c r="DE166" s="1555"/>
      <c r="DF166" s="858" t="e">
        <f t="shared" si="421"/>
        <v>#REF!</v>
      </c>
      <c r="DG166" s="858" t="e">
        <f t="shared" si="422"/>
        <v>#REF!</v>
      </c>
      <c r="DH166" s="858" t="e">
        <f t="shared" si="423"/>
        <v>#REF!</v>
      </c>
      <c r="DI166" s="859" t="e">
        <f t="shared" si="424"/>
        <v>#REF!</v>
      </c>
      <c r="DJ166" s="1167"/>
      <c r="DK166" s="1167"/>
      <c r="DL166" s="1167"/>
      <c r="DM166" s="1167"/>
      <c r="DN166" s="1167"/>
      <c r="DO166" s="1555"/>
      <c r="DP166" s="858" t="e">
        <f t="shared" si="425"/>
        <v>#REF!</v>
      </c>
      <c r="DQ166" s="858" t="e">
        <f t="shared" si="425"/>
        <v>#REF!</v>
      </c>
      <c r="DR166" s="858" t="e">
        <f t="shared" si="425"/>
        <v>#REF!</v>
      </c>
      <c r="DS166" s="859" t="e">
        <f t="shared" si="425"/>
        <v>#REF!</v>
      </c>
      <c r="DT166" s="1167"/>
      <c r="DU166" s="1167"/>
      <c r="DV166" s="1167"/>
      <c r="DW166" s="1167"/>
      <c r="DX166" s="1167"/>
      <c r="DY166" s="1167"/>
      <c r="DZ166" s="93"/>
      <c r="EA166" s="93"/>
      <c r="EB166" s="93"/>
      <c r="EC166" s="93"/>
      <c r="ED166" s="93"/>
      <c r="EE166" s="93"/>
      <c r="EF166" s="93"/>
      <c r="EG166" s="1571"/>
      <c r="EH166" s="1185" t="s">
        <v>217</v>
      </c>
      <c r="EI166" s="1168" t="e">
        <f t="shared" si="396"/>
        <v>#REF!</v>
      </c>
      <c r="EJ166" s="1168" t="e">
        <f t="shared" si="397"/>
        <v>#REF!</v>
      </c>
      <c r="EK166" s="1168" t="e">
        <f t="shared" si="398"/>
        <v>#REF!</v>
      </c>
      <c r="EL166" s="1168" t="e">
        <f t="shared" si="399"/>
        <v>#REF!</v>
      </c>
      <c r="EM166" s="1168" t="e">
        <f t="shared" si="400"/>
        <v>#REF!</v>
      </c>
      <c r="EN166" s="1168" t="e">
        <f t="shared" si="401"/>
        <v>#REF!</v>
      </c>
      <c r="EO166" s="1168" t="e">
        <f t="shared" si="402"/>
        <v>#REF!</v>
      </c>
      <c r="EP166" s="1168" t="e">
        <f t="shared" si="403"/>
        <v>#REF!</v>
      </c>
      <c r="EQ166" s="1168" t="e">
        <f t="shared" si="404"/>
        <v>#REF!</v>
      </c>
      <c r="ER166" s="1168" t="e">
        <f t="shared" si="405"/>
        <v>#REF!</v>
      </c>
      <c r="ES166" s="1168" t="e">
        <f t="shared" si="406"/>
        <v>#REF!</v>
      </c>
      <c r="ET166" s="1168" t="e">
        <f t="shared" si="407"/>
        <v>#REF!</v>
      </c>
      <c r="EU166" s="1168" t="e">
        <f t="shared" si="408"/>
        <v>#REF!</v>
      </c>
      <c r="EV166" s="1168" t="e">
        <f t="shared" si="409"/>
        <v>#REF!</v>
      </c>
      <c r="EW166" s="1168" t="e">
        <f t="shared" si="410"/>
        <v>#REF!</v>
      </c>
      <c r="EX166" s="1168" t="e">
        <f t="shared" si="411"/>
        <v>#REF!</v>
      </c>
      <c r="EY166" s="1168" t="e">
        <f t="shared" si="412"/>
        <v>#REF!</v>
      </c>
      <c r="EZ166" s="1168" t="e">
        <f t="shared" si="413"/>
        <v>#REF!</v>
      </c>
      <c r="FA166" s="1168" t="e">
        <f t="shared" si="414"/>
        <v>#REF!</v>
      </c>
      <c r="FB166" s="1168" t="e">
        <f t="shared" si="415"/>
        <v>#REF!</v>
      </c>
      <c r="FC166" s="1168"/>
      <c r="FD166" s="1168"/>
      <c r="FE166" s="1168"/>
      <c r="FF166" s="1168"/>
      <c r="FG166" s="1168"/>
      <c r="FH166" s="1168"/>
      <c r="FI166" s="1168"/>
      <c r="FJ166" s="1168"/>
      <c r="FK166" s="1168"/>
      <c r="FL166" s="1168"/>
      <c r="FM166" s="1168"/>
      <c r="FN166" s="1168"/>
      <c r="FO166" s="1168"/>
      <c r="FP166" s="1168"/>
      <c r="FQ166" s="1168"/>
      <c r="FR166" s="1168"/>
      <c r="FS166" s="1168"/>
      <c r="FT166" s="1168"/>
      <c r="FU166" s="1168"/>
      <c r="FV166" s="1168"/>
      <c r="FW166" s="1168"/>
      <c r="FX166" s="1182"/>
      <c r="FY166" s="1183"/>
      <c r="FZ166" s="1184" t="e">
        <f t="shared" si="416"/>
        <v>#REF!</v>
      </c>
      <c r="GA166" s="1573"/>
      <c r="GB166" s="1177" t="e">
        <f t="shared" si="417"/>
        <v>#REF!</v>
      </c>
      <c r="GC166" s="1573"/>
      <c r="GD166" s="1177" t="e">
        <f t="shared" si="418"/>
        <v>#REF!</v>
      </c>
      <c r="GE166" s="1573"/>
      <c r="GF166" s="1177" t="e">
        <f t="shared" si="419"/>
        <v>#REF!</v>
      </c>
      <c r="GG166" s="1573"/>
      <c r="GH166" s="1560"/>
      <c r="GI166" s="93"/>
      <c r="GJ166" s="1571"/>
      <c r="GK166" s="1568"/>
      <c r="GL166" s="93"/>
      <c r="GM166" s="93"/>
      <c r="GN166" s="93"/>
      <c r="GO166" s="93"/>
      <c r="GP166" s="93"/>
      <c r="GQ166" s="93"/>
      <c r="GR166" s="93"/>
      <c r="GS166" s="93"/>
    </row>
    <row r="167" spans="1:201" ht="15" thickBot="1">
      <c r="A167" s="1571">
        <v>3</v>
      </c>
      <c r="B167" s="601" t="s">
        <v>218</v>
      </c>
      <c r="C167" s="661" t="e">
        <f t="shared" si="351"/>
        <v>#REF!</v>
      </c>
      <c r="D167" s="661" t="e">
        <f t="shared" si="352"/>
        <v>#REF!</v>
      </c>
      <c r="E167" s="661" t="e">
        <f t="shared" si="353"/>
        <v>#REF!</v>
      </c>
      <c r="F167" s="661" t="e">
        <f t="shared" si="354"/>
        <v>#REF!</v>
      </c>
      <c r="G167" s="661" t="e">
        <f t="shared" si="355"/>
        <v>#REF!</v>
      </c>
      <c r="H167" s="661" t="e">
        <f t="shared" si="356"/>
        <v>#REF!</v>
      </c>
      <c r="I167" s="661" t="e">
        <f t="shared" si="357"/>
        <v>#REF!</v>
      </c>
      <c r="J167" s="661" t="e">
        <f t="shared" si="358"/>
        <v>#REF!</v>
      </c>
      <c r="K167" s="661">
        <f t="shared" si="359"/>
        <v>2378886.2610185342</v>
      </c>
      <c r="L167" s="661">
        <f t="shared" si="360"/>
        <v>2410813.418732204</v>
      </c>
      <c r="M167" s="661">
        <f t="shared" si="361"/>
        <v>2442740.5764458738</v>
      </c>
      <c r="N167" s="661">
        <f t="shared" si="362"/>
        <v>2474667.7341595436</v>
      </c>
      <c r="O167" s="661">
        <f t="shared" si="363"/>
        <v>2506594.8918732135</v>
      </c>
      <c r="P167" s="661">
        <f t="shared" si="364"/>
        <v>2538522.0495868828</v>
      </c>
      <c r="Q167" s="661">
        <f t="shared" si="365"/>
        <v>2570449.2073005526</v>
      </c>
      <c r="R167" s="661">
        <f t="shared" si="366"/>
        <v>2602376.3650142225</v>
      </c>
      <c r="S167" s="661">
        <f t="shared" si="367"/>
        <v>2633677.500027624</v>
      </c>
      <c r="T167" s="661">
        <f t="shared" si="368"/>
        <v>2664978.6350410264</v>
      </c>
      <c r="U167" s="661">
        <f t="shared" si="369"/>
        <v>2696279.7700544274</v>
      </c>
      <c r="V167" s="661">
        <f t="shared" si="370"/>
        <v>2727580.9050678299</v>
      </c>
      <c r="W167" s="661"/>
      <c r="X167" s="661"/>
      <c r="Y167" s="661"/>
      <c r="Z167" s="661"/>
      <c r="AA167" s="661"/>
      <c r="AB167" s="661"/>
      <c r="AC167" s="661"/>
      <c r="AD167" s="661"/>
      <c r="AE167" s="661"/>
      <c r="AF167" s="661"/>
      <c r="AG167" s="661"/>
      <c r="AH167" s="661"/>
      <c r="AI167" s="661"/>
      <c r="AJ167" s="661"/>
      <c r="AK167" s="661"/>
      <c r="AL167" s="661"/>
      <c r="AM167" s="661"/>
      <c r="AN167" s="661"/>
      <c r="AO167" s="661"/>
      <c r="AP167" s="661"/>
      <c r="AQ167" s="1553"/>
      <c r="AR167" s="1552"/>
      <c r="AS167" s="858">
        <f t="shared" si="372"/>
        <v>9707107.9903561566</v>
      </c>
      <c r="AT167" s="858">
        <f t="shared" si="373"/>
        <v>10217942.513774872</v>
      </c>
      <c r="AU167" s="858">
        <f t="shared" si="374"/>
        <v>10722516.810190907</v>
      </c>
      <c r="AV167" s="1167"/>
      <c r="AW167" s="1167"/>
      <c r="AX167" s="1167"/>
      <c r="AY167" s="1167"/>
      <c r="AZ167" s="1167"/>
      <c r="BA167" s="1167"/>
      <c r="BB167" s="1167"/>
      <c r="BC167" s="1167"/>
      <c r="BD167" s="1167"/>
      <c r="BE167" s="1167"/>
      <c r="BF167" s="1167"/>
      <c r="BG167" s="93"/>
      <c r="BH167" s="93"/>
      <c r="BI167" s="93"/>
      <c r="BJ167" s="93"/>
      <c r="BK167" s="93"/>
      <c r="BL167" s="93"/>
      <c r="BM167" s="93"/>
      <c r="BN167" s="93"/>
      <c r="BO167" s="1571">
        <v>3</v>
      </c>
      <c r="BP167" s="601" t="s">
        <v>218</v>
      </c>
      <c r="BQ167" s="1168" t="e">
        <f t="shared" si="375"/>
        <v>#REF!</v>
      </c>
      <c r="BR167" s="1168" t="e">
        <f t="shared" si="376"/>
        <v>#REF!</v>
      </c>
      <c r="BS167" s="1168" t="e">
        <f t="shared" si="377"/>
        <v>#REF!</v>
      </c>
      <c r="BT167" s="1168" t="e">
        <f t="shared" si="378"/>
        <v>#REF!</v>
      </c>
      <c r="BU167" s="1168" t="e">
        <f t="shared" si="379"/>
        <v>#REF!</v>
      </c>
      <c r="BV167" s="1168" t="e">
        <f t="shared" si="380"/>
        <v>#REF!</v>
      </c>
      <c r="BW167" s="1168" t="e">
        <f t="shared" si="381"/>
        <v>#REF!</v>
      </c>
      <c r="BX167" s="1168" t="e">
        <f t="shared" si="382"/>
        <v>#REF!</v>
      </c>
      <c r="BY167" s="1168">
        <f t="shared" si="383"/>
        <v>1743816.1395031326</v>
      </c>
      <c r="BZ167" s="1168">
        <f t="shared" si="384"/>
        <v>1743816.1395031326</v>
      </c>
      <c r="CA167" s="1168">
        <f t="shared" si="385"/>
        <v>1743816.1395031326</v>
      </c>
      <c r="CB167" s="1168">
        <f t="shared" si="386"/>
        <v>1743816.1395031326</v>
      </c>
      <c r="CC167" s="1168">
        <f t="shared" si="387"/>
        <v>1743816.1395031326</v>
      </c>
      <c r="CD167" s="1168">
        <f t="shared" si="388"/>
        <v>1743816.1395031326</v>
      </c>
      <c r="CE167" s="1168">
        <f t="shared" si="389"/>
        <v>1743816.1395031326</v>
      </c>
      <c r="CF167" s="1168">
        <f t="shared" si="390"/>
        <v>1743816.1395031326</v>
      </c>
      <c r="CG167" s="1168">
        <f t="shared" si="391"/>
        <v>1743816.1395031326</v>
      </c>
      <c r="CH167" s="1168">
        <f t="shared" si="392"/>
        <v>1743816.1395031326</v>
      </c>
      <c r="CI167" s="1168">
        <f t="shared" si="393"/>
        <v>1743816.1395031326</v>
      </c>
      <c r="CJ167" s="1168">
        <f t="shared" si="394"/>
        <v>1743816.1395031326</v>
      </c>
      <c r="CK167" s="1168"/>
      <c r="CL167" s="1168"/>
      <c r="CM167" s="1168"/>
      <c r="CN167" s="1168"/>
      <c r="CO167" s="1168"/>
      <c r="CP167" s="1168"/>
      <c r="CQ167" s="1168"/>
      <c r="CR167" s="1168"/>
      <c r="CS167" s="1168"/>
      <c r="CT167" s="1168"/>
      <c r="CU167" s="1168"/>
      <c r="CV167" s="1168"/>
      <c r="CW167" s="1168"/>
      <c r="CX167" s="1168"/>
      <c r="CY167" s="1168"/>
      <c r="CZ167" s="1168"/>
      <c r="DA167" s="1168"/>
      <c r="DB167" s="1168"/>
      <c r="DC167" s="1168"/>
      <c r="DD167" s="1168"/>
      <c r="DE167" s="1555"/>
      <c r="DF167" s="1552"/>
      <c r="DG167" s="858">
        <f t="shared" si="422"/>
        <v>6975264.5580125302</v>
      </c>
      <c r="DH167" s="858">
        <f t="shared" si="423"/>
        <v>6975264.5580125302</v>
      </c>
      <c r="DI167" s="859">
        <f t="shared" si="424"/>
        <v>6975264.5580125302</v>
      </c>
      <c r="DJ167" s="1167"/>
      <c r="DK167" s="1167"/>
      <c r="DL167" s="1167"/>
      <c r="DM167" s="1167"/>
      <c r="DN167" s="1167"/>
      <c r="DO167" s="1555"/>
      <c r="DP167" s="1552"/>
      <c r="DQ167" s="858">
        <f t="shared" ref="DQ167:DS170" si="426">AS167-DG167</f>
        <v>2731843.4323436264</v>
      </c>
      <c r="DR167" s="858">
        <f t="shared" si="426"/>
        <v>3242677.9557623416</v>
      </c>
      <c r="DS167" s="859">
        <f t="shared" si="426"/>
        <v>3747252.2521783765</v>
      </c>
      <c r="DT167" s="1167"/>
      <c r="DU167" s="1167"/>
      <c r="DV167" s="1167"/>
      <c r="DW167" s="1167"/>
      <c r="DX167" s="1167"/>
      <c r="DY167" s="1167"/>
      <c r="DZ167" s="93"/>
      <c r="EA167" s="93"/>
      <c r="EB167" s="93"/>
      <c r="EC167" s="93"/>
      <c r="ED167" s="93"/>
      <c r="EE167" s="93"/>
      <c r="EF167" s="93"/>
      <c r="EG167" s="1571">
        <v>3</v>
      </c>
      <c r="EH167" s="1185" t="s">
        <v>218</v>
      </c>
      <c r="EI167" s="1168" t="e">
        <f t="shared" si="396"/>
        <v>#REF!</v>
      </c>
      <c r="EJ167" s="1168" t="e">
        <f t="shared" si="397"/>
        <v>#REF!</v>
      </c>
      <c r="EK167" s="1168" t="e">
        <f t="shared" si="398"/>
        <v>#REF!</v>
      </c>
      <c r="EL167" s="1168" t="e">
        <f t="shared" si="399"/>
        <v>#REF!</v>
      </c>
      <c r="EM167" s="1168" t="e">
        <f t="shared" si="400"/>
        <v>#REF!</v>
      </c>
      <c r="EN167" s="1168" t="e">
        <f t="shared" si="401"/>
        <v>#REF!</v>
      </c>
      <c r="EO167" s="1168" t="e">
        <f t="shared" si="402"/>
        <v>#REF!</v>
      </c>
      <c r="EP167" s="1168" t="e">
        <f t="shared" si="403"/>
        <v>#REF!</v>
      </c>
      <c r="EQ167" s="1168">
        <f t="shared" si="404"/>
        <v>635070.12151540164</v>
      </c>
      <c r="ER167" s="1168">
        <f t="shared" si="405"/>
        <v>666997.27922907146</v>
      </c>
      <c r="ES167" s="1168">
        <f t="shared" si="406"/>
        <v>698924.43694274127</v>
      </c>
      <c r="ET167" s="1168">
        <f t="shared" si="407"/>
        <v>730851.59465641109</v>
      </c>
      <c r="EU167" s="1168">
        <f t="shared" si="408"/>
        <v>762778.75237008091</v>
      </c>
      <c r="EV167" s="1168">
        <f t="shared" si="409"/>
        <v>794705.91008375026</v>
      </c>
      <c r="EW167" s="1168">
        <f t="shared" si="410"/>
        <v>826633.06779742008</v>
      </c>
      <c r="EX167" s="1168">
        <f t="shared" si="411"/>
        <v>858560.2255110899</v>
      </c>
      <c r="EY167" s="1168">
        <f t="shared" si="412"/>
        <v>889861.36052449141</v>
      </c>
      <c r="EZ167" s="1168">
        <f t="shared" si="413"/>
        <v>921162.49553789385</v>
      </c>
      <c r="FA167" s="1168">
        <f t="shared" si="414"/>
        <v>952463.63055129489</v>
      </c>
      <c r="FB167" s="1168">
        <f t="shared" si="415"/>
        <v>983764.76556469733</v>
      </c>
      <c r="FC167" s="1168"/>
      <c r="FD167" s="1168"/>
      <c r="FE167" s="1168"/>
      <c r="FF167" s="1168"/>
      <c r="FG167" s="1168"/>
      <c r="FH167" s="1168"/>
      <c r="FI167" s="1168"/>
      <c r="FJ167" s="1168"/>
      <c r="FK167" s="1168"/>
      <c r="FL167" s="1168"/>
      <c r="FM167" s="1168"/>
      <c r="FN167" s="1168"/>
      <c r="FO167" s="1168"/>
      <c r="FP167" s="1168"/>
      <c r="FQ167" s="1168"/>
      <c r="FR167" s="1168"/>
      <c r="FS167" s="1168"/>
      <c r="FT167" s="1168"/>
      <c r="FU167" s="1168"/>
      <c r="FV167" s="1168"/>
      <c r="FW167" s="1168"/>
      <c r="FX167" s="1182"/>
      <c r="FY167" s="1183"/>
      <c r="FZ167" s="93"/>
      <c r="GA167" s="93"/>
      <c r="GB167" s="1177">
        <f t="shared" si="417"/>
        <v>682960.85808590637</v>
      </c>
      <c r="GC167" s="1573" t="e">
        <f>SUM(GB167:GB170)</f>
        <v>#REF!</v>
      </c>
      <c r="GD167" s="1177">
        <f t="shared" si="418"/>
        <v>810669.48894058529</v>
      </c>
      <c r="GE167" s="1573" t="e">
        <f>SUM(GD167:GD170)</f>
        <v>#REF!</v>
      </c>
      <c r="GF167" s="1177">
        <f t="shared" si="419"/>
        <v>936813.06304459437</v>
      </c>
      <c r="GG167" s="1573" t="e">
        <f>SUM(GF167:GF170)</f>
        <v>#REF!</v>
      </c>
      <c r="GH167" s="1558" t="e">
        <f>GG167+GE167+GC167</f>
        <v>#REF!</v>
      </c>
      <c r="GI167" s="93"/>
      <c r="GJ167" s="1571">
        <v>3</v>
      </c>
      <c r="GK167" s="1568" t="e">
        <f>SUM(EK167:FB170)</f>
        <v>#REF!</v>
      </c>
      <c r="GL167" s="93"/>
      <c r="GM167" s="93"/>
      <c r="GN167" s="93"/>
      <c r="GO167" s="93"/>
      <c r="GP167" s="93"/>
      <c r="GQ167" s="93"/>
      <c r="GR167" s="93"/>
      <c r="GS167" s="93"/>
    </row>
    <row r="168" spans="1:201" ht="15" thickBot="1">
      <c r="A168" s="1571"/>
      <c r="B168" s="601" t="s">
        <v>219</v>
      </c>
      <c r="C168" s="661" t="e">
        <f t="shared" si="351"/>
        <v>#REF!</v>
      </c>
      <c r="D168" s="661" t="e">
        <f t="shared" si="352"/>
        <v>#REF!</v>
      </c>
      <c r="E168" s="661" t="e">
        <f t="shared" si="353"/>
        <v>#REF!</v>
      </c>
      <c r="F168" s="661" t="e">
        <f t="shared" si="354"/>
        <v>#REF!</v>
      </c>
      <c r="G168" s="661" t="e">
        <f t="shared" si="355"/>
        <v>#REF!</v>
      </c>
      <c r="H168" s="661" t="e">
        <f t="shared" si="356"/>
        <v>#REF!</v>
      </c>
      <c r="I168" s="661" t="e">
        <f t="shared" si="357"/>
        <v>#REF!</v>
      </c>
      <c r="J168" s="661" t="e">
        <f t="shared" si="358"/>
        <v>#REF!</v>
      </c>
      <c r="K168" s="661" t="e">
        <f t="shared" si="359"/>
        <v>#REF!</v>
      </c>
      <c r="L168" s="661" t="e">
        <f t="shared" si="360"/>
        <v>#REF!</v>
      </c>
      <c r="M168" s="661" t="e">
        <f t="shared" si="361"/>
        <v>#REF!</v>
      </c>
      <c r="N168" s="661" t="e">
        <f t="shared" si="362"/>
        <v>#REF!</v>
      </c>
      <c r="O168" s="661" t="e">
        <f t="shared" si="363"/>
        <v>#REF!</v>
      </c>
      <c r="P168" s="661" t="e">
        <f t="shared" si="364"/>
        <v>#REF!</v>
      </c>
      <c r="Q168" s="661" t="e">
        <f t="shared" si="365"/>
        <v>#REF!</v>
      </c>
      <c r="R168" s="661" t="e">
        <f t="shared" si="366"/>
        <v>#REF!</v>
      </c>
      <c r="S168" s="661" t="e">
        <f t="shared" si="367"/>
        <v>#REF!</v>
      </c>
      <c r="T168" s="661" t="e">
        <f t="shared" si="368"/>
        <v>#REF!</v>
      </c>
      <c r="U168" s="661" t="e">
        <f t="shared" si="369"/>
        <v>#REF!</v>
      </c>
      <c r="V168" s="661" t="e">
        <f t="shared" si="370"/>
        <v>#REF!</v>
      </c>
      <c r="W168" s="661"/>
      <c r="X168" s="661"/>
      <c r="Y168" s="661"/>
      <c r="Z168" s="661"/>
      <c r="AA168" s="661"/>
      <c r="AB168" s="661"/>
      <c r="AC168" s="661"/>
      <c r="AD168" s="661"/>
      <c r="AE168" s="661"/>
      <c r="AF168" s="661"/>
      <c r="AG168" s="661"/>
      <c r="AH168" s="661"/>
      <c r="AI168" s="661"/>
      <c r="AJ168" s="661"/>
      <c r="AK168" s="661"/>
      <c r="AL168" s="661"/>
      <c r="AM168" s="661"/>
      <c r="AN168" s="661"/>
      <c r="AO168" s="661"/>
      <c r="AP168" s="661"/>
      <c r="AQ168" s="1553"/>
      <c r="AR168" s="1553"/>
      <c r="AS168" s="858" t="e">
        <f t="shared" si="372"/>
        <v>#REF!</v>
      </c>
      <c r="AT168" s="858" t="e">
        <f t="shared" si="373"/>
        <v>#REF!</v>
      </c>
      <c r="AU168" s="858" t="e">
        <f t="shared" si="374"/>
        <v>#REF!</v>
      </c>
      <c r="AV168" s="1167"/>
      <c r="AW168" s="1167"/>
      <c r="AX168" s="1167"/>
      <c r="AY168" s="1167"/>
      <c r="AZ168" s="1167"/>
      <c r="BA168" s="1167"/>
      <c r="BB168" s="1167"/>
      <c r="BC168" s="1167"/>
      <c r="BD168" s="1167"/>
      <c r="BE168" s="1167"/>
      <c r="BF168" s="1167"/>
      <c r="BG168" s="93"/>
      <c r="BH168" s="93"/>
      <c r="BI168" s="93"/>
      <c r="BJ168" s="93"/>
      <c r="BK168" s="93"/>
      <c r="BL168" s="93"/>
      <c r="BM168" s="93"/>
      <c r="BN168" s="93"/>
      <c r="BO168" s="1571"/>
      <c r="BP168" s="601" t="s">
        <v>219</v>
      </c>
      <c r="BQ168" s="1168" t="e">
        <f t="shared" si="375"/>
        <v>#REF!</v>
      </c>
      <c r="BR168" s="1168" t="e">
        <f t="shared" si="376"/>
        <v>#REF!</v>
      </c>
      <c r="BS168" s="1168" t="e">
        <f t="shared" si="377"/>
        <v>#REF!</v>
      </c>
      <c r="BT168" s="1168" t="e">
        <f t="shared" si="378"/>
        <v>#REF!</v>
      </c>
      <c r="BU168" s="1168" t="e">
        <f t="shared" si="379"/>
        <v>#REF!</v>
      </c>
      <c r="BV168" s="1168" t="e">
        <f t="shared" si="380"/>
        <v>#REF!</v>
      </c>
      <c r="BW168" s="1168" t="e">
        <f t="shared" si="381"/>
        <v>#REF!</v>
      </c>
      <c r="BX168" s="1168" t="e">
        <f t="shared" si="382"/>
        <v>#REF!</v>
      </c>
      <c r="BY168" s="1168" t="e">
        <f t="shared" si="383"/>
        <v>#REF!</v>
      </c>
      <c r="BZ168" s="1168" t="e">
        <f t="shared" si="384"/>
        <v>#REF!</v>
      </c>
      <c r="CA168" s="1168" t="e">
        <f t="shared" si="385"/>
        <v>#REF!</v>
      </c>
      <c r="CB168" s="1168" t="e">
        <f t="shared" si="386"/>
        <v>#REF!</v>
      </c>
      <c r="CC168" s="1168" t="e">
        <f t="shared" si="387"/>
        <v>#REF!</v>
      </c>
      <c r="CD168" s="1168" t="e">
        <f t="shared" si="388"/>
        <v>#REF!</v>
      </c>
      <c r="CE168" s="1168" t="e">
        <f t="shared" si="389"/>
        <v>#REF!</v>
      </c>
      <c r="CF168" s="1168" t="e">
        <f t="shared" si="390"/>
        <v>#REF!</v>
      </c>
      <c r="CG168" s="1168" t="e">
        <f t="shared" si="391"/>
        <v>#REF!</v>
      </c>
      <c r="CH168" s="1168" t="e">
        <f t="shared" si="392"/>
        <v>#REF!</v>
      </c>
      <c r="CI168" s="1168" t="e">
        <f t="shared" si="393"/>
        <v>#REF!</v>
      </c>
      <c r="CJ168" s="1168" t="e">
        <f t="shared" si="394"/>
        <v>#REF!</v>
      </c>
      <c r="CK168" s="1168"/>
      <c r="CL168" s="1168"/>
      <c r="CM168" s="1168"/>
      <c r="CN168" s="1168"/>
      <c r="CO168" s="1168"/>
      <c r="CP168" s="1168"/>
      <c r="CQ168" s="1168"/>
      <c r="CR168" s="1168"/>
      <c r="CS168" s="1168"/>
      <c r="CT168" s="1168"/>
      <c r="CU168" s="1168"/>
      <c r="CV168" s="1168"/>
      <c r="CW168" s="1168"/>
      <c r="CX168" s="1168"/>
      <c r="CY168" s="1168"/>
      <c r="CZ168" s="1168"/>
      <c r="DA168" s="1168"/>
      <c r="DB168" s="1168"/>
      <c r="DC168" s="1168"/>
      <c r="DD168" s="1168"/>
      <c r="DE168" s="1555"/>
      <c r="DF168" s="1553"/>
      <c r="DG168" s="858" t="e">
        <f t="shared" si="422"/>
        <v>#REF!</v>
      </c>
      <c r="DH168" s="858" t="e">
        <f t="shared" si="423"/>
        <v>#REF!</v>
      </c>
      <c r="DI168" s="859" t="e">
        <f t="shared" si="424"/>
        <v>#REF!</v>
      </c>
      <c r="DJ168" s="1167"/>
      <c r="DK168" s="1167"/>
      <c r="DL168" s="1167"/>
      <c r="DM168" s="1167"/>
      <c r="DN168" s="1167"/>
      <c r="DO168" s="1555"/>
      <c r="DP168" s="1553"/>
      <c r="DQ168" s="858" t="e">
        <f t="shared" si="426"/>
        <v>#REF!</v>
      </c>
      <c r="DR168" s="858" t="e">
        <f t="shared" si="426"/>
        <v>#REF!</v>
      </c>
      <c r="DS168" s="859" t="e">
        <f t="shared" si="426"/>
        <v>#REF!</v>
      </c>
      <c r="DT168" s="1167"/>
      <c r="DU168" s="1167"/>
      <c r="DV168" s="1167"/>
      <c r="DW168" s="1167"/>
      <c r="DX168" s="1167"/>
      <c r="DY168" s="1167"/>
      <c r="DZ168" s="93"/>
      <c r="EA168" s="93"/>
      <c r="EB168" s="93"/>
      <c r="EC168" s="93"/>
      <c r="ED168" s="93"/>
      <c r="EE168" s="93"/>
      <c r="EF168" s="93"/>
      <c r="EG168" s="1571"/>
      <c r="EH168" s="1185" t="s">
        <v>219</v>
      </c>
      <c r="EI168" s="1168" t="e">
        <f t="shared" si="396"/>
        <v>#REF!</v>
      </c>
      <c r="EJ168" s="1168" t="e">
        <f t="shared" si="397"/>
        <v>#REF!</v>
      </c>
      <c r="EK168" s="1168" t="e">
        <f t="shared" si="398"/>
        <v>#REF!</v>
      </c>
      <c r="EL168" s="1168" t="e">
        <f t="shared" si="399"/>
        <v>#REF!</v>
      </c>
      <c r="EM168" s="1168" t="e">
        <f t="shared" si="400"/>
        <v>#REF!</v>
      </c>
      <c r="EN168" s="1168" t="e">
        <f t="shared" si="401"/>
        <v>#REF!</v>
      </c>
      <c r="EO168" s="1168" t="e">
        <f t="shared" si="402"/>
        <v>#REF!</v>
      </c>
      <c r="EP168" s="1168" t="e">
        <f t="shared" si="403"/>
        <v>#REF!</v>
      </c>
      <c r="EQ168" s="1168" t="e">
        <f t="shared" si="404"/>
        <v>#REF!</v>
      </c>
      <c r="ER168" s="1168" t="e">
        <f t="shared" si="405"/>
        <v>#REF!</v>
      </c>
      <c r="ES168" s="1168" t="e">
        <f t="shared" si="406"/>
        <v>#REF!</v>
      </c>
      <c r="ET168" s="1168" t="e">
        <f t="shared" si="407"/>
        <v>#REF!</v>
      </c>
      <c r="EU168" s="1168" t="e">
        <f t="shared" si="408"/>
        <v>#REF!</v>
      </c>
      <c r="EV168" s="1168" t="e">
        <f t="shared" si="409"/>
        <v>#REF!</v>
      </c>
      <c r="EW168" s="1168" t="e">
        <f t="shared" si="410"/>
        <v>#REF!</v>
      </c>
      <c r="EX168" s="1168" t="e">
        <f t="shared" si="411"/>
        <v>#REF!</v>
      </c>
      <c r="EY168" s="1168" t="e">
        <f t="shared" si="412"/>
        <v>#REF!</v>
      </c>
      <c r="EZ168" s="1168" t="e">
        <f t="shared" si="413"/>
        <v>#REF!</v>
      </c>
      <c r="FA168" s="1168" t="e">
        <f t="shared" si="414"/>
        <v>#REF!</v>
      </c>
      <c r="FB168" s="1168" t="e">
        <f t="shared" si="415"/>
        <v>#REF!</v>
      </c>
      <c r="FC168" s="1168"/>
      <c r="FD168" s="1168"/>
      <c r="FE168" s="1168"/>
      <c r="FF168" s="1168"/>
      <c r="FG168" s="1168"/>
      <c r="FH168" s="1168"/>
      <c r="FI168" s="1168"/>
      <c r="FJ168" s="1168"/>
      <c r="FK168" s="1168"/>
      <c r="FL168" s="1168"/>
      <c r="FM168" s="1168"/>
      <c r="FN168" s="1168"/>
      <c r="FO168" s="1168"/>
      <c r="FP168" s="1168"/>
      <c r="FQ168" s="1168"/>
      <c r="FR168" s="1168"/>
      <c r="FS168" s="1168"/>
      <c r="FT168" s="1168"/>
      <c r="FU168" s="1168"/>
      <c r="FV168" s="1168"/>
      <c r="FW168" s="1168"/>
      <c r="FX168" s="1182"/>
      <c r="FY168" s="1183"/>
      <c r="FZ168" s="93"/>
      <c r="GA168" s="93"/>
      <c r="GB168" s="1177" t="e">
        <f t="shared" si="417"/>
        <v>#REF!</v>
      </c>
      <c r="GC168" s="1573"/>
      <c r="GD168" s="1177" t="e">
        <f t="shared" si="418"/>
        <v>#REF!</v>
      </c>
      <c r="GE168" s="1573"/>
      <c r="GF168" s="1177" t="e">
        <f t="shared" si="419"/>
        <v>#REF!</v>
      </c>
      <c r="GG168" s="1573"/>
      <c r="GH168" s="1559"/>
      <c r="GI168" s="93"/>
      <c r="GJ168" s="1571"/>
      <c r="GK168" s="1568"/>
      <c r="GL168" s="93"/>
      <c r="GM168" s="93"/>
      <c r="GN168" s="93"/>
      <c r="GO168" s="93"/>
      <c r="GP168" s="93"/>
      <c r="GQ168" s="93"/>
      <c r="GR168" s="93"/>
      <c r="GS168" s="93"/>
    </row>
    <row r="169" spans="1:201" ht="15" thickBot="1">
      <c r="A169" s="1571"/>
      <c r="B169" s="601" t="s">
        <v>220</v>
      </c>
      <c r="C169" s="661" t="e">
        <f t="shared" si="351"/>
        <v>#REF!</v>
      </c>
      <c r="D169" s="661" t="e">
        <f t="shared" si="352"/>
        <v>#REF!</v>
      </c>
      <c r="E169" s="661" t="e">
        <f t="shared" si="353"/>
        <v>#REF!</v>
      </c>
      <c r="F169" s="661" t="e">
        <f t="shared" si="354"/>
        <v>#REF!</v>
      </c>
      <c r="G169" s="661" t="e">
        <f t="shared" si="355"/>
        <v>#REF!</v>
      </c>
      <c r="H169" s="661" t="e">
        <f t="shared" si="356"/>
        <v>#REF!</v>
      </c>
      <c r="I169" s="661" t="e">
        <f t="shared" si="357"/>
        <v>#REF!</v>
      </c>
      <c r="J169" s="661" t="e">
        <f t="shared" si="358"/>
        <v>#REF!</v>
      </c>
      <c r="K169" s="661" t="e">
        <f t="shared" si="359"/>
        <v>#REF!</v>
      </c>
      <c r="L169" s="661" t="e">
        <f t="shared" si="360"/>
        <v>#REF!</v>
      </c>
      <c r="M169" s="661" t="e">
        <f t="shared" si="361"/>
        <v>#REF!</v>
      </c>
      <c r="N169" s="661" t="e">
        <f t="shared" si="362"/>
        <v>#REF!</v>
      </c>
      <c r="O169" s="661" t="e">
        <f t="shared" si="363"/>
        <v>#REF!</v>
      </c>
      <c r="P169" s="661" t="e">
        <f t="shared" si="364"/>
        <v>#REF!</v>
      </c>
      <c r="Q169" s="661" t="e">
        <f t="shared" si="365"/>
        <v>#REF!</v>
      </c>
      <c r="R169" s="661" t="e">
        <f t="shared" si="366"/>
        <v>#REF!</v>
      </c>
      <c r="S169" s="661" t="e">
        <f t="shared" si="367"/>
        <v>#REF!</v>
      </c>
      <c r="T169" s="661" t="e">
        <f t="shared" si="368"/>
        <v>#REF!</v>
      </c>
      <c r="U169" s="661" t="e">
        <f t="shared" si="369"/>
        <v>#REF!</v>
      </c>
      <c r="V169" s="661" t="e">
        <f t="shared" si="370"/>
        <v>#REF!</v>
      </c>
      <c r="W169" s="661"/>
      <c r="X169" s="661"/>
      <c r="Y169" s="661"/>
      <c r="Z169" s="661"/>
      <c r="AA169" s="661"/>
      <c r="AB169" s="661"/>
      <c r="AC169" s="661"/>
      <c r="AD169" s="661"/>
      <c r="AE169" s="661"/>
      <c r="AF169" s="661"/>
      <c r="AG169" s="661"/>
      <c r="AH169" s="661"/>
      <c r="AI169" s="661"/>
      <c r="AJ169" s="661"/>
      <c r="AK169" s="661"/>
      <c r="AL169" s="661"/>
      <c r="AM169" s="661"/>
      <c r="AN169" s="661"/>
      <c r="AO169" s="661"/>
      <c r="AP169" s="661"/>
      <c r="AQ169" s="1553"/>
      <c r="AR169" s="1553"/>
      <c r="AS169" s="858" t="e">
        <f t="shared" si="372"/>
        <v>#REF!</v>
      </c>
      <c r="AT169" s="858" t="e">
        <f t="shared" si="373"/>
        <v>#REF!</v>
      </c>
      <c r="AU169" s="858" t="e">
        <f t="shared" si="374"/>
        <v>#REF!</v>
      </c>
      <c r="AV169" s="1167"/>
      <c r="AW169" s="1167"/>
      <c r="AX169" s="1167"/>
      <c r="AY169" s="1167"/>
      <c r="AZ169" s="1167"/>
      <c r="BA169" s="1167"/>
      <c r="BB169" s="1167"/>
      <c r="BC169" s="1167"/>
      <c r="BD169" s="1167"/>
      <c r="BE169" s="1167"/>
      <c r="BF169" s="1167"/>
      <c r="BG169" s="93"/>
      <c r="BH169" s="93"/>
      <c r="BI169" s="93"/>
      <c r="BJ169" s="93"/>
      <c r="BK169" s="93"/>
      <c r="BL169" s="93"/>
      <c r="BM169" s="93"/>
      <c r="BN169" s="93"/>
      <c r="BO169" s="1571"/>
      <c r="BP169" s="601" t="s">
        <v>220</v>
      </c>
      <c r="BQ169" s="1168" t="e">
        <f t="shared" si="375"/>
        <v>#REF!</v>
      </c>
      <c r="BR169" s="1168" t="e">
        <f t="shared" si="376"/>
        <v>#REF!</v>
      </c>
      <c r="BS169" s="1168" t="e">
        <f t="shared" si="377"/>
        <v>#REF!</v>
      </c>
      <c r="BT169" s="1168" t="e">
        <f t="shared" si="378"/>
        <v>#REF!</v>
      </c>
      <c r="BU169" s="1168" t="e">
        <f t="shared" si="379"/>
        <v>#REF!</v>
      </c>
      <c r="BV169" s="1168" t="e">
        <f t="shared" si="380"/>
        <v>#REF!</v>
      </c>
      <c r="BW169" s="1168" t="e">
        <f t="shared" si="381"/>
        <v>#REF!</v>
      </c>
      <c r="BX169" s="1168" t="e">
        <f t="shared" si="382"/>
        <v>#REF!</v>
      </c>
      <c r="BY169" s="1168" t="e">
        <f t="shared" si="383"/>
        <v>#REF!</v>
      </c>
      <c r="BZ169" s="1168" t="e">
        <f t="shared" si="384"/>
        <v>#REF!</v>
      </c>
      <c r="CA169" s="1168" t="e">
        <f t="shared" si="385"/>
        <v>#REF!</v>
      </c>
      <c r="CB169" s="1168" t="e">
        <f t="shared" si="386"/>
        <v>#REF!</v>
      </c>
      <c r="CC169" s="1168" t="e">
        <f t="shared" si="387"/>
        <v>#REF!</v>
      </c>
      <c r="CD169" s="1168" t="e">
        <f t="shared" si="388"/>
        <v>#REF!</v>
      </c>
      <c r="CE169" s="1168" t="e">
        <f t="shared" si="389"/>
        <v>#REF!</v>
      </c>
      <c r="CF169" s="1168" t="e">
        <f t="shared" si="390"/>
        <v>#REF!</v>
      </c>
      <c r="CG169" s="1168" t="e">
        <f t="shared" si="391"/>
        <v>#REF!</v>
      </c>
      <c r="CH169" s="1168" t="e">
        <f t="shared" si="392"/>
        <v>#REF!</v>
      </c>
      <c r="CI169" s="1168" t="e">
        <f t="shared" si="393"/>
        <v>#REF!</v>
      </c>
      <c r="CJ169" s="1168" t="e">
        <f t="shared" si="394"/>
        <v>#REF!</v>
      </c>
      <c r="CK169" s="1168"/>
      <c r="CL169" s="1168"/>
      <c r="CM169" s="1168"/>
      <c r="CN169" s="1168"/>
      <c r="CO169" s="1168"/>
      <c r="CP169" s="1168"/>
      <c r="CQ169" s="1168"/>
      <c r="CR169" s="1168"/>
      <c r="CS169" s="1168"/>
      <c r="CT169" s="1168"/>
      <c r="CU169" s="1168"/>
      <c r="CV169" s="1168"/>
      <c r="CW169" s="1168"/>
      <c r="CX169" s="1168"/>
      <c r="CY169" s="1168"/>
      <c r="CZ169" s="1168"/>
      <c r="DA169" s="1168"/>
      <c r="DB169" s="1168"/>
      <c r="DC169" s="1168"/>
      <c r="DD169" s="1168"/>
      <c r="DE169" s="1555"/>
      <c r="DF169" s="1553"/>
      <c r="DG169" s="858" t="e">
        <f t="shared" si="422"/>
        <v>#REF!</v>
      </c>
      <c r="DH169" s="858" t="e">
        <f t="shared" si="423"/>
        <v>#REF!</v>
      </c>
      <c r="DI169" s="859" t="e">
        <f t="shared" si="424"/>
        <v>#REF!</v>
      </c>
      <c r="DJ169" s="1167"/>
      <c r="DK169" s="1167"/>
      <c r="DL169" s="1167"/>
      <c r="DM169" s="1167"/>
      <c r="DN169" s="1167"/>
      <c r="DO169" s="1555"/>
      <c r="DP169" s="1553"/>
      <c r="DQ169" s="858" t="e">
        <f t="shared" si="426"/>
        <v>#REF!</v>
      </c>
      <c r="DR169" s="858" t="e">
        <f t="shared" si="426"/>
        <v>#REF!</v>
      </c>
      <c r="DS169" s="859" t="e">
        <f t="shared" si="426"/>
        <v>#REF!</v>
      </c>
      <c r="DT169" s="1167"/>
      <c r="DU169" s="1167"/>
      <c r="DV169" s="1167"/>
      <c r="DW169" s="1167"/>
      <c r="DX169" s="1167"/>
      <c r="DY169" s="1167"/>
      <c r="DZ169" s="93"/>
      <c r="EA169" s="93"/>
      <c r="EB169" s="93"/>
      <c r="EC169" s="93"/>
      <c r="ED169" s="93"/>
      <c r="EE169" s="93"/>
      <c r="EF169" s="93"/>
      <c r="EG169" s="1571"/>
      <c r="EH169" s="1185" t="s">
        <v>220</v>
      </c>
      <c r="EI169" s="1168" t="e">
        <f t="shared" si="396"/>
        <v>#REF!</v>
      </c>
      <c r="EJ169" s="1168" t="e">
        <f t="shared" si="397"/>
        <v>#REF!</v>
      </c>
      <c r="EK169" s="1168" t="e">
        <f t="shared" si="398"/>
        <v>#REF!</v>
      </c>
      <c r="EL169" s="1168" t="e">
        <f t="shared" si="399"/>
        <v>#REF!</v>
      </c>
      <c r="EM169" s="1168" t="e">
        <f t="shared" si="400"/>
        <v>#REF!</v>
      </c>
      <c r="EN169" s="1168" t="e">
        <f t="shared" si="401"/>
        <v>#REF!</v>
      </c>
      <c r="EO169" s="1168" t="e">
        <f t="shared" si="402"/>
        <v>#REF!</v>
      </c>
      <c r="EP169" s="1168" t="e">
        <f t="shared" si="403"/>
        <v>#REF!</v>
      </c>
      <c r="EQ169" s="1168" t="e">
        <f t="shared" si="404"/>
        <v>#REF!</v>
      </c>
      <c r="ER169" s="1168" t="e">
        <f t="shared" si="405"/>
        <v>#REF!</v>
      </c>
      <c r="ES169" s="1168" t="e">
        <f t="shared" si="406"/>
        <v>#REF!</v>
      </c>
      <c r="ET169" s="1168" t="e">
        <f t="shared" si="407"/>
        <v>#REF!</v>
      </c>
      <c r="EU169" s="1168" t="e">
        <f t="shared" si="408"/>
        <v>#REF!</v>
      </c>
      <c r="EV169" s="1168" t="e">
        <f t="shared" si="409"/>
        <v>#REF!</v>
      </c>
      <c r="EW169" s="1168" t="e">
        <f t="shared" si="410"/>
        <v>#REF!</v>
      </c>
      <c r="EX169" s="1168" t="e">
        <f t="shared" si="411"/>
        <v>#REF!</v>
      </c>
      <c r="EY169" s="1168" t="e">
        <f t="shared" si="412"/>
        <v>#REF!</v>
      </c>
      <c r="EZ169" s="1168" t="e">
        <f t="shared" si="413"/>
        <v>#REF!</v>
      </c>
      <c r="FA169" s="1168" t="e">
        <f t="shared" si="414"/>
        <v>#REF!</v>
      </c>
      <c r="FB169" s="1168" t="e">
        <f t="shared" si="415"/>
        <v>#REF!</v>
      </c>
      <c r="FC169" s="1168"/>
      <c r="FD169" s="1168"/>
      <c r="FE169" s="1168"/>
      <c r="FF169" s="1168"/>
      <c r="FG169" s="1168"/>
      <c r="FH169" s="1168"/>
      <c r="FI169" s="1168"/>
      <c r="FJ169" s="1168"/>
      <c r="FK169" s="1168"/>
      <c r="FL169" s="1168"/>
      <c r="FM169" s="1168"/>
      <c r="FN169" s="1168"/>
      <c r="FO169" s="1168"/>
      <c r="FP169" s="1168"/>
      <c r="FQ169" s="1168"/>
      <c r="FR169" s="1168"/>
      <c r="FS169" s="1168"/>
      <c r="FT169" s="1168"/>
      <c r="FU169" s="1168"/>
      <c r="FV169" s="1168"/>
      <c r="FW169" s="1168"/>
      <c r="FX169" s="1182"/>
      <c r="FY169" s="1183"/>
      <c r="FZ169" s="93"/>
      <c r="GA169" s="93"/>
      <c r="GB169" s="1177" t="e">
        <f t="shared" si="417"/>
        <v>#REF!</v>
      </c>
      <c r="GC169" s="1573"/>
      <c r="GD169" s="1177" t="e">
        <f t="shared" si="418"/>
        <v>#REF!</v>
      </c>
      <c r="GE169" s="1573"/>
      <c r="GF169" s="1177" t="e">
        <f t="shared" si="419"/>
        <v>#REF!</v>
      </c>
      <c r="GG169" s="1573"/>
      <c r="GH169" s="1559"/>
      <c r="GI169" s="93"/>
      <c r="GJ169" s="1571"/>
      <c r="GK169" s="1568"/>
      <c r="GL169" s="93"/>
      <c r="GM169" s="93"/>
      <c r="GN169" s="93"/>
      <c r="GO169" s="93"/>
      <c r="GP169" s="93"/>
      <c r="GQ169" s="93"/>
      <c r="GR169" s="93"/>
      <c r="GS169" s="93"/>
    </row>
    <row r="170" spans="1:201" ht="15" thickBot="1">
      <c r="A170" s="1571"/>
      <c r="B170" s="601" t="s">
        <v>221</v>
      </c>
      <c r="C170" s="661" t="e">
        <f t="shared" si="351"/>
        <v>#REF!</v>
      </c>
      <c r="D170" s="661" t="e">
        <f t="shared" si="352"/>
        <v>#REF!</v>
      </c>
      <c r="E170" s="661" t="e">
        <f t="shared" si="353"/>
        <v>#REF!</v>
      </c>
      <c r="F170" s="661" t="e">
        <f t="shared" si="354"/>
        <v>#REF!</v>
      </c>
      <c r="G170" s="661" t="e">
        <f t="shared" si="355"/>
        <v>#REF!</v>
      </c>
      <c r="H170" s="661" t="e">
        <f t="shared" si="356"/>
        <v>#REF!</v>
      </c>
      <c r="I170" s="661" t="e">
        <f t="shared" si="357"/>
        <v>#REF!</v>
      </c>
      <c r="J170" s="661" t="e">
        <f t="shared" si="358"/>
        <v>#REF!</v>
      </c>
      <c r="K170" s="661" t="e">
        <f t="shared" si="359"/>
        <v>#REF!</v>
      </c>
      <c r="L170" s="661" t="e">
        <f t="shared" si="360"/>
        <v>#REF!</v>
      </c>
      <c r="M170" s="661" t="e">
        <f t="shared" si="361"/>
        <v>#REF!</v>
      </c>
      <c r="N170" s="661" t="e">
        <f t="shared" si="362"/>
        <v>#REF!</v>
      </c>
      <c r="O170" s="661" t="e">
        <f t="shared" si="363"/>
        <v>#REF!</v>
      </c>
      <c r="P170" s="661" t="e">
        <f t="shared" si="364"/>
        <v>#REF!</v>
      </c>
      <c r="Q170" s="661" t="e">
        <f t="shared" si="365"/>
        <v>#REF!</v>
      </c>
      <c r="R170" s="661" t="e">
        <f t="shared" si="366"/>
        <v>#REF!</v>
      </c>
      <c r="S170" s="661" t="e">
        <f t="shared" si="367"/>
        <v>#REF!</v>
      </c>
      <c r="T170" s="661" t="e">
        <f t="shared" si="368"/>
        <v>#REF!</v>
      </c>
      <c r="U170" s="661" t="e">
        <f t="shared" si="369"/>
        <v>#REF!</v>
      </c>
      <c r="V170" s="661" t="e">
        <f t="shared" si="370"/>
        <v>#REF!</v>
      </c>
      <c r="W170" s="661"/>
      <c r="X170" s="661"/>
      <c r="Y170" s="661"/>
      <c r="Z170" s="661"/>
      <c r="AA170" s="661"/>
      <c r="AB170" s="661"/>
      <c r="AC170" s="661"/>
      <c r="AD170" s="661"/>
      <c r="AE170" s="661"/>
      <c r="AF170" s="661"/>
      <c r="AG170" s="661"/>
      <c r="AH170" s="661"/>
      <c r="AI170" s="661"/>
      <c r="AJ170" s="661"/>
      <c r="AK170" s="661"/>
      <c r="AL170" s="661"/>
      <c r="AM170" s="661"/>
      <c r="AN170" s="661"/>
      <c r="AO170" s="661"/>
      <c r="AP170" s="661"/>
      <c r="AQ170" s="1553"/>
      <c r="AR170" s="1553"/>
      <c r="AS170" s="858" t="e">
        <f t="shared" si="372"/>
        <v>#REF!</v>
      </c>
      <c r="AT170" s="858" t="e">
        <f t="shared" si="373"/>
        <v>#REF!</v>
      </c>
      <c r="AU170" s="858" t="e">
        <f t="shared" si="374"/>
        <v>#REF!</v>
      </c>
      <c r="AV170" s="1167"/>
      <c r="AW170" s="1167"/>
      <c r="AX170" s="1167"/>
      <c r="AY170" s="1167"/>
      <c r="AZ170" s="1167"/>
      <c r="BA170" s="1167"/>
      <c r="BB170" s="1167"/>
      <c r="BC170" s="1167"/>
      <c r="BD170" s="1167"/>
      <c r="BE170" s="1167"/>
      <c r="BF170" s="1167"/>
      <c r="BG170" s="93"/>
      <c r="BH170" s="93"/>
      <c r="BI170" s="93"/>
      <c r="BJ170" s="93"/>
      <c r="BK170" s="93"/>
      <c r="BL170" s="93"/>
      <c r="BM170" s="93"/>
      <c r="BN170" s="93"/>
      <c r="BO170" s="1571"/>
      <c r="BP170" s="601" t="s">
        <v>221</v>
      </c>
      <c r="BQ170" s="1168" t="e">
        <f t="shared" si="375"/>
        <v>#REF!</v>
      </c>
      <c r="BR170" s="1168" t="e">
        <f t="shared" si="376"/>
        <v>#REF!</v>
      </c>
      <c r="BS170" s="1168" t="e">
        <f t="shared" si="377"/>
        <v>#REF!</v>
      </c>
      <c r="BT170" s="1168" t="e">
        <f t="shared" si="378"/>
        <v>#REF!</v>
      </c>
      <c r="BU170" s="1168" t="e">
        <f t="shared" si="379"/>
        <v>#REF!</v>
      </c>
      <c r="BV170" s="1168" t="e">
        <f t="shared" si="380"/>
        <v>#REF!</v>
      </c>
      <c r="BW170" s="1168" t="e">
        <f t="shared" si="381"/>
        <v>#REF!</v>
      </c>
      <c r="BX170" s="1168" t="e">
        <f t="shared" si="382"/>
        <v>#REF!</v>
      </c>
      <c r="BY170" s="1168" t="e">
        <f t="shared" si="383"/>
        <v>#REF!</v>
      </c>
      <c r="BZ170" s="1168" t="e">
        <f t="shared" si="384"/>
        <v>#REF!</v>
      </c>
      <c r="CA170" s="1168" t="e">
        <f t="shared" si="385"/>
        <v>#REF!</v>
      </c>
      <c r="CB170" s="1168" t="e">
        <f t="shared" si="386"/>
        <v>#REF!</v>
      </c>
      <c r="CC170" s="1168" t="e">
        <f t="shared" si="387"/>
        <v>#REF!</v>
      </c>
      <c r="CD170" s="1168" t="e">
        <f t="shared" si="388"/>
        <v>#REF!</v>
      </c>
      <c r="CE170" s="1168" t="e">
        <f t="shared" si="389"/>
        <v>#REF!</v>
      </c>
      <c r="CF170" s="1168" t="e">
        <f t="shared" si="390"/>
        <v>#REF!</v>
      </c>
      <c r="CG170" s="1168" t="e">
        <f t="shared" si="391"/>
        <v>#REF!</v>
      </c>
      <c r="CH170" s="1168" t="e">
        <f t="shared" si="392"/>
        <v>#REF!</v>
      </c>
      <c r="CI170" s="1168" t="e">
        <f t="shared" si="393"/>
        <v>#REF!</v>
      </c>
      <c r="CJ170" s="1168" t="e">
        <f t="shared" si="394"/>
        <v>#REF!</v>
      </c>
      <c r="CK170" s="1168"/>
      <c r="CL170" s="1168"/>
      <c r="CM170" s="1168"/>
      <c r="CN170" s="1168"/>
      <c r="CO170" s="1168"/>
      <c r="CP170" s="1168"/>
      <c r="CQ170" s="1168"/>
      <c r="CR170" s="1168"/>
      <c r="CS170" s="1168"/>
      <c r="CT170" s="1168"/>
      <c r="CU170" s="1168"/>
      <c r="CV170" s="1168"/>
      <c r="CW170" s="1168"/>
      <c r="CX170" s="1168"/>
      <c r="CY170" s="1168"/>
      <c r="CZ170" s="1168"/>
      <c r="DA170" s="1168"/>
      <c r="DB170" s="1168"/>
      <c r="DC170" s="1168"/>
      <c r="DD170" s="1168"/>
      <c r="DE170" s="1555"/>
      <c r="DF170" s="1553"/>
      <c r="DG170" s="858" t="e">
        <f t="shared" si="422"/>
        <v>#REF!</v>
      </c>
      <c r="DH170" s="858" t="e">
        <f t="shared" si="423"/>
        <v>#REF!</v>
      </c>
      <c r="DI170" s="859" t="e">
        <f t="shared" si="424"/>
        <v>#REF!</v>
      </c>
      <c r="DJ170" s="1167"/>
      <c r="DK170" s="1167"/>
      <c r="DL170" s="1167"/>
      <c r="DM170" s="1167"/>
      <c r="DN170" s="1167"/>
      <c r="DO170" s="1555"/>
      <c r="DP170" s="1553"/>
      <c r="DQ170" s="858" t="e">
        <f t="shared" si="426"/>
        <v>#REF!</v>
      </c>
      <c r="DR170" s="858" t="e">
        <f t="shared" si="426"/>
        <v>#REF!</v>
      </c>
      <c r="DS170" s="859" t="e">
        <f t="shared" si="426"/>
        <v>#REF!</v>
      </c>
      <c r="DT170" s="1167"/>
      <c r="DU170" s="1167"/>
      <c r="DV170" s="1167"/>
      <c r="DW170" s="1167"/>
      <c r="DX170" s="1167"/>
      <c r="DY170" s="1167"/>
      <c r="DZ170" s="93"/>
      <c r="EA170" s="93"/>
      <c r="EB170" s="93"/>
      <c r="EC170" s="93"/>
      <c r="ED170" s="93"/>
      <c r="EE170" s="93"/>
      <c r="EF170" s="93"/>
      <c r="EG170" s="1571"/>
      <c r="EH170" s="1185" t="s">
        <v>221</v>
      </c>
      <c r="EI170" s="1168" t="e">
        <f t="shared" si="396"/>
        <v>#REF!</v>
      </c>
      <c r="EJ170" s="1168" t="e">
        <f t="shared" si="397"/>
        <v>#REF!</v>
      </c>
      <c r="EK170" s="1168" t="e">
        <f t="shared" si="398"/>
        <v>#REF!</v>
      </c>
      <c r="EL170" s="1168" t="e">
        <f t="shared" si="399"/>
        <v>#REF!</v>
      </c>
      <c r="EM170" s="1168" t="e">
        <f t="shared" si="400"/>
        <v>#REF!</v>
      </c>
      <c r="EN170" s="1168" t="e">
        <f t="shared" si="401"/>
        <v>#REF!</v>
      </c>
      <c r="EO170" s="1168" t="e">
        <f t="shared" si="402"/>
        <v>#REF!</v>
      </c>
      <c r="EP170" s="1168" t="e">
        <f t="shared" si="403"/>
        <v>#REF!</v>
      </c>
      <c r="EQ170" s="1168" t="e">
        <f t="shared" si="404"/>
        <v>#REF!</v>
      </c>
      <c r="ER170" s="1168" t="e">
        <f t="shared" si="405"/>
        <v>#REF!</v>
      </c>
      <c r="ES170" s="1168" t="e">
        <f t="shared" si="406"/>
        <v>#REF!</v>
      </c>
      <c r="ET170" s="1168" t="e">
        <f t="shared" si="407"/>
        <v>#REF!</v>
      </c>
      <c r="EU170" s="1168" t="e">
        <f t="shared" si="408"/>
        <v>#REF!</v>
      </c>
      <c r="EV170" s="1168" t="e">
        <f t="shared" si="409"/>
        <v>#REF!</v>
      </c>
      <c r="EW170" s="1168" t="e">
        <f t="shared" si="410"/>
        <v>#REF!</v>
      </c>
      <c r="EX170" s="1168" t="e">
        <f t="shared" si="411"/>
        <v>#REF!</v>
      </c>
      <c r="EY170" s="1168" t="e">
        <f t="shared" si="412"/>
        <v>#REF!</v>
      </c>
      <c r="EZ170" s="1168" t="e">
        <f t="shared" si="413"/>
        <v>#REF!</v>
      </c>
      <c r="FA170" s="1168" t="e">
        <f t="shared" si="414"/>
        <v>#REF!</v>
      </c>
      <c r="FB170" s="1168" t="e">
        <f t="shared" si="415"/>
        <v>#REF!</v>
      </c>
      <c r="FC170" s="1168"/>
      <c r="FD170" s="1168"/>
      <c r="FE170" s="1168"/>
      <c r="FF170" s="1168"/>
      <c r="FG170" s="1168"/>
      <c r="FH170" s="1168"/>
      <c r="FI170" s="1168"/>
      <c r="FJ170" s="1168"/>
      <c r="FK170" s="1168"/>
      <c r="FL170" s="1168"/>
      <c r="FM170" s="1168"/>
      <c r="FN170" s="1168"/>
      <c r="FO170" s="1168"/>
      <c r="FP170" s="1168"/>
      <c r="FQ170" s="1168"/>
      <c r="FR170" s="1168"/>
      <c r="FS170" s="1168"/>
      <c r="FT170" s="1168"/>
      <c r="FU170" s="1168"/>
      <c r="FV170" s="1168"/>
      <c r="FW170" s="1168"/>
      <c r="FX170" s="1182"/>
      <c r="FY170" s="1183"/>
      <c r="FZ170" s="93"/>
      <c r="GA170" s="93"/>
      <c r="GB170" s="1176" t="e">
        <f t="shared" si="417"/>
        <v>#REF!</v>
      </c>
      <c r="GC170" s="1573"/>
      <c r="GD170" s="1177" t="e">
        <f t="shared" si="418"/>
        <v>#REF!</v>
      </c>
      <c r="GE170" s="1573"/>
      <c r="GF170" s="1177" t="e">
        <f t="shared" si="419"/>
        <v>#REF!</v>
      </c>
      <c r="GG170" s="1573"/>
      <c r="GH170" s="1559"/>
      <c r="GI170" s="93"/>
      <c r="GJ170" s="1571"/>
      <c r="GK170" s="1568"/>
      <c r="GL170" s="93"/>
      <c r="GM170" s="93"/>
      <c r="GN170" s="93"/>
      <c r="GO170" s="93"/>
      <c r="GP170" s="93"/>
      <c r="GQ170" s="93"/>
      <c r="GR170" s="93"/>
      <c r="GS170" s="93"/>
    </row>
    <row r="171" spans="1:201" ht="23.65" customHeight="1" thickBot="1">
      <c r="A171" s="1571">
        <v>4</v>
      </c>
      <c r="B171" s="601" t="s">
        <v>222</v>
      </c>
      <c r="C171" s="661" t="e">
        <f t="shared" si="351"/>
        <v>#REF!</v>
      </c>
      <c r="D171" s="661" t="e">
        <f t="shared" si="352"/>
        <v>#REF!</v>
      </c>
      <c r="E171" s="661" t="e">
        <f t="shared" si="353"/>
        <v>#REF!</v>
      </c>
      <c r="F171" s="661" t="e">
        <f t="shared" si="354"/>
        <v>#REF!</v>
      </c>
      <c r="G171" s="661" t="e">
        <f t="shared" si="355"/>
        <v>#REF!</v>
      </c>
      <c r="H171" s="661" t="e">
        <f t="shared" si="356"/>
        <v>#REF!</v>
      </c>
      <c r="I171" s="661" t="e">
        <f t="shared" si="357"/>
        <v>#REF!</v>
      </c>
      <c r="J171" s="661" t="e">
        <f t="shared" si="358"/>
        <v>#REF!</v>
      </c>
      <c r="K171" s="661" t="e">
        <f t="shared" si="359"/>
        <v>#REF!</v>
      </c>
      <c r="L171" s="661" t="e">
        <f t="shared" si="360"/>
        <v>#REF!</v>
      </c>
      <c r="M171" s="661" t="e">
        <f t="shared" si="361"/>
        <v>#REF!</v>
      </c>
      <c r="N171" s="661" t="e">
        <f t="shared" si="362"/>
        <v>#REF!</v>
      </c>
      <c r="O171" s="661">
        <f t="shared" si="363"/>
        <v>1612001.5864350523</v>
      </c>
      <c r="P171" s="661">
        <f t="shared" si="364"/>
        <v>1632558.840668177</v>
      </c>
      <c r="Q171" s="661">
        <f t="shared" si="365"/>
        <v>1654039.8780453892</v>
      </c>
      <c r="R171" s="661">
        <f t="shared" si="366"/>
        <v>1675520.9154226023</v>
      </c>
      <c r="S171" s="661">
        <f t="shared" si="367"/>
        <v>1739960.7800149352</v>
      </c>
      <c r="T171" s="661">
        <f t="shared" si="368"/>
        <v>1766338.7093935553</v>
      </c>
      <c r="U171" s="661">
        <f t="shared" si="369"/>
        <v>1792716.6387721756</v>
      </c>
      <c r="V171" s="661">
        <f t="shared" si="370"/>
        <v>1819094.5681507955</v>
      </c>
      <c r="W171" s="661"/>
      <c r="X171" s="661"/>
      <c r="Y171" s="661"/>
      <c r="Z171" s="661"/>
      <c r="AA171" s="661"/>
      <c r="AB171" s="661"/>
      <c r="AC171" s="661"/>
      <c r="AD171" s="661"/>
      <c r="AE171" s="661"/>
      <c r="AF171" s="661"/>
      <c r="AG171" s="661"/>
      <c r="AH171" s="661"/>
      <c r="AI171" s="661"/>
      <c r="AJ171" s="661"/>
      <c r="AK171" s="661"/>
      <c r="AL171" s="661"/>
      <c r="AM171" s="661"/>
      <c r="AN171" s="661"/>
      <c r="AO171" s="661"/>
      <c r="AP171" s="661"/>
      <c r="AQ171" s="1553"/>
      <c r="AR171" s="1553"/>
      <c r="AS171" s="858" t="e">
        <f t="shared" si="372"/>
        <v>#REF!</v>
      </c>
      <c r="AT171" s="858">
        <f t="shared" si="373"/>
        <v>6574121.2205712209</v>
      </c>
      <c r="AU171" s="858">
        <f t="shared" si="374"/>
        <v>7118110.6963314619</v>
      </c>
      <c r="AV171" s="1167"/>
      <c r="AW171" s="1167"/>
      <c r="AX171" s="1167"/>
      <c r="AY171" s="1167"/>
      <c r="AZ171" s="1167"/>
      <c r="BA171" s="1167"/>
      <c r="BB171" s="1167"/>
      <c r="BC171" s="1167"/>
      <c r="BD171" s="1167"/>
      <c r="BE171" s="1167"/>
      <c r="BF171" s="1167"/>
      <c r="BG171" s="93"/>
      <c r="BH171" s="93"/>
      <c r="BI171" s="93"/>
      <c r="BJ171" s="93"/>
      <c r="BK171" s="93"/>
      <c r="BL171" s="93"/>
      <c r="BM171" s="93"/>
      <c r="BN171" s="93"/>
      <c r="BO171" s="1571">
        <v>4</v>
      </c>
      <c r="BP171" s="601" t="s">
        <v>222</v>
      </c>
      <c r="BQ171" s="1168" t="e">
        <f t="shared" si="375"/>
        <v>#REF!</v>
      </c>
      <c r="BR171" s="1168" t="e">
        <f t="shared" si="376"/>
        <v>#REF!</v>
      </c>
      <c r="BS171" s="1168" t="e">
        <f t="shared" si="377"/>
        <v>#REF!</v>
      </c>
      <c r="BT171" s="1168" t="e">
        <f t="shared" si="378"/>
        <v>#REF!</v>
      </c>
      <c r="BU171" s="1168" t="e">
        <f t="shared" si="379"/>
        <v>#REF!</v>
      </c>
      <c r="BV171" s="1168" t="e">
        <f t="shared" si="380"/>
        <v>#REF!</v>
      </c>
      <c r="BW171" s="1168" t="e">
        <f t="shared" si="381"/>
        <v>#REF!</v>
      </c>
      <c r="BX171" s="1168" t="e">
        <f t="shared" si="382"/>
        <v>#REF!</v>
      </c>
      <c r="BY171" s="1168" t="e">
        <f t="shared" si="383"/>
        <v>#REF!</v>
      </c>
      <c r="BZ171" s="1168" t="e">
        <f t="shared" si="384"/>
        <v>#REF!</v>
      </c>
      <c r="CA171" s="1168" t="e">
        <f t="shared" si="385"/>
        <v>#REF!</v>
      </c>
      <c r="CB171" s="1168" t="e">
        <f t="shared" si="386"/>
        <v>#REF!</v>
      </c>
      <c r="CC171" s="1168">
        <f t="shared" si="387"/>
        <v>1335801.1515149202</v>
      </c>
      <c r="CD171" s="1168">
        <f t="shared" si="388"/>
        <v>1335801.1515149202</v>
      </c>
      <c r="CE171" s="1168">
        <f t="shared" si="389"/>
        <v>1335801.1515149202</v>
      </c>
      <c r="CF171" s="1168">
        <f t="shared" si="390"/>
        <v>1335801.1515149202</v>
      </c>
      <c r="CG171" s="1168">
        <f t="shared" si="391"/>
        <v>1335801.1515149202</v>
      </c>
      <c r="CH171" s="1168">
        <f t="shared" si="392"/>
        <v>1335801.1515149202</v>
      </c>
      <c r="CI171" s="1168">
        <f t="shared" si="393"/>
        <v>1335801.1515149202</v>
      </c>
      <c r="CJ171" s="1168">
        <f t="shared" si="394"/>
        <v>1335801.1515149202</v>
      </c>
      <c r="CK171" s="1168"/>
      <c r="CL171" s="1168"/>
      <c r="CM171" s="1168"/>
      <c r="CN171" s="1168"/>
      <c r="CO171" s="1168"/>
      <c r="CP171" s="1168"/>
      <c r="CQ171" s="1168"/>
      <c r="CR171" s="1168"/>
      <c r="CS171" s="1168"/>
      <c r="CT171" s="1168"/>
      <c r="CU171" s="1168"/>
      <c r="CV171" s="1168"/>
      <c r="CW171" s="1168"/>
      <c r="CX171" s="1168"/>
      <c r="CY171" s="1168"/>
      <c r="CZ171" s="1168"/>
      <c r="DA171" s="1168"/>
      <c r="DB171" s="1168"/>
      <c r="DC171" s="1168"/>
      <c r="DD171" s="1168"/>
      <c r="DE171" s="1555"/>
      <c r="DF171" s="1553"/>
      <c r="DG171" s="1588"/>
      <c r="DH171" s="858">
        <f t="shared" si="423"/>
        <v>5343204.6060596807</v>
      </c>
      <c r="DI171" s="859">
        <f t="shared" si="424"/>
        <v>5343204.6060596807</v>
      </c>
      <c r="DJ171" s="1167"/>
      <c r="DK171" s="1167"/>
      <c r="DL171" s="1167"/>
      <c r="DM171" s="1167"/>
      <c r="DN171" s="1167"/>
      <c r="DO171" s="1555"/>
      <c r="DP171" s="1553"/>
      <c r="DQ171" s="1588"/>
      <c r="DR171" s="858">
        <f t="shared" ref="DR171:DS174" si="427">AT171-DH171</f>
        <v>1230916.6145115402</v>
      </c>
      <c r="DS171" s="859">
        <f t="shared" si="427"/>
        <v>1774906.0902717812</v>
      </c>
      <c r="DT171" s="1167"/>
      <c r="DU171" s="1167"/>
      <c r="DV171" s="1167"/>
      <c r="DW171" s="1167"/>
      <c r="DX171" s="1167"/>
      <c r="DY171" s="1167"/>
      <c r="DZ171" s="93"/>
      <c r="EA171" s="93"/>
      <c r="EB171" s="93"/>
      <c r="EC171" s="93"/>
      <c r="ED171" s="93"/>
      <c r="EE171" s="93"/>
      <c r="EF171" s="93"/>
      <c r="EG171" s="1571">
        <v>4</v>
      </c>
      <c r="EH171" s="1185" t="s">
        <v>222</v>
      </c>
      <c r="EI171" s="1168" t="e">
        <f t="shared" si="396"/>
        <v>#REF!</v>
      </c>
      <c r="EJ171" s="1168" t="e">
        <f t="shared" si="397"/>
        <v>#REF!</v>
      </c>
      <c r="EK171" s="1168" t="e">
        <f t="shared" si="398"/>
        <v>#REF!</v>
      </c>
      <c r="EL171" s="1168" t="e">
        <f t="shared" si="399"/>
        <v>#REF!</v>
      </c>
      <c r="EM171" s="1168" t="e">
        <f t="shared" si="400"/>
        <v>#REF!</v>
      </c>
      <c r="EN171" s="1168" t="e">
        <f t="shared" si="401"/>
        <v>#REF!</v>
      </c>
      <c r="EO171" s="1168" t="e">
        <f t="shared" si="402"/>
        <v>#REF!</v>
      </c>
      <c r="EP171" s="1168" t="e">
        <f t="shared" si="403"/>
        <v>#REF!</v>
      </c>
      <c r="EQ171" s="1168" t="e">
        <f t="shared" si="404"/>
        <v>#REF!</v>
      </c>
      <c r="ER171" s="1168" t="e">
        <f t="shared" si="405"/>
        <v>#REF!</v>
      </c>
      <c r="ES171" s="1168" t="e">
        <f t="shared" si="406"/>
        <v>#REF!</v>
      </c>
      <c r="ET171" s="1168" t="e">
        <f t="shared" si="407"/>
        <v>#REF!</v>
      </c>
      <c r="EU171" s="1168">
        <f t="shared" si="408"/>
        <v>276200.43492013216</v>
      </c>
      <c r="EV171" s="1168">
        <f t="shared" si="409"/>
        <v>296757.68915325683</v>
      </c>
      <c r="EW171" s="1168">
        <f t="shared" si="410"/>
        <v>318238.72653046902</v>
      </c>
      <c r="EX171" s="1168">
        <f t="shared" si="411"/>
        <v>339719.76390768215</v>
      </c>
      <c r="EY171" s="1168">
        <f t="shared" si="412"/>
        <v>404159.62850001501</v>
      </c>
      <c r="EZ171" s="1168">
        <f t="shared" si="413"/>
        <v>430537.55787863513</v>
      </c>
      <c r="FA171" s="1168">
        <f t="shared" si="414"/>
        <v>456915.48725725547</v>
      </c>
      <c r="FB171" s="1168">
        <f t="shared" si="415"/>
        <v>483293.41663587536</v>
      </c>
      <c r="FC171" s="1168"/>
      <c r="FD171" s="1168"/>
      <c r="FE171" s="1168"/>
      <c r="FF171" s="1168"/>
      <c r="FG171" s="1168"/>
      <c r="FH171" s="1168"/>
      <c r="FI171" s="1168"/>
      <c r="FJ171" s="1168"/>
      <c r="FK171" s="1168"/>
      <c r="FL171" s="1168"/>
      <c r="FM171" s="1168"/>
      <c r="FN171" s="1168"/>
      <c r="FO171" s="1168"/>
      <c r="FP171" s="1168"/>
      <c r="FQ171" s="1168"/>
      <c r="FR171" s="1168"/>
      <c r="FS171" s="1168"/>
      <c r="FT171" s="1168"/>
      <c r="FU171" s="1168"/>
      <c r="FV171" s="1168"/>
      <c r="FW171" s="1168"/>
      <c r="FX171" s="1182"/>
      <c r="FY171" s="1183"/>
      <c r="FZ171" s="93"/>
      <c r="GA171" s="93"/>
      <c r="GB171" s="1186"/>
      <c r="GC171" s="1187"/>
      <c r="GD171" s="1177">
        <f t="shared" si="418"/>
        <v>307729.15362788504</v>
      </c>
      <c r="GE171" s="1573">
        <f>AVERAGE(GD171:GD174)</f>
        <v>-121770.76246869362</v>
      </c>
      <c r="GF171" s="1177">
        <f t="shared" si="419"/>
        <v>443726.52256794524</v>
      </c>
      <c r="GG171" s="1573">
        <f>SUM(GF171:GF174)</f>
        <v>-103226.81199049298</v>
      </c>
      <c r="GH171" s="1560"/>
      <c r="GI171" s="93"/>
      <c r="GJ171" s="1571">
        <v>4</v>
      </c>
      <c r="GK171" s="1568"/>
      <c r="GL171" s="93"/>
      <c r="GM171" s="93"/>
      <c r="GN171" s="93"/>
      <c r="GO171" s="93"/>
      <c r="GP171" s="93"/>
      <c r="GQ171" s="93"/>
      <c r="GR171" s="93"/>
      <c r="GS171" s="93"/>
    </row>
    <row r="172" spans="1:201" ht="23.65" customHeight="1" thickBot="1">
      <c r="A172" s="1571"/>
      <c r="B172" s="593" t="s">
        <v>223</v>
      </c>
      <c r="C172" s="661" t="e">
        <f t="shared" si="351"/>
        <v>#REF!</v>
      </c>
      <c r="D172" s="661" t="e">
        <f t="shared" si="352"/>
        <v>#REF!</v>
      </c>
      <c r="E172" s="661" t="e">
        <f t="shared" si="353"/>
        <v>#REF!</v>
      </c>
      <c r="F172" s="661" t="e">
        <f t="shared" si="354"/>
        <v>#REF!</v>
      </c>
      <c r="G172" s="661" t="e">
        <f t="shared" si="355"/>
        <v>#REF!</v>
      </c>
      <c r="H172" s="661" t="e">
        <f t="shared" si="356"/>
        <v>#REF!</v>
      </c>
      <c r="I172" s="661" t="e">
        <f t="shared" si="357"/>
        <v>#REF!</v>
      </c>
      <c r="J172" s="661" t="e">
        <f t="shared" si="358"/>
        <v>#REF!</v>
      </c>
      <c r="K172" s="661" t="e">
        <f t="shared" si="359"/>
        <v>#REF!</v>
      </c>
      <c r="L172" s="661" t="e">
        <f t="shared" si="360"/>
        <v>#REF!</v>
      </c>
      <c r="M172" s="661" t="e">
        <f t="shared" si="361"/>
        <v>#REF!</v>
      </c>
      <c r="N172" s="661" t="e">
        <f t="shared" si="362"/>
        <v>#REF!</v>
      </c>
      <c r="O172" s="661">
        <f t="shared" si="363"/>
        <v>473360.0492184246</v>
      </c>
      <c r="P172" s="661">
        <f t="shared" si="364"/>
        <v>504628.03489554627</v>
      </c>
      <c r="Q172" s="661">
        <f t="shared" si="365"/>
        <v>536167.28707651782</v>
      </c>
      <c r="R172" s="661">
        <f t="shared" si="366"/>
        <v>567706.53925748949</v>
      </c>
      <c r="S172" s="661">
        <f t="shared" si="367"/>
        <v>597837.15503263113</v>
      </c>
      <c r="T172" s="661">
        <f t="shared" si="368"/>
        <v>614789.34782172891</v>
      </c>
      <c r="U172" s="661">
        <f t="shared" si="369"/>
        <v>631741.54061082669</v>
      </c>
      <c r="V172" s="661">
        <f t="shared" si="370"/>
        <v>648693.73339992447</v>
      </c>
      <c r="W172" s="661"/>
      <c r="X172" s="661"/>
      <c r="Y172" s="661"/>
      <c r="Z172" s="661"/>
      <c r="AA172" s="661"/>
      <c r="AB172" s="661"/>
      <c r="AC172" s="661"/>
      <c r="AD172" s="661"/>
      <c r="AE172" s="661"/>
      <c r="AF172" s="661"/>
      <c r="AG172" s="661"/>
      <c r="AH172" s="661"/>
      <c r="AI172" s="661"/>
      <c r="AJ172" s="661"/>
      <c r="AK172" s="661"/>
      <c r="AL172" s="661"/>
      <c r="AM172" s="661"/>
      <c r="AN172" s="661"/>
      <c r="AO172" s="661"/>
      <c r="AP172" s="661"/>
      <c r="AQ172" s="1553"/>
      <c r="AR172" s="1553"/>
      <c r="AS172" s="1588"/>
      <c r="AT172" s="858">
        <f t="shared" si="373"/>
        <v>2081861.9104479784</v>
      </c>
      <c r="AU172" s="858">
        <f t="shared" si="374"/>
        <v>2493061.7768651112</v>
      </c>
      <c r="AV172" s="1167"/>
      <c r="AW172" s="1167"/>
      <c r="AX172" s="1167"/>
      <c r="AY172" s="1167"/>
      <c r="AZ172" s="1167"/>
      <c r="BA172" s="1167"/>
      <c r="BB172" s="1167"/>
      <c r="BC172" s="1167"/>
      <c r="BD172" s="1167"/>
      <c r="BE172" s="1167"/>
      <c r="BF172" s="1167"/>
      <c r="BG172" s="93"/>
      <c r="BH172" s="93"/>
      <c r="BI172" s="93"/>
      <c r="BJ172" s="93"/>
      <c r="BK172" s="93"/>
      <c r="BL172" s="93"/>
      <c r="BM172" s="93"/>
      <c r="BN172" s="93"/>
      <c r="BO172" s="1571"/>
      <c r="BP172" s="593" t="s">
        <v>223</v>
      </c>
      <c r="BQ172" s="1168" t="e">
        <f t="shared" si="375"/>
        <v>#REF!</v>
      </c>
      <c r="BR172" s="1168" t="e">
        <f t="shared" si="376"/>
        <v>#REF!</v>
      </c>
      <c r="BS172" s="1168" t="e">
        <f t="shared" si="377"/>
        <v>#REF!</v>
      </c>
      <c r="BT172" s="1168" t="e">
        <f t="shared" si="378"/>
        <v>#REF!</v>
      </c>
      <c r="BU172" s="1168" t="e">
        <f t="shared" si="379"/>
        <v>#REF!</v>
      </c>
      <c r="BV172" s="1168" t="e">
        <f t="shared" si="380"/>
        <v>#REF!</v>
      </c>
      <c r="BW172" s="1168" t="e">
        <f t="shared" si="381"/>
        <v>#REF!</v>
      </c>
      <c r="BX172" s="1168" t="e">
        <f t="shared" si="382"/>
        <v>#REF!</v>
      </c>
      <c r="BY172" s="1168" t="e">
        <f t="shared" si="383"/>
        <v>#REF!</v>
      </c>
      <c r="BZ172" s="1168" t="e">
        <f t="shared" si="384"/>
        <v>#REF!</v>
      </c>
      <c r="CA172" s="1168" t="e">
        <f t="shared" si="385"/>
        <v>#REF!</v>
      </c>
      <c r="CB172" s="1168" t="e">
        <f t="shared" si="386"/>
        <v>#REF!</v>
      </c>
      <c r="CC172" s="1168">
        <f t="shared" si="387"/>
        <v>725283.50884537143</v>
      </c>
      <c r="CD172" s="1168">
        <f t="shared" si="388"/>
        <v>725283.50884537143</v>
      </c>
      <c r="CE172" s="1168">
        <f t="shared" si="389"/>
        <v>725283.50884537143</v>
      </c>
      <c r="CF172" s="1168">
        <f t="shared" si="390"/>
        <v>725283.50884537143</v>
      </c>
      <c r="CG172" s="1168">
        <f t="shared" si="391"/>
        <v>725283.50884537143</v>
      </c>
      <c r="CH172" s="1168">
        <f t="shared" si="392"/>
        <v>725283.50884537143</v>
      </c>
      <c r="CI172" s="1168">
        <f t="shared" si="393"/>
        <v>725283.50884537143</v>
      </c>
      <c r="CJ172" s="1168">
        <f t="shared" si="394"/>
        <v>725283.50884537143</v>
      </c>
      <c r="CK172" s="1168"/>
      <c r="CL172" s="1168"/>
      <c r="CM172" s="1168"/>
      <c r="CN172" s="1168"/>
      <c r="CO172" s="1168"/>
      <c r="CP172" s="1168"/>
      <c r="CQ172" s="1168"/>
      <c r="CR172" s="1168"/>
      <c r="CS172" s="1168"/>
      <c r="CT172" s="1168"/>
      <c r="CU172" s="1168"/>
      <c r="CV172" s="1168"/>
      <c r="CW172" s="1168"/>
      <c r="CX172" s="1168"/>
      <c r="CY172" s="1168"/>
      <c r="CZ172" s="1168"/>
      <c r="DA172" s="1168"/>
      <c r="DB172" s="1168"/>
      <c r="DC172" s="1168"/>
      <c r="DD172" s="1168"/>
      <c r="DE172" s="1555"/>
      <c r="DF172" s="1553"/>
      <c r="DG172" s="1589"/>
      <c r="DH172" s="858">
        <f t="shared" si="423"/>
        <v>2901134.0353814857</v>
      </c>
      <c r="DI172" s="859">
        <f t="shared" si="424"/>
        <v>2901134.0353814857</v>
      </c>
      <c r="DJ172" s="1167"/>
      <c r="DK172" s="1167"/>
      <c r="DL172" s="1167"/>
      <c r="DM172" s="1167"/>
      <c r="DN172" s="1167"/>
      <c r="DO172" s="1555"/>
      <c r="DP172" s="1553"/>
      <c r="DQ172" s="1589"/>
      <c r="DR172" s="858">
        <f t="shared" si="427"/>
        <v>-819272.12493350729</v>
      </c>
      <c r="DS172" s="859">
        <f t="shared" si="427"/>
        <v>-408072.25851637451</v>
      </c>
      <c r="DT172" s="1167"/>
      <c r="DU172" s="1167"/>
      <c r="DV172" s="1167"/>
      <c r="DW172" s="1167"/>
      <c r="DX172" s="1167"/>
      <c r="DY172" s="1167"/>
      <c r="DZ172" s="93"/>
      <c r="EA172" s="93"/>
      <c r="EB172" s="93"/>
      <c r="EC172" s="93"/>
      <c r="ED172" s="93"/>
      <c r="EE172" s="93"/>
      <c r="EF172" s="93"/>
      <c r="EG172" s="1571"/>
      <c r="EH172" s="1174" t="s">
        <v>223</v>
      </c>
      <c r="EI172" s="1168" t="e">
        <f t="shared" si="396"/>
        <v>#REF!</v>
      </c>
      <c r="EJ172" s="1168" t="e">
        <f t="shared" si="397"/>
        <v>#REF!</v>
      </c>
      <c r="EK172" s="1168" t="e">
        <f t="shared" si="398"/>
        <v>#REF!</v>
      </c>
      <c r="EL172" s="1168" t="e">
        <f t="shared" si="399"/>
        <v>#REF!</v>
      </c>
      <c r="EM172" s="1168" t="e">
        <f t="shared" si="400"/>
        <v>#REF!</v>
      </c>
      <c r="EN172" s="1168" t="e">
        <f t="shared" si="401"/>
        <v>#REF!</v>
      </c>
      <c r="EO172" s="1168" t="e">
        <f t="shared" si="402"/>
        <v>#REF!</v>
      </c>
      <c r="EP172" s="1168" t="e">
        <f t="shared" si="403"/>
        <v>#REF!</v>
      </c>
      <c r="EQ172" s="1168" t="e">
        <f t="shared" si="404"/>
        <v>#REF!</v>
      </c>
      <c r="ER172" s="1168" t="e">
        <f t="shared" si="405"/>
        <v>#REF!</v>
      </c>
      <c r="ES172" s="1168" t="e">
        <f t="shared" si="406"/>
        <v>#REF!</v>
      </c>
      <c r="ET172" s="1168" t="e">
        <f t="shared" si="407"/>
        <v>#REF!</v>
      </c>
      <c r="EU172" s="1168">
        <f t="shared" si="408"/>
        <v>-251923.45962694683</v>
      </c>
      <c r="EV172" s="1168">
        <f t="shared" si="409"/>
        <v>-220655.47394982516</v>
      </c>
      <c r="EW172" s="1168">
        <f t="shared" si="410"/>
        <v>-189116.2217688536</v>
      </c>
      <c r="EX172" s="1168">
        <f t="shared" si="411"/>
        <v>-157576.96958788193</v>
      </c>
      <c r="EY172" s="1168">
        <f t="shared" si="412"/>
        <v>-127446.3538127403</v>
      </c>
      <c r="EZ172" s="1168">
        <f t="shared" si="413"/>
        <v>-110494.16102364252</v>
      </c>
      <c r="FA172" s="1168">
        <f t="shared" si="414"/>
        <v>-93541.968234544736</v>
      </c>
      <c r="FB172" s="1168">
        <f t="shared" si="415"/>
        <v>-76589.775445446954</v>
      </c>
      <c r="FC172" s="1168"/>
      <c r="FD172" s="1168"/>
      <c r="FE172" s="1168"/>
      <c r="FF172" s="1168"/>
      <c r="FG172" s="1168"/>
      <c r="FH172" s="1168"/>
      <c r="FI172" s="1168"/>
      <c r="FJ172" s="1168"/>
      <c r="FK172" s="1168"/>
      <c r="FL172" s="1168"/>
      <c r="FM172" s="1168"/>
      <c r="FN172" s="1168"/>
      <c r="FO172" s="1168"/>
      <c r="FP172" s="1168"/>
      <c r="FQ172" s="1168"/>
      <c r="FR172" s="1168"/>
      <c r="FS172" s="1168"/>
      <c r="FT172" s="1168"/>
      <c r="FU172" s="1168"/>
      <c r="FV172" s="1168"/>
      <c r="FW172" s="1168"/>
      <c r="FX172" s="1182"/>
      <c r="FY172" s="1183"/>
      <c r="FZ172" s="93"/>
      <c r="GA172" s="93"/>
      <c r="GB172" s="1186"/>
      <c r="GC172" s="93"/>
      <c r="GD172" s="1177">
        <f t="shared" si="418"/>
        <v>-204818.03123337688</v>
      </c>
      <c r="GE172" s="1573"/>
      <c r="GF172" s="1177">
        <f t="shared" si="419"/>
        <v>-102018.06462909363</v>
      </c>
      <c r="GG172" s="1573"/>
      <c r="GH172" s="1558">
        <f>GG172+GE172</f>
        <v>0</v>
      </c>
      <c r="GI172" s="93"/>
      <c r="GJ172" s="1571"/>
      <c r="GK172" s="1568" t="e">
        <f>SUM(EK171:FB174)</f>
        <v>#REF!</v>
      </c>
      <c r="GL172" s="93"/>
      <c r="GM172" s="93"/>
      <c r="GN172" s="93"/>
      <c r="GO172" s="93"/>
      <c r="GP172" s="93"/>
      <c r="GQ172" s="93"/>
      <c r="GR172" s="93"/>
      <c r="GS172" s="93"/>
    </row>
    <row r="173" spans="1:201" ht="23.65" customHeight="1" thickBot="1">
      <c r="A173" s="1571"/>
      <c r="B173" s="593" t="s">
        <v>224</v>
      </c>
      <c r="C173" s="661" t="e">
        <f t="shared" si="351"/>
        <v>#REF!</v>
      </c>
      <c r="D173" s="661" t="e">
        <f t="shared" si="352"/>
        <v>#REF!</v>
      </c>
      <c r="E173" s="661" t="e">
        <f t="shared" si="353"/>
        <v>#REF!</v>
      </c>
      <c r="F173" s="661" t="e">
        <f t="shared" si="354"/>
        <v>#REF!</v>
      </c>
      <c r="G173" s="661" t="e">
        <f t="shared" si="355"/>
        <v>#REF!</v>
      </c>
      <c r="H173" s="661" t="e">
        <f t="shared" si="356"/>
        <v>#REF!</v>
      </c>
      <c r="I173" s="661" t="e">
        <f t="shared" si="357"/>
        <v>#REF!</v>
      </c>
      <c r="J173" s="661" t="e">
        <f t="shared" si="358"/>
        <v>#REF!</v>
      </c>
      <c r="K173" s="661" t="e">
        <f t="shared" si="359"/>
        <v>#REF!</v>
      </c>
      <c r="L173" s="661" t="e">
        <f t="shared" si="360"/>
        <v>#REF!</v>
      </c>
      <c r="M173" s="661" t="e">
        <f t="shared" si="361"/>
        <v>#REF!</v>
      </c>
      <c r="N173" s="661" t="e">
        <f t="shared" si="362"/>
        <v>#REF!</v>
      </c>
      <c r="O173" s="661">
        <f t="shared" si="363"/>
        <v>250163.15560921302</v>
      </c>
      <c r="P173" s="661">
        <f t="shared" si="364"/>
        <v>269252.08760654816</v>
      </c>
      <c r="Q173" s="661">
        <f t="shared" si="365"/>
        <v>288484.37957844452</v>
      </c>
      <c r="R173" s="661">
        <f t="shared" si="366"/>
        <v>307716.67155034083</v>
      </c>
      <c r="S173" s="661">
        <f t="shared" si="367"/>
        <v>323504.92494296131</v>
      </c>
      <c r="T173" s="661">
        <f t="shared" si="368"/>
        <v>332455.20184513257</v>
      </c>
      <c r="U173" s="661">
        <f t="shared" si="369"/>
        <v>341405.47874730377</v>
      </c>
      <c r="V173" s="661">
        <f t="shared" si="370"/>
        <v>350355.75564947503</v>
      </c>
      <c r="W173" s="661"/>
      <c r="X173" s="661"/>
      <c r="Y173" s="661"/>
      <c r="Z173" s="661"/>
      <c r="AA173" s="661"/>
      <c r="AB173" s="661"/>
      <c r="AC173" s="661"/>
      <c r="AD173" s="661"/>
      <c r="AE173" s="661"/>
      <c r="AF173" s="661"/>
      <c r="AG173" s="661"/>
      <c r="AH173" s="661"/>
      <c r="AI173" s="661"/>
      <c r="AJ173" s="661"/>
      <c r="AK173" s="661"/>
      <c r="AL173" s="661"/>
      <c r="AM173" s="661"/>
      <c r="AN173" s="661"/>
      <c r="AO173" s="661"/>
      <c r="AP173" s="661"/>
      <c r="AQ173" s="1553"/>
      <c r="AR173" s="1553"/>
      <c r="AS173" s="1589"/>
      <c r="AT173" s="858">
        <f t="shared" si="373"/>
        <v>1115616.2943445465</v>
      </c>
      <c r="AU173" s="858">
        <f t="shared" si="374"/>
        <v>1347721.3611848727</v>
      </c>
      <c r="AV173" s="1167"/>
      <c r="AW173" s="1167"/>
      <c r="AX173" s="1167"/>
      <c r="AY173" s="1167"/>
      <c r="AZ173" s="1167"/>
      <c r="BA173" s="1167"/>
      <c r="BB173" s="1167"/>
      <c r="BC173" s="1167"/>
      <c r="BD173" s="1167"/>
      <c r="BE173" s="1167"/>
      <c r="BF173" s="1167"/>
      <c r="BG173" s="93"/>
      <c r="BH173" s="93"/>
      <c r="BI173" s="93"/>
      <c r="BJ173" s="93"/>
      <c r="BK173" s="93"/>
      <c r="BL173" s="93"/>
      <c r="BM173" s="93"/>
      <c r="BN173" s="93"/>
      <c r="BO173" s="1571"/>
      <c r="BP173" s="593" t="s">
        <v>224</v>
      </c>
      <c r="BQ173" s="1168" t="e">
        <f t="shared" si="375"/>
        <v>#REF!</v>
      </c>
      <c r="BR173" s="1168" t="e">
        <f t="shared" si="376"/>
        <v>#REF!</v>
      </c>
      <c r="BS173" s="1168" t="e">
        <f t="shared" si="377"/>
        <v>#REF!</v>
      </c>
      <c r="BT173" s="1168" t="e">
        <f t="shared" si="378"/>
        <v>#REF!</v>
      </c>
      <c r="BU173" s="1168" t="e">
        <f t="shared" si="379"/>
        <v>#REF!</v>
      </c>
      <c r="BV173" s="1168" t="e">
        <f t="shared" si="380"/>
        <v>#REF!</v>
      </c>
      <c r="BW173" s="1168" t="e">
        <f t="shared" si="381"/>
        <v>#REF!</v>
      </c>
      <c r="BX173" s="1168" t="e">
        <f t="shared" si="382"/>
        <v>#REF!</v>
      </c>
      <c r="BY173" s="1168" t="e">
        <f t="shared" si="383"/>
        <v>#REF!</v>
      </c>
      <c r="BZ173" s="1168" t="e">
        <f t="shared" si="384"/>
        <v>#REF!</v>
      </c>
      <c r="CA173" s="1168" t="e">
        <f t="shared" si="385"/>
        <v>#REF!</v>
      </c>
      <c r="CB173" s="1168" t="e">
        <f t="shared" si="386"/>
        <v>#REF!</v>
      </c>
      <c r="CC173" s="1168">
        <f t="shared" si="387"/>
        <v>1363070.8438513309</v>
      </c>
      <c r="CD173" s="1168">
        <f t="shared" si="388"/>
        <v>1363070.8438513309</v>
      </c>
      <c r="CE173" s="1168">
        <f t="shared" si="389"/>
        <v>1363070.8438513309</v>
      </c>
      <c r="CF173" s="1168">
        <f t="shared" si="390"/>
        <v>1363070.8438513309</v>
      </c>
      <c r="CG173" s="1168">
        <f t="shared" si="391"/>
        <v>1363070.8438513309</v>
      </c>
      <c r="CH173" s="1168">
        <f t="shared" si="392"/>
        <v>1363070.8438513309</v>
      </c>
      <c r="CI173" s="1168">
        <f t="shared" si="393"/>
        <v>1363070.8438513309</v>
      </c>
      <c r="CJ173" s="1168">
        <f t="shared" si="394"/>
        <v>1363070.8438513309</v>
      </c>
      <c r="CK173" s="1168"/>
      <c r="CL173" s="1168"/>
      <c r="CM173" s="1168"/>
      <c r="CN173" s="1168"/>
      <c r="CO173" s="1168"/>
      <c r="CP173" s="1168"/>
      <c r="CQ173" s="1168"/>
      <c r="CR173" s="1168"/>
      <c r="CS173" s="1168"/>
      <c r="CT173" s="1168"/>
      <c r="CU173" s="1168"/>
      <c r="CV173" s="1168"/>
      <c r="CW173" s="1168"/>
      <c r="CX173" s="1168"/>
      <c r="CY173" s="1168"/>
      <c r="CZ173" s="1168"/>
      <c r="DA173" s="1168"/>
      <c r="DB173" s="1168"/>
      <c r="DC173" s="1168"/>
      <c r="DD173" s="1168"/>
      <c r="DE173" s="1555"/>
      <c r="DF173" s="1553"/>
      <c r="DG173" s="1589"/>
      <c r="DH173" s="858">
        <f t="shared" si="423"/>
        <v>5452283.3754053237</v>
      </c>
      <c r="DI173" s="859">
        <f t="shared" si="424"/>
        <v>5452283.3754053237</v>
      </c>
      <c r="DJ173" s="1167"/>
      <c r="DK173" s="1167"/>
      <c r="DL173" s="1167"/>
      <c r="DM173" s="1167"/>
      <c r="DN173" s="1167"/>
      <c r="DO173" s="1555"/>
      <c r="DP173" s="1553"/>
      <c r="DQ173" s="1589"/>
      <c r="DR173" s="858">
        <f t="shared" si="427"/>
        <v>-4336667.0810607774</v>
      </c>
      <c r="DS173" s="859">
        <f t="shared" si="427"/>
        <v>-4104562.014220451</v>
      </c>
      <c r="DT173" s="1167"/>
      <c r="DU173" s="1167"/>
      <c r="DV173" s="1167"/>
      <c r="DW173" s="1167"/>
      <c r="DX173" s="1167"/>
      <c r="DY173" s="1167"/>
      <c r="DZ173" s="93"/>
      <c r="EA173" s="93"/>
      <c r="EB173" s="93"/>
      <c r="EC173" s="93"/>
      <c r="ED173" s="93"/>
      <c r="EE173" s="93"/>
      <c r="EF173" s="93"/>
      <c r="EG173" s="1571"/>
      <c r="EH173" s="1174" t="s">
        <v>224</v>
      </c>
      <c r="EI173" s="1168" t="e">
        <f t="shared" si="396"/>
        <v>#REF!</v>
      </c>
      <c r="EJ173" s="1168" t="e">
        <f t="shared" si="397"/>
        <v>#REF!</v>
      </c>
      <c r="EK173" s="1168" t="e">
        <f t="shared" si="398"/>
        <v>#REF!</v>
      </c>
      <c r="EL173" s="1168" t="e">
        <f t="shared" si="399"/>
        <v>#REF!</v>
      </c>
      <c r="EM173" s="1168" t="e">
        <f t="shared" si="400"/>
        <v>#REF!</v>
      </c>
      <c r="EN173" s="1168" t="e">
        <f t="shared" si="401"/>
        <v>#REF!</v>
      </c>
      <c r="EO173" s="1168" t="e">
        <f t="shared" si="402"/>
        <v>#REF!</v>
      </c>
      <c r="EP173" s="1168" t="e">
        <f t="shared" si="403"/>
        <v>#REF!</v>
      </c>
      <c r="EQ173" s="1168" t="e">
        <f t="shared" si="404"/>
        <v>#REF!</v>
      </c>
      <c r="ER173" s="1168" t="e">
        <f t="shared" si="405"/>
        <v>#REF!</v>
      </c>
      <c r="ES173" s="1168" t="e">
        <f t="shared" si="406"/>
        <v>#REF!</v>
      </c>
      <c r="ET173" s="1168" t="e">
        <f t="shared" si="407"/>
        <v>#REF!</v>
      </c>
      <c r="EU173" s="1168">
        <f t="shared" si="408"/>
        <v>-1112907.6882421179</v>
      </c>
      <c r="EV173" s="1168">
        <f t="shared" si="409"/>
        <v>-1093818.7562447828</v>
      </c>
      <c r="EW173" s="1168">
        <f t="shared" si="410"/>
        <v>-1074586.4642728865</v>
      </c>
      <c r="EX173" s="1168">
        <f t="shared" si="411"/>
        <v>-1055354.1723009902</v>
      </c>
      <c r="EY173" s="1168">
        <f t="shared" si="412"/>
        <v>-1039565.9189083696</v>
      </c>
      <c r="EZ173" s="1168">
        <f t="shared" si="413"/>
        <v>-1030615.6420061984</v>
      </c>
      <c r="FA173" s="1168">
        <f t="shared" si="414"/>
        <v>-1021665.3651040271</v>
      </c>
      <c r="FB173" s="1168">
        <f t="shared" si="415"/>
        <v>-1012715.0882018559</v>
      </c>
      <c r="FC173" s="1168"/>
      <c r="FD173" s="1168"/>
      <c r="FE173" s="1168"/>
      <c r="FF173" s="1168"/>
      <c r="FG173" s="1168"/>
      <c r="FH173" s="1168"/>
      <c r="FI173" s="1168"/>
      <c r="FJ173" s="1168"/>
      <c r="FK173" s="1168"/>
      <c r="FL173" s="1168"/>
      <c r="FM173" s="1168"/>
      <c r="FN173" s="1168"/>
      <c r="FO173" s="1168"/>
      <c r="FP173" s="1168"/>
      <c r="FQ173" s="1168"/>
      <c r="FR173" s="1168"/>
      <c r="FS173" s="1168"/>
      <c r="FT173" s="1168"/>
      <c r="FU173" s="1168"/>
      <c r="FV173" s="1168"/>
      <c r="FW173" s="1168"/>
      <c r="FX173" s="1143"/>
      <c r="FY173" s="93"/>
      <c r="FZ173" s="93"/>
      <c r="GA173" s="93"/>
      <c r="GB173" s="93"/>
      <c r="GC173" s="93"/>
      <c r="GD173" s="1189">
        <f t="shared" si="418"/>
        <v>-1084166.7702651944</v>
      </c>
      <c r="GE173" s="1573"/>
      <c r="GF173" s="1177">
        <f t="shared" si="419"/>
        <v>-1026140.5035551128</v>
      </c>
      <c r="GG173" s="1573"/>
      <c r="GH173" s="1559"/>
      <c r="GI173" s="93"/>
      <c r="GJ173" s="1571"/>
      <c r="GK173" s="1568"/>
      <c r="GL173" s="93"/>
      <c r="GM173" s="93"/>
      <c r="GN173" s="93"/>
      <c r="GO173" s="93"/>
      <c r="GP173" s="93"/>
      <c r="GQ173" s="93"/>
      <c r="GR173" s="93"/>
      <c r="GS173" s="93"/>
    </row>
    <row r="174" spans="1:201" ht="15" thickBot="1">
      <c r="A174" s="1587"/>
      <c r="B174" s="1190" t="s">
        <v>225</v>
      </c>
      <c r="C174" s="661">
        <f t="shared" si="351"/>
        <v>0</v>
      </c>
      <c r="D174" s="661">
        <f t="shared" si="352"/>
        <v>0</v>
      </c>
      <c r="E174" s="661">
        <f t="shared" si="353"/>
        <v>0</v>
      </c>
      <c r="F174" s="661">
        <f t="shared" si="354"/>
        <v>0</v>
      </c>
      <c r="G174" s="661">
        <f t="shared" si="355"/>
        <v>0</v>
      </c>
      <c r="H174" s="661">
        <f t="shared" si="356"/>
        <v>0</v>
      </c>
      <c r="I174" s="661">
        <f t="shared" si="357"/>
        <v>0</v>
      </c>
      <c r="J174" s="661">
        <f t="shared" si="358"/>
        <v>0</v>
      </c>
      <c r="K174" s="661">
        <f t="shared" si="359"/>
        <v>0</v>
      </c>
      <c r="L174" s="661">
        <f t="shared" si="360"/>
        <v>0</v>
      </c>
      <c r="M174" s="661">
        <f t="shared" si="361"/>
        <v>0</v>
      </c>
      <c r="N174" s="661">
        <f t="shared" si="362"/>
        <v>0</v>
      </c>
      <c r="O174" s="661">
        <f t="shared" si="363"/>
        <v>1290174.4799999997</v>
      </c>
      <c r="P174" s="661">
        <f t="shared" si="364"/>
        <v>1306290.5269869359</v>
      </c>
      <c r="Q174" s="661">
        <f t="shared" si="365"/>
        <v>1322172.4786828253</v>
      </c>
      <c r="R174" s="661">
        <f t="shared" si="366"/>
        <v>1338054.4303787153</v>
      </c>
      <c r="S174" s="661">
        <f t="shared" si="367"/>
        <v>1385287.7805799646</v>
      </c>
      <c r="T174" s="661">
        <f t="shared" si="368"/>
        <v>1395899.6699546385</v>
      </c>
      <c r="U174" s="661">
        <f t="shared" si="369"/>
        <v>1406511.5593293128</v>
      </c>
      <c r="V174" s="661">
        <f t="shared" si="370"/>
        <v>1417123.4487039868</v>
      </c>
      <c r="W174" s="661"/>
      <c r="X174" s="661"/>
      <c r="Y174" s="661"/>
      <c r="Z174" s="661"/>
      <c r="AA174" s="661"/>
      <c r="AB174" s="661"/>
      <c r="AC174" s="661"/>
      <c r="AD174" s="661"/>
      <c r="AE174" s="661"/>
      <c r="AF174" s="661"/>
      <c r="AG174" s="661"/>
      <c r="AH174" s="661"/>
      <c r="AI174" s="661"/>
      <c r="AJ174" s="661"/>
      <c r="AK174" s="661"/>
      <c r="AL174" s="661"/>
      <c r="AM174" s="661"/>
      <c r="AN174" s="661"/>
      <c r="AO174" s="661"/>
      <c r="AP174" s="661"/>
      <c r="AQ174" s="1553"/>
      <c r="AR174" s="1553"/>
      <c r="AS174" s="1589"/>
      <c r="AT174" s="858">
        <f t="shared" si="373"/>
        <v>5256691.9160484765</v>
      </c>
      <c r="AU174" s="858">
        <f t="shared" si="374"/>
        <v>5604822.4585679024</v>
      </c>
      <c r="AV174" s="1167"/>
      <c r="AW174" s="1167"/>
      <c r="AX174" s="1167"/>
      <c r="AY174" s="1167"/>
      <c r="AZ174" s="1167"/>
      <c r="BA174" s="1167"/>
      <c r="BB174" s="1167"/>
      <c r="BC174" s="1167"/>
      <c r="BD174" s="1167"/>
      <c r="BE174" s="1167"/>
      <c r="BF174" s="1167"/>
      <c r="BG174" s="93"/>
      <c r="BH174" s="93"/>
      <c r="BI174" s="93"/>
      <c r="BJ174" s="93"/>
      <c r="BK174" s="93"/>
      <c r="BL174" s="93"/>
      <c r="BM174" s="93"/>
      <c r="BN174" s="93"/>
      <c r="BO174" s="1587"/>
      <c r="BP174" s="1190" t="s">
        <v>225</v>
      </c>
      <c r="BQ174" s="1168">
        <f t="shared" si="375"/>
        <v>0</v>
      </c>
      <c r="BR174" s="1168">
        <f t="shared" si="376"/>
        <v>0</v>
      </c>
      <c r="BS174" s="1168">
        <f t="shared" si="377"/>
        <v>0</v>
      </c>
      <c r="BT174" s="1168">
        <f t="shared" si="378"/>
        <v>0</v>
      </c>
      <c r="BU174" s="1168">
        <f t="shared" si="379"/>
        <v>0</v>
      </c>
      <c r="BV174" s="1168">
        <f t="shared" si="380"/>
        <v>0</v>
      </c>
      <c r="BW174" s="1168">
        <f t="shared" si="381"/>
        <v>0</v>
      </c>
      <c r="BX174" s="1168">
        <f t="shared" si="382"/>
        <v>0</v>
      </c>
      <c r="BY174" s="1168">
        <f t="shared" si="383"/>
        <v>0</v>
      </c>
      <c r="BZ174" s="1168">
        <f t="shared" si="384"/>
        <v>0</v>
      </c>
      <c r="CA174" s="1168">
        <f t="shared" si="385"/>
        <v>0</v>
      </c>
      <c r="CB174" s="1168">
        <f t="shared" si="386"/>
        <v>0</v>
      </c>
      <c r="CC174" s="1168">
        <f t="shared" si="387"/>
        <v>820000.38101620739</v>
      </c>
      <c r="CD174" s="1168">
        <f t="shared" si="388"/>
        <v>820000.38101620739</v>
      </c>
      <c r="CE174" s="1168">
        <f t="shared" si="389"/>
        <v>820000.38101620739</v>
      </c>
      <c r="CF174" s="1168">
        <f t="shared" si="390"/>
        <v>820000.38101620739</v>
      </c>
      <c r="CG174" s="1168">
        <f t="shared" si="391"/>
        <v>820000.38101620739</v>
      </c>
      <c r="CH174" s="1168">
        <f t="shared" si="392"/>
        <v>820000.38101620739</v>
      </c>
      <c r="CI174" s="1168">
        <f t="shared" si="393"/>
        <v>820000.38101620739</v>
      </c>
      <c r="CJ174" s="1168">
        <f t="shared" si="394"/>
        <v>820000.38101620739</v>
      </c>
      <c r="CK174" s="1168"/>
      <c r="CL174" s="1168"/>
      <c r="CM174" s="1168"/>
      <c r="CN174" s="1168"/>
      <c r="CO174" s="1168"/>
      <c r="CP174" s="1168"/>
      <c r="CQ174" s="1168"/>
      <c r="CR174" s="1168"/>
      <c r="CS174" s="1168"/>
      <c r="CT174" s="1168"/>
      <c r="CU174" s="1168"/>
      <c r="CV174" s="1168"/>
      <c r="CW174" s="1168"/>
      <c r="CX174" s="1168"/>
      <c r="CY174" s="1168"/>
      <c r="CZ174" s="1168"/>
      <c r="DA174" s="1168"/>
      <c r="DB174" s="1168"/>
      <c r="DC174" s="1168"/>
      <c r="DD174" s="1168"/>
      <c r="DE174" s="1555"/>
      <c r="DF174" s="1553"/>
      <c r="DG174" s="1589"/>
      <c r="DH174" s="858">
        <f t="shared" si="423"/>
        <v>3280001.5240648296</v>
      </c>
      <c r="DI174" s="859">
        <f t="shared" si="424"/>
        <v>3280001.5240648296</v>
      </c>
      <c r="DJ174" s="1167"/>
      <c r="DK174" s="1167"/>
      <c r="DL174" s="1167"/>
      <c r="DM174" s="1167"/>
      <c r="DN174" s="1167"/>
      <c r="DO174" s="1555"/>
      <c r="DP174" s="1553"/>
      <c r="DQ174" s="1589"/>
      <c r="DR174" s="858">
        <f t="shared" si="427"/>
        <v>1976690.3919836469</v>
      </c>
      <c r="DS174" s="859">
        <f t="shared" si="427"/>
        <v>2324820.9345030729</v>
      </c>
      <c r="DT174" s="1167"/>
      <c r="DU174" s="1167"/>
      <c r="DV174" s="1167"/>
      <c r="DW174" s="1167"/>
      <c r="DX174" s="1167"/>
      <c r="DY174" s="1167"/>
      <c r="DZ174" s="93"/>
      <c r="EA174" s="93"/>
      <c r="EB174" s="93"/>
      <c r="EC174" s="93"/>
      <c r="ED174" s="93"/>
      <c r="EE174" s="93"/>
      <c r="EF174" s="93"/>
      <c r="EG174" s="1587"/>
      <c r="EH174" s="1191" t="s">
        <v>225</v>
      </c>
      <c r="EI174" s="1168">
        <f t="shared" si="396"/>
        <v>0</v>
      </c>
      <c r="EJ174" s="1168">
        <f t="shared" si="397"/>
        <v>0</v>
      </c>
      <c r="EK174" s="1168">
        <f t="shared" si="398"/>
        <v>0</v>
      </c>
      <c r="EL174" s="1168">
        <f t="shared" si="399"/>
        <v>0</v>
      </c>
      <c r="EM174" s="1168">
        <f t="shared" si="400"/>
        <v>0</v>
      </c>
      <c r="EN174" s="1168">
        <f t="shared" si="401"/>
        <v>0</v>
      </c>
      <c r="EO174" s="1168">
        <f t="shared" si="402"/>
        <v>0</v>
      </c>
      <c r="EP174" s="1168">
        <f t="shared" si="403"/>
        <v>0</v>
      </c>
      <c r="EQ174" s="1168">
        <f t="shared" si="404"/>
        <v>0</v>
      </c>
      <c r="ER174" s="1168">
        <f t="shared" si="405"/>
        <v>0</v>
      </c>
      <c r="ES174" s="1168">
        <f t="shared" si="406"/>
        <v>0</v>
      </c>
      <c r="ET174" s="1168">
        <f t="shared" si="407"/>
        <v>0</v>
      </c>
      <c r="EU174" s="1168">
        <f t="shared" si="408"/>
        <v>470174.09898379236</v>
      </c>
      <c r="EV174" s="1168">
        <f t="shared" si="409"/>
        <v>486290.14597072848</v>
      </c>
      <c r="EW174" s="1168">
        <f t="shared" si="410"/>
        <v>502172.09766661795</v>
      </c>
      <c r="EX174" s="1168">
        <f t="shared" si="411"/>
        <v>518054.04936250788</v>
      </c>
      <c r="EY174" s="1168">
        <f t="shared" si="412"/>
        <v>565287.39956375724</v>
      </c>
      <c r="EZ174" s="1168">
        <f t="shared" si="413"/>
        <v>575899.28893843107</v>
      </c>
      <c r="FA174" s="1168">
        <f t="shared" si="414"/>
        <v>586511.17831310537</v>
      </c>
      <c r="FB174" s="1168">
        <f t="shared" si="415"/>
        <v>597123.06768777943</v>
      </c>
      <c r="FC174" s="1168"/>
      <c r="FD174" s="1168"/>
      <c r="FE174" s="1168"/>
      <c r="FF174" s="1168"/>
      <c r="FG174" s="1168"/>
      <c r="FH174" s="1168"/>
      <c r="FI174" s="1168"/>
      <c r="FJ174" s="1168"/>
      <c r="FK174" s="1168"/>
      <c r="FL174" s="1168"/>
      <c r="FM174" s="1168"/>
      <c r="FN174" s="1168"/>
      <c r="FO174" s="1168"/>
      <c r="FP174" s="1168"/>
      <c r="FQ174" s="1168"/>
      <c r="FR174" s="1168"/>
      <c r="FS174" s="1168"/>
      <c r="FT174" s="1168"/>
      <c r="FU174" s="1168"/>
      <c r="FV174" s="1168"/>
      <c r="FW174" s="1168"/>
      <c r="FX174" s="1149"/>
      <c r="FY174" s="1150"/>
      <c r="FZ174" s="1150"/>
      <c r="GA174" s="1150"/>
      <c r="GB174" s="1150"/>
      <c r="GC174" s="1150"/>
      <c r="GD174" s="1192">
        <f t="shared" si="418"/>
        <v>494172.59799591167</v>
      </c>
      <c r="GE174" s="1573"/>
      <c r="GF174" s="1176">
        <f t="shared" si="419"/>
        <v>581205.23362576822</v>
      </c>
      <c r="GG174" s="1573"/>
      <c r="GH174" s="1559"/>
      <c r="GI174" s="93"/>
      <c r="GJ174" s="1587"/>
      <c r="GK174" s="1568"/>
      <c r="GL174" s="93"/>
      <c r="GM174" s="93"/>
      <c r="GN174" s="93"/>
      <c r="GO174" s="93"/>
      <c r="GP174" s="93"/>
      <c r="GQ174" s="93"/>
      <c r="GR174" s="93"/>
      <c r="GS174" s="93"/>
    </row>
    <row r="175" spans="1:201">
      <c r="A175" s="1193"/>
      <c r="B175" s="1158"/>
      <c r="C175" s="1106"/>
      <c r="D175" s="1106"/>
      <c r="E175" s="1106"/>
      <c r="F175" s="1106"/>
      <c r="G175" s="1106"/>
      <c r="H175" s="1106"/>
      <c r="I175" s="1106"/>
      <c r="J175" s="1106"/>
      <c r="K175" s="1106"/>
      <c r="L175" s="1106"/>
      <c r="M175" s="1106"/>
      <c r="N175" s="1106"/>
      <c r="O175" s="1106"/>
      <c r="P175" s="1106"/>
      <c r="Q175" s="661"/>
      <c r="R175" s="661"/>
      <c r="S175" s="661"/>
      <c r="T175" s="661"/>
      <c r="U175" s="661"/>
      <c r="V175" s="661"/>
      <c r="W175" s="661"/>
      <c r="X175" s="661"/>
      <c r="Y175" s="661"/>
      <c r="Z175" s="661"/>
      <c r="AA175" s="661"/>
      <c r="AB175" s="661"/>
      <c r="AC175" s="661"/>
      <c r="AD175" s="661"/>
      <c r="AE175" s="661"/>
      <c r="AF175" s="661"/>
      <c r="AG175" s="661"/>
      <c r="AH175" s="661"/>
      <c r="AI175" s="661"/>
      <c r="AJ175" s="661"/>
      <c r="AK175" s="661"/>
      <c r="AL175" s="661"/>
      <c r="AM175" s="661"/>
      <c r="AN175" s="661"/>
      <c r="AO175" s="661"/>
      <c r="AP175" s="661"/>
      <c r="AQ175" s="1553"/>
      <c r="AR175" s="1553"/>
      <c r="AS175" s="1589"/>
      <c r="AT175" s="858">
        <f t="shared" si="373"/>
        <v>0</v>
      </c>
      <c r="AU175" s="858">
        <f t="shared" si="374"/>
        <v>0</v>
      </c>
      <c r="AV175" s="1167"/>
      <c r="AW175" s="1167"/>
      <c r="AX175" s="1167"/>
      <c r="AY175" s="1167"/>
      <c r="AZ175" s="1167"/>
      <c r="BA175" s="1167"/>
      <c r="BB175" s="1167"/>
      <c r="BC175" s="1167"/>
      <c r="BD175" s="1167"/>
      <c r="BE175" s="1167"/>
      <c r="BF175" s="1167"/>
      <c r="BG175" s="93"/>
      <c r="BH175" s="93"/>
      <c r="BI175" s="93"/>
      <c r="BJ175" s="93"/>
      <c r="BK175" s="93"/>
      <c r="BL175" s="93"/>
      <c r="BM175" s="93"/>
      <c r="BN175" s="93"/>
      <c r="BO175" s="1193"/>
      <c r="BP175" s="1158"/>
      <c r="BQ175" s="93"/>
      <c r="BR175" s="93"/>
      <c r="BS175" s="93"/>
      <c r="BT175" s="93"/>
      <c r="BU175" s="93"/>
      <c r="BV175" s="93"/>
      <c r="BW175" s="93"/>
      <c r="BX175" s="93"/>
      <c r="BY175" s="93"/>
      <c r="BZ175" s="93"/>
      <c r="CA175" s="93"/>
      <c r="CB175" s="93"/>
      <c r="CC175" s="93"/>
      <c r="CD175" s="93"/>
      <c r="CE175" s="1168"/>
      <c r="CF175" s="1168"/>
      <c r="CG175" s="1168"/>
      <c r="CH175" s="1168"/>
      <c r="CI175" s="1168"/>
      <c r="CJ175" s="1168"/>
      <c r="CK175" s="1168"/>
      <c r="CL175" s="1168"/>
      <c r="CM175" s="1168"/>
      <c r="CN175" s="1168"/>
      <c r="CO175" s="1168"/>
      <c r="CP175" s="1168"/>
      <c r="CQ175" s="1168"/>
      <c r="CR175" s="1168"/>
      <c r="CS175" s="1168"/>
      <c r="CT175" s="1168"/>
      <c r="CU175" s="1168"/>
      <c r="CV175" s="1168"/>
      <c r="CW175" s="1168"/>
      <c r="CX175" s="1168"/>
      <c r="CY175" s="1168"/>
      <c r="CZ175" s="1168"/>
      <c r="DA175" s="1168"/>
      <c r="DB175" s="1168"/>
      <c r="DC175" s="1168"/>
      <c r="DD175" s="1168"/>
      <c r="DE175" s="1555"/>
      <c r="DF175" s="1553"/>
      <c r="DG175" s="1589"/>
      <c r="DH175" s="1644"/>
      <c r="DI175" s="1645"/>
      <c r="DJ175" s="1167"/>
      <c r="DK175" s="1167"/>
      <c r="DL175" s="1167"/>
      <c r="DM175" s="1167"/>
      <c r="DN175" s="1167"/>
      <c r="DO175" s="1555"/>
      <c r="DP175" s="1553"/>
      <c r="DQ175" s="1589"/>
      <c r="DR175" s="1644"/>
      <c r="DS175" s="1645"/>
      <c r="DT175" s="1167"/>
      <c r="DU175" s="1167"/>
      <c r="DV175" s="1167"/>
      <c r="DW175" s="1167"/>
      <c r="DX175" s="1167"/>
      <c r="DY175" s="1167"/>
      <c r="DZ175" s="93"/>
      <c r="EA175" s="93"/>
      <c r="EB175" s="93"/>
      <c r="EC175" s="93"/>
      <c r="ED175" s="93"/>
      <c r="EE175" s="93"/>
      <c r="EF175" s="93"/>
      <c r="EG175" s="1193"/>
      <c r="EH175" s="1158"/>
      <c r="EI175" s="93"/>
      <c r="EJ175" s="93"/>
      <c r="EK175" s="1168"/>
      <c r="EL175" s="1168"/>
      <c r="EM175" s="1168"/>
      <c r="EN175" s="1168"/>
      <c r="EO175" s="1168"/>
      <c r="EP175" s="1168"/>
      <c r="EQ175" s="1168"/>
      <c r="ER175" s="1168"/>
      <c r="ES175" s="1168"/>
      <c r="ET175" s="1168"/>
      <c r="EU175" s="1168"/>
      <c r="EV175" s="1168"/>
      <c r="EW175" s="1168"/>
      <c r="EX175" s="1168"/>
      <c r="EY175" s="1168"/>
      <c r="EZ175" s="1168"/>
      <c r="FA175" s="1168"/>
      <c r="FB175" s="1168"/>
      <c r="FC175" s="1168"/>
      <c r="FD175" s="1168"/>
      <c r="FE175" s="1168"/>
      <c r="FF175" s="1168"/>
      <c r="FG175" s="1168"/>
      <c r="FH175" s="1168"/>
      <c r="FI175" s="1168"/>
      <c r="FJ175" s="1168"/>
      <c r="FK175" s="1168"/>
      <c r="FL175" s="1168"/>
      <c r="FM175" s="1168"/>
      <c r="FN175" s="1168"/>
      <c r="FO175" s="1168"/>
      <c r="FP175" s="1168"/>
      <c r="FQ175" s="1168"/>
      <c r="FR175" s="1168"/>
      <c r="FS175" s="1168"/>
      <c r="FT175" s="1168"/>
      <c r="FU175" s="1168"/>
      <c r="FV175" s="1168"/>
      <c r="FW175" s="1168"/>
      <c r="FX175" s="93"/>
      <c r="FY175" s="93"/>
      <c r="FZ175" s="93"/>
      <c r="GA175" s="93"/>
      <c r="GB175" s="93"/>
      <c r="GC175" s="93"/>
      <c r="GD175" s="1186"/>
      <c r="GE175" s="1183"/>
      <c r="GF175" s="1186"/>
      <c r="GG175" s="1183"/>
      <c r="GH175" s="1559"/>
      <c r="GI175" s="93"/>
      <c r="GJ175" s="93"/>
      <c r="GK175" s="1568"/>
      <c r="GL175" s="93"/>
      <c r="GM175" s="93"/>
      <c r="GN175" s="93"/>
      <c r="GO175" s="93"/>
      <c r="GP175" s="93"/>
      <c r="GQ175" s="93"/>
      <c r="GR175" s="93"/>
      <c r="GS175" s="93"/>
    </row>
    <row r="176" spans="1:201">
      <c r="A176" s="1193"/>
      <c r="B176" s="1158"/>
      <c r="C176" s="1106"/>
      <c r="D176" s="1106"/>
      <c r="E176" s="1106"/>
      <c r="F176" s="1106"/>
      <c r="G176" s="1106"/>
      <c r="H176" s="1106"/>
      <c r="I176" s="1106"/>
      <c r="J176" s="1106"/>
      <c r="K176" s="1106"/>
      <c r="L176" s="1106"/>
      <c r="M176" s="1106"/>
      <c r="N176" s="1106"/>
      <c r="O176" s="1106"/>
      <c r="P176" s="1106"/>
      <c r="Q176" s="661"/>
      <c r="R176" s="661"/>
      <c r="S176" s="661"/>
      <c r="T176" s="661"/>
      <c r="U176" s="661"/>
      <c r="V176" s="661"/>
      <c r="W176" s="661"/>
      <c r="X176" s="661"/>
      <c r="Y176" s="661"/>
      <c r="Z176" s="661"/>
      <c r="AA176" s="661"/>
      <c r="AB176" s="661"/>
      <c r="AC176" s="661"/>
      <c r="AD176" s="661"/>
      <c r="AE176" s="661"/>
      <c r="AF176" s="661"/>
      <c r="AG176" s="661"/>
      <c r="AH176" s="661"/>
      <c r="AI176" s="661"/>
      <c r="AJ176" s="661"/>
      <c r="AK176" s="661"/>
      <c r="AL176" s="661"/>
      <c r="AM176" s="661"/>
      <c r="AN176" s="661"/>
      <c r="AO176" s="661"/>
      <c r="AP176" s="661"/>
      <c r="AQ176" s="1553"/>
      <c r="AR176" s="1553"/>
      <c r="AS176" s="1589"/>
      <c r="AT176" s="858">
        <f t="shared" si="373"/>
        <v>0</v>
      </c>
      <c r="AU176" s="858">
        <f t="shared" si="374"/>
        <v>0</v>
      </c>
      <c r="AV176" s="1167"/>
      <c r="AW176" s="1167"/>
      <c r="AX176" s="1167"/>
      <c r="AY176" s="1167"/>
      <c r="AZ176" s="1167"/>
      <c r="BA176" s="1167"/>
      <c r="BB176" s="1167"/>
      <c r="BC176" s="1167"/>
      <c r="BD176" s="1167"/>
      <c r="BE176" s="1167"/>
      <c r="BF176" s="1167"/>
      <c r="BG176" s="93"/>
      <c r="BH176" s="93"/>
      <c r="BI176" s="93"/>
      <c r="BJ176" s="93"/>
      <c r="BK176" s="93"/>
      <c r="BL176" s="93"/>
      <c r="BM176" s="93"/>
      <c r="BN176" s="93"/>
      <c r="BO176" s="1193"/>
      <c r="BP176" s="1158"/>
      <c r="BQ176" s="93"/>
      <c r="BR176" s="93"/>
      <c r="BS176" s="93"/>
      <c r="BT176" s="93"/>
      <c r="BU176" s="93"/>
      <c r="BV176" s="93"/>
      <c r="BW176" s="93"/>
      <c r="BX176" s="93"/>
      <c r="BY176" s="93"/>
      <c r="BZ176" s="93"/>
      <c r="CA176" s="93"/>
      <c r="CB176" s="93"/>
      <c r="CC176" s="93"/>
      <c r="CD176" s="93"/>
      <c r="CE176" s="1168"/>
      <c r="CF176" s="1168"/>
      <c r="CG176" s="1168"/>
      <c r="CH176" s="1168"/>
      <c r="CI176" s="1168"/>
      <c r="CJ176" s="1168"/>
      <c r="CK176" s="1168"/>
      <c r="CL176" s="1168"/>
      <c r="CM176" s="1168"/>
      <c r="CN176" s="1168"/>
      <c r="CO176" s="1168"/>
      <c r="CP176" s="1168"/>
      <c r="CQ176" s="1168"/>
      <c r="CR176" s="1168"/>
      <c r="CS176" s="1168"/>
      <c r="CT176" s="1168"/>
      <c r="CU176" s="1168"/>
      <c r="CV176" s="1168"/>
      <c r="CW176" s="1168"/>
      <c r="CX176" s="1168"/>
      <c r="CY176" s="1168"/>
      <c r="CZ176" s="1168"/>
      <c r="DA176" s="1168"/>
      <c r="DB176" s="1168"/>
      <c r="DC176" s="1168"/>
      <c r="DD176" s="1168"/>
      <c r="DE176" s="1555"/>
      <c r="DF176" s="1553"/>
      <c r="DG176" s="1589"/>
      <c r="DH176" s="1646"/>
      <c r="DI176" s="1647"/>
      <c r="DJ176" s="1167"/>
      <c r="DK176" s="1167"/>
      <c r="DL176" s="1167"/>
      <c r="DM176" s="1167"/>
      <c r="DN176" s="1167"/>
      <c r="DO176" s="1555"/>
      <c r="DP176" s="1553"/>
      <c r="DQ176" s="1589"/>
      <c r="DR176" s="1646"/>
      <c r="DS176" s="1647"/>
      <c r="DT176" s="1167"/>
      <c r="DU176" s="1167"/>
      <c r="DV176" s="1167"/>
      <c r="DW176" s="1167"/>
      <c r="DX176" s="1167"/>
      <c r="DY176" s="1167"/>
      <c r="DZ176" s="93"/>
      <c r="EA176" s="93"/>
      <c r="EB176" s="93"/>
      <c r="EC176" s="93"/>
      <c r="ED176" s="93"/>
      <c r="EE176" s="93"/>
      <c r="EF176" s="93"/>
      <c r="EG176" s="1193"/>
      <c r="EH176" s="1158"/>
      <c r="EI176" s="93"/>
      <c r="EJ176" s="93"/>
      <c r="EK176" s="1168"/>
      <c r="EL176" s="1168"/>
      <c r="EM176" s="1168"/>
      <c r="EN176" s="1168"/>
      <c r="EO176" s="1168"/>
      <c r="EP176" s="1168"/>
      <c r="EQ176" s="1168"/>
      <c r="ER176" s="1168"/>
      <c r="ES176" s="1168"/>
      <c r="ET176" s="1168"/>
      <c r="EU176" s="1168"/>
      <c r="EV176" s="1168"/>
      <c r="EW176" s="1168"/>
      <c r="EX176" s="1168"/>
      <c r="EY176" s="1168"/>
      <c r="EZ176" s="1168"/>
      <c r="FA176" s="1168"/>
      <c r="FB176" s="1168"/>
      <c r="FC176" s="1168"/>
      <c r="FD176" s="1168"/>
      <c r="FE176" s="1168"/>
      <c r="FF176" s="1168"/>
      <c r="FG176" s="1168"/>
      <c r="FH176" s="1168"/>
      <c r="FI176" s="1168"/>
      <c r="FJ176" s="1168"/>
      <c r="FK176" s="1168"/>
      <c r="FL176" s="1168"/>
      <c r="FM176" s="1168"/>
      <c r="FN176" s="1168"/>
      <c r="FO176" s="1168"/>
      <c r="FP176" s="1168"/>
      <c r="FQ176" s="1168"/>
      <c r="FR176" s="1168"/>
      <c r="FS176" s="1168"/>
      <c r="FT176" s="1168"/>
      <c r="FU176" s="1168"/>
      <c r="FV176" s="1168"/>
      <c r="FW176" s="1168"/>
      <c r="FX176" s="93"/>
      <c r="FY176" s="93"/>
      <c r="FZ176" s="93"/>
      <c r="GA176" s="93"/>
      <c r="GB176" s="93"/>
      <c r="GC176" s="93"/>
      <c r="GD176" s="1186"/>
      <c r="GE176" s="1183"/>
      <c r="GF176" s="1186"/>
      <c r="GG176" s="1183"/>
      <c r="GH176" s="1559"/>
      <c r="GI176" s="93"/>
      <c r="GJ176" s="93"/>
      <c r="GK176" s="1568"/>
      <c r="GL176" s="93"/>
      <c r="GM176" s="93"/>
      <c r="GN176" s="93"/>
      <c r="GO176" s="93"/>
      <c r="GP176" s="93"/>
      <c r="GQ176" s="93"/>
      <c r="GR176" s="93"/>
      <c r="GS176" s="93"/>
    </row>
    <row r="177" spans="1:201">
      <c r="A177" s="1193"/>
      <c r="B177" s="1104"/>
      <c r="C177" s="1106"/>
      <c r="D177" s="1106"/>
      <c r="E177" s="1106"/>
      <c r="F177" s="1106"/>
      <c r="G177" s="1106"/>
      <c r="H177" s="1106"/>
      <c r="I177" s="1106"/>
      <c r="J177" s="1106"/>
      <c r="K177" s="1106"/>
      <c r="L177" s="1106"/>
      <c r="M177" s="1106"/>
      <c r="N177" s="1106"/>
      <c r="O177" s="1106"/>
      <c r="P177" s="1106"/>
      <c r="Q177" s="661"/>
      <c r="R177" s="661"/>
      <c r="S177" s="661"/>
      <c r="T177" s="661"/>
      <c r="U177" s="661"/>
      <c r="V177" s="661"/>
      <c r="W177" s="661"/>
      <c r="X177" s="661"/>
      <c r="Y177" s="661"/>
      <c r="Z177" s="661"/>
      <c r="AA177" s="661"/>
      <c r="AB177" s="661"/>
      <c r="AC177" s="661"/>
      <c r="AD177" s="661"/>
      <c r="AE177" s="661"/>
      <c r="AF177" s="661"/>
      <c r="AG177" s="661"/>
      <c r="AH177" s="661"/>
      <c r="AI177" s="661"/>
      <c r="AJ177" s="661"/>
      <c r="AK177" s="661"/>
      <c r="AL177" s="661"/>
      <c r="AM177" s="661"/>
      <c r="AN177" s="661"/>
      <c r="AO177" s="661"/>
      <c r="AP177" s="661"/>
      <c r="AQ177" s="1553"/>
      <c r="AR177" s="1553"/>
      <c r="AS177" s="1589"/>
      <c r="AT177" s="858">
        <f t="shared" si="373"/>
        <v>0</v>
      </c>
      <c r="AU177" s="858">
        <f t="shared" si="374"/>
        <v>0</v>
      </c>
      <c r="AV177" s="1167"/>
      <c r="AW177" s="1167"/>
      <c r="AX177" s="1167"/>
      <c r="AY177" s="1167"/>
      <c r="AZ177" s="1167"/>
      <c r="BA177" s="1167"/>
      <c r="BB177" s="1167"/>
      <c r="BC177" s="1167"/>
      <c r="BD177" s="1167"/>
      <c r="BE177" s="1167"/>
      <c r="BF177" s="1167"/>
      <c r="BG177" s="93"/>
      <c r="BH177" s="93"/>
      <c r="BI177" s="93"/>
      <c r="BJ177" s="93"/>
      <c r="BK177" s="93"/>
      <c r="BL177" s="93"/>
      <c r="BM177" s="93"/>
      <c r="BN177" s="93"/>
      <c r="BO177" s="1193"/>
      <c r="BP177" s="1104"/>
      <c r="BQ177" s="93"/>
      <c r="BR177" s="93"/>
      <c r="BS177" s="93"/>
      <c r="BT177" s="93"/>
      <c r="BU177" s="93"/>
      <c r="BV177" s="93"/>
      <c r="BW177" s="93"/>
      <c r="BX177" s="93"/>
      <c r="BY177" s="93"/>
      <c r="BZ177" s="93"/>
      <c r="CA177" s="93"/>
      <c r="CB177" s="93"/>
      <c r="CC177" s="93"/>
      <c r="CD177" s="93"/>
      <c r="CE177" s="1168"/>
      <c r="CF177" s="1168"/>
      <c r="CG177" s="1168"/>
      <c r="CH177" s="1168"/>
      <c r="CI177" s="1168"/>
      <c r="CJ177" s="1168"/>
      <c r="CK177" s="1168"/>
      <c r="CL177" s="1168"/>
      <c r="CM177" s="1168"/>
      <c r="CN177" s="1168"/>
      <c r="CO177" s="1168"/>
      <c r="CP177" s="1168"/>
      <c r="CQ177" s="1168"/>
      <c r="CR177" s="1168"/>
      <c r="CS177" s="1168"/>
      <c r="CT177" s="1168"/>
      <c r="CU177" s="1168"/>
      <c r="CV177" s="1168"/>
      <c r="CW177" s="1168"/>
      <c r="CX177" s="1168"/>
      <c r="CY177" s="1168"/>
      <c r="CZ177" s="1168"/>
      <c r="DA177" s="1168"/>
      <c r="DB177" s="1168"/>
      <c r="DC177" s="1168"/>
      <c r="DD177" s="1168"/>
      <c r="DE177" s="1555"/>
      <c r="DF177" s="1553"/>
      <c r="DG177" s="1589"/>
      <c r="DH177" s="1648"/>
      <c r="DI177" s="1649"/>
      <c r="DJ177" s="1167"/>
      <c r="DK177" s="1167"/>
      <c r="DL177" s="1167"/>
      <c r="DM177" s="1167"/>
      <c r="DN177" s="1167"/>
      <c r="DO177" s="1555"/>
      <c r="DP177" s="1553"/>
      <c r="DQ177" s="1589"/>
      <c r="DR177" s="1648"/>
      <c r="DS177" s="1649"/>
      <c r="DT177" s="1167"/>
      <c r="DU177" s="1167"/>
      <c r="DV177" s="1167"/>
      <c r="DW177" s="1167"/>
      <c r="DX177" s="1167"/>
      <c r="DY177" s="1167"/>
      <c r="DZ177" s="93"/>
      <c r="EA177" s="93"/>
      <c r="EB177" s="93"/>
      <c r="EC177" s="93"/>
      <c r="ED177" s="93"/>
      <c r="EE177" s="93"/>
      <c r="EF177" s="93"/>
      <c r="EG177" s="1193"/>
      <c r="EH177" s="1104"/>
      <c r="EI177" s="93"/>
      <c r="EJ177" s="93"/>
      <c r="EK177" s="1168"/>
      <c r="EL177" s="1168"/>
      <c r="EM177" s="1168"/>
      <c r="EN177" s="1168"/>
      <c r="EO177" s="1168"/>
      <c r="EP177" s="1168"/>
      <c r="EQ177" s="1168"/>
      <c r="ER177" s="1168"/>
      <c r="ES177" s="1168"/>
      <c r="ET177" s="1168"/>
      <c r="EU177" s="1168"/>
      <c r="EV177" s="1168"/>
      <c r="EW177" s="1168"/>
      <c r="EX177" s="1168"/>
      <c r="EY177" s="1168"/>
      <c r="EZ177" s="1168"/>
      <c r="FA177" s="1168"/>
      <c r="FB177" s="1168"/>
      <c r="FC177" s="1168"/>
      <c r="FD177" s="1168"/>
      <c r="FE177" s="1168"/>
      <c r="FF177" s="1168"/>
      <c r="FG177" s="1168"/>
      <c r="FH177" s="1168"/>
      <c r="FI177" s="1168"/>
      <c r="FJ177" s="1168"/>
      <c r="FK177" s="1168"/>
      <c r="FL177" s="1168"/>
      <c r="FM177" s="1168"/>
      <c r="FN177" s="1168"/>
      <c r="FO177" s="1168"/>
      <c r="FP177" s="1168"/>
      <c r="FQ177" s="1168"/>
      <c r="FR177" s="1168"/>
      <c r="FS177" s="1168"/>
      <c r="FT177" s="1168"/>
      <c r="FU177" s="1168"/>
      <c r="FV177" s="1168"/>
      <c r="FW177" s="1168"/>
      <c r="FX177" s="93"/>
      <c r="FY177" s="93"/>
      <c r="FZ177" s="93"/>
      <c r="GA177" s="93"/>
      <c r="GB177" s="93"/>
      <c r="GC177" s="93"/>
      <c r="GD177" s="1186"/>
      <c r="GE177" s="1183"/>
      <c r="GF177" s="1186"/>
      <c r="GG177" s="1183"/>
      <c r="GH177" s="1560"/>
      <c r="GI177" s="93"/>
      <c r="GJ177" s="93"/>
      <c r="GK177" s="1568"/>
      <c r="GL177" s="93"/>
      <c r="GM177" s="93"/>
      <c r="GN177" s="93"/>
      <c r="GO177" s="93"/>
      <c r="GP177" s="93"/>
      <c r="GQ177" s="93"/>
      <c r="GR177" s="93"/>
      <c r="GS177" s="93"/>
    </row>
    <row r="178" spans="1:201">
      <c r="A178" s="1104"/>
      <c r="B178" s="1104"/>
      <c r="C178" s="1106"/>
      <c r="D178" s="1106"/>
      <c r="E178" s="1106"/>
      <c r="F178" s="1106"/>
      <c r="G178" s="1106"/>
      <c r="H178" s="1106"/>
      <c r="I178" s="1106"/>
      <c r="J178" s="1106"/>
      <c r="K178" s="1106"/>
      <c r="L178" s="1106"/>
      <c r="M178" s="1106"/>
      <c r="N178" s="1106"/>
      <c r="O178" s="1106"/>
      <c r="P178" s="1106"/>
      <c r="Q178" s="1106"/>
      <c r="R178" s="1106"/>
      <c r="S178" s="1106"/>
      <c r="T178" s="1106"/>
      <c r="U178" s="1106"/>
      <c r="V178" s="1106"/>
      <c r="W178" s="1106"/>
      <c r="X178" s="1106"/>
      <c r="Y178" s="1106"/>
      <c r="Z178" s="1106"/>
      <c r="AA178" s="1106"/>
      <c r="AB178" s="1106"/>
      <c r="AC178" s="1106"/>
      <c r="AD178" s="1106"/>
      <c r="AE178" s="1106"/>
      <c r="AF178" s="1106"/>
      <c r="AG178" s="1106"/>
      <c r="AH178" s="1106"/>
      <c r="AI178" s="1106"/>
      <c r="AJ178" s="1106"/>
      <c r="AK178" s="1106"/>
      <c r="AL178" s="1106"/>
      <c r="AM178" s="1106"/>
      <c r="AN178" s="1106"/>
      <c r="AO178" s="1106"/>
      <c r="AP178" s="1106"/>
      <c r="AQ178" s="1547" t="s">
        <v>646</v>
      </c>
      <c r="AR178" s="1547"/>
      <c r="AS178" s="1547"/>
      <c r="AT178" s="1547"/>
      <c r="AU178" s="1547"/>
      <c r="AV178" s="1104"/>
      <c r="AW178" s="1104"/>
      <c r="AX178" s="1104"/>
      <c r="AY178" s="1104"/>
      <c r="AZ178" s="1104"/>
      <c r="BA178" s="1104"/>
      <c r="BB178" s="1104"/>
      <c r="BC178" s="1104"/>
      <c r="BD178" s="1104"/>
      <c r="BE178" s="1104"/>
      <c r="BF178" s="1104"/>
      <c r="BG178" s="93"/>
      <c r="BH178" s="93"/>
      <c r="BI178" s="93"/>
      <c r="BJ178" s="93"/>
      <c r="BK178" s="93"/>
      <c r="BL178" s="93"/>
      <c r="BM178" s="93"/>
      <c r="BN178" s="93"/>
      <c r="BO178" s="93"/>
      <c r="BP178" s="93"/>
      <c r="BQ178" s="93"/>
      <c r="BR178" s="93"/>
      <c r="BS178" s="93"/>
      <c r="BT178" s="93"/>
      <c r="BU178" s="93"/>
      <c r="BV178" s="93"/>
      <c r="BW178" s="93"/>
      <c r="BX178" s="93"/>
      <c r="BY178" s="93"/>
      <c r="BZ178" s="93"/>
      <c r="CA178" s="93"/>
      <c r="CB178" s="93"/>
      <c r="CC178" s="93"/>
      <c r="CD178" s="93"/>
      <c r="CE178" s="1168"/>
      <c r="CF178" s="1168"/>
      <c r="CG178" s="1168"/>
      <c r="CH178" s="1168"/>
      <c r="CI178" s="1168"/>
      <c r="CJ178" s="1168"/>
      <c r="CK178" s="1168"/>
      <c r="CL178" s="1168"/>
      <c r="CM178" s="1168"/>
      <c r="CN178" s="1168"/>
      <c r="CO178" s="1168"/>
      <c r="CP178" s="1168"/>
      <c r="CQ178" s="1168"/>
      <c r="CR178" s="1168"/>
      <c r="CS178" s="1168"/>
      <c r="CT178" s="1168"/>
      <c r="CU178" s="1168"/>
      <c r="CV178" s="1168"/>
      <c r="CW178" s="1168"/>
      <c r="CX178" s="1168"/>
      <c r="CY178" s="1168"/>
      <c r="CZ178" s="1168"/>
      <c r="DA178" s="1168"/>
      <c r="DB178" s="1168"/>
      <c r="DC178" s="1168"/>
      <c r="DD178" s="1168"/>
      <c r="DE178" s="1546" t="s">
        <v>647</v>
      </c>
      <c r="DF178" s="1547"/>
      <c r="DG178" s="1547"/>
      <c r="DH178" s="1547"/>
      <c r="DI178" s="1548"/>
      <c r="DJ178" s="1104"/>
      <c r="DK178" s="1104"/>
      <c r="DL178" s="1104"/>
      <c r="DM178" s="1104"/>
      <c r="DN178" s="1104"/>
      <c r="DO178" s="1546" t="s">
        <v>647</v>
      </c>
      <c r="DP178" s="1547"/>
      <c r="DQ178" s="1547"/>
      <c r="DR178" s="1547"/>
      <c r="DS178" s="1548"/>
      <c r="DT178" s="1104"/>
      <c r="DU178" s="1104"/>
      <c r="DV178" s="1104"/>
      <c r="DW178" s="1104"/>
      <c r="DX178" s="1104"/>
      <c r="DY178" s="1104"/>
      <c r="DZ178" s="93"/>
      <c r="EA178" s="93"/>
      <c r="EB178" s="93"/>
      <c r="EC178" s="93"/>
      <c r="ED178" s="93"/>
      <c r="EE178" s="93"/>
      <c r="EF178" s="93"/>
      <c r="EG178" s="93"/>
      <c r="EH178" s="1547" t="s">
        <v>648</v>
      </c>
      <c r="EI178" s="1547"/>
      <c r="EJ178" s="1547"/>
      <c r="EK178" s="1547"/>
      <c r="EL178" s="1547"/>
      <c r="EM178" s="1547"/>
      <c r="EN178" s="1547"/>
      <c r="EO178" s="1547"/>
      <c r="EP178" s="1547"/>
      <c r="EQ178" s="1547"/>
      <c r="ER178" s="1547"/>
      <c r="ES178" s="1547"/>
      <c r="ET178" s="1547"/>
      <c r="EU178" s="1547"/>
      <c r="EV178" s="1547"/>
      <c r="EW178" s="1547"/>
      <c r="EX178" s="1547"/>
      <c r="EY178" s="1547"/>
      <c r="EZ178" s="1547"/>
      <c r="FA178" s="1547"/>
      <c r="FB178" s="1547"/>
      <c r="FC178" s="1104"/>
      <c r="FD178" s="1104"/>
      <c r="FE178" s="1104"/>
      <c r="FF178" s="1104"/>
      <c r="FG178" s="1104"/>
      <c r="FH178" s="1104"/>
      <c r="FI178" s="1104"/>
      <c r="FJ178" s="1104"/>
      <c r="FK178" s="1104"/>
      <c r="FL178" s="1104"/>
      <c r="FM178" s="1104"/>
      <c r="FN178" s="1104"/>
      <c r="FO178" s="1104"/>
      <c r="FP178" s="1104"/>
      <c r="FQ178" s="1104"/>
      <c r="FR178" s="1104"/>
      <c r="FS178" s="1104"/>
      <c r="FT178" s="1104"/>
      <c r="FU178" s="1104"/>
      <c r="FV178" s="1104"/>
      <c r="FW178" s="1104"/>
      <c r="FX178" s="93"/>
      <c r="FY178" s="93"/>
      <c r="FZ178" s="93"/>
      <c r="GA178" s="93"/>
      <c r="GB178" s="93"/>
      <c r="GC178" s="93"/>
      <c r="GD178" s="93"/>
      <c r="GE178" s="93"/>
      <c r="GF178" s="93"/>
      <c r="GG178" s="93"/>
      <c r="GH178" s="93"/>
      <c r="GI178" s="93"/>
      <c r="GJ178" s="93"/>
      <c r="GK178" s="93"/>
      <c r="GL178" s="93"/>
      <c r="GM178" s="93"/>
      <c r="GN178" s="93"/>
      <c r="GO178" s="93"/>
      <c r="GP178" s="93"/>
      <c r="GQ178" s="93"/>
      <c r="GR178" s="93"/>
      <c r="GS178" s="93"/>
    </row>
    <row r="179" spans="1:201" ht="15" thickBot="1">
      <c r="A179" s="1546" t="s">
        <v>649</v>
      </c>
      <c r="B179" s="1547"/>
      <c r="C179" s="1106" t="e">
        <f>SUM(C158:C177)</f>
        <v>#REF!</v>
      </c>
      <c r="D179" s="1106" t="e">
        <f t="shared" ref="D179:V179" si="428">SUM(D158:D177)</f>
        <v>#REF!</v>
      </c>
      <c r="E179" s="1106" t="e">
        <f t="shared" si="428"/>
        <v>#REF!</v>
      </c>
      <c r="F179" s="1106" t="e">
        <f t="shared" si="428"/>
        <v>#REF!</v>
      </c>
      <c r="G179" s="1106" t="e">
        <f t="shared" si="428"/>
        <v>#REF!</v>
      </c>
      <c r="H179" s="1106" t="e">
        <f t="shared" si="428"/>
        <v>#REF!</v>
      </c>
      <c r="I179" s="1106" t="e">
        <f t="shared" si="428"/>
        <v>#REF!</v>
      </c>
      <c r="J179" s="1106" t="e">
        <f t="shared" si="428"/>
        <v>#REF!</v>
      </c>
      <c r="K179" s="1106" t="e">
        <f t="shared" si="428"/>
        <v>#REF!</v>
      </c>
      <c r="L179" s="1106" t="e">
        <f t="shared" si="428"/>
        <v>#REF!</v>
      </c>
      <c r="M179" s="1106" t="e">
        <f t="shared" si="428"/>
        <v>#REF!</v>
      </c>
      <c r="N179" s="1106" t="e">
        <f t="shared" si="428"/>
        <v>#REF!</v>
      </c>
      <c r="O179" s="1106" t="e">
        <f t="shared" si="428"/>
        <v>#REF!</v>
      </c>
      <c r="P179" s="1106" t="e">
        <f t="shared" si="428"/>
        <v>#REF!</v>
      </c>
      <c r="Q179" s="1106" t="e">
        <f t="shared" si="428"/>
        <v>#REF!</v>
      </c>
      <c r="R179" s="1106" t="e">
        <f t="shared" si="428"/>
        <v>#REF!</v>
      </c>
      <c r="S179" s="1106" t="e">
        <f t="shared" si="428"/>
        <v>#REF!</v>
      </c>
      <c r="T179" s="1106" t="e">
        <f t="shared" si="428"/>
        <v>#REF!</v>
      </c>
      <c r="U179" s="1106" t="e">
        <f t="shared" si="428"/>
        <v>#REF!</v>
      </c>
      <c r="V179" s="1106" t="e">
        <f t="shared" si="428"/>
        <v>#REF!</v>
      </c>
      <c r="W179" s="1106"/>
      <c r="X179" s="1106"/>
      <c r="Y179" s="1106"/>
      <c r="Z179" s="1106"/>
      <c r="AA179" s="1106"/>
      <c r="AB179" s="1106"/>
      <c r="AC179" s="1106"/>
      <c r="AD179" s="1106"/>
      <c r="AE179" s="1106"/>
      <c r="AF179" s="1106"/>
      <c r="AG179" s="1106"/>
      <c r="AH179" s="1106"/>
      <c r="AI179" s="1106"/>
      <c r="AJ179" s="1106"/>
      <c r="AK179" s="1106"/>
      <c r="AL179" s="1106"/>
      <c r="AM179" s="1106"/>
      <c r="AN179" s="1106"/>
      <c r="AO179" s="1106"/>
      <c r="AP179" s="1106"/>
      <c r="AQ179" s="1147">
        <f>SUM(AQ158:AQ162)</f>
        <v>12531035.798222255</v>
      </c>
      <c r="AR179" s="1147" t="e">
        <f>SUM(AR158:AR166)</f>
        <v>#REF!</v>
      </c>
      <c r="AS179" s="1147" t="e">
        <f>SUM(AS158:AS171)</f>
        <v>#REF!</v>
      </c>
      <c r="AT179" s="1147" t="e">
        <f>SUM(AT158:AT177)</f>
        <v>#REF!</v>
      </c>
      <c r="AU179" s="1147" t="e">
        <f>SUM(AU158:AU177)</f>
        <v>#REF!</v>
      </c>
      <c r="AV179" s="1147"/>
      <c r="AW179" s="1147"/>
      <c r="AX179" s="1147"/>
      <c r="AY179" s="1147"/>
      <c r="AZ179" s="1147"/>
      <c r="BA179" s="1147"/>
      <c r="BB179" s="1147"/>
      <c r="BC179" s="1147"/>
      <c r="BD179" s="1147"/>
      <c r="BE179" s="1147"/>
      <c r="BF179" s="1147"/>
      <c r="BG179" s="93"/>
      <c r="BH179" s="93"/>
      <c r="BI179" s="93"/>
      <c r="BJ179" s="93"/>
      <c r="BK179" s="93"/>
      <c r="BL179" s="93"/>
      <c r="BM179" s="93"/>
      <c r="BN179" s="93"/>
      <c r="BO179" s="93"/>
      <c r="BP179" s="93"/>
      <c r="BQ179" s="93"/>
      <c r="BR179" s="93"/>
      <c r="BS179" s="93"/>
      <c r="BT179" s="93"/>
      <c r="BU179" s="93"/>
      <c r="BV179" s="93"/>
      <c r="BW179" s="93"/>
      <c r="BX179" s="93"/>
      <c r="BY179" s="93"/>
      <c r="BZ179" s="93"/>
      <c r="CA179" s="93"/>
      <c r="CB179" s="93"/>
      <c r="CC179" s="93"/>
      <c r="CD179" s="93"/>
      <c r="CE179" s="93"/>
      <c r="CF179" s="93"/>
      <c r="CG179" s="93"/>
      <c r="CH179" s="93"/>
      <c r="CI179" s="93"/>
      <c r="CJ179" s="93"/>
      <c r="CK179" s="93"/>
      <c r="CL179" s="93"/>
      <c r="CM179" s="93"/>
      <c r="CN179" s="93"/>
      <c r="CO179" s="93"/>
      <c r="CP179" s="93"/>
      <c r="CQ179" s="93"/>
      <c r="CR179" s="93"/>
      <c r="CS179" s="93"/>
      <c r="CT179" s="93"/>
      <c r="CU179" s="93"/>
      <c r="CV179" s="93"/>
      <c r="CW179" s="93"/>
      <c r="CX179" s="93"/>
      <c r="CY179" s="93"/>
      <c r="CZ179" s="93"/>
      <c r="DA179" s="93"/>
      <c r="DB179" s="93"/>
      <c r="DC179" s="93"/>
      <c r="DD179" s="93"/>
      <c r="DE179" s="1149">
        <f>SUM(DE158:DE162)</f>
        <v>14529882.016512336</v>
      </c>
      <c r="DF179" s="1149" t="e">
        <f>SUM(DF158:DF166)</f>
        <v>#REF!</v>
      </c>
      <c r="DG179" s="1149" t="e">
        <f>SUM(DG158:DG171)</f>
        <v>#REF!</v>
      </c>
      <c r="DH179" s="1149" t="e">
        <f>SUM(DH158:DH177)</f>
        <v>#REF!</v>
      </c>
      <c r="DI179" s="1149" t="e">
        <f>SUM(DI158:DI177)</f>
        <v>#REF!</v>
      </c>
      <c r="DJ179" s="1149"/>
      <c r="DK179" s="1149"/>
      <c r="DL179" s="1149"/>
      <c r="DM179" s="1149"/>
      <c r="DN179" s="1149"/>
      <c r="DO179" s="1149">
        <f>AQ179-DE179</f>
        <v>-1998846.2182900812</v>
      </c>
      <c r="DP179" s="1149" t="e">
        <f>AR179-DF179</f>
        <v>#REF!</v>
      </c>
      <c r="DQ179" s="1149" t="e">
        <f>AS179-DG179</f>
        <v>#REF!</v>
      </c>
      <c r="DR179" s="1149" t="e">
        <f>AT179-DH179</f>
        <v>#REF!</v>
      </c>
      <c r="DS179" s="1149" t="e">
        <f>AU179-DI179</f>
        <v>#REF!</v>
      </c>
      <c r="DT179" s="1147"/>
      <c r="DU179" s="1147"/>
      <c r="DV179" s="1147"/>
      <c r="DW179" s="1147"/>
      <c r="DX179" s="1147"/>
      <c r="DY179" s="1147"/>
      <c r="DZ179" s="93"/>
      <c r="EA179" s="93"/>
      <c r="EB179" s="93"/>
      <c r="EC179" s="93"/>
      <c r="ED179" s="93"/>
      <c r="EE179" s="93"/>
      <c r="EF179" s="93"/>
      <c r="EG179" s="1143">
        <v>1</v>
      </c>
      <c r="EH179" s="93" t="s">
        <v>651</v>
      </c>
      <c r="EI179" s="1147">
        <f>SUM(EI158:EI162)</f>
        <v>-562771.10495638382</v>
      </c>
      <c r="EJ179" s="1147">
        <f t="shared" ref="EJ179" si="429">SUM(EJ158:EJ162)</f>
        <v>-565926.05087274383</v>
      </c>
      <c r="EK179" s="1147">
        <f>SUM(EK158:EK162)</f>
        <v>-478562.23771920498</v>
      </c>
      <c r="EL179" s="1147">
        <f>SUM(EL158:EL162)</f>
        <v>-391586.82474175061</v>
      </c>
      <c r="EM179" s="1147">
        <f t="shared" ref="EM179:EV179" si="430">SUM(EM158:EM162)</f>
        <v>-143806.75738640083</v>
      </c>
      <c r="EN179" s="1147">
        <f t="shared" si="430"/>
        <v>-53905.499915831722</v>
      </c>
      <c r="EO179" s="1147">
        <f t="shared" si="430"/>
        <v>-2337.6550673096208</v>
      </c>
      <c r="EP179" s="1147">
        <f t="shared" si="430"/>
        <v>69014.604143662727</v>
      </c>
      <c r="EQ179" s="1147">
        <f t="shared" si="430"/>
        <v>258325.22605025902</v>
      </c>
      <c r="ER179" s="1147">
        <f t="shared" si="430"/>
        <v>296384.54180300893</v>
      </c>
      <c r="ES179" s="1147">
        <f t="shared" si="430"/>
        <v>333059.96668703808</v>
      </c>
      <c r="ET179" s="1147">
        <f t="shared" si="430"/>
        <v>354851.89229750511</v>
      </c>
      <c r="EU179" s="1147">
        <f t="shared" si="430"/>
        <v>436510.09302405</v>
      </c>
      <c r="EV179" s="1147">
        <f t="shared" si="430"/>
        <v>460875.72023166297</v>
      </c>
      <c r="EW179" s="1147">
        <f>SUM(EW158:EW162)</f>
        <v>487383.55896162021</v>
      </c>
      <c r="EX179" s="1147">
        <f t="shared" ref="EX179" si="431">SUM(EX158:EX162)</f>
        <v>518093.16190860013</v>
      </c>
      <c r="EY179" s="1147">
        <f>SUM(EY158:EY162)</f>
        <v>607789.00880799897</v>
      </c>
      <c r="EZ179" s="1147">
        <f t="shared" ref="EZ179:FB179" si="432">SUM(EZ158:EZ162)</f>
        <v>643953.95949572371</v>
      </c>
      <c r="FA179" s="1147">
        <f t="shared" si="432"/>
        <v>682894.64560760104</v>
      </c>
      <c r="FB179" s="1147">
        <f t="shared" si="432"/>
        <v>708290.90997682011</v>
      </c>
      <c r="FC179" s="1147"/>
      <c r="FD179" s="1147"/>
      <c r="FE179" s="1147"/>
      <c r="FF179" s="1147"/>
      <c r="FG179" s="1147"/>
      <c r="FH179" s="1147"/>
      <c r="FI179" s="1147"/>
      <c r="FJ179" s="1147"/>
      <c r="FK179" s="1147"/>
      <c r="FL179" s="1147"/>
      <c r="FM179" s="1147"/>
      <c r="FN179" s="1147"/>
      <c r="FO179" s="1147"/>
      <c r="FP179" s="1147"/>
      <c r="FQ179" s="1147"/>
      <c r="FR179" s="1147"/>
      <c r="FS179" s="1147"/>
      <c r="FT179" s="1147"/>
      <c r="FU179" s="1147"/>
      <c r="FV179" s="1147"/>
      <c r="FW179" s="1147"/>
      <c r="FX179" s="93"/>
      <c r="FY179" s="93"/>
      <c r="FZ179" s="93"/>
      <c r="GA179" s="93"/>
      <c r="GB179" s="93"/>
      <c r="GC179" s="93"/>
      <c r="GD179" s="93"/>
      <c r="GE179" s="93"/>
      <c r="GF179" s="93"/>
      <c r="GG179" s="93"/>
      <c r="GH179" s="93"/>
      <c r="GI179" s="93"/>
      <c r="GJ179" s="93"/>
      <c r="GK179" s="93"/>
      <c r="GL179" s="93"/>
      <c r="GM179" s="93"/>
      <c r="GN179" s="93"/>
      <c r="GO179" s="93"/>
      <c r="GP179" s="93"/>
      <c r="GQ179" s="93"/>
      <c r="GR179" s="93"/>
      <c r="GS179" s="93"/>
    </row>
    <row r="180" spans="1:201" ht="15" thickBot="1">
      <c r="A180" s="1546" t="s">
        <v>650</v>
      </c>
      <c r="B180" s="1547"/>
      <c r="C180" s="1106" t="e" cm="1">
        <f t="array" ref="C180:V180">BQ180:CJ180</f>
        <v>#REF!</v>
      </c>
      <c r="D180" s="1106" t="e">
        <v>#REF!</v>
      </c>
      <c r="E180" s="1196" t="e">
        <v>#REF!</v>
      </c>
      <c r="F180" s="1196" t="e">
        <v>#REF!</v>
      </c>
      <c r="G180" s="1196" t="e">
        <v>#REF!</v>
      </c>
      <c r="H180" s="1196" t="e">
        <v>#REF!</v>
      </c>
      <c r="I180" s="1196" t="e">
        <v>#REF!</v>
      </c>
      <c r="J180" s="1196" t="e">
        <v>#REF!</v>
      </c>
      <c r="K180" s="1196" t="e">
        <v>#REF!</v>
      </c>
      <c r="L180" s="1196" t="e">
        <v>#REF!</v>
      </c>
      <c r="M180" s="1196" t="e">
        <v>#REF!</v>
      </c>
      <c r="N180" s="1196" t="e">
        <v>#REF!</v>
      </c>
      <c r="O180" s="1196" t="e">
        <v>#REF!</v>
      </c>
      <c r="P180" s="1196" t="e">
        <v>#REF!</v>
      </c>
      <c r="Q180" s="1196" t="e">
        <v>#REF!</v>
      </c>
      <c r="R180" s="1196" t="e">
        <v>#REF!</v>
      </c>
      <c r="S180" s="1196" t="e">
        <v>#REF!</v>
      </c>
      <c r="T180" s="1196" t="e">
        <v>#REF!</v>
      </c>
      <c r="U180" s="1196" t="e">
        <v>#REF!</v>
      </c>
      <c r="V180" s="1197" t="e">
        <v>#REF!</v>
      </c>
      <c r="W180" s="1196"/>
      <c r="X180" s="1196"/>
      <c r="Y180" s="1196"/>
      <c r="Z180" s="1196"/>
      <c r="AA180" s="1196"/>
      <c r="AB180" s="1196"/>
      <c r="AC180" s="1196"/>
      <c r="AD180" s="1196"/>
      <c r="AE180" s="1196"/>
      <c r="AF180" s="1196"/>
      <c r="AG180" s="1196"/>
      <c r="AH180" s="1196"/>
      <c r="AI180" s="1196"/>
      <c r="AJ180" s="1196"/>
      <c r="AK180" s="1196"/>
      <c r="AL180" s="1196"/>
      <c r="AM180" s="1196"/>
      <c r="AN180" s="1196"/>
      <c r="AO180" s="1196"/>
      <c r="AP180" s="1196"/>
      <c r="AQ180" s="93"/>
      <c r="AR180" s="93"/>
      <c r="AS180" s="93"/>
      <c r="AT180" s="93"/>
      <c r="AU180" s="93"/>
      <c r="AV180" s="93"/>
      <c r="AW180" s="93"/>
      <c r="AX180" s="93"/>
      <c r="AY180" s="93"/>
      <c r="AZ180" s="93"/>
      <c r="BA180" s="93"/>
      <c r="BB180" s="93"/>
      <c r="BC180" s="93"/>
      <c r="BD180" s="93"/>
      <c r="BE180" s="93"/>
      <c r="BF180" s="93"/>
      <c r="BG180" s="93"/>
      <c r="BH180" s="93"/>
      <c r="BI180" s="93"/>
      <c r="BJ180" s="93"/>
      <c r="BK180" s="93"/>
      <c r="BL180" s="93"/>
      <c r="BM180" s="93"/>
      <c r="BN180" s="93"/>
      <c r="BO180" s="1590" t="s">
        <v>650</v>
      </c>
      <c r="BP180" s="1591"/>
      <c r="BQ180" s="1150" t="e">
        <f>SUM(BQ158:BQ177)</f>
        <v>#REF!</v>
      </c>
      <c r="BR180" s="1150" t="e">
        <f t="shared" ref="BR180:CJ180" si="433">SUM(BR158:BR177)</f>
        <v>#REF!</v>
      </c>
      <c r="BS180" s="1150" t="e">
        <f t="shared" si="433"/>
        <v>#REF!</v>
      </c>
      <c r="BT180" s="1150" t="e">
        <f t="shared" si="433"/>
        <v>#REF!</v>
      </c>
      <c r="BU180" s="1150" t="e">
        <f t="shared" si="433"/>
        <v>#REF!</v>
      </c>
      <c r="BV180" s="1150" t="e">
        <f t="shared" si="433"/>
        <v>#REF!</v>
      </c>
      <c r="BW180" s="1150" t="e">
        <f t="shared" si="433"/>
        <v>#REF!</v>
      </c>
      <c r="BX180" s="1150" t="e">
        <f t="shared" si="433"/>
        <v>#REF!</v>
      </c>
      <c r="BY180" s="1150" t="e">
        <f t="shared" si="433"/>
        <v>#REF!</v>
      </c>
      <c r="BZ180" s="1150" t="e">
        <f t="shared" si="433"/>
        <v>#REF!</v>
      </c>
      <c r="CA180" s="1150" t="e">
        <f t="shared" si="433"/>
        <v>#REF!</v>
      </c>
      <c r="CB180" s="1150" t="e">
        <f t="shared" si="433"/>
        <v>#REF!</v>
      </c>
      <c r="CC180" s="1150" t="e">
        <f t="shared" si="433"/>
        <v>#REF!</v>
      </c>
      <c r="CD180" s="1150" t="e">
        <f t="shared" si="433"/>
        <v>#REF!</v>
      </c>
      <c r="CE180" s="1150" t="e">
        <f t="shared" si="433"/>
        <v>#REF!</v>
      </c>
      <c r="CF180" s="1150" t="e">
        <f t="shared" si="433"/>
        <v>#REF!</v>
      </c>
      <c r="CG180" s="1150" t="e">
        <f t="shared" si="433"/>
        <v>#REF!</v>
      </c>
      <c r="CH180" s="1150" t="e">
        <f t="shared" si="433"/>
        <v>#REF!</v>
      </c>
      <c r="CI180" s="1150" t="e">
        <f t="shared" si="433"/>
        <v>#REF!</v>
      </c>
      <c r="CJ180" s="1150" t="e">
        <f t="shared" si="433"/>
        <v>#REF!</v>
      </c>
      <c r="CK180" s="1147"/>
      <c r="CL180" s="1147"/>
      <c r="CM180" s="1147"/>
      <c r="CN180" s="1147"/>
      <c r="CO180" s="1147"/>
      <c r="CP180" s="1147"/>
      <c r="CQ180" s="1147"/>
      <c r="CR180" s="1147"/>
      <c r="CS180" s="1147"/>
      <c r="CT180" s="1147"/>
      <c r="CU180" s="1147"/>
      <c r="CV180" s="1147"/>
      <c r="CW180" s="1147"/>
      <c r="CX180" s="1147"/>
      <c r="CY180" s="1147"/>
      <c r="CZ180" s="1147"/>
      <c r="DA180" s="1147"/>
      <c r="DB180" s="1147"/>
      <c r="DC180" s="1147"/>
      <c r="DD180" s="1147"/>
      <c r="DE180" s="93"/>
      <c r="DF180" s="93"/>
      <c r="DG180" s="93"/>
      <c r="DH180" s="93"/>
      <c r="DI180" s="93"/>
      <c r="DJ180" s="93"/>
      <c r="DK180" s="93"/>
      <c r="DL180" s="93"/>
      <c r="DM180" s="93"/>
      <c r="DN180" s="93"/>
      <c r="DO180" s="93"/>
      <c r="DP180" s="93"/>
      <c r="DQ180" s="93"/>
      <c r="DR180" s="93"/>
      <c r="DS180" s="93"/>
      <c r="DT180" s="93"/>
      <c r="DU180" s="93"/>
      <c r="DV180" s="93"/>
      <c r="DW180" s="93"/>
      <c r="DX180" s="93"/>
      <c r="DY180" s="93"/>
      <c r="DZ180" s="93"/>
      <c r="EA180" s="93"/>
      <c r="EB180" s="93"/>
      <c r="EC180" s="93"/>
      <c r="ED180" s="93"/>
      <c r="EE180" s="93"/>
      <c r="EF180" s="93"/>
      <c r="EG180" s="1143">
        <v>2</v>
      </c>
      <c r="EH180" s="93" t="s">
        <v>651</v>
      </c>
      <c r="EI180" s="1147" t="e">
        <f>SUM(EI163:EI166)</f>
        <v>#REF!</v>
      </c>
      <c r="EJ180" s="1147" t="e">
        <f>SUM(EJ163:EJ166)</f>
        <v>#REF!</v>
      </c>
      <c r="EK180" s="1147" t="e">
        <f t="shared" ref="EK180:FB180" si="434">SUM(EK163:EK166)</f>
        <v>#REF!</v>
      </c>
      <c r="EL180" s="1147" t="e">
        <f t="shared" si="434"/>
        <v>#REF!</v>
      </c>
      <c r="EM180" s="1147" t="e">
        <f t="shared" si="434"/>
        <v>#REF!</v>
      </c>
      <c r="EN180" s="1147" t="e">
        <f t="shared" si="434"/>
        <v>#REF!</v>
      </c>
      <c r="EO180" s="1147" t="e">
        <f t="shared" si="434"/>
        <v>#REF!</v>
      </c>
      <c r="EP180" s="1147" t="e">
        <f t="shared" si="434"/>
        <v>#REF!</v>
      </c>
      <c r="EQ180" s="1147" t="e">
        <f t="shared" si="434"/>
        <v>#REF!</v>
      </c>
      <c r="ER180" s="1147" t="e">
        <f t="shared" si="434"/>
        <v>#REF!</v>
      </c>
      <c r="ES180" s="1147" t="e">
        <f t="shared" si="434"/>
        <v>#REF!</v>
      </c>
      <c r="ET180" s="1147" t="e">
        <f t="shared" si="434"/>
        <v>#REF!</v>
      </c>
      <c r="EU180" s="1147" t="e">
        <f t="shared" si="434"/>
        <v>#REF!</v>
      </c>
      <c r="EV180" s="1147" t="e">
        <f t="shared" si="434"/>
        <v>#REF!</v>
      </c>
      <c r="EW180" s="1147" t="e">
        <f t="shared" si="434"/>
        <v>#REF!</v>
      </c>
      <c r="EX180" s="1147" t="e">
        <f t="shared" si="434"/>
        <v>#REF!</v>
      </c>
      <c r="EY180" s="1147" t="e">
        <f t="shared" si="434"/>
        <v>#REF!</v>
      </c>
      <c r="EZ180" s="1147" t="e">
        <f t="shared" si="434"/>
        <v>#REF!</v>
      </c>
      <c r="FA180" s="1147" t="e">
        <f t="shared" si="434"/>
        <v>#REF!</v>
      </c>
      <c r="FB180" s="1147" t="e">
        <f t="shared" si="434"/>
        <v>#REF!</v>
      </c>
      <c r="FC180" s="1147"/>
      <c r="FD180" s="1147"/>
      <c r="FE180" s="1147"/>
      <c r="FF180" s="1147"/>
      <c r="FG180" s="1147"/>
      <c r="FH180" s="1147"/>
      <c r="FI180" s="1147"/>
      <c r="FJ180" s="1147"/>
      <c r="FK180" s="1147"/>
      <c r="FL180" s="1147"/>
      <c r="FM180" s="1147"/>
      <c r="FN180" s="1147"/>
      <c r="FO180" s="1147"/>
      <c r="FP180" s="1147"/>
      <c r="FQ180" s="1147"/>
      <c r="FR180" s="1147"/>
      <c r="FS180" s="1147"/>
      <c r="FT180" s="1147"/>
      <c r="FU180" s="1147"/>
      <c r="FV180" s="1147"/>
      <c r="FW180" s="1147"/>
      <c r="FX180" s="93"/>
      <c r="FY180" s="93"/>
      <c r="FZ180" s="93"/>
      <c r="GA180" s="93"/>
      <c r="GB180" s="93"/>
      <c r="GC180" s="93"/>
      <c r="GD180" s="93"/>
      <c r="GE180" s="93"/>
      <c r="GF180" s="93"/>
      <c r="GG180" s="93"/>
      <c r="GH180" s="93"/>
      <c r="GI180" s="93"/>
      <c r="GJ180" s="93"/>
      <c r="GK180" s="93"/>
      <c r="GL180" s="93"/>
      <c r="GM180" s="93"/>
      <c r="GN180" s="93"/>
      <c r="GO180" s="93"/>
      <c r="GP180" s="93"/>
      <c r="GQ180" s="93"/>
      <c r="GR180" s="93"/>
      <c r="GS180" s="93"/>
    </row>
    <row r="181" spans="1:201">
      <c r="A181" s="1546" t="s">
        <v>661</v>
      </c>
      <c r="B181" s="1547"/>
      <c r="C181" s="1106" t="e">
        <f>C179-C180</f>
        <v>#REF!</v>
      </c>
      <c r="D181" s="1106" t="e">
        <f t="shared" ref="D181:I181" si="435">D179-D180</f>
        <v>#REF!</v>
      </c>
      <c r="E181" s="1106" t="e">
        <f>E179-E180</f>
        <v>#REF!</v>
      </c>
      <c r="F181" s="1106" t="e">
        <f t="shared" si="435"/>
        <v>#REF!</v>
      </c>
      <c r="G181" s="1106" t="e">
        <f t="shared" si="435"/>
        <v>#REF!</v>
      </c>
      <c r="H181" s="1106" t="e">
        <f t="shared" si="435"/>
        <v>#REF!</v>
      </c>
      <c r="I181" s="1106" t="e">
        <f t="shared" si="435"/>
        <v>#REF!</v>
      </c>
      <c r="J181" s="1106" t="s">
        <v>679</v>
      </c>
      <c r="K181" s="1106" t="e">
        <f t="shared" ref="K181:V181" si="436">K179-K180</f>
        <v>#REF!</v>
      </c>
      <c r="L181" s="1106" t="e">
        <f t="shared" si="436"/>
        <v>#REF!</v>
      </c>
      <c r="M181" s="1106" t="e">
        <f t="shared" si="436"/>
        <v>#REF!</v>
      </c>
      <c r="N181" s="1106" t="e">
        <f t="shared" si="436"/>
        <v>#REF!</v>
      </c>
      <c r="O181" s="1106" t="e">
        <f t="shared" si="436"/>
        <v>#REF!</v>
      </c>
      <c r="P181" s="1106" t="e">
        <f t="shared" si="436"/>
        <v>#REF!</v>
      </c>
      <c r="Q181" s="1106" t="e">
        <f t="shared" si="436"/>
        <v>#REF!</v>
      </c>
      <c r="R181" s="1106" t="e">
        <f t="shared" si="436"/>
        <v>#REF!</v>
      </c>
      <c r="S181" s="1106" t="e">
        <f t="shared" si="436"/>
        <v>#REF!</v>
      </c>
      <c r="T181" s="1106" t="e">
        <f t="shared" si="436"/>
        <v>#REF!</v>
      </c>
      <c r="U181" s="1106" t="e">
        <f t="shared" si="436"/>
        <v>#REF!</v>
      </c>
      <c r="V181" s="1141" t="e">
        <f t="shared" si="436"/>
        <v>#REF!</v>
      </c>
      <c r="W181" s="1106"/>
      <c r="X181" s="1106"/>
      <c r="Y181" s="1106"/>
      <c r="Z181" s="1106"/>
      <c r="AA181" s="1106"/>
      <c r="AB181" s="1106"/>
      <c r="AC181" s="1106"/>
      <c r="AD181" s="1106"/>
      <c r="AE181" s="1106"/>
      <c r="AF181" s="1106"/>
      <c r="AG181" s="1106"/>
      <c r="AH181" s="1106"/>
      <c r="AI181" s="1106"/>
      <c r="AJ181" s="1106"/>
      <c r="AK181" s="1106"/>
      <c r="AL181" s="1106"/>
      <c r="AM181" s="1106"/>
      <c r="AN181" s="1106"/>
      <c r="AO181" s="1106"/>
      <c r="AP181" s="1106"/>
      <c r="AQ181" s="93"/>
      <c r="AR181" s="93"/>
      <c r="AS181" s="93"/>
      <c r="AT181" s="93"/>
      <c r="AU181" s="93"/>
      <c r="AV181" s="93"/>
      <c r="AW181" s="93"/>
      <c r="AX181" s="93"/>
      <c r="AY181" s="93"/>
      <c r="AZ181" s="93"/>
      <c r="BA181" s="93"/>
      <c r="BB181" s="93"/>
      <c r="BC181" s="93"/>
      <c r="BD181" s="93"/>
      <c r="BE181" s="93"/>
      <c r="BF181" s="93"/>
      <c r="BG181" s="93"/>
      <c r="BH181" s="93"/>
      <c r="BI181" s="93"/>
      <c r="BJ181" s="93"/>
      <c r="BK181" s="93"/>
      <c r="BL181" s="93"/>
      <c r="BM181" s="93"/>
      <c r="BN181" s="93"/>
      <c r="BO181" s="93"/>
      <c r="BP181" s="93"/>
      <c r="BQ181" s="93"/>
      <c r="BR181" s="93"/>
      <c r="BS181" s="93"/>
      <c r="BT181" s="93"/>
      <c r="BU181" s="93"/>
      <c r="BV181" s="93"/>
      <c r="BW181" s="93"/>
      <c r="BX181" s="93"/>
      <c r="BY181" s="93"/>
      <c r="BZ181" s="93"/>
      <c r="CA181" s="93"/>
      <c r="CB181" s="93"/>
      <c r="CC181" s="93"/>
      <c r="CD181" s="93"/>
      <c r="CE181" s="93"/>
      <c r="CF181" s="93"/>
      <c r="CG181" s="93"/>
      <c r="CH181" s="93"/>
      <c r="CI181" s="93"/>
      <c r="CJ181" s="93"/>
      <c r="CK181" s="93"/>
      <c r="CL181" s="93"/>
      <c r="CM181" s="93"/>
      <c r="CN181" s="93"/>
      <c r="CO181" s="93"/>
      <c r="CP181" s="93"/>
      <c r="CQ181" s="93"/>
      <c r="CR181" s="93"/>
      <c r="CS181" s="93"/>
      <c r="CT181" s="93"/>
      <c r="CU181" s="93"/>
      <c r="CV181" s="93"/>
      <c r="CW181" s="93"/>
      <c r="CX181" s="93"/>
      <c r="CY181" s="93"/>
      <c r="CZ181" s="93"/>
      <c r="DA181" s="93"/>
      <c r="DB181" s="93"/>
      <c r="DC181" s="93"/>
      <c r="DD181" s="93"/>
      <c r="DE181" s="93"/>
      <c r="DF181" s="93"/>
      <c r="DG181" s="93"/>
      <c r="DH181" s="93"/>
      <c r="DI181" s="93"/>
      <c r="DJ181" s="93"/>
      <c r="DK181" s="93"/>
      <c r="DL181" s="93"/>
      <c r="DM181" s="93"/>
      <c r="DN181" s="93"/>
      <c r="DO181" s="93"/>
      <c r="DP181" s="93"/>
      <c r="DQ181" s="93"/>
      <c r="DR181" s="93"/>
      <c r="DS181" s="93"/>
      <c r="DT181" s="93"/>
      <c r="DU181" s="93"/>
      <c r="DV181" s="93"/>
      <c r="DW181" s="93"/>
      <c r="DX181" s="93"/>
      <c r="DY181" s="93"/>
      <c r="DZ181" s="93"/>
      <c r="EA181" s="93"/>
      <c r="EB181" s="93"/>
      <c r="EC181" s="93"/>
      <c r="ED181" s="93"/>
      <c r="EE181" s="93"/>
      <c r="EF181" s="93"/>
      <c r="EG181" s="1143">
        <v>3</v>
      </c>
      <c r="EH181" s="93" t="s">
        <v>651</v>
      </c>
      <c r="EI181" s="1147" t="e">
        <f>SUM(EI167:EI170)</f>
        <v>#REF!</v>
      </c>
      <c r="EJ181" s="1147" t="e">
        <f t="shared" ref="EJ181:EP181" si="437">SUM(EJ167:EJ171)</f>
        <v>#REF!</v>
      </c>
      <c r="EK181" s="1147" t="e">
        <f t="shared" si="437"/>
        <v>#REF!</v>
      </c>
      <c r="EL181" s="1147" t="e">
        <f t="shared" si="437"/>
        <v>#REF!</v>
      </c>
      <c r="EM181" s="1147" t="e">
        <f t="shared" si="437"/>
        <v>#REF!</v>
      </c>
      <c r="EN181" s="1147" t="e">
        <f t="shared" si="437"/>
        <v>#REF!</v>
      </c>
      <c r="EO181" s="1147" t="e">
        <f t="shared" si="437"/>
        <v>#REF!</v>
      </c>
      <c r="EP181" s="1147" t="e">
        <f t="shared" si="437"/>
        <v>#REF!</v>
      </c>
      <c r="EQ181" s="1147" t="e">
        <f>SUM(EQ167:EQ170)</f>
        <v>#REF!</v>
      </c>
      <c r="ER181" s="1147" t="e">
        <f>SUM(ER167:ER170)</f>
        <v>#REF!</v>
      </c>
      <c r="ES181" s="1147" t="e">
        <f t="shared" ref="ES181:FB181" si="438">SUM(ES167:ES170)</f>
        <v>#REF!</v>
      </c>
      <c r="ET181" s="1147" t="e">
        <f t="shared" si="438"/>
        <v>#REF!</v>
      </c>
      <c r="EU181" s="1147" t="e">
        <f t="shared" si="438"/>
        <v>#REF!</v>
      </c>
      <c r="EV181" s="1147" t="e">
        <f t="shared" si="438"/>
        <v>#REF!</v>
      </c>
      <c r="EW181" s="1147" t="e">
        <f t="shared" si="438"/>
        <v>#REF!</v>
      </c>
      <c r="EX181" s="1147" t="e">
        <f t="shared" si="438"/>
        <v>#REF!</v>
      </c>
      <c r="EY181" s="1147" t="e">
        <f t="shared" si="438"/>
        <v>#REF!</v>
      </c>
      <c r="EZ181" s="1147" t="e">
        <f t="shared" si="438"/>
        <v>#REF!</v>
      </c>
      <c r="FA181" s="1147" t="e">
        <f t="shared" si="438"/>
        <v>#REF!</v>
      </c>
      <c r="FB181" s="1147" t="e">
        <f t="shared" si="438"/>
        <v>#REF!</v>
      </c>
      <c r="FC181" s="1147"/>
      <c r="FD181" s="1147"/>
      <c r="FE181" s="1147"/>
      <c r="FF181" s="1147"/>
      <c r="FG181" s="1147"/>
      <c r="FH181" s="1147"/>
      <c r="FI181" s="1147"/>
      <c r="FJ181" s="1147"/>
      <c r="FK181" s="1147"/>
      <c r="FL181" s="1147"/>
      <c r="FM181" s="1147"/>
      <c r="FN181" s="1147"/>
      <c r="FO181" s="1147"/>
      <c r="FP181" s="1147"/>
      <c r="FQ181" s="1147"/>
      <c r="FR181" s="1147"/>
      <c r="FS181" s="1147"/>
      <c r="FT181" s="1147"/>
      <c r="FU181" s="1147"/>
      <c r="FV181" s="1147"/>
      <c r="FW181" s="1147"/>
      <c r="FX181" s="93"/>
      <c r="FY181" s="93"/>
      <c r="FZ181" s="93"/>
      <c r="GA181" s="93"/>
      <c r="GB181" s="93"/>
      <c r="GC181" s="93"/>
      <c r="GD181" s="93"/>
      <c r="GE181" s="93"/>
      <c r="GF181" s="93"/>
      <c r="GG181" s="93"/>
      <c r="GH181" s="93"/>
      <c r="GI181" s="93"/>
      <c r="GJ181" s="93"/>
      <c r="GK181" s="93"/>
      <c r="GL181" s="93"/>
      <c r="GM181" s="93"/>
      <c r="GN181" s="93"/>
      <c r="GO181" s="93"/>
      <c r="GP181" s="93"/>
      <c r="GQ181" s="93"/>
      <c r="GR181" s="93"/>
      <c r="GS181" s="93"/>
    </row>
    <row r="182" spans="1:201">
      <c r="A182" s="93"/>
      <c r="B182" s="93"/>
      <c r="C182" s="93"/>
      <c r="D182" s="93"/>
      <c r="E182" s="93"/>
      <c r="F182" s="93"/>
      <c r="G182" s="93"/>
      <c r="H182" s="93"/>
      <c r="I182" s="93"/>
      <c r="J182" s="93"/>
      <c r="K182" s="93"/>
      <c r="L182" s="93"/>
      <c r="M182" s="93"/>
      <c r="N182" s="93"/>
      <c r="O182" s="93"/>
      <c r="P182" s="93"/>
      <c r="Q182" s="93"/>
      <c r="R182" s="93"/>
      <c r="S182" s="93"/>
      <c r="T182" s="93"/>
      <c r="U182" s="93"/>
      <c r="V182" s="93"/>
      <c r="W182" s="93"/>
      <c r="X182" s="93"/>
      <c r="Y182" s="93"/>
      <c r="Z182" s="93"/>
      <c r="AA182" s="93"/>
      <c r="AB182" s="93"/>
      <c r="AC182" s="93"/>
      <c r="AD182" s="93"/>
      <c r="AE182" s="93"/>
      <c r="AF182" s="93"/>
      <c r="AG182" s="93"/>
      <c r="AH182" s="93"/>
      <c r="AI182" s="93"/>
      <c r="AJ182" s="93"/>
      <c r="AK182" s="93"/>
      <c r="AL182" s="93"/>
      <c r="AM182" s="93"/>
      <c r="AN182" s="93"/>
      <c r="AO182" s="93"/>
      <c r="AP182" s="93"/>
      <c r="AQ182" s="93"/>
      <c r="AR182" s="93"/>
      <c r="AS182" s="93"/>
      <c r="AT182" s="93"/>
      <c r="AU182" s="93"/>
      <c r="AV182" s="93"/>
      <c r="AW182" s="93"/>
      <c r="AX182" s="93"/>
      <c r="AY182" s="93"/>
      <c r="AZ182" s="93"/>
      <c r="BA182" s="93"/>
      <c r="BB182" s="93"/>
      <c r="BC182" s="93"/>
      <c r="BD182" s="93"/>
      <c r="BE182" s="93"/>
      <c r="BF182" s="93"/>
      <c r="BG182" s="93"/>
      <c r="BH182" s="93"/>
      <c r="BI182" s="93"/>
      <c r="BJ182" s="93"/>
      <c r="BK182" s="93"/>
      <c r="BL182" s="93"/>
      <c r="BM182" s="93"/>
      <c r="BN182" s="93"/>
      <c r="BO182" s="93"/>
      <c r="BP182" s="93"/>
      <c r="BQ182" s="93"/>
      <c r="BR182" s="93"/>
      <c r="BS182" s="93"/>
      <c r="BT182" s="93"/>
      <c r="BU182" s="93"/>
      <c r="BV182" s="93"/>
      <c r="BW182" s="93"/>
      <c r="BX182" s="93"/>
      <c r="BY182" s="93"/>
      <c r="BZ182" s="93"/>
      <c r="CA182" s="93"/>
      <c r="CB182" s="93"/>
      <c r="CC182" s="93"/>
      <c r="CD182" s="93"/>
      <c r="CE182" s="93"/>
      <c r="CF182" s="93"/>
      <c r="CG182" s="93"/>
      <c r="CH182" s="93"/>
      <c r="CI182" s="93"/>
      <c r="CJ182" s="93"/>
      <c r="CK182" s="93"/>
      <c r="CL182" s="93"/>
      <c r="CM182" s="93"/>
      <c r="CN182" s="93"/>
      <c r="CO182" s="93"/>
      <c r="CP182" s="93"/>
      <c r="CQ182" s="93"/>
      <c r="CR182" s="93"/>
      <c r="CS182" s="93"/>
      <c r="CT182" s="93"/>
      <c r="CU182" s="93"/>
      <c r="CV182" s="93"/>
      <c r="CW182" s="93"/>
      <c r="CX182" s="93"/>
      <c r="CY182" s="93"/>
      <c r="CZ182" s="93"/>
      <c r="DA182" s="93"/>
      <c r="DB182" s="93"/>
      <c r="DC182" s="93"/>
      <c r="DD182" s="93"/>
      <c r="DE182" s="93"/>
      <c r="DF182" s="93"/>
      <c r="DG182" s="93"/>
      <c r="DH182" s="93"/>
      <c r="DI182" s="93"/>
      <c r="DJ182" s="93"/>
      <c r="DK182" s="93"/>
      <c r="DL182" s="93"/>
      <c r="DM182" s="93"/>
      <c r="DN182" s="93"/>
      <c r="DO182" s="93"/>
      <c r="DP182" s="93"/>
      <c r="DQ182" s="93"/>
      <c r="DR182" s="93"/>
      <c r="DS182" s="93"/>
      <c r="DT182" s="93"/>
      <c r="DU182" s="93"/>
      <c r="DV182" s="93"/>
      <c r="DW182" s="93"/>
      <c r="DX182" s="93"/>
      <c r="DY182" s="93"/>
      <c r="DZ182" s="93"/>
      <c r="EA182" s="93"/>
      <c r="EB182" s="93"/>
      <c r="EC182" s="93"/>
      <c r="ED182" s="93"/>
      <c r="EE182" s="93"/>
      <c r="EF182" s="93"/>
      <c r="EG182" s="1143">
        <v>4</v>
      </c>
      <c r="EH182" s="93" t="s">
        <v>651</v>
      </c>
      <c r="EI182" s="1147" t="e">
        <f>SUM(EI171:EI174)</f>
        <v>#REF!</v>
      </c>
      <c r="EJ182" s="1147" t="e">
        <f t="shared" ref="EJ182:FB182" si="439">SUM(EJ171:EJ174)</f>
        <v>#REF!</v>
      </c>
      <c r="EK182" s="1147" t="e">
        <f t="shared" si="439"/>
        <v>#REF!</v>
      </c>
      <c r="EL182" s="1147" t="e">
        <f t="shared" si="439"/>
        <v>#REF!</v>
      </c>
      <c r="EM182" s="1147" t="e">
        <f t="shared" si="439"/>
        <v>#REF!</v>
      </c>
      <c r="EN182" s="1147" t="e">
        <f t="shared" si="439"/>
        <v>#REF!</v>
      </c>
      <c r="EO182" s="1147" t="e">
        <f t="shared" si="439"/>
        <v>#REF!</v>
      </c>
      <c r="EP182" s="1147" t="e">
        <f t="shared" si="439"/>
        <v>#REF!</v>
      </c>
      <c r="EQ182" s="1147" t="e">
        <f t="shared" si="439"/>
        <v>#REF!</v>
      </c>
      <c r="ER182" s="1147" t="e">
        <f t="shared" si="439"/>
        <v>#REF!</v>
      </c>
      <c r="ES182" s="1147" t="e">
        <f t="shared" si="439"/>
        <v>#REF!</v>
      </c>
      <c r="ET182" s="1147" t="e">
        <f t="shared" si="439"/>
        <v>#REF!</v>
      </c>
      <c r="EU182" s="1147">
        <f t="shared" si="439"/>
        <v>-618456.61396514019</v>
      </c>
      <c r="EV182" s="1147">
        <f t="shared" si="439"/>
        <v>-531426.39507062268</v>
      </c>
      <c r="EW182" s="1147">
        <f t="shared" si="439"/>
        <v>-443291.86184465315</v>
      </c>
      <c r="EX182" s="1147">
        <f t="shared" si="439"/>
        <v>-355157.32861868211</v>
      </c>
      <c r="EY182" s="1147">
        <f t="shared" si="439"/>
        <v>-197565.24465733767</v>
      </c>
      <c r="EZ182" s="1147">
        <f t="shared" si="439"/>
        <v>-134672.95621277473</v>
      </c>
      <c r="FA182" s="1147">
        <f t="shared" si="439"/>
        <v>-71780.667768210988</v>
      </c>
      <c r="FB182" s="1147">
        <f t="shared" si="439"/>
        <v>-8888.379323648056</v>
      </c>
      <c r="FC182" s="1147"/>
      <c r="FD182" s="1147"/>
      <c r="FE182" s="1147"/>
      <c r="FF182" s="1147"/>
      <c r="FG182" s="1147"/>
      <c r="FH182" s="1147"/>
      <c r="FI182" s="1147"/>
      <c r="FJ182" s="1147"/>
      <c r="FK182" s="1147"/>
      <c r="FL182" s="1147"/>
      <c r="FM182" s="1147"/>
      <c r="FN182" s="1147"/>
      <c r="FO182" s="1147"/>
      <c r="FP182" s="1147"/>
      <c r="FQ182" s="1147"/>
      <c r="FR182" s="1147"/>
      <c r="FS182" s="1147"/>
      <c r="FT182" s="1147"/>
      <c r="FU182" s="1147"/>
      <c r="FV182" s="1147"/>
      <c r="FW182" s="1147"/>
      <c r="FX182" s="93"/>
      <c r="FY182" s="93"/>
      <c r="FZ182" s="93"/>
      <c r="GA182" s="93"/>
      <c r="GB182" s="93"/>
      <c r="GC182" s="93"/>
      <c r="GD182" s="93"/>
      <c r="GE182" s="93"/>
      <c r="GF182" s="93"/>
      <c r="GG182" s="93"/>
      <c r="GH182" s="93"/>
      <c r="GI182" s="93"/>
      <c r="GJ182" s="93"/>
      <c r="GK182" s="93"/>
      <c r="GL182" s="93"/>
      <c r="GM182" s="93"/>
      <c r="GN182" s="93"/>
      <c r="GO182" s="93"/>
      <c r="GP182" s="93"/>
      <c r="GQ182" s="93"/>
      <c r="GR182" s="93"/>
      <c r="GS182" s="93"/>
    </row>
    <row r="183" spans="1:201">
      <c r="A183" s="93"/>
      <c r="B183" s="93"/>
      <c r="C183" s="93"/>
      <c r="D183" s="93"/>
      <c r="E183" s="93"/>
      <c r="F183" s="93"/>
      <c r="G183" s="93"/>
      <c r="H183" s="93"/>
      <c r="I183" s="93"/>
      <c r="J183" s="93"/>
      <c r="K183" s="93"/>
      <c r="L183" s="93"/>
      <c r="M183" s="93"/>
      <c r="N183" s="93"/>
      <c r="O183" s="93"/>
      <c r="P183" s="93"/>
      <c r="Q183" s="93"/>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93"/>
      <c r="AO183" s="93"/>
      <c r="AP183" s="93"/>
      <c r="AQ183" s="93"/>
      <c r="AR183" s="93"/>
      <c r="AS183" s="93"/>
      <c r="AT183" s="93"/>
      <c r="AU183" s="93"/>
      <c r="AV183" s="93"/>
      <c r="AW183" s="93"/>
      <c r="AX183" s="93"/>
      <c r="AY183" s="93"/>
      <c r="AZ183" s="93"/>
      <c r="BA183" s="93"/>
      <c r="BB183" s="93"/>
      <c r="BC183" s="93"/>
      <c r="BD183" s="93"/>
      <c r="BE183" s="93"/>
      <c r="BF183" s="93"/>
      <c r="BG183" s="93"/>
      <c r="BH183" s="93"/>
      <c r="BI183" s="93"/>
      <c r="BJ183" s="93"/>
      <c r="BK183" s="93"/>
      <c r="BL183" s="93"/>
      <c r="BM183" s="93"/>
      <c r="BN183" s="93"/>
      <c r="BO183" s="93"/>
      <c r="BP183" s="93"/>
      <c r="BQ183" s="93"/>
      <c r="BR183" s="93"/>
      <c r="BS183" s="93"/>
      <c r="BT183" s="93"/>
      <c r="BU183" s="93"/>
      <c r="BV183" s="93"/>
      <c r="BW183" s="93"/>
      <c r="BX183" s="93"/>
      <c r="BY183" s="93"/>
      <c r="BZ183" s="93"/>
      <c r="CA183" s="93"/>
      <c r="CB183" s="93"/>
      <c r="CC183" s="93"/>
      <c r="CD183" s="93"/>
      <c r="CE183" s="93"/>
      <c r="CF183" s="93"/>
      <c r="CG183" s="93"/>
      <c r="CH183" s="93"/>
      <c r="CI183" s="93"/>
      <c r="CJ183" s="93"/>
      <c r="CK183" s="93"/>
      <c r="CL183" s="93"/>
      <c r="CM183" s="93"/>
      <c r="CN183" s="93"/>
      <c r="CO183" s="93"/>
      <c r="CP183" s="93"/>
      <c r="CQ183" s="93"/>
      <c r="CR183" s="93"/>
      <c r="CS183" s="93"/>
      <c r="CT183" s="93"/>
      <c r="CU183" s="93"/>
      <c r="CV183" s="93"/>
      <c r="CW183" s="93"/>
      <c r="CX183" s="93"/>
      <c r="CY183" s="93"/>
      <c r="CZ183" s="93"/>
      <c r="DA183" s="93"/>
      <c r="DB183" s="93"/>
      <c r="DC183" s="93"/>
      <c r="DD183" s="93"/>
      <c r="DE183" s="93"/>
      <c r="DF183" s="93"/>
      <c r="DG183" s="93"/>
      <c r="DH183" s="93"/>
      <c r="DI183" s="93"/>
      <c r="DJ183" s="93"/>
      <c r="DK183" s="93"/>
      <c r="DL183" s="93"/>
      <c r="DM183" s="93"/>
      <c r="DN183" s="93"/>
      <c r="DO183" s="93"/>
      <c r="DP183" s="93"/>
      <c r="DQ183" s="93"/>
      <c r="DR183" s="93"/>
      <c r="DS183" s="93"/>
      <c r="DT183" s="93"/>
      <c r="DU183" s="93"/>
      <c r="DV183" s="93"/>
      <c r="DW183" s="93"/>
      <c r="DX183" s="93"/>
      <c r="DY183" s="93"/>
      <c r="DZ183" s="93"/>
      <c r="EA183" s="93"/>
      <c r="EB183" s="93"/>
      <c r="EC183" s="93"/>
      <c r="ED183" s="93"/>
      <c r="EE183" s="93"/>
      <c r="EF183" s="93"/>
      <c r="EG183" s="1547" t="s">
        <v>658</v>
      </c>
      <c r="EH183" s="1547"/>
      <c r="EI183" s="1547"/>
      <c r="EJ183" s="1547"/>
      <c r="EK183" s="1547"/>
      <c r="EL183" s="1547"/>
      <c r="EM183" s="1547"/>
      <c r="EN183" s="1547"/>
      <c r="EO183" s="1547"/>
      <c r="EP183" s="1547"/>
      <c r="EQ183" s="1547"/>
      <c r="ER183" s="1547"/>
      <c r="ES183" s="1547"/>
      <c r="ET183" s="1547"/>
      <c r="EU183" s="1547"/>
      <c r="EV183" s="1547"/>
      <c r="EW183" s="1547"/>
      <c r="EX183" s="1547"/>
      <c r="EY183" s="1547"/>
      <c r="EZ183" s="1547"/>
      <c r="FA183" s="1547"/>
      <c r="FB183" s="1547"/>
      <c r="FC183" s="1104"/>
      <c r="FD183" s="1104"/>
      <c r="FE183" s="1104"/>
      <c r="FF183" s="1104"/>
      <c r="FG183" s="1104"/>
      <c r="FH183" s="1104"/>
      <c r="FI183" s="1104"/>
      <c r="FJ183" s="1104"/>
      <c r="FK183" s="1104"/>
      <c r="FL183" s="1104"/>
      <c r="FM183" s="1104"/>
      <c r="FN183" s="1104"/>
      <c r="FO183" s="1104"/>
      <c r="FP183" s="1104"/>
      <c r="FQ183" s="1104"/>
      <c r="FR183" s="1104"/>
      <c r="FS183" s="1104"/>
      <c r="FT183" s="1104"/>
      <c r="FU183" s="1104"/>
      <c r="FV183" s="1104"/>
      <c r="FW183" s="1104"/>
      <c r="FX183" s="93"/>
      <c r="FY183" s="93" t="s">
        <v>675</v>
      </c>
      <c r="FZ183" s="93"/>
      <c r="GA183" s="93"/>
      <c r="GB183" s="93"/>
      <c r="GC183" s="93"/>
      <c r="GD183" s="93"/>
      <c r="GE183" s="93"/>
      <c r="GF183" s="93"/>
      <c r="GG183" s="93"/>
      <c r="GH183" s="93"/>
      <c r="GI183" s="93"/>
      <c r="GJ183" s="93"/>
      <c r="GK183" s="93"/>
      <c r="GL183" s="93"/>
      <c r="GM183" s="93"/>
      <c r="GN183" s="93"/>
      <c r="GO183" s="93"/>
      <c r="GP183" s="93"/>
      <c r="GQ183" s="93"/>
      <c r="GR183" s="93"/>
      <c r="GS183" s="93"/>
    </row>
    <row r="184" spans="1:201">
      <c r="A184" s="93"/>
      <c r="B184" s="93"/>
      <c r="C184" s="93"/>
      <c r="D184" s="93"/>
      <c r="E184" s="93"/>
      <c r="F184" s="93"/>
      <c r="G184" s="93"/>
      <c r="H184" s="93"/>
      <c r="I184" s="93"/>
      <c r="J184" s="93"/>
      <c r="K184" s="93"/>
      <c r="L184" s="93"/>
      <c r="M184" s="93"/>
      <c r="N184" s="93"/>
      <c r="O184" s="93"/>
      <c r="P184" s="93"/>
      <c r="Q184" s="93"/>
      <c r="R184" s="93"/>
      <c r="S184" s="93"/>
      <c r="T184" s="93"/>
      <c r="U184" s="93"/>
      <c r="V184" s="93"/>
      <c r="W184" s="93"/>
      <c r="X184" s="93"/>
      <c r="Y184" s="93"/>
      <c r="Z184" s="93"/>
      <c r="AA184" s="93"/>
      <c r="AB184" s="93"/>
      <c r="AC184" s="93"/>
      <c r="AD184" s="93"/>
      <c r="AE184" s="93"/>
      <c r="AF184" s="93"/>
      <c r="AG184" s="93"/>
      <c r="AH184" s="93"/>
      <c r="AI184" s="93"/>
      <c r="AJ184" s="93"/>
      <c r="AK184" s="93"/>
      <c r="AL184" s="93"/>
      <c r="AM184" s="93"/>
      <c r="AN184" s="93"/>
      <c r="AO184" s="93"/>
      <c r="AP184" s="93"/>
      <c r="AQ184" s="93"/>
      <c r="AR184" s="93"/>
      <c r="AS184" s="93"/>
      <c r="AT184" s="93"/>
      <c r="AU184" s="93"/>
      <c r="AV184" s="93"/>
      <c r="AW184" s="93"/>
      <c r="AX184" s="93"/>
      <c r="AY184" s="93"/>
      <c r="AZ184" s="93"/>
      <c r="BA184" s="93"/>
      <c r="BB184" s="93"/>
      <c r="BC184" s="93"/>
      <c r="BD184" s="93"/>
      <c r="BE184" s="93"/>
      <c r="BF184" s="93"/>
      <c r="BG184" s="93"/>
      <c r="BH184" s="93"/>
      <c r="BI184" s="93"/>
      <c r="BJ184" s="93"/>
      <c r="BK184" s="93"/>
      <c r="BL184" s="93"/>
      <c r="BM184" s="93"/>
      <c r="BN184" s="93"/>
      <c r="BO184" s="93"/>
      <c r="BP184" s="93"/>
      <c r="BQ184" s="93"/>
      <c r="BR184" s="93"/>
      <c r="BS184" s="93"/>
      <c r="BT184" s="93"/>
      <c r="BU184" s="93"/>
      <c r="BV184" s="93"/>
      <c r="BW184" s="93"/>
      <c r="BX184" s="93"/>
      <c r="BY184" s="93"/>
      <c r="BZ184" s="93"/>
      <c r="CA184" s="93"/>
      <c r="CB184" s="93"/>
      <c r="CC184" s="93"/>
      <c r="CD184" s="93"/>
      <c r="CE184" s="93"/>
      <c r="CF184" s="93"/>
      <c r="CG184" s="93"/>
      <c r="CH184" s="93"/>
      <c r="CI184" s="93"/>
      <c r="CJ184" s="93"/>
      <c r="CK184" s="93"/>
      <c r="CL184" s="93"/>
      <c r="CM184" s="93"/>
      <c r="CN184" s="93"/>
      <c r="CO184" s="93"/>
      <c r="CP184" s="93"/>
      <c r="CQ184" s="93"/>
      <c r="CR184" s="93"/>
      <c r="CS184" s="93"/>
      <c r="CT184" s="93"/>
      <c r="CU184" s="93"/>
      <c r="CV184" s="93"/>
      <c r="CW184" s="93"/>
      <c r="CX184" s="93"/>
      <c r="CY184" s="93"/>
      <c r="CZ184" s="93"/>
      <c r="DA184" s="93"/>
      <c r="DB184" s="93"/>
      <c r="DC184" s="93"/>
      <c r="DD184" s="93"/>
      <c r="DE184" s="93"/>
      <c r="DF184" s="93"/>
      <c r="DG184" s="93"/>
      <c r="DH184" s="93"/>
      <c r="DI184" s="93"/>
      <c r="DJ184" s="93"/>
      <c r="DK184" s="93"/>
      <c r="DL184" s="93"/>
      <c r="DM184" s="93"/>
      <c r="DN184" s="93"/>
      <c r="DO184" s="93"/>
      <c r="DP184" s="93"/>
      <c r="DQ184" s="93"/>
      <c r="DR184" s="93"/>
      <c r="DS184" s="93"/>
      <c r="DT184" s="93"/>
      <c r="DU184" s="93"/>
      <c r="DV184" s="93"/>
      <c r="DW184" s="93"/>
      <c r="DX184" s="93"/>
      <c r="DY184" s="93"/>
      <c r="DZ184" s="93"/>
      <c r="EA184" s="93"/>
      <c r="EB184" s="93"/>
      <c r="EC184" s="93"/>
      <c r="ED184" s="93"/>
      <c r="EE184" s="93"/>
      <c r="EF184" s="93"/>
      <c r="EG184" s="1143">
        <v>1</v>
      </c>
      <c r="EH184" s="93" t="s">
        <v>651</v>
      </c>
      <c r="EI184" s="1147" cm="1">
        <f t="array" ref="EI184:FB187">EI179:FB182</f>
        <v>-562771.10495638382</v>
      </c>
      <c r="EJ184" s="1147">
        <v>-565926.05087274383</v>
      </c>
      <c r="EK184" s="1147">
        <v>-478562.23771920498</v>
      </c>
      <c r="EL184" s="1147">
        <v>-391586.82474175061</v>
      </c>
      <c r="EM184" s="1147">
        <v>-143806.75738640083</v>
      </c>
      <c r="EN184" s="1147">
        <v>-53905.499915831722</v>
      </c>
      <c r="EO184" s="1147">
        <v>-2337.6550673096208</v>
      </c>
      <c r="EP184" s="1147">
        <v>69014.604143662727</v>
      </c>
      <c r="EQ184" s="1147">
        <v>258325.22605025902</v>
      </c>
      <c r="ER184" s="1147">
        <v>296384.54180300893</v>
      </c>
      <c r="ES184" s="1147">
        <v>333059.96668703808</v>
      </c>
      <c r="ET184" s="1147">
        <v>354851.89229750511</v>
      </c>
      <c r="EU184" s="1147">
        <v>436510.09302405</v>
      </c>
      <c r="EV184" s="1147">
        <v>460875.72023166297</v>
      </c>
      <c r="EW184" s="1147">
        <v>487383.55896162021</v>
      </c>
      <c r="EX184" s="1147">
        <v>518093.16190860013</v>
      </c>
      <c r="EY184" s="1147">
        <v>607789.00880799897</v>
      </c>
      <c r="EZ184" s="1147">
        <v>643953.95949572371</v>
      </c>
      <c r="FA184" s="1147">
        <v>682894.64560760104</v>
      </c>
      <c r="FB184" s="1147">
        <v>708290.90997682011</v>
      </c>
      <c r="FC184" s="1147"/>
      <c r="FD184" s="1147"/>
      <c r="FE184" s="1147"/>
      <c r="FF184" s="1147"/>
      <c r="FG184" s="1147"/>
      <c r="FH184" s="1147"/>
      <c r="FI184" s="1147"/>
      <c r="FJ184" s="1147"/>
      <c r="FK184" s="1147"/>
      <c r="FL184" s="1147"/>
      <c r="FM184" s="1147"/>
      <c r="FN184" s="1147"/>
      <c r="FO184" s="1147"/>
      <c r="FP184" s="1147"/>
      <c r="FQ184" s="1147"/>
      <c r="FR184" s="1147"/>
      <c r="FS184" s="1147"/>
      <c r="FT184" s="1147"/>
      <c r="FU184" s="1147"/>
      <c r="FV184" s="1147"/>
      <c r="FW184" s="1147"/>
      <c r="FX184" s="93"/>
      <c r="FY184" s="1147">
        <f>SUM(EI179:FB179)</f>
        <v>3658531.1583359255</v>
      </c>
      <c r="FZ184" s="93"/>
      <c r="GA184" s="93"/>
      <c r="GB184" s="93"/>
      <c r="GC184" s="93"/>
      <c r="GD184" s="93"/>
      <c r="GE184" s="93"/>
      <c r="GF184" s="93"/>
      <c r="GG184" s="93"/>
      <c r="GH184" s="93"/>
      <c r="GI184" s="93"/>
      <c r="GJ184" s="93"/>
      <c r="GK184" s="93"/>
      <c r="GL184" s="93"/>
      <c r="GM184" s="93"/>
      <c r="GN184" s="93"/>
      <c r="GO184" s="93"/>
      <c r="GP184" s="93"/>
      <c r="GQ184" s="93"/>
      <c r="GR184" s="93"/>
      <c r="GS184" s="93"/>
    </row>
    <row r="185" spans="1:201">
      <c r="A185" s="93"/>
      <c r="B185" s="93"/>
      <c r="C185" s="93"/>
      <c r="D185" s="93"/>
      <c r="E185" s="93"/>
      <c r="F185" s="93"/>
      <c r="G185" s="93"/>
      <c r="H185" s="93"/>
      <c r="I185" s="93"/>
      <c r="J185" s="93"/>
      <c r="K185" s="93"/>
      <c r="L185" s="93"/>
      <c r="M185" s="93"/>
      <c r="N185" s="93"/>
      <c r="O185" s="93"/>
      <c r="P185" s="93"/>
      <c r="Q185" s="93"/>
      <c r="R185" s="93"/>
      <c r="S185" s="93"/>
      <c r="T185" s="93"/>
      <c r="U185" s="93"/>
      <c r="V185" s="93"/>
      <c r="W185" s="93"/>
      <c r="X185" s="93"/>
      <c r="Y185" s="93"/>
      <c r="Z185" s="93"/>
      <c r="AA185" s="93"/>
      <c r="AB185" s="93"/>
      <c r="AC185" s="93"/>
      <c r="AD185" s="93"/>
      <c r="AE185" s="93"/>
      <c r="AF185" s="93"/>
      <c r="AG185" s="93"/>
      <c r="AH185" s="93"/>
      <c r="AI185" s="93"/>
      <c r="AJ185" s="93"/>
      <c r="AK185" s="93"/>
      <c r="AL185" s="93"/>
      <c r="AM185" s="93"/>
      <c r="AN185" s="93"/>
      <c r="AO185" s="93"/>
      <c r="AP185" s="93"/>
      <c r="AQ185" s="93"/>
      <c r="AR185" s="93"/>
      <c r="AS185" s="93"/>
      <c r="AT185" s="93"/>
      <c r="AU185" s="93"/>
      <c r="AV185" s="93"/>
      <c r="AW185" s="93"/>
      <c r="AX185" s="93"/>
      <c r="AY185" s="93"/>
      <c r="AZ185" s="93"/>
      <c r="BA185" s="93"/>
      <c r="BB185" s="93"/>
      <c r="BC185" s="93"/>
      <c r="BD185" s="93"/>
      <c r="BE185" s="93"/>
      <c r="BF185" s="93"/>
      <c r="BG185" s="93"/>
      <c r="BH185" s="93"/>
      <c r="BI185" s="93"/>
      <c r="BJ185" s="93"/>
      <c r="BK185" s="93"/>
      <c r="BL185" s="93"/>
      <c r="BM185" s="93"/>
      <c r="BN185" s="93"/>
      <c r="BO185" s="93"/>
      <c r="BP185" s="93"/>
      <c r="BQ185" s="93"/>
      <c r="BR185" s="93"/>
      <c r="BS185" s="93"/>
      <c r="BT185" s="93"/>
      <c r="BU185" s="93"/>
      <c r="BV185" s="93"/>
      <c r="BW185" s="93"/>
      <c r="BX185" s="93"/>
      <c r="BY185" s="93"/>
      <c r="BZ185" s="93"/>
      <c r="CA185" s="93"/>
      <c r="CB185" s="93"/>
      <c r="CC185" s="93"/>
      <c r="CD185" s="93"/>
      <c r="CE185" s="93"/>
      <c r="CF185" s="93"/>
      <c r="CG185" s="93"/>
      <c r="CH185" s="93"/>
      <c r="CI185" s="93"/>
      <c r="CJ185" s="93"/>
      <c r="CK185" s="93"/>
      <c r="CL185" s="93"/>
      <c r="CM185" s="93"/>
      <c r="CN185" s="93"/>
      <c r="CO185" s="93"/>
      <c r="CP185" s="93"/>
      <c r="CQ185" s="93"/>
      <c r="CR185" s="93"/>
      <c r="CS185" s="93"/>
      <c r="CT185" s="93"/>
      <c r="CU185" s="93"/>
      <c r="CV185" s="93"/>
      <c r="CW185" s="93"/>
      <c r="CX185" s="93"/>
      <c r="CY185" s="93"/>
      <c r="CZ185" s="93"/>
      <c r="DA185" s="93"/>
      <c r="DB185" s="93"/>
      <c r="DC185" s="93"/>
      <c r="DD185" s="93"/>
      <c r="DE185" s="93"/>
      <c r="DF185" s="93"/>
      <c r="DG185" s="93"/>
      <c r="DH185" s="93"/>
      <c r="DI185" s="93"/>
      <c r="DJ185" s="93"/>
      <c r="DK185" s="93"/>
      <c r="DL185" s="93"/>
      <c r="DM185" s="93"/>
      <c r="DN185" s="93"/>
      <c r="DO185" s="93"/>
      <c r="DP185" s="93"/>
      <c r="DQ185" s="93"/>
      <c r="DR185" s="93"/>
      <c r="DS185" s="93"/>
      <c r="DT185" s="93"/>
      <c r="DU185" s="93"/>
      <c r="DV185" s="93"/>
      <c r="DW185" s="93"/>
      <c r="DX185" s="93"/>
      <c r="DY185" s="93"/>
      <c r="DZ185" s="93"/>
      <c r="EA185" s="93"/>
      <c r="EB185" s="93"/>
      <c r="EC185" s="93"/>
      <c r="ED185" s="93"/>
      <c r="EE185" s="93"/>
      <c r="EF185" s="93"/>
      <c r="EG185" s="1143">
        <v>2</v>
      </c>
      <c r="EH185" s="93" t="s">
        <v>651</v>
      </c>
      <c r="EI185" s="1147" t="e">
        <v>#REF!</v>
      </c>
      <c r="EJ185" s="1147" t="e">
        <v>#REF!</v>
      </c>
      <c r="EK185" s="1147" t="e">
        <v>#REF!</v>
      </c>
      <c r="EL185" s="1147" t="e">
        <v>#REF!</v>
      </c>
      <c r="EM185" s="1147" t="e">
        <v>#REF!</v>
      </c>
      <c r="EN185" s="1147" t="e">
        <v>#REF!</v>
      </c>
      <c r="EO185" s="1147" t="e">
        <v>#REF!</v>
      </c>
      <c r="EP185" s="1147" t="e">
        <v>#REF!</v>
      </c>
      <c r="EQ185" s="1147" t="e">
        <v>#REF!</v>
      </c>
      <c r="ER185" s="1147" t="e">
        <v>#REF!</v>
      </c>
      <c r="ES185" s="1147" t="e">
        <v>#REF!</v>
      </c>
      <c r="ET185" s="1147" t="e">
        <v>#REF!</v>
      </c>
      <c r="EU185" s="1147" t="e">
        <v>#REF!</v>
      </c>
      <c r="EV185" s="1147" t="e">
        <v>#REF!</v>
      </c>
      <c r="EW185" s="1147" t="e">
        <v>#REF!</v>
      </c>
      <c r="EX185" s="1147" t="e">
        <v>#REF!</v>
      </c>
      <c r="EY185" s="1147" t="e">
        <v>#REF!</v>
      </c>
      <c r="EZ185" s="1147" t="e">
        <v>#REF!</v>
      </c>
      <c r="FA185" s="1147" t="e">
        <v>#REF!</v>
      </c>
      <c r="FB185" s="1147" t="e">
        <v>#REF!</v>
      </c>
      <c r="FC185" s="1147"/>
      <c r="FD185" s="1147"/>
      <c r="FE185" s="1147"/>
      <c r="FF185" s="1147"/>
      <c r="FG185" s="1147"/>
      <c r="FH185" s="1147"/>
      <c r="FI185" s="1147"/>
      <c r="FJ185" s="1147"/>
      <c r="FK185" s="1147"/>
      <c r="FL185" s="1147"/>
      <c r="FM185" s="1147"/>
      <c r="FN185" s="1147"/>
      <c r="FO185" s="1147"/>
      <c r="FP185" s="1147"/>
      <c r="FQ185" s="1147"/>
      <c r="FR185" s="1147"/>
      <c r="FS185" s="1147"/>
      <c r="FT185" s="1147"/>
      <c r="FU185" s="1147"/>
      <c r="FV185" s="1147"/>
      <c r="FW185" s="1147"/>
      <c r="FX185" s="93"/>
      <c r="FY185" s="1147" t="e">
        <f t="shared" ref="FY185:FY187" si="440">SUM(EI180:FB180)</f>
        <v>#REF!</v>
      </c>
      <c r="FZ185" s="93"/>
      <c r="GA185" s="93"/>
      <c r="GB185" s="93"/>
      <c r="GC185" s="93"/>
      <c r="GD185" s="93"/>
      <c r="GE185" s="93"/>
      <c r="GF185" s="93"/>
      <c r="GG185" s="93"/>
      <c r="GH185" s="93"/>
      <c r="GI185" s="93"/>
      <c r="GJ185" s="93"/>
      <c r="GK185" s="93"/>
      <c r="GL185" s="93"/>
      <c r="GM185" s="93"/>
      <c r="GN185" s="93"/>
      <c r="GO185" s="93"/>
      <c r="GP185" s="93"/>
      <c r="GQ185" s="93"/>
      <c r="GR185" s="93"/>
      <c r="GS185" s="93"/>
    </row>
    <row r="186" spans="1:201">
      <c r="A186" s="93"/>
      <c r="B186" s="93"/>
      <c r="C186" s="93"/>
      <c r="D186" s="93"/>
      <c r="E186" s="93"/>
      <c r="F186" s="93"/>
      <c r="G186" s="93"/>
      <c r="H186" s="93"/>
      <c r="I186" s="93"/>
      <c r="J186" s="93"/>
      <c r="K186" s="93"/>
      <c r="L186" s="93"/>
      <c r="M186" s="93"/>
      <c r="N186" s="93"/>
      <c r="O186" s="93"/>
      <c r="P186" s="93"/>
      <c r="Q186" s="93"/>
      <c r="R186" s="93"/>
      <c r="S186" s="93"/>
      <c r="T186" s="93"/>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c r="BK186" s="93"/>
      <c r="BL186" s="93"/>
      <c r="BM186" s="93"/>
      <c r="BN186" s="93"/>
      <c r="BO186" s="93"/>
      <c r="BP186" s="93"/>
      <c r="BQ186" s="93"/>
      <c r="BR186" s="93"/>
      <c r="BS186" s="93"/>
      <c r="BT186" s="93"/>
      <c r="BU186" s="93"/>
      <c r="BV186" s="93"/>
      <c r="BW186" s="93"/>
      <c r="BX186" s="93"/>
      <c r="BY186" s="93"/>
      <c r="BZ186" s="93"/>
      <c r="CA186" s="93"/>
      <c r="CB186" s="93"/>
      <c r="CC186" s="93"/>
      <c r="CD186" s="93"/>
      <c r="CE186" s="93"/>
      <c r="CF186" s="93"/>
      <c r="CG186" s="93"/>
      <c r="CH186" s="93"/>
      <c r="CI186" s="93"/>
      <c r="CJ186" s="93"/>
      <c r="CK186" s="93"/>
      <c r="CL186" s="93"/>
      <c r="CM186" s="93"/>
      <c r="CN186" s="93"/>
      <c r="CO186" s="93"/>
      <c r="CP186" s="93"/>
      <c r="CQ186" s="93"/>
      <c r="CR186" s="93"/>
      <c r="CS186" s="93"/>
      <c r="CT186" s="93"/>
      <c r="CU186" s="93"/>
      <c r="CV186" s="93"/>
      <c r="CW186" s="93"/>
      <c r="CX186" s="93"/>
      <c r="CY186" s="93"/>
      <c r="CZ186" s="93"/>
      <c r="DA186" s="93"/>
      <c r="DB186" s="93"/>
      <c r="DC186" s="93"/>
      <c r="DD186" s="93"/>
      <c r="DE186" s="93"/>
      <c r="DF186" s="93"/>
      <c r="DG186" s="93"/>
      <c r="DH186" s="93"/>
      <c r="DI186" s="93"/>
      <c r="DJ186" s="93"/>
      <c r="DK186" s="93"/>
      <c r="DL186" s="93"/>
      <c r="DM186" s="93"/>
      <c r="DN186" s="93"/>
      <c r="DO186" s="93"/>
      <c r="DP186" s="93"/>
      <c r="DQ186" s="93"/>
      <c r="DR186" s="93"/>
      <c r="DS186" s="93"/>
      <c r="DT186" s="93"/>
      <c r="DU186" s="93"/>
      <c r="DV186" s="93"/>
      <c r="DW186" s="93"/>
      <c r="DX186" s="93"/>
      <c r="DY186" s="93"/>
      <c r="DZ186" s="93"/>
      <c r="EA186" s="93"/>
      <c r="EB186" s="93"/>
      <c r="EC186" s="93"/>
      <c r="ED186" s="93"/>
      <c r="EE186" s="93"/>
      <c r="EF186" s="93"/>
      <c r="EG186" s="1143">
        <v>3</v>
      </c>
      <c r="EH186" s="93" t="s">
        <v>651</v>
      </c>
      <c r="EI186" s="1147" t="e">
        <v>#REF!</v>
      </c>
      <c r="EJ186" s="1147" t="e">
        <v>#REF!</v>
      </c>
      <c r="EK186" s="1147" t="e">
        <v>#REF!</v>
      </c>
      <c r="EL186" s="1147" t="e">
        <v>#REF!</v>
      </c>
      <c r="EM186" s="1147" t="e">
        <v>#REF!</v>
      </c>
      <c r="EN186" s="1147" t="e">
        <v>#REF!</v>
      </c>
      <c r="EO186" s="1147" t="e">
        <v>#REF!</v>
      </c>
      <c r="EP186" s="1147" t="e">
        <v>#REF!</v>
      </c>
      <c r="EQ186" s="1147" t="e">
        <v>#REF!</v>
      </c>
      <c r="ER186" s="1147" t="e">
        <v>#REF!</v>
      </c>
      <c r="ES186" s="1147" t="e">
        <v>#REF!</v>
      </c>
      <c r="ET186" s="1147" t="e">
        <v>#REF!</v>
      </c>
      <c r="EU186" s="1147" t="e">
        <v>#REF!</v>
      </c>
      <c r="EV186" s="1147" t="e">
        <v>#REF!</v>
      </c>
      <c r="EW186" s="1147" t="e">
        <v>#REF!</v>
      </c>
      <c r="EX186" s="1147" t="e">
        <v>#REF!</v>
      </c>
      <c r="EY186" s="1147" t="e">
        <v>#REF!</v>
      </c>
      <c r="EZ186" s="1147" t="e">
        <v>#REF!</v>
      </c>
      <c r="FA186" s="1147" t="e">
        <v>#REF!</v>
      </c>
      <c r="FB186" s="1147" t="e">
        <v>#REF!</v>
      </c>
      <c r="FC186" s="1147"/>
      <c r="FD186" s="1147"/>
      <c r="FE186" s="1147"/>
      <c r="FF186" s="1147"/>
      <c r="FG186" s="1147"/>
      <c r="FH186" s="1147"/>
      <c r="FI186" s="1147"/>
      <c r="FJ186" s="1147"/>
      <c r="FK186" s="1147"/>
      <c r="FL186" s="1147"/>
      <c r="FM186" s="1147"/>
      <c r="FN186" s="1147"/>
      <c r="FO186" s="1147"/>
      <c r="FP186" s="1147"/>
      <c r="FQ186" s="1147"/>
      <c r="FR186" s="1147"/>
      <c r="FS186" s="1147"/>
      <c r="FT186" s="1147"/>
      <c r="FU186" s="1147"/>
      <c r="FV186" s="1147"/>
      <c r="FW186" s="1147"/>
      <c r="FX186" s="93"/>
      <c r="FY186" s="1147" t="e">
        <f t="shared" si="440"/>
        <v>#REF!</v>
      </c>
      <c r="FZ186" s="93"/>
      <c r="GA186" s="93"/>
      <c r="GB186" s="93"/>
      <c r="GC186" s="93"/>
      <c r="GD186" s="93"/>
      <c r="GE186" s="93"/>
      <c r="GF186" s="93"/>
      <c r="GG186" s="93"/>
      <c r="GH186" s="93"/>
      <c r="GI186" s="93"/>
      <c r="GJ186" s="93"/>
      <c r="GK186" s="93"/>
      <c r="GL186" s="93"/>
      <c r="GM186" s="93"/>
      <c r="GN186" s="93"/>
      <c r="GO186" s="93"/>
      <c r="GP186" s="93"/>
      <c r="GQ186" s="93"/>
      <c r="GR186" s="93"/>
      <c r="GS186" s="93"/>
    </row>
    <row r="187" spans="1:201">
      <c r="A187" s="93"/>
      <c r="B187" s="93"/>
      <c r="C187" s="93"/>
      <c r="D187" s="93"/>
      <c r="E187" s="93"/>
      <c r="F187" s="93"/>
      <c r="G187" s="93"/>
      <c r="H187" s="93"/>
      <c r="I187" s="93"/>
      <c r="J187" s="93"/>
      <c r="K187" s="93"/>
      <c r="L187" s="93"/>
      <c r="M187" s="93"/>
      <c r="N187" s="93"/>
      <c r="O187" s="93"/>
      <c r="P187" s="93"/>
      <c r="Q187" s="93"/>
      <c r="R187" s="93"/>
      <c r="S187" s="93"/>
      <c r="T187" s="93"/>
      <c r="U187" s="93"/>
      <c r="V187" s="93"/>
      <c r="W187" s="93"/>
      <c r="X187" s="93"/>
      <c r="Y187" s="93"/>
      <c r="Z187" s="93"/>
      <c r="AA187" s="93"/>
      <c r="AB187" s="93"/>
      <c r="AC187" s="93"/>
      <c r="AD187" s="93"/>
      <c r="AE187" s="93"/>
      <c r="AF187" s="93"/>
      <c r="AG187" s="93"/>
      <c r="AH187" s="93"/>
      <c r="AI187" s="93"/>
      <c r="AJ187" s="93"/>
      <c r="AK187" s="93"/>
      <c r="AL187" s="93"/>
      <c r="AM187" s="93"/>
      <c r="AN187" s="93"/>
      <c r="AO187" s="93"/>
      <c r="AP187" s="93"/>
      <c r="AQ187" s="93"/>
      <c r="AR187" s="93"/>
      <c r="AS187" s="93"/>
      <c r="AT187" s="93"/>
      <c r="AU187" s="93"/>
      <c r="AV187" s="93"/>
      <c r="AW187" s="93"/>
      <c r="AX187" s="93"/>
      <c r="AY187" s="93"/>
      <c r="AZ187" s="93"/>
      <c r="BA187" s="93"/>
      <c r="BB187" s="93"/>
      <c r="BC187" s="93"/>
      <c r="BD187" s="93"/>
      <c r="BE187" s="93"/>
      <c r="BF187" s="93"/>
      <c r="BG187" s="93"/>
      <c r="BH187" s="93"/>
      <c r="BI187" s="93"/>
      <c r="BJ187" s="93"/>
      <c r="BK187" s="93"/>
      <c r="BL187" s="93"/>
      <c r="BM187" s="93"/>
      <c r="BN187" s="93"/>
      <c r="BO187" s="93"/>
      <c r="BP187" s="93"/>
      <c r="BQ187" s="93"/>
      <c r="BR187" s="93"/>
      <c r="BS187" s="93"/>
      <c r="BT187" s="93"/>
      <c r="BU187" s="93"/>
      <c r="BV187" s="93"/>
      <c r="BW187" s="93"/>
      <c r="BX187" s="93"/>
      <c r="BY187" s="93"/>
      <c r="BZ187" s="93"/>
      <c r="CA187" s="93"/>
      <c r="CB187" s="93"/>
      <c r="CC187" s="93"/>
      <c r="CD187" s="93"/>
      <c r="CE187" s="93"/>
      <c r="CF187" s="93"/>
      <c r="CG187" s="93"/>
      <c r="CH187" s="93"/>
      <c r="CI187" s="93"/>
      <c r="CJ187" s="93"/>
      <c r="CK187" s="93"/>
      <c r="CL187" s="93"/>
      <c r="CM187" s="93"/>
      <c r="CN187" s="93"/>
      <c r="CO187" s="93"/>
      <c r="CP187" s="93"/>
      <c r="CQ187" s="93"/>
      <c r="CR187" s="93"/>
      <c r="CS187" s="93"/>
      <c r="CT187" s="93"/>
      <c r="CU187" s="93"/>
      <c r="CV187" s="93"/>
      <c r="CW187" s="93"/>
      <c r="CX187" s="93"/>
      <c r="CY187" s="93"/>
      <c r="CZ187" s="93"/>
      <c r="DA187" s="93"/>
      <c r="DB187" s="93"/>
      <c r="DC187" s="93"/>
      <c r="DD187" s="93"/>
      <c r="DE187" s="93"/>
      <c r="DF187" s="93"/>
      <c r="DG187" s="93"/>
      <c r="DH187" s="93"/>
      <c r="DI187" s="93"/>
      <c r="DJ187" s="93"/>
      <c r="DK187" s="93"/>
      <c r="DL187" s="93"/>
      <c r="DM187" s="93"/>
      <c r="DN187" s="93"/>
      <c r="DO187" s="93"/>
      <c r="DP187" s="93"/>
      <c r="DQ187" s="93"/>
      <c r="DR187" s="93"/>
      <c r="DS187" s="93"/>
      <c r="DT187" s="93"/>
      <c r="DU187" s="93"/>
      <c r="DV187" s="93"/>
      <c r="DW187" s="93"/>
      <c r="DX187" s="93"/>
      <c r="DY187" s="93"/>
      <c r="DZ187" s="93"/>
      <c r="EA187" s="93"/>
      <c r="EB187" s="93"/>
      <c r="EC187" s="93"/>
      <c r="ED187" s="93"/>
      <c r="EE187" s="93"/>
      <c r="EF187" s="93"/>
      <c r="EG187" s="1143">
        <v>4</v>
      </c>
      <c r="EH187" s="93" t="s">
        <v>651</v>
      </c>
      <c r="EI187" s="1147" t="e">
        <v>#REF!</v>
      </c>
      <c r="EJ187" s="1147" t="e">
        <v>#REF!</v>
      </c>
      <c r="EK187" s="1147" t="e">
        <v>#REF!</v>
      </c>
      <c r="EL187" s="1147" t="e">
        <v>#REF!</v>
      </c>
      <c r="EM187" s="1147" t="e">
        <v>#REF!</v>
      </c>
      <c r="EN187" s="1147" t="e">
        <v>#REF!</v>
      </c>
      <c r="EO187" s="1147" t="e">
        <v>#REF!</v>
      </c>
      <c r="EP187" s="1147" t="e">
        <v>#REF!</v>
      </c>
      <c r="EQ187" s="1147" t="e">
        <v>#REF!</v>
      </c>
      <c r="ER187" s="1147" t="e">
        <v>#REF!</v>
      </c>
      <c r="ES187" s="1147" t="e">
        <v>#REF!</v>
      </c>
      <c r="ET187" s="1147" t="e">
        <v>#REF!</v>
      </c>
      <c r="EU187" s="1147">
        <v>-618456.61396514019</v>
      </c>
      <c r="EV187" s="1147">
        <v>-531426.39507062268</v>
      </c>
      <c r="EW187" s="1147">
        <v>-443291.86184465315</v>
      </c>
      <c r="EX187" s="1147">
        <v>-355157.32861868211</v>
      </c>
      <c r="EY187" s="1147">
        <v>-197565.24465733767</v>
      </c>
      <c r="EZ187" s="1147">
        <v>-134672.95621277473</v>
      </c>
      <c r="FA187" s="1147">
        <v>-71780.667768210988</v>
      </c>
      <c r="FB187" s="1147">
        <v>-8888.379323648056</v>
      </c>
      <c r="FC187" s="1147"/>
      <c r="FD187" s="1147"/>
      <c r="FE187" s="1147"/>
      <c r="FF187" s="1147"/>
      <c r="FG187" s="1147"/>
      <c r="FH187" s="1147"/>
      <c r="FI187" s="1147"/>
      <c r="FJ187" s="1147"/>
      <c r="FK187" s="1147"/>
      <c r="FL187" s="1147"/>
      <c r="FM187" s="1147"/>
      <c r="FN187" s="1147"/>
      <c r="FO187" s="1147"/>
      <c r="FP187" s="1147"/>
      <c r="FQ187" s="1147"/>
      <c r="FR187" s="1147"/>
      <c r="FS187" s="1147"/>
      <c r="FT187" s="1147"/>
      <c r="FU187" s="1147"/>
      <c r="FV187" s="1147"/>
      <c r="FW187" s="1147"/>
      <c r="FX187" s="93"/>
      <c r="FY187" s="1147" t="e">
        <f t="shared" si="440"/>
        <v>#REF!</v>
      </c>
      <c r="FZ187" s="93"/>
      <c r="GA187" s="93"/>
      <c r="GB187" s="93"/>
      <c r="GC187" s="93"/>
      <c r="GD187" s="93"/>
      <c r="GE187" s="93"/>
      <c r="GF187" s="93"/>
      <c r="GG187" s="93"/>
      <c r="GH187" s="93"/>
      <c r="GI187" s="93"/>
      <c r="GJ187" s="93"/>
      <c r="GK187" s="93"/>
      <c r="GL187" s="93"/>
      <c r="GM187" s="93"/>
      <c r="GN187" s="93"/>
      <c r="GO187" s="93"/>
      <c r="GP187" s="93"/>
      <c r="GQ187" s="93"/>
      <c r="GR187" s="93"/>
      <c r="GS187" s="93"/>
    </row>
    <row r="188" spans="1:201">
      <c r="A188" s="93"/>
      <c r="B188" s="93"/>
      <c r="C188" s="93"/>
      <c r="D188" s="93"/>
      <c r="E188" s="93"/>
      <c r="F188" s="93"/>
      <c r="G188" s="93"/>
      <c r="H188" s="93"/>
      <c r="I188" s="93"/>
      <c r="J188" s="93"/>
      <c r="K188" s="93"/>
      <c r="L188" s="93"/>
      <c r="M188" s="93"/>
      <c r="N188" s="93"/>
      <c r="O188" s="93"/>
      <c r="P188" s="93"/>
      <c r="Q188" s="93"/>
      <c r="R188" s="93"/>
      <c r="S188" s="93"/>
      <c r="T188" s="93"/>
      <c r="U188" s="93"/>
      <c r="V188" s="93"/>
      <c r="W188" s="93"/>
      <c r="X188" s="93"/>
      <c r="Y188" s="93"/>
      <c r="Z188" s="93"/>
      <c r="AA188" s="93"/>
      <c r="AB188" s="93"/>
      <c r="AC188" s="93"/>
      <c r="AD188" s="93"/>
      <c r="AE188" s="93"/>
      <c r="AF188" s="93"/>
      <c r="AG188" s="93"/>
      <c r="AH188" s="93"/>
      <c r="AI188" s="93"/>
      <c r="AJ188" s="93"/>
      <c r="AK188" s="93"/>
      <c r="AL188" s="93"/>
      <c r="AM188" s="93"/>
      <c r="AN188" s="93"/>
      <c r="AO188" s="93"/>
      <c r="AP188" s="93"/>
      <c r="AQ188" s="93"/>
      <c r="AR188" s="93"/>
      <c r="AS188" s="93"/>
      <c r="AT188" s="93"/>
      <c r="AU188" s="93"/>
      <c r="AV188" s="93"/>
      <c r="AW188" s="93"/>
      <c r="AX188" s="93"/>
      <c r="AY188" s="93"/>
      <c r="AZ188" s="93"/>
      <c r="BA188" s="93"/>
      <c r="BB188" s="93"/>
      <c r="BC188" s="93"/>
      <c r="BD188" s="93"/>
      <c r="BE188" s="93"/>
      <c r="BF188" s="93"/>
      <c r="BG188" s="93"/>
      <c r="BH188" s="93"/>
      <c r="BI188" s="93"/>
      <c r="BJ188" s="93"/>
      <c r="BK188" s="93"/>
      <c r="BL188" s="93"/>
      <c r="BM188" s="93"/>
      <c r="BN188" s="93"/>
      <c r="BO188" s="93"/>
      <c r="BP188" s="93"/>
      <c r="BQ188" s="93"/>
      <c r="BR188" s="93"/>
      <c r="BS188" s="93"/>
      <c r="BT188" s="93"/>
      <c r="BU188" s="93"/>
      <c r="BV188" s="93"/>
      <c r="BW188" s="93"/>
      <c r="BX188" s="93"/>
      <c r="BY188" s="93"/>
      <c r="BZ188" s="93"/>
      <c r="CA188" s="93"/>
      <c r="CB188" s="93"/>
      <c r="CC188" s="93"/>
      <c r="CD188" s="93"/>
      <c r="CE188" s="93"/>
      <c r="CF188" s="93"/>
      <c r="CG188" s="93"/>
      <c r="CH188" s="93"/>
      <c r="CI188" s="93"/>
      <c r="CJ188" s="93"/>
      <c r="CK188" s="93"/>
      <c r="CL188" s="93"/>
      <c r="CM188" s="93"/>
      <c r="CN188" s="93"/>
      <c r="CO188" s="93"/>
      <c r="CP188" s="93"/>
      <c r="CQ188" s="93"/>
      <c r="CR188" s="93"/>
      <c r="CS188" s="93"/>
      <c r="CT188" s="93"/>
      <c r="CU188" s="93"/>
      <c r="CV188" s="93"/>
      <c r="CW188" s="93"/>
      <c r="CX188" s="93"/>
      <c r="CY188" s="93"/>
      <c r="CZ188" s="93"/>
      <c r="DA188" s="93"/>
      <c r="DB188" s="93"/>
      <c r="DC188" s="93"/>
      <c r="DD188" s="93"/>
      <c r="DE188" s="93"/>
      <c r="DF188" s="93"/>
      <c r="DG188" s="93"/>
      <c r="DH188" s="93"/>
      <c r="DI188" s="93"/>
      <c r="DJ188" s="93"/>
      <c r="DK188" s="93"/>
      <c r="DL188" s="93"/>
      <c r="DM188" s="93"/>
      <c r="DN188" s="93"/>
      <c r="DO188" s="93"/>
      <c r="DP188" s="93"/>
      <c r="DQ188" s="93"/>
      <c r="DR188" s="93"/>
      <c r="DS188" s="93"/>
      <c r="DT188" s="93"/>
      <c r="DU188" s="93"/>
      <c r="DV188" s="93"/>
      <c r="DW188" s="93"/>
      <c r="DX188" s="93"/>
      <c r="DY188" s="93"/>
      <c r="DZ188" s="93"/>
      <c r="EA188" s="93"/>
      <c r="EB188" s="93"/>
      <c r="EC188" s="93"/>
      <c r="ED188" s="93"/>
      <c r="EE188" s="93"/>
      <c r="EF188" s="93"/>
      <c r="EG188" s="93"/>
      <c r="EH188" s="93"/>
      <c r="EI188" s="93"/>
      <c r="EJ188" s="93"/>
      <c r="EK188" s="93"/>
      <c r="EL188" s="93"/>
      <c r="EM188" s="93"/>
      <c r="EN188" s="93"/>
      <c r="EO188" s="93"/>
      <c r="EP188" s="93"/>
      <c r="EQ188" s="93"/>
      <c r="ER188" s="93"/>
      <c r="ES188" s="93"/>
      <c r="ET188" s="93"/>
      <c r="EU188" s="93"/>
      <c r="EV188" s="93"/>
      <c r="EW188" s="93"/>
      <c r="EX188" s="93"/>
      <c r="EY188" s="93"/>
      <c r="EZ188" s="93"/>
      <c r="FA188" s="93"/>
      <c r="FB188" s="93"/>
      <c r="FC188" s="93"/>
      <c r="FD188" s="93"/>
      <c r="FE188" s="93"/>
      <c r="FF188" s="93"/>
      <c r="FG188" s="93"/>
      <c r="FH188" s="93"/>
      <c r="FI188" s="93"/>
      <c r="FJ188" s="93"/>
      <c r="FK188" s="93"/>
      <c r="FL188" s="93"/>
      <c r="FM188" s="93"/>
      <c r="FN188" s="93"/>
      <c r="FO188" s="93"/>
      <c r="FP188" s="93"/>
      <c r="FQ188" s="93"/>
      <c r="FR188" s="93"/>
      <c r="FS188" s="93"/>
      <c r="FT188" s="93"/>
      <c r="FU188" s="93"/>
      <c r="FV188" s="93"/>
      <c r="FW188" s="93"/>
      <c r="FX188" s="93"/>
      <c r="FY188" s="93"/>
      <c r="FZ188" s="93"/>
      <c r="GA188" s="93"/>
      <c r="GB188" s="93"/>
      <c r="GC188" s="93"/>
      <c r="GD188" s="93"/>
      <c r="GE188" s="93"/>
      <c r="GF188" s="93"/>
      <c r="GG188" s="93"/>
      <c r="GH188" s="93"/>
      <c r="GI188" s="93"/>
      <c r="GJ188" s="93"/>
      <c r="GK188" s="93"/>
      <c r="GL188" s="93"/>
      <c r="GM188" s="93"/>
      <c r="GN188" s="93"/>
      <c r="GO188" s="93"/>
      <c r="GP188" s="93"/>
      <c r="GQ188" s="93"/>
      <c r="GR188" s="93"/>
      <c r="GS188" s="93"/>
    </row>
    <row r="189" spans="1:201">
      <c r="A189" s="93"/>
      <c r="B189" s="93"/>
      <c r="C189" s="93"/>
      <c r="D189" s="93"/>
      <c r="E189" s="93"/>
      <c r="F189" s="93"/>
      <c r="G189" s="93"/>
      <c r="H189" s="93"/>
      <c r="I189" s="93"/>
      <c r="J189" s="93"/>
      <c r="K189" s="93"/>
      <c r="L189" s="93"/>
      <c r="M189" s="93"/>
      <c r="N189" s="93"/>
      <c r="O189" s="93"/>
      <c r="P189" s="93"/>
      <c r="Q189" s="93"/>
      <c r="R189" s="93"/>
      <c r="S189" s="93"/>
      <c r="T189" s="93"/>
      <c r="U189" s="93"/>
      <c r="V189" s="93"/>
      <c r="W189" s="93"/>
      <c r="X189" s="93"/>
      <c r="Y189" s="93"/>
      <c r="Z189" s="93"/>
      <c r="AA189" s="93"/>
      <c r="AB189" s="93"/>
      <c r="AC189" s="93"/>
      <c r="AD189" s="93"/>
      <c r="AE189" s="93"/>
      <c r="AF189" s="93"/>
      <c r="AG189" s="93"/>
      <c r="AH189" s="93"/>
      <c r="AI189" s="93"/>
      <c r="AJ189" s="93"/>
      <c r="AK189" s="93"/>
      <c r="AL189" s="93"/>
      <c r="AM189" s="93"/>
      <c r="AN189" s="93"/>
      <c r="AO189" s="93"/>
      <c r="AP189" s="93"/>
      <c r="AQ189" s="93"/>
      <c r="AR189" s="93"/>
      <c r="AS189" s="93"/>
      <c r="AT189" s="93"/>
      <c r="AU189" s="93"/>
      <c r="AV189" s="93"/>
      <c r="AW189" s="93"/>
      <c r="AX189" s="93"/>
      <c r="AY189" s="93"/>
      <c r="AZ189" s="93"/>
      <c r="BA189" s="93"/>
      <c r="BB189" s="93"/>
      <c r="BC189" s="93"/>
      <c r="BD189" s="93"/>
      <c r="BE189" s="93"/>
      <c r="BF189" s="93"/>
      <c r="BG189" s="93"/>
      <c r="BH189" s="93"/>
      <c r="BI189" s="93"/>
      <c r="BJ189" s="93"/>
      <c r="BK189" s="93"/>
      <c r="BL189" s="93"/>
      <c r="BM189" s="93"/>
      <c r="BN189" s="93"/>
      <c r="BO189" s="93"/>
      <c r="BP189" s="93"/>
      <c r="BQ189" s="93"/>
      <c r="BR189" s="93"/>
      <c r="BS189" s="93"/>
      <c r="BT189" s="93"/>
      <c r="BU189" s="93"/>
      <c r="BV189" s="93"/>
      <c r="BW189" s="93"/>
      <c r="BX189" s="93"/>
      <c r="BY189" s="93"/>
      <c r="BZ189" s="93"/>
      <c r="CA189" s="93"/>
      <c r="CB189" s="93"/>
      <c r="CC189" s="93"/>
      <c r="CD189" s="93"/>
      <c r="CE189" s="93"/>
      <c r="CF189" s="93"/>
      <c r="CG189" s="93"/>
      <c r="CH189" s="93"/>
      <c r="CI189" s="93"/>
      <c r="CJ189" s="93"/>
      <c r="CK189" s="93"/>
      <c r="CL189" s="93"/>
      <c r="CM189" s="93"/>
      <c r="CN189" s="93"/>
      <c r="CO189" s="93"/>
      <c r="CP189" s="93"/>
      <c r="CQ189" s="93"/>
      <c r="CR189" s="93"/>
      <c r="CS189" s="93"/>
      <c r="CT189" s="93"/>
      <c r="CU189" s="93"/>
      <c r="CV189" s="93"/>
      <c r="CW189" s="93"/>
      <c r="CX189" s="93"/>
      <c r="CY189" s="93"/>
      <c r="CZ189" s="93"/>
      <c r="DA189" s="93"/>
      <c r="DB189" s="93"/>
      <c r="DC189" s="93"/>
      <c r="DD189" s="93"/>
      <c r="DE189" s="93"/>
      <c r="DF189" s="93"/>
      <c r="DG189" s="93"/>
      <c r="DH189" s="93"/>
      <c r="DI189" s="93"/>
      <c r="DJ189" s="93"/>
      <c r="DK189" s="93"/>
      <c r="DL189" s="93"/>
      <c r="DM189" s="93"/>
      <c r="DN189" s="93"/>
      <c r="DO189" s="93"/>
      <c r="DP189" s="93"/>
      <c r="DQ189" s="93"/>
      <c r="DR189" s="93"/>
      <c r="DS189" s="93"/>
      <c r="DT189" s="93"/>
      <c r="DU189" s="93"/>
      <c r="DV189" s="93"/>
      <c r="DW189" s="93"/>
      <c r="DX189" s="93"/>
      <c r="DY189" s="93"/>
      <c r="DZ189" s="93"/>
      <c r="EA189" s="93"/>
      <c r="EB189" s="93"/>
      <c r="EC189" s="93"/>
      <c r="ED189" s="93"/>
      <c r="EE189" s="93"/>
      <c r="EF189" s="93"/>
      <c r="EG189" s="93"/>
      <c r="EH189" s="93"/>
      <c r="EI189" s="93"/>
      <c r="EJ189" s="93"/>
      <c r="EK189" s="93"/>
      <c r="EL189" s="93"/>
      <c r="EM189" s="93"/>
      <c r="EN189" s="93"/>
      <c r="EO189" s="93"/>
      <c r="EP189" s="93"/>
      <c r="EQ189" s="93"/>
      <c r="ER189" s="93"/>
      <c r="ES189" s="93"/>
      <c r="ET189" s="93"/>
      <c r="EU189" s="93"/>
      <c r="EV189" s="93"/>
      <c r="EW189" s="93"/>
      <c r="EX189" s="93"/>
      <c r="EY189" s="93"/>
      <c r="EZ189" s="93"/>
      <c r="FA189" s="93"/>
      <c r="FB189" s="93"/>
      <c r="FC189" s="93"/>
      <c r="FD189" s="93"/>
      <c r="FE189" s="93"/>
      <c r="FF189" s="93"/>
      <c r="FG189" s="93"/>
      <c r="FH189" s="93"/>
      <c r="FI189" s="93"/>
      <c r="FJ189" s="93"/>
      <c r="FK189" s="93"/>
      <c r="FL189" s="93"/>
      <c r="FM189" s="93"/>
      <c r="FN189" s="93"/>
      <c r="FO189" s="93"/>
      <c r="FP189" s="93"/>
      <c r="FQ189" s="93"/>
      <c r="FR189" s="93"/>
      <c r="FS189" s="93"/>
      <c r="FT189" s="93"/>
      <c r="FU189" s="93"/>
      <c r="FV189" s="93"/>
      <c r="FW189" s="93"/>
      <c r="FX189" s="93"/>
      <c r="FY189" s="93"/>
      <c r="FZ189" s="93"/>
      <c r="GA189" s="93"/>
      <c r="GB189" s="93"/>
      <c r="GC189" s="93"/>
      <c r="GD189" s="93"/>
      <c r="GE189" s="93"/>
      <c r="GF189" s="93"/>
      <c r="GG189" s="93"/>
      <c r="GH189" s="93"/>
      <c r="GI189" s="93"/>
      <c r="GJ189" s="93"/>
      <c r="GK189" s="93"/>
      <c r="GL189" s="93"/>
      <c r="GM189" s="93"/>
      <c r="GN189" s="93"/>
      <c r="GO189" s="93"/>
      <c r="GP189" s="93"/>
      <c r="GQ189" s="93"/>
      <c r="GR189" s="93"/>
      <c r="GS189" s="93"/>
    </row>
    <row r="190" spans="1:201">
      <c r="A190" s="93"/>
      <c r="B190" s="93"/>
      <c r="C190" s="93"/>
      <c r="D190" s="93"/>
      <c r="E190" s="93"/>
      <c r="F190" s="93"/>
      <c r="G190" s="93"/>
      <c r="H190" s="93"/>
      <c r="I190" s="93"/>
      <c r="J190" s="93"/>
      <c r="K190" s="93"/>
      <c r="L190" s="93"/>
      <c r="M190" s="93"/>
      <c r="N190" s="93"/>
      <c r="O190" s="93"/>
      <c r="P190" s="93"/>
      <c r="Q190" s="93"/>
      <c r="R190" s="93"/>
      <c r="S190" s="93"/>
      <c r="T190" s="93"/>
      <c r="U190" s="93"/>
      <c r="V190" s="93"/>
      <c r="W190" s="93"/>
      <c r="X190" s="93"/>
      <c r="Y190" s="93"/>
      <c r="Z190" s="93"/>
      <c r="AA190" s="93"/>
      <c r="AB190" s="93"/>
      <c r="AC190" s="93"/>
      <c r="AD190" s="93"/>
      <c r="AE190" s="93"/>
      <c r="AF190" s="93"/>
      <c r="AG190" s="93"/>
      <c r="AH190" s="93"/>
      <c r="AI190" s="93"/>
      <c r="AJ190" s="93"/>
      <c r="AK190" s="93"/>
      <c r="AL190" s="93"/>
      <c r="AM190" s="93"/>
      <c r="AN190" s="93"/>
      <c r="AO190" s="93"/>
      <c r="AP190" s="93"/>
      <c r="AQ190" s="93"/>
      <c r="AR190" s="93"/>
      <c r="AS190" s="93"/>
      <c r="AT190" s="93"/>
      <c r="AU190" s="93"/>
      <c r="AV190" s="93"/>
      <c r="AW190" s="93"/>
      <c r="AX190" s="93"/>
      <c r="AY190" s="93"/>
      <c r="AZ190" s="93"/>
      <c r="BA190" s="93"/>
      <c r="BB190" s="93"/>
      <c r="BC190" s="93"/>
      <c r="BD190" s="93"/>
      <c r="BE190" s="93"/>
      <c r="BF190" s="93"/>
      <c r="BG190" s="93"/>
      <c r="BH190" s="93"/>
      <c r="BI190" s="93"/>
      <c r="BJ190" s="93"/>
      <c r="BK190" s="93"/>
      <c r="BL190" s="93"/>
      <c r="BM190" s="93"/>
      <c r="BN190" s="93"/>
      <c r="BO190" s="93"/>
      <c r="BP190" s="93"/>
      <c r="BQ190" s="93"/>
      <c r="BR190" s="93"/>
      <c r="BS190" s="93"/>
      <c r="BT190" s="93"/>
      <c r="BU190" s="93"/>
      <c r="BV190" s="93"/>
      <c r="BW190" s="93"/>
      <c r="BX190" s="93"/>
      <c r="BY190" s="93"/>
      <c r="BZ190" s="93"/>
      <c r="CA190" s="93"/>
      <c r="CB190" s="93"/>
      <c r="CC190" s="93"/>
      <c r="CD190" s="93"/>
      <c r="CE190" s="93"/>
      <c r="CF190" s="93"/>
      <c r="CG190" s="93"/>
      <c r="CH190" s="93"/>
      <c r="CI190" s="93"/>
      <c r="CJ190" s="93"/>
      <c r="CK190" s="93"/>
      <c r="CL190" s="93"/>
      <c r="CM190" s="93"/>
      <c r="CN190" s="93"/>
      <c r="CO190" s="93"/>
      <c r="CP190" s="93"/>
      <c r="CQ190" s="93"/>
      <c r="CR190" s="93"/>
      <c r="CS190" s="93"/>
      <c r="CT190" s="93"/>
      <c r="CU190" s="93"/>
      <c r="CV190" s="93"/>
      <c r="CW190" s="93"/>
      <c r="CX190" s="93"/>
      <c r="CY190" s="93"/>
      <c r="CZ190" s="93"/>
      <c r="DA190" s="93"/>
      <c r="DB190" s="93"/>
      <c r="DC190" s="93"/>
      <c r="DD190" s="93"/>
      <c r="DE190" s="93"/>
      <c r="DF190" s="93"/>
      <c r="DG190" s="93"/>
      <c r="DH190" s="93"/>
      <c r="DI190" s="93"/>
      <c r="DJ190" s="93"/>
      <c r="DK190" s="93"/>
      <c r="DL190" s="93"/>
      <c r="DM190" s="93"/>
      <c r="DN190" s="93"/>
      <c r="DO190" s="93"/>
      <c r="DP190" s="93"/>
      <c r="DQ190" s="93"/>
      <c r="DR190" s="93"/>
      <c r="DS190" s="93"/>
      <c r="DT190" s="93"/>
      <c r="DU190" s="93"/>
      <c r="DV190" s="93"/>
      <c r="DW190" s="93"/>
      <c r="DX190" s="93"/>
      <c r="DY190" s="93"/>
      <c r="DZ190" s="93"/>
      <c r="EA190" s="93"/>
      <c r="EB190" s="93"/>
      <c r="EC190" s="93"/>
      <c r="ED190" s="93"/>
      <c r="EE190" s="93"/>
      <c r="EF190" s="93"/>
      <c r="EG190" s="93"/>
      <c r="EH190" s="93"/>
      <c r="EI190" s="93"/>
      <c r="EJ190" s="93"/>
      <c r="EK190" s="93"/>
      <c r="EL190" s="93"/>
      <c r="EM190" s="93"/>
      <c r="EN190" s="93"/>
      <c r="EO190" s="93"/>
      <c r="EP190" s="93"/>
      <c r="EQ190" s="93"/>
      <c r="ER190" s="93"/>
      <c r="ES190" s="93"/>
      <c r="ET190" s="93"/>
      <c r="EU190" s="93"/>
      <c r="EV190" s="93"/>
      <c r="EW190" s="93"/>
      <c r="EX190" s="93"/>
      <c r="EY190" s="93"/>
      <c r="EZ190" s="93"/>
      <c r="FA190" s="93"/>
      <c r="FB190" s="93"/>
      <c r="FC190" s="93"/>
      <c r="FD190" s="93"/>
      <c r="FE190" s="93"/>
      <c r="FF190" s="93"/>
      <c r="FG190" s="93"/>
      <c r="FH190" s="93"/>
      <c r="FI190" s="93"/>
      <c r="FJ190" s="93"/>
      <c r="FK190" s="93"/>
      <c r="FL190" s="93"/>
      <c r="FM190" s="93"/>
      <c r="FN190" s="93"/>
      <c r="FO190" s="93"/>
      <c r="FP190" s="93"/>
      <c r="FQ190" s="93"/>
      <c r="FR190" s="93"/>
      <c r="FS190" s="93"/>
      <c r="FT190" s="93"/>
      <c r="FU190" s="93"/>
      <c r="FV190" s="93"/>
      <c r="FW190" s="93"/>
      <c r="FX190" s="93"/>
      <c r="FY190" s="93"/>
      <c r="FZ190" s="93"/>
      <c r="GA190" s="93"/>
      <c r="GB190" s="93"/>
      <c r="GC190" s="93"/>
      <c r="GD190" s="93"/>
      <c r="GE190" s="93"/>
      <c r="GF190" s="93"/>
      <c r="GG190" s="93"/>
      <c r="GH190" s="93"/>
      <c r="GI190" s="93"/>
      <c r="GJ190" s="93"/>
      <c r="GK190" s="93"/>
      <c r="GL190" s="93"/>
      <c r="GM190" s="93"/>
      <c r="GN190" s="93"/>
      <c r="GO190" s="93"/>
      <c r="GP190" s="93"/>
      <c r="GQ190" s="93"/>
      <c r="GR190" s="93"/>
      <c r="GS190" s="93"/>
    </row>
    <row r="191" spans="1:201">
      <c r="A191" s="93"/>
      <c r="B191" s="93"/>
      <c r="C191" s="93"/>
      <c r="D191" s="93"/>
      <c r="E191" s="93"/>
      <c r="F191" s="93"/>
      <c r="G191" s="93"/>
      <c r="H191" s="93"/>
      <c r="I191" s="93"/>
      <c r="J191" s="93"/>
      <c r="K191" s="93"/>
      <c r="L191" s="93"/>
      <c r="M191" s="93"/>
      <c r="N191" s="93"/>
      <c r="O191" s="93"/>
      <c r="P191" s="93"/>
      <c r="Q191" s="93"/>
      <c r="R191" s="93"/>
      <c r="S191" s="93"/>
      <c r="T191" s="93"/>
      <c r="U191" s="93"/>
      <c r="V191" s="93"/>
      <c r="W191" s="93"/>
      <c r="X191" s="93"/>
      <c r="Y191" s="93"/>
      <c r="Z191" s="93"/>
      <c r="AA191" s="93"/>
      <c r="AB191" s="93"/>
      <c r="AC191" s="93"/>
      <c r="AD191" s="93"/>
      <c r="AE191" s="93"/>
      <c r="AF191" s="93"/>
      <c r="AG191" s="93"/>
      <c r="AH191" s="93"/>
      <c r="AI191" s="93"/>
      <c r="AJ191" s="93"/>
      <c r="AK191" s="93"/>
      <c r="AL191" s="93"/>
      <c r="AM191" s="93"/>
      <c r="AN191" s="93"/>
      <c r="AO191" s="93"/>
      <c r="AP191" s="93"/>
      <c r="AQ191" s="93"/>
      <c r="AR191" s="93"/>
      <c r="AS191" s="93"/>
      <c r="AT191" s="93"/>
      <c r="AU191" s="93"/>
      <c r="AV191" s="93"/>
      <c r="AW191" s="93"/>
      <c r="AX191" s="93"/>
      <c r="AY191" s="93"/>
      <c r="AZ191" s="93"/>
      <c r="BA191" s="93"/>
      <c r="BB191" s="93"/>
      <c r="BC191" s="93"/>
      <c r="BD191" s="93"/>
      <c r="BE191" s="93"/>
      <c r="BF191" s="93"/>
      <c r="BG191" s="93"/>
      <c r="BH191" s="93"/>
      <c r="BI191" s="93"/>
      <c r="BJ191" s="93"/>
      <c r="BK191" s="93"/>
      <c r="BL191" s="93"/>
      <c r="BM191" s="93"/>
      <c r="BN191" s="93"/>
      <c r="BO191" s="93"/>
      <c r="BP191" s="93"/>
      <c r="BQ191" s="93"/>
      <c r="BR191" s="93"/>
      <c r="BS191" s="93"/>
      <c r="BT191" s="93"/>
      <c r="BU191" s="93"/>
      <c r="BV191" s="93"/>
      <c r="BW191" s="93"/>
      <c r="BX191" s="93"/>
      <c r="BY191" s="93"/>
      <c r="BZ191" s="93"/>
      <c r="CA191" s="93"/>
      <c r="CB191" s="93"/>
      <c r="CC191" s="93"/>
      <c r="CD191" s="93"/>
      <c r="CE191" s="93"/>
      <c r="CF191" s="93"/>
      <c r="CG191" s="93"/>
      <c r="CH191" s="93"/>
      <c r="CI191" s="93"/>
      <c r="CJ191" s="93"/>
      <c r="CK191" s="93"/>
      <c r="CL191" s="93"/>
      <c r="CM191" s="93"/>
      <c r="CN191" s="93"/>
      <c r="CO191" s="93"/>
      <c r="CP191" s="93"/>
      <c r="CQ191" s="93"/>
      <c r="CR191" s="93"/>
      <c r="CS191" s="93"/>
      <c r="CT191" s="93"/>
      <c r="CU191" s="93"/>
      <c r="CV191" s="93"/>
      <c r="CW191" s="93"/>
      <c r="CX191" s="93"/>
      <c r="CY191" s="93"/>
      <c r="CZ191" s="93"/>
      <c r="DA191" s="93"/>
      <c r="DB191" s="93"/>
      <c r="DC191" s="93"/>
      <c r="DD191" s="93"/>
      <c r="DE191" s="93"/>
      <c r="DF191" s="93"/>
      <c r="DG191" s="93"/>
      <c r="DH191" s="93"/>
      <c r="DI191" s="93"/>
      <c r="DJ191" s="93"/>
      <c r="DK191" s="93"/>
      <c r="DL191" s="93"/>
      <c r="DM191" s="93"/>
      <c r="DN191" s="93"/>
      <c r="DO191" s="93"/>
      <c r="DP191" s="93"/>
      <c r="DQ191" s="93"/>
      <c r="DR191" s="93"/>
      <c r="DS191" s="93"/>
      <c r="DT191" s="93"/>
      <c r="DU191" s="93"/>
      <c r="DV191" s="93"/>
      <c r="DW191" s="93"/>
      <c r="DX191" s="93"/>
      <c r="DY191" s="93"/>
      <c r="DZ191" s="93"/>
      <c r="EA191" s="93"/>
      <c r="EB191" s="93"/>
      <c r="EC191" s="93"/>
      <c r="ED191" s="93"/>
      <c r="EE191" s="93"/>
      <c r="EF191" s="93"/>
      <c r="EG191" s="93"/>
      <c r="EH191" s="93"/>
      <c r="EI191" s="93"/>
      <c r="EJ191" s="93"/>
      <c r="EK191" s="93"/>
      <c r="EL191" s="93"/>
      <c r="EM191" s="93"/>
      <c r="EN191" s="93"/>
      <c r="EO191" s="93"/>
      <c r="EP191" s="93"/>
      <c r="EQ191" s="93"/>
      <c r="ER191" s="93"/>
      <c r="ES191" s="93"/>
      <c r="ET191" s="93"/>
      <c r="EU191" s="93"/>
      <c r="EV191" s="93"/>
      <c r="EW191" s="93"/>
      <c r="EX191" s="93"/>
      <c r="EY191" s="93"/>
      <c r="EZ191" s="93"/>
      <c r="FA191" s="93"/>
      <c r="FB191" s="93"/>
      <c r="FC191" s="93"/>
      <c r="FD191" s="93"/>
      <c r="FE191" s="93"/>
      <c r="FF191" s="93"/>
      <c r="FG191" s="93"/>
      <c r="FH191" s="93"/>
      <c r="FI191" s="93"/>
      <c r="FJ191" s="93"/>
      <c r="FK191" s="93"/>
      <c r="FL191" s="93"/>
      <c r="FM191" s="93"/>
      <c r="FN191" s="93"/>
      <c r="FO191" s="93"/>
      <c r="FP191" s="93"/>
      <c r="FQ191" s="93"/>
      <c r="FR191" s="93"/>
      <c r="FS191" s="93"/>
      <c r="FT191" s="93"/>
      <c r="FU191" s="93"/>
      <c r="FV191" s="93"/>
      <c r="FW191" s="93"/>
      <c r="FX191" s="93"/>
      <c r="FY191" s="93"/>
      <c r="FZ191" s="93"/>
      <c r="GA191" s="93"/>
      <c r="GB191" s="93"/>
      <c r="GC191" s="93"/>
      <c r="GD191" s="93"/>
      <c r="GE191" s="93"/>
      <c r="GF191" s="93"/>
      <c r="GG191" s="93"/>
      <c r="GH191" s="93"/>
      <c r="GI191" s="93"/>
      <c r="GJ191" s="93"/>
      <c r="GK191" s="93"/>
      <c r="GL191" s="93"/>
      <c r="GM191" s="93"/>
      <c r="GN191" s="93"/>
      <c r="GO191" s="93"/>
      <c r="GP191" s="93"/>
      <c r="GQ191" s="93"/>
      <c r="GR191" s="93"/>
      <c r="GS191" s="93"/>
    </row>
    <row r="192" spans="1:201" ht="23.65" customHeight="1">
      <c r="A192" s="93"/>
      <c r="B192" s="93"/>
      <c r="C192" s="93"/>
      <c r="D192" s="93"/>
      <c r="E192" s="93"/>
      <c r="F192" s="93"/>
      <c r="G192" s="93"/>
      <c r="H192" s="93"/>
      <c r="I192" s="93"/>
      <c r="J192" s="93"/>
      <c r="K192" s="93"/>
      <c r="L192" s="93"/>
      <c r="M192" s="93"/>
      <c r="N192" s="93"/>
      <c r="O192" s="93"/>
      <c r="P192" s="93"/>
      <c r="Q192" s="93"/>
      <c r="R192" s="93"/>
      <c r="S192" s="93"/>
      <c r="T192" s="93"/>
      <c r="U192" s="93"/>
      <c r="V192" s="93"/>
      <c r="W192" s="93"/>
      <c r="X192" s="93"/>
      <c r="Y192" s="93"/>
      <c r="Z192" s="93"/>
      <c r="AA192" s="93"/>
      <c r="AB192" s="93"/>
      <c r="AC192" s="93"/>
      <c r="AD192" s="93"/>
      <c r="AE192" s="93"/>
      <c r="AF192" s="93"/>
      <c r="AG192" s="93"/>
      <c r="AH192" s="93"/>
      <c r="AI192" s="93"/>
      <c r="AJ192" s="93"/>
      <c r="AK192" s="93"/>
      <c r="AL192" s="93"/>
      <c r="AM192" s="93"/>
      <c r="AN192" s="93"/>
      <c r="AO192" s="93"/>
      <c r="AP192" s="93"/>
      <c r="AQ192" s="93"/>
      <c r="AR192" s="93"/>
      <c r="AS192" s="93"/>
      <c r="AT192" s="93"/>
      <c r="AU192" s="93"/>
      <c r="AV192" s="93"/>
      <c r="AW192" s="93"/>
      <c r="AX192" s="93"/>
      <c r="AY192" s="93"/>
      <c r="AZ192" s="93"/>
      <c r="BA192" s="93"/>
      <c r="BB192" s="93"/>
      <c r="BC192" s="93"/>
      <c r="BD192" s="93"/>
      <c r="BE192" s="93"/>
      <c r="BF192" s="93"/>
      <c r="BG192" s="93"/>
      <c r="BH192" s="93"/>
      <c r="BI192" s="93"/>
      <c r="BJ192" s="93"/>
      <c r="BK192" s="93"/>
      <c r="BL192" s="93"/>
      <c r="BM192" s="93"/>
      <c r="BN192" s="93"/>
      <c r="BO192" s="93"/>
      <c r="BP192" s="93"/>
      <c r="BQ192" s="93"/>
      <c r="BR192" s="93"/>
      <c r="BS192" s="93"/>
      <c r="BT192" s="93"/>
      <c r="BU192" s="93"/>
      <c r="BV192" s="93"/>
      <c r="BW192" s="93"/>
      <c r="BX192" s="93"/>
      <c r="BY192" s="93"/>
      <c r="BZ192" s="93"/>
      <c r="CA192" s="93"/>
      <c r="CB192" s="93"/>
      <c r="CC192" s="93"/>
      <c r="CD192" s="93"/>
      <c r="CE192" s="93"/>
      <c r="CF192" s="93"/>
      <c r="CG192" s="93"/>
      <c r="CH192" s="93"/>
      <c r="CI192" s="93"/>
      <c r="CJ192" s="93"/>
      <c r="CK192" s="93"/>
      <c r="CL192" s="93"/>
      <c r="CM192" s="93"/>
      <c r="CN192" s="93"/>
      <c r="CO192" s="93"/>
      <c r="CP192" s="93"/>
      <c r="CQ192" s="93"/>
      <c r="CR192" s="93"/>
      <c r="CS192" s="93"/>
      <c r="CT192" s="93"/>
      <c r="CU192" s="93"/>
      <c r="CV192" s="93"/>
      <c r="CW192" s="93"/>
      <c r="CX192" s="93"/>
      <c r="CY192" s="93"/>
      <c r="CZ192" s="93"/>
      <c r="DA192" s="93"/>
      <c r="DB192" s="93"/>
      <c r="DC192" s="93"/>
      <c r="DD192" s="93"/>
      <c r="DE192" s="93"/>
      <c r="DF192" s="93"/>
      <c r="DG192" s="93"/>
      <c r="DH192" s="93"/>
      <c r="DI192" s="93"/>
      <c r="DJ192" s="93"/>
      <c r="DK192" s="93"/>
      <c r="DL192" s="93"/>
      <c r="DM192" s="93"/>
      <c r="DN192" s="93"/>
      <c r="DO192" s="93"/>
      <c r="DP192" s="93"/>
      <c r="DQ192" s="93"/>
      <c r="DR192" s="93"/>
      <c r="DS192" s="93"/>
      <c r="DT192" s="93"/>
      <c r="DU192" s="93"/>
      <c r="DV192" s="93"/>
      <c r="DW192" s="93"/>
      <c r="DX192" s="93"/>
      <c r="DY192" s="93"/>
      <c r="DZ192" s="93"/>
      <c r="EA192" s="93"/>
      <c r="EB192" s="93"/>
      <c r="EC192" s="93"/>
      <c r="ED192" s="93"/>
      <c r="EE192" s="93"/>
      <c r="EF192" s="93"/>
      <c r="EG192" s="93"/>
      <c r="EH192" s="93"/>
      <c r="EI192" s="93"/>
      <c r="EJ192" s="93"/>
      <c r="EK192" s="93"/>
      <c r="EL192" s="93"/>
      <c r="EM192" s="93"/>
      <c r="EN192" s="93"/>
      <c r="EO192" s="93"/>
      <c r="EP192" s="93"/>
      <c r="EQ192" s="93"/>
      <c r="ER192" s="93"/>
      <c r="ES192" s="93"/>
      <c r="ET192" s="93"/>
      <c r="EU192" s="93"/>
      <c r="EV192" s="93"/>
      <c r="EW192" s="93"/>
      <c r="EX192" s="93"/>
      <c r="EY192" s="93"/>
      <c r="EZ192" s="93"/>
      <c r="FA192" s="93"/>
      <c r="FB192" s="93"/>
      <c r="FC192" s="93"/>
      <c r="FD192" s="93"/>
      <c r="FE192" s="93"/>
      <c r="FF192" s="93"/>
      <c r="FG192" s="93"/>
      <c r="FH192" s="93"/>
      <c r="FI192" s="93"/>
      <c r="FJ192" s="93"/>
      <c r="FK192" s="93"/>
      <c r="FL192" s="93"/>
      <c r="FM192" s="93"/>
      <c r="FN192" s="93"/>
      <c r="FO192" s="93"/>
      <c r="FP192" s="93"/>
      <c r="FQ192" s="93"/>
      <c r="FR192" s="93"/>
      <c r="FS192" s="93"/>
      <c r="FT192" s="93"/>
      <c r="FU192" s="93"/>
      <c r="FV192" s="93"/>
      <c r="FW192" s="93"/>
      <c r="FX192" s="93"/>
      <c r="FY192" s="93"/>
      <c r="FZ192" s="93"/>
      <c r="GA192" s="93"/>
      <c r="GB192" s="93"/>
      <c r="GC192" s="93"/>
      <c r="GD192" s="93"/>
      <c r="GE192" s="93"/>
      <c r="GF192" s="93"/>
      <c r="GG192" s="93"/>
      <c r="GH192" s="93"/>
      <c r="GI192" s="93"/>
      <c r="GJ192" s="93"/>
      <c r="GK192" s="93"/>
      <c r="GL192" s="93"/>
      <c r="GM192" s="93"/>
      <c r="GN192" s="93"/>
      <c r="GO192" s="93"/>
      <c r="GP192" s="93"/>
      <c r="GQ192" s="93"/>
      <c r="GR192" s="93"/>
      <c r="GS192" s="93"/>
    </row>
    <row r="193" customFormat="1" ht="23.65" customHeight="1"/>
    <row r="194" customFormat="1" ht="23.65" customHeight="1"/>
    <row r="218" spans="5:17">
      <c r="E218" s="297"/>
      <c r="F218" s="1397" t="s">
        <v>684</v>
      </c>
      <c r="G218" s="1397"/>
      <c r="H218" s="1397"/>
      <c r="I218" s="1397"/>
      <c r="J218" s="1640"/>
      <c r="K218" s="1640"/>
      <c r="L218" s="1640"/>
      <c r="M218" s="1640"/>
      <c r="N218" s="1640"/>
      <c r="O218" s="1640"/>
      <c r="P218" s="1640"/>
      <c r="Q218" s="1640"/>
    </row>
    <row r="219" spans="5:17">
      <c r="E219" s="298" t="s">
        <v>291</v>
      </c>
      <c r="F219" s="63" t="s">
        <v>317</v>
      </c>
      <c r="G219" s="63" t="s">
        <v>326</v>
      </c>
      <c r="H219" s="63" t="s">
        <v>336</v>
      </c>
      <c r="I219" s="63" t="s">
        <v>328</v>
      </c>
      <c r="J219" s="63"/>
      <c r="K219" s="63"/>
      <c r="L219" s="63"/>
      <c r="M219" s="63"/>
      <c r="N219" s="63"/>
      <c r="O219" s="63"/>
      <c r="P219" s="63"/>
      <c r="Q219" s="63"/>
    </row>
    <row r="220" spans="5:17">
      <c r="E220" s="297">
        <v>1</v>
      </c>
      <c r="F220" s="297"/>
      <c r="G220" s="297"/>
      <c r="H220" s="297"/>
      <c r="I220" s="297"/>
      <c r="J220" s="297"/>
      <c r="K220" s="297"/>
      <c r="L220" s="297"/>
      <c r="M220" s="297"/>
      <c r="N220" s="297"/>
      <c r="O220" s="297"/>
      <c r="P220" s="297"/>
      <c r="Q220" s="297"/>
    </row>
    <row r="221" spans="5:17">
      <c r="E221" s="297">
        <v>2</v>
      </c>
      <c r="F221" s="297"/>
      <c r="G221" s="297"/>
      <c r="H221" s="297"/>
      <c r="I221" s="297"/>
      <c r="J221" s="297"/>
      <c r="K221" s="297"/>
      <c r="L221" s="297"/>
      <c r="M221" s="297"/>
      <c r="N221" s="297"/>
      <c r="O221" s="297"/>
      <c r="P221" s="297"/>
      <c r="Q221" s="297"/>
    </row>
    <row r="222" spans="5:17">
      <c r="E222" s="297">
        <v>3</v>
      </c>
      <c r="F222" s="297"/>
      <c r="G222" s="297"/>
      <c r="H222" s="297"/>
      <c r="I222" s="297"/>
      <c r="J222" s="297"/>
      <c r="K222" s="297"/>
      <c r="L222" s="297"/>
      <c r="M222" s="297"/>
      <c r="N222" s="297"/>
      <c r="O222" s="297"/>
      <c r="P222" s="297"/>
      <c r="Q222" s="297"/>
    </row>
    <row r="223" spans="5:17">
      <c r="E223" s="297">
        <v>4</v>
      </c>
      <c r="F223" s="297"/>
      <c r="G223" s="297"/>
      <c r="H223" s="297"/>
      <c r="I223" s="297"/>
      <c r="J223" s="297"/>
      <c r="K223" s="297"/>
      <c r="L223" s="297"/>
      <c r="M223" s="297"/>
      <c r="N223" s="297"/>
      <c r="O223" s="297"/>
      <c r="P223" s="297"/>
      <c r="Q223" s="297"/>
    </row>
    <row r="224" spans="5:17">
      <c r="F224" s="1629" t="s">
        <v>685</v>
      </c>
      <c r="G224" s="1629"/>
      <c r="H224" s="1629"/>
      <c r="I224" s="1629"/>
    </row>
    <row r="225" spans="5:9">
      <c r="E225" s="298" t="s">
        <v>291</v>
      </c>
      <c r="F225" s="63" t="s">
        <v>317</v>
      </c>
      <c r="G225" s="63" t="s">
        <v>326</v>
      </c>
      <c r="H225" s="63" t="s">
        <v>336</v>
      </c>
      <c r="I225" s="63" t="s">
        <v>328</v>
      </c>
    </row>
    <row r="226" spans="5:9">
      <c r="E226" s="297">
        <v>1</v>
      </c>
      <c r="F226" s="297"/>
      <c r="G226" s="297"/>
      <c r="H226" s="297"/>
      <c r="I226" s="297"/>
    </row>
    <row r="227" spans="5:9">
      <c r="E227" s="297">
        <v>2</v>
      </c>
      <c r="F227" s="297"/>
      <c r="G227" s="297"/>
      <c r="H227" s="297"/>
      <c r="I227" s="297"/>
    </row>
    <row r="228" spans="5:9">
      <c r="E228" s="297">
        <v>3</v>
      </c>
      <c r="F228" s="297"/>
      <c r="G228" s="297"/>
      <c r="H228" s="297"/>
      <c r="I228" s="297"/>
    </row>
    <row r="229" spans="5:9">
      <c r="E229" s="297">
        <v>4</v>
      </c>
      <c r="F229" s="297"/>
      <c r="G229" s="297"/>
      <c r="H229" s="297"/>
      <c r="I229" s="297"/>
    </row>
    <row r="230" spans="5:9">
      <c r="F230" s="1630" t="s">
        <v>686</v>
      </c>
      <c r="G230" s="1630"/>
      <c r="H230" s="1630"/>
      <c r="I230" s="1630"/>
    </row>
    <row r="231" spans="5:9">
      <c r="E231" s="298" t="s">
        <v>291</v>
      </c>
      <c r="F231" s="63" t="s">
        <v>317</v>
      </c>
      <c r="G231" s="63" t="s">
        <v>326</v>
      </c>
      <c r="H231" s="63" t="s">
        <v>336</v>
      </c>
      <c r="I231" s="63" t="s">
        <v>328</v>
      </c>
    </row>
    <row r="232" spans="5:9">
      <c r="E232" s="297">
        <v>1</v>
      </c>
      <c r="F232" s="297"/>
      <c r="G232" s="297"/>
      <c r="H232" s="297"/>
      <c r="I232" s="297"/>
    </row>
    <row r="233" spans="5:9">
      <c r="E233" s="297">
        <v>2</v>
      </c>
      <c r="F233" s="297"/>
      <c r="G233" s="297"/>
      <c r="H233" s="297"/>
      <c r="I233" s="297"/>
    </row>
    <row r="234" spans="5:9">
      <c r="E234" s="297">
        <v>3</v>
      </c>
      <c r="F234" s="297"/>
      <c r="G234" s="297"/>
      <c r="H234" s="297"/>
      <c r="I234" s="297"/>
    </row>
    <row r="235" spans="5:9">
      <c r="E235" s="297">
        <v>4</v>
      </c>
      <c r="F235" s="297"/>
      <c r="G235" s="297"/>
      <c r="H235" s="297"/>
      <c r="I235" s="297"/>
    </row>
  </sheetData>
  <mergeCells count="495">
    <mergeCell ref="AQ43:AU44"/>
    <mergeCell ref="BG44:BJ44"/>
    <mergeCell ref="BG45:BI45"/>
    <mergeCell ref="DE113:DI114"/>
    <mergeCell ref="DO113:DS114"/>
    <mergeCell ref="BY114:CB114"/>
    <mergeCell ref="AQ113:AU114"/>
    <mergeCell ref="CG114:CJ114"/>
    <mergeCell ref="AQ100:AU100"/>
    <mergeCell ref="DA44:DD44"/>
    <mergeCell ref="CC44:CF44"/>
    <mergeCell ref="CG44:CJ44"/>
    <mergeCell ref="BO43:CJ43"/>
    <mergeCell ref="BQ44:BT44"/>
    <mergeCell ref="BU44:BX44"/>
    <mergeCell ref="BY44:CB44"/>
    <mergeCell ref="DH97:DI99"/>
    <mergeCell ref="DR97:DS99"/>
    <mergeCell ref="BG46:BI46"/>
    <mergeCell ref="BG49:BI49"/>
    <mergeCell ref="BG47:BI47"/>
    <mergeCell ref="BG48:BI48"/>
    <mergeCell ref="BO46:BO50"/>
    <mergeCell ref="DR63:DX65"/>
    <mergeCell ref="A4:A8"/>
    <mergeCell ref="A9:A12"/>
    <mergeCell ref="GF156:GG157"/>
    <mergeCell ref="GG167:GG170"/>
    <mergeCell ref="GD156:GE157"/>
    <mergeCell ref="GC116:GC120"/>
    <mergeCell ref="GA121:GA124"/>
    <mergeCell ref="GC121:GC124"/>
    <mergeCell ref="AQ155:AU156"/>
    <mergeCell ref="AQ163:AQ177"/>
    <mergeCell ref="DZ124:DZ126"/>
    <mergeCell ref="DZ127:DZ130"/>
    <mergeCell ref="DZ120:DZ123"/>
    <mergeCell ref="DE155:DI156"/>
    <mergeCell ref="DO155:DS156"/>
    <mergeCell ref="DE163:DE177"/>
    <mergeCell ref="DO163:DO177"/>
    <mergeCell ref="DF167:DF177"/>
    <mergeCell ref="DP167:DP177"/>
    <mergeCell ref="DG171:DG177"/>
    <mergeCell ref="DQ171:DQ177"/>
    <mergeCell ref="DH175:DI177"/>
    <mergeCell ref="DR175:DS177"/>
    <mergeCell ref="DE121:DE135"/>
    <mergeCell ref="W44:Z44"/>
    <mergeCell ref="AA44:AD44"/>
    <mergeCell ref="AE44:AH44"/>
    <mergeCell ref="AI44:AL44"/>
    <mergeCell ref="AM44:AP44"/>
    <mergeCell ref="A41:AP42"/>
    <mergeCell ref="C40:F40"/>
    <mergeCell ref="G40:J40"/>
    <mergeCell ref="K40:N40"/>
    <mergeCell ref="O40:R40"/>
    <mergeCell ref="S40:V40"/>
    <mergeCell ref="K44:N44"/>
    <mergeCell ref="O44:R44"/>
    <mergeCell ref="S44:V44"/>
    <mergeCell ref="A43:V43"/>
    <mergeCell ref="C44:F44"/>
    <mergeCell ref="G44:J44"/>
    <mergeCell ref="GJ171:GJ174"/>
    <mergeCell ref="GG116:GG120"/>
    <mergeCell ref="GG121:GG124"/>
    <mergeCell ref="GC125:GC128"/>
    <mergeCell ref="GG125:GG128"/>
    <mergeCell ref="GE129:GE132"/>
    <mergeCell ref="GG129:GG132"/>
    <mergeCell ref="GG158:GG162"/>
    <mergeCell ref="GG163:GG166"/>
    <mergeCell ref="GC163:GC166"/>
    <mergeCell ref="GE163:GE166"/>
    <mergeCell ref="GE125:GE128"/>
    <mergeCell ref="GJ116:GJ120"/>
    <mergeCell ref="GJ121:GJ124"/>
    <mergeCell ref="GJ125:GJ128"/>
    <mergeCell ref="GJ129:GJ132"/>
    <mergeCell ref="GJ158:GJ162"/>
    <mergeCell ref="EG155:GG155"/>
    <mergeCell ref="GB156:GC157"/>
    <mergeCell ref="EG167:EG170"/>
    <mergeCell ref="FY158:FY162"/>
    <mergeCell ref="GA158:GA162"/>
    <mergeCell ref="GC158:GC162"/>
    <mergeCell ref="GG171:GG174"/>
    <mergeCell ref="GA51:GA54"/>
    <mergeCell ref="GC51:GC54"/>
    <mergeCell ref="GC55:GC58"/>
    <mergeCell ref="EG51:EG54"/>
    <mergeCell ref="DF55:DF65"/>
    <mergeCell ref="BO55:BO58"/>
    <mergeCell ref="EM156:EP156"/>
    <mergeCell ref="EQ156:ET156"/>
    <mergeCell ref="EU156:EX156"/>
    <mergeCell ref="EY156:FB156"/>
    <mergeCell ref="FX156:FY157"/>
    <mergeCell ref="FZ156:GA157"/>
    <mergeCell ref="EG116:EG120"/>
    <mergeCell ref="EG125:EG128"/>
    <mergeCell ref="EG129:EG132"/>
    <mergeCell ref="EI156:EL156"/>
    <mergeCell ref="FY116:FY120"/>
    <mergeCell ref="GA116:GA120"/>
    <mergeCell ref="EG121:EG124"/>
    <mergeCell ref="BO80:BO84"/>
    <mergeCell ref="BU78:BX78"/>
    <mergeCell ref="BY78:CB78"/>
    <mergeCell ref="DZ51:DZ54"/>
    <mergeCell ref="DH63:DN65"/>
    <mergeCell ref="BO77:CJ77"/>
    <mergeCell ref="BO51:BO54"/>
    <mergeCell ref="BO59:BO62"/>
    <mergeCell ref="A68:B68"/>
    <mergeCell ref="AQ121:AQ135"/>
    <mergeCell ref="AR125:AR135"/>
    <mergeCell ref="A89:A92"/>
    <mergeCell ref="A93:A96"/>
    <mergeCell ref="DG129:DG135"/>
    <mergeCell ref="BQ114:BT114"/>
    <mergeCell ref="BO89:BO92"/>
    <mergeCell ref="BO93:BO96"/>
    <mergeCell ref="BO125:BO128"/>
    <mergeCell ref="DG59:DG65"/>
    <mergeCell ref="DE55:DE65"/>
    <mergeCell ref="BO85:BO88"/>
    <mergeCell ref="DG93:DG99"/>
    <mergeCell ref="C114:F114"/>
    <mergeCell ref="G114:J114"/>
    <mergeCell ref="K114:N114"/>
    <mergeCell ref="A103:B103"/>
    <mergeCell ref="A107:B107"/>
    <mergeCell ref="A109:B109"/>
    <mergeCell ref="A46:A50"/>
    <mergeCell ref="A51:A54"/>
    <mergeCell ref="AQ66:AZ66"/>
    <mergeCell ref="AS59:AS65"/>
    <mergeCell ref="A55:A58"/>
    <mergeCell ref="A59:A62"/>
    <mergeCell ref="A85:A88"/>
    <mergeCell ref="K78:N78"/>
    <mergeCell ref="O78:R78"/>
    <mergeCell ref="S78:V78"/>
    <mergeCell ref="AQ85:AQ99"/>
    <mergeCell ref="AR89:AR99"/>
    <mergeCell ref="AS94:AS99"/>
    <mergeCell ref="AQ55:AQ64"/>
    <mergeCell ref="AT63:AU65"/>
    <mergeCell ref="AQ77:AU78"/>
    <mergeCell ref="S33:V33"/>
    <mergeCell ref="A13:A16"/>
    <mergeCell ref="A17:A20"/>
    <mergeCell ref="O33:R33"/>
    <mergeCell ref="A40:B40"/>
    <mergeCell ref="A29:D29"/>
    <mergeCell ref="A30:D30"/>
    <mergeCell ref="A31:D31"/>
    <mergeCell ref="A32:D32"/>
    <mergeCell ref="A33:D33"/>
    <mergeCell ref="A36:B36"/>
    <mergeCell ref="A37:B37"/>
    <mergeCell ref="A38:B38"/>
    <mergeCell ref="A39:B39"/>
    <mergeCell ref="C34:F34"/>
    <mergeCell ref="G34:J34"/>
    <mergeCell ref="K34:N34"/>
    <mergeCell ref="O34:R34"/>
    <mergeCell ref="S34:V34"/>
    <mergeCell ref="A34:B35"/>
    <mergeCell ref="C1:V1"/>
    <mergeCell ref="C2:F2"/>
    <mergeCell ref="G2:J2"/>
    <mergeCell ref="K2:N2"/>
    <mergeCell ref="O2:R2"/>
    <mergeCell ref="S2:V2"/>
    <mergeCell ref="BO13:BO16"/>
    <mergeCell ref="BO17:BO20"/>
    <mergeCell ref="AQ2:AQ3"/>
    <mergeCell ref="BG4:BG8"/>
    <mergeCell ref="BG9:BG12"/>
    <mergeCell ref="BG2:BJ2"/>
    <mergeCell ref="BO9:BO12"/>
    <mergeCell ref="BK4:BK8"/>
    <mergeCell ref="BK9:BK12"/>
    <mergeCell ref="BK13:BK16"/>
    <mergeCell ref="BK17:BK20"/>
    <mergeCell ref="BG13:BG16"/>
    <mergeCell ref="BG17:BG20"/>
    <mergeCell ref="W2:Z2"/>
    <mergeCell ref="AA2:AD2"/>
    <mergeCell ref="AE2:AH2"/>
    <mergeCell ref="AI2:AL2"/>
    <mergeCell ref="AM2:AP2"/>
    <mergeCell ref="DH2:DH3"/>
    <mergeCell ref="DH9:DH12"/>
    <mergeCell ref="DH13:DH16"/>
    <mergeCell ref="DH17:DH20"/>
    <mergeCell ref="DI2:DI3"/>
    <mergeCell ref="CG2:CJ2"/>
    <mergeCell ref="DA2:DD2"/>
    <mergeCell ref="DF2:DF40"/>
    <mergeCell ref="DH37:DH40"/>
    <mergeCell ref="DH4:DH8"/>
    <mergeCell ref="CK2:CN2"/>
    <mergeCell ref="CO2:CR2"/>
    <mergeCell ref="EQ78:ET78"/>
    <mergeCell ref="EU78:EX78"/>
    <mergeCell ref="EA77:EE78"/>
    <mergeCell ref="DQ59:DQ65"/>
    <mergeCell ref="DO77:DS78"/>
    <mergeCell ref="EG55:EG58"/>
    <mergeCell ref="EG59:EG62"/>
    <mergeCell ref="DO85:DO99"/>
    <mergeCell ref="DF89:DF99"/>
    <mergeCell ref="DQ93:DQ99"/>
    <mergeCell ref="EG77:GG77"/>
    <mergeCell ref="GC85:GC88"/>
    <mergeCell ref="GB78:GC79"/>
    <mergeCell ref="GC80:GC84"/>
    <mergeCell ref="GC89:GC92"/>
    <mergeCell ref="EG80:EG84"/>
    <mergeCell ref="EG85:EG88"/>
    <mergeCell ref="EI78:EL78"/>
    <mergeCell ref="EM78:EP78"/>
    <mergeCell ref="EY78:FB78"/>
    <mergeCell ref="DE66:DN66"/>
    <mergeCell ref="DO66:DX66"/>
    <mergeCell ref="DO55:DO65"/>
    <mergeCell ref="DP55:DP65"/>
    <mergeCell ref="EA113:EE114"/>
    <mergeCell ref="EI114:EL114"/>
    <mergeCell ref="EM114:EP114"/>
    <mergeCell ref="BO41:DD42"/>
    <mergeCell ref="CK44:CN44"/>
    <mergeCell ref="CO44:CR44"/>
    <mergeCell ref="CS44:CV44"/>
    <mergeCell ref="CW44:CZ44"/>
    <mergeCell ref="A80:A84"/>
    <mergeCell ref="DE100:DI100"/>
    <mergeCell ref="DO100:DS100"/>
    <mergeCell ref="DE77:DI78"/>
    <mergeCell ref="BO67:BP67"/>
    <mergeCell ref="BQ78:BT78"/>
    <mergeCell ref="DZ55:DZ58"/>
    <mergeCell ref="DZ59:DZ62"/>
    <mergeCell ref="AR55:AR65"/>
    <mergeCell ref="A102:B102"/>
    <mergeCell ref="A113:V113"/>
    <mergeCell ref="A77:V77"/>
    <mergeCell ref="A67:B67"/>
    <mergeCell ref="A72:B72"/>
    <mergeCell ref="C78:F78"/>
    <mergeCell ref="G78:J78"/>
    <mergeCell ref="DZ80:DZ83"/>
    <mergeCell ref="DZ84:DZ87"/>
    <mergeCell ref="DZ88:DZ90"/>
    <mergeCell ref="DZ91:DZ94"/>
    <mergeCell ref="AS130:AS135"/>
    <mergeCell ref="O114:R114"/>
    <mergeCell ref="S114:V114"/>
    <mergeCell ref="BO102:BP102"/>
    <mergeCell ref="DQ129:DQ135"/>
    <mergeCell ref="DP125:DP135"/>
    <mergeCell ref="DO121:DO135"/>
    <mergeCell ref="DR133:DS135"/>
    <mergeCell ref="BO155:CJ155"/>
    <mergeCell ref="BU114:BX114"/>
    <mergeCell ref="BO113:CJ113"/>
    <mergeCell ref="CC114:CF114"/>
    <mergeCell ref="BO138:BP138"/>
    <mergeCell ref="BO116:BO120"/>
    <mergeCell ref="BO121:BO124"/>
    <mergeCell ref="AQ136:AU136"/>
    <mergeCell ref="DE136:DI136"/>
    <mergeCell ref="DF125:DF135"/>
    <mergeCell ref="GA46:GA50"/>
    <mergeCell ref="F218:I218"/>
    <mergeCell ref="J218:M218"/>
    <mergeCell ref="N218:Q218"/>
    <mergeCell ref="EG163:EG166"/>
    <mergeCell ref="GA85:GA88"/>
    <mergeCell ref="EG183:FB183"/>
    <mergeCell ref="EH136:FB136"/>
    <mergeCell ref="EG141:FB141"/>
    <mergeCell ref="EG71:FB71"/>
    <mergeCell ref="BQ156:BT156"/>
    <mergeCell ref="BU156:BX156"/>
    <mergeCell ref="BY156:CB156"/>
    <mergeCell ref="CC156:CF156"/>
    <mergeCell ref="CG156:CJ156"/>
    <mergeCell ref="BO129:BO132"/>
    <mergeCell ref="DZ116:DZ119"/>
    <mergeCell ref="DH133:DI135"/>
    <mergeCell ref="FZ78:GA79"/>
    <mergeCell ref="FX114:FY115"/>
    <mergeCell ref="FX78:FY79"/>
    <mergeCell ref="FY80:FY84"/>
    <mergeCell ref="GA80:GA84"/>
    <mergeCell ref="EG113:GG113"/>
    <mergeCell ref="F224:I224"/>
    <mergeCell ref="F230:I230"/>
    <mergeCell ref="A140:B140"/>
    <mergeCell ref="A141:B141"/>
    <mergeCell ref="A142:B142"/>
    <mergeCell ref="A116:A120"/>
    <mergeCell ref="A121:A124"/>
    <mergeCell ref="A137:B137"/>
    <mergeCell ref="A138:B138"/>
    <mergeCell ref="A139:B139"/>
    <mergeCell ref="A155:V155"/>
    <mergeCell ref="C156:F156"/>
    <mergeCell ref="G156:J156"/>
    <mergeCell ref="K156:N156"/>
    <mergeCell ref="O156:R156"/>
    <mergeCell ref="S156:V156"/>
    <mergeCell ref="A158:A162"/>
    <mergeCell ref="A163:A166"/>
    <mergeCell ref="A171:A174"/>
    <mergeCell ref="A181:B181"/>
    <mergeCell ref="A125:A128"/>
    <mergeCell ref="A129:A132"/>
    <mergeCell ref="EA42:EE42"/>
    <mergeCell ref="GS46:GS47"/>
    <mergeCell ref="GT46:GW46"/>
    <mergeCell ref="GI44:GI45"/>
    <mergeCell ref="GI46:GI50"/>
    <mergeCell ref="DZ46:DZ50"/>
    <mergeCell ref="DE43:DN44"/>
    <mergeCell ref="DO43:DX44"/>
    <mergeCell ref="FC44:FF44"/>
    <mergeCell ref="FG44:FJ44"/>
    <mergeCell ref="FK44:FN44"/>
    <mergeCell ref="FO44:FR44"/>
    <mergeCell ref="FS44:FV44"/>
    <mergeCell ref="FY46:FY50"/>
    <mergeCell ref="FX44:FY45"/>
    <mergeCell ref="EI44:EL44"/>
    <mergeCell ref="EM44:EP44"/>
    <mergeCell ref="EQ44:ET44"/>
    <mergeCell ref="GB44:GC45"/>
    <mergeCell ref="EG43:GG43"/>
    <mergeCell ref="EA43:EE44"/>
    <mergeCell ref="EY44:FB44"/>
    <mergeCell ref="GC46:GC50"/>
    <mergeCell ref="EG46:EG50"/>
    <mergeCell ref="EG41:GG42"/>
    <mergeCell ref="GD44:GE45"/>
    <mergeCell ref="GF44:GG45"/>
    <mergeCell ref="FZ44:GA45"/>
    <mergeCell ref="EU44:EX44"/>
    <mergeCell ref="GT18:GT23"/>
    <mergeCell ref="GT1:HO1"/>
    <mergeCell ref="GV2:GY2"/>
    <mergeCell ref="GZ2:HC2"/>
    <mergeCell ref="HD2:HG2"/>
    <mergeCell ref="HH2:HK2"/>
    <mergeCell ref="HL2:HO2"/>
    <mergeCell ref="GT4:GT8"/>
    <mergeCell ref="GT9:GT12"/>
    <mergeCell ref="GT13:GT17"/>
    <mergeCell ref="ET22:EW22"/>
    <mergeCell ref="GE158:GE162"/>
    <mergeCell ref="GA163:GA166"/>
    <mergeCell ref="EH178:FB178"/>
    <mergeCell ref="A180:B180"/>
    <mergeCell ref="DO178:DS178"/>
    <mergeCell ref="GE167:GE170"/>
    <mergeCell ref="AR167:AR177"/>
    <mergeCell ref="AS172:AS177"/>
    <mergeCell ref="DE178:DI178"/>
    <mergeCell ref="EG171:EG174"/>
    <mergeCell ref="GE171:GE174"/>
    <mergeCell ref="AQ178:AU178"/>
    <mergeCell ref="GC167:GC170"/>
    <mergeCell ref="A179:B179"/>
    <mergeCell ref="BO180:BP180"/>
    <mergeCell ref="EG158:EG162"/>
    <mergeCell ref="A167:A170"/>
    <mergeCell ref="BO171:BO174"/>
    <mergeCell ref="BO158:BO162"/>
    <mergeCell ref="BO163:BO166"/>
    <mergeCell ref="BO167:BO170"/>
    <mergeCell ref="FZ114:GA115"/>
    <mergeCell ref="GB114:GC115"/>
    <mergeCell ref="EG89:EG92"/>
    <mergeCell ref="EG93:EG96"/>
    <mergeCell ref="EY114:FB114"/>
    <mergeCell ref="EH100:FB100"/>
    <mergeCell ref="EG105:FB105"/>
    <mergeCell ref="EQ114:ET114"/>
    <mergeCell ref="EU114:EX114"/>
    <mergeCell ref="GE121:GE124"/>
    <mergeCell ref="GG46:GG50"/>
    <mergeCell ref="GG51:GG54"/>
    <mergeCell ref="GF114:GG115"/>
    <mergeCell ref="GD78:GE79"/>
    <mergeCell ref="GF78:GG79"/>
    <mergeCell ref="GE80:GE84"/>
    <mergeCell ref="GE46:GE50"/>
    <mergeCell ref="GE51:GE54"/>
    <mergeCell ref="GE55:GE58"/>
    <mergeCell ref="GE59:GE62"/>
    <mergeCell ref="GG55:GG58"/>
    <mergeCell ref="GG59:GG62"/>
    <mergeCell ref="GG85:GG88"/>
    <mergeCell ref="GE89:GE92"/>
    <mergeCell ref="GG89:GG92"/>
    <mergeCell ref="GE93:GE96"/>
    <mergeCell ref="GG93:GG96"/>
    <mergeCell ref="GG80:GG84"/>
    <mergeCell ref="GD114:GE115"/>
    <mergeCell ref="GE116:GE120"/>
    <mergeCell ref="GE85:GE88"/>
    <mergeCell ref="GP78:GP79"/>
    <mergeCell ref="GP80:GP84"/>
    <mergeCell ref="GP85:GP88"/>
    <mergeCell ref="GP89:GP93"/>
    <mergeCell ref="GP94:GP99"/>
    <mergeCell ref="GH167:GH171"/>
    <mergeCell ref="GH172:GH177"/>
    <mergeCell ref="GK158:GK162"/>
    <mergeCell ref="GK163:GK166"/>
    <mergeCell ref="GK167:GK171"/>
    <mergeCell ref="GK172:GK177"/>
    <mergeCell ref="GK156:GK157"/>
    <mergeCell ref="GK114:GK115"/>
    <mergeCell ref="GK116:GK120"/>
    <mergeCell ref="GK121:GK124"/>
    <mergeCell ref="GK125:GK129"/>
    <mergeCell ref="GK130:GK135"/>
    <mergeCell ref="GH94:GH99"/>
    <mergeCell ref="GH114:GH115"/>
    <mergeCell ref="GH116:GH120"/>
    <mergeCell ref="GH121:GH124"/>
    <mergeCell ref="GH125:GH129"/>
    <mergeCell ref="GJ163:GJ166"/>
    <mergeCell ref="GJ167:GJ170"/>
    <mergeCell ref="GI51:GI54"/>
    <mergeCell ref="GI55:GI59"/>
    <mergeCell ref="GI60:GI65"/>
    <mergeCell ref="GH130:GH135"/>
    <mergeCell ref="GH156:GH157"/>
    <mergeCell ref="GH158:GH162"/>
    <mergeCell ref="GH163:GH166"/>
    <mergeCell ref="GH44:GH45"/>
    <mergeCell ref="GH46:GH50"/>
    <mergeCell ref="GH51:GH54"/>
    <mergeCell ref="GH55:GH59"/>
    <mergeCell ref="GH60:GH65"/>
    <mergeCell ref="GH78:GH79"/>
    <mergeCell ref="GH80:GH84"/>
    <mergeCell ref="GH85:GH88"/>
    <mergeCell ref="GH89:GH93"/>
    <mergeCell ref="DO136:DS136"/>
    <mergeCell ref="CC78:CF78"/>
    <mergeCell ref="CG78:CJ78"/>
    <mergeCell ref="DP89:DP99"/>
    <mergeCell ref="DE85:DE99"/>
    <mergeCell ref="DH1:DR1"/>
    <mergeCell ref="AS2:AS3"/>
    <mergeCell ref="AT2:AT3"/>
    <mergeCell ref="AS4:AS8"/>
    <mergeCell ref="AS9:AS12"/>
    <mergeCell ref="AS13:AS16"/>
    <mergeCell ref="AS17:AS20"/>
    <mergeCell ref="AU2:BD2"/>
    <mergeCell ref="DJ2:DS2"/>
    <mergeCell ref="BO1:CJ1"/>
    <mergeCell ref="BQ2:BT2"/>
    <mergeCell ref="BU2:BX2"/>
    <mergeCell ref="BY2:CB2"/>
    <mergeCell ref="CC2:CF2"/>
    <mergeCell ref="BO4:BO8"/>
    <mergeCell ref="CS2:CV2"/>
    <mergeCell ref="CW2:CZ2"/>
    <mergeCell ref="DN22:DQ22"/>
    <mergeCell ref="DR22:DU22"/>
    <mergeCell ref="DV22:DY22"/>
    <mergeCell ref="DZ22:EC22"/>
    <mergeCell ref="ED22:EG22"/>
    <mergeCell ref="EH22:EK22"/>
    <mergeCell ref="EL22:EO22"/>
    <mergeCell ref="EP22:ES22"/>
    <mergeCell ref="W34:Z34"/>
    <mergeCell ref="AA34:AD34"/>
    <mergeCell ref="AE34:AH34"/>
    <mergeCell ref="AI34:AL34"/>
    <mergeCell ref="AM34:AP34"/>
    <mergeCell ref="DH24:DH28"/>
    <mergeCell ref="DH29:DH32"/>
    <mergeCell ref="DH33:DH36"/>
    <mergeCell ref="DJ22:DM22"/>
  </mergeCells>
  <phoneticPr fontId="8" type="noConversion"/>
  <conditionalFormatting sqref="BI4:BI20">
    <cfRule type="cellIs" dxfId="20" priority="6" operator="greaterThan">
      <formula>9.47</formula>
    </cfRule>
  </conditionalFormatting>
  <conditionalFormatting sqref="C4:AP20">
    <cfRule type="cellIs" dxfId="19" priority="1" operator="greaterThan">
      <formula>20</formula>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40FA5-415A-4A00-89C3-940B2B5E3C6B}">
  <sheetPr codeName="Sheet12"/>
  <dimension ref="A1:V232"/>
  <sheetViews>
    <sheetView topLeftCell="J1" zoomScale="85" zoomScaleNormal="85" workbookViewId="0">
      <selection activeCell="N26" sqref="N26"/>
    </sheetView>
  </sheetViews>
  <sheetFormatPr defaultColWidth="8.7109375" defaultRowHeight="14.45"/>
  <cols>
    <col min="1" max="1" width="8.7109375" style="354"/>
    <col min="2" max="2" width="13.42578125" style="354" customWidth="1"/>
    <col min="3" max="3" width="15.5703125" style="354" bestFit="1" customWidth="1"/>
    <col min="4" max="4" width="19.28515625" style="354" bestFit="1" customWidth="1"/>
    <col min="5" max="5" width="15.5703125" style="354" bestFit="1" customWidth="1"/>
    <col min="6" max="6" width="16.42578125" style="354" bestFit="1" customWidth="1"/>
    <col min="7" max="7" width="8.28515625" style="354" bestFit="1" customWidth="1"/>
    <col min="8" max="8" width="25.28515625" style="354" bestFit="1" customWidth="1"/>
    <col min="9" max="9" width="31.5703125" style="354" bestFit="1" customWidth="1"/>
    <col min="10" max="10" width="17" style="354" customWidth="1"/>
    <col min="11" max="11" width="14.42578125" style="354" bestFit="1" customWidth="1"/>
    <col min="12" max="12" width="16.140625" style="354" bestFit="1" customWidth="1"/>
    <col min="13" max="13" width="15.42578125" style="354" customWidth="1"/>
    <col min="14" max="14" width="15.5703125" style="354" customWidth="1"/>
    <col min="15" max="15" width="15.140625" style="354" bestFit="1" customWidth="1"/>
    <col min="16" max="16" width="14" style="354" bestFit="1" customWidth="1"/>
    <col min="17" max="17" width="15.28515625" style="354" customWidth="1"/>
    <col min="18" max="18" width="14.140625" style="354" customWidth="1"/>
    <col min="19" max="19" width="15.42578125" style="354" customWidth="1"/>
    <col min="20" max="20" width="33" style="354" bestFit="1" customWidth="1"/>
    <col min="21" max="21" width="25.42578125" style="354" customWidth="1"/>
    <col min="22" max="22" width="28" style="354" customWidth="1"/>
    <col min="23" max="23" width="8.7109375" style="354"/>
    <col min="24" max="24" width="11.7109375" style="354" bestFit="1" customWidth="1"/>
    <col min="25" max="25" width="12.42578125" style="354" bestFit="1" customWidth="1"/>
    <col min="26" max="27" width="11.7109375" style="354" bestFit="1" customWidth="1"/>
    <col min="28" max="34" width="8.7109375" style="354"/>
    <col min="35" max="35" width="8.42578125" style="354" bestFit="1" customWidth="1"/>
    <col min="36" max="36" width="9.42578125" style="354" bestFit="1" customWidth="1"/>
    <col min="37" max="37" width="15.7109375" style="354" customWidth="1"/>
    <col min="38" max="38" width="14" style="354" bestFit="1" customWidth="1"/>
    <col min="39" max="39" width="21.5703125" style="354" customWidth="1"/>
    <col min="40" max="40" width="19.28515625" style="354" bestFit="1" customWidth="1"/>
    <col min="41" max="41" width="19.28515625" style="354" customWidth="1"/>
    <col min="42" max="42" width="15.5703125" style="354" bestFit="1" customWidth="1"/>
    <col min="43" max="43" width="15.5703125" style="354" customWidth="1"/>
    <col min="44" max="44" width="16.42578125" style="354" bestFit="1" customWidth="1"/>
    <col min="45" max="16384" width="8.7109375" style="354"/>
  </cols>
  <sheetData>
    <row r="1" spans="1:22">
      <c r="B1" s="133"/>
      <c r="C1" s="514"/>
      <c r="D1" s="514"/>
      <c r="E1" s="514"/>
      <c r="F1" s="514"/>
    </row>
    <row r="2" spans="1:22" ht="18">
      <c r="B2" s="338"/>
      <c r="C2" s="514"/>
      <c r="D2" s="514"/>
      <c r="E2" s="514"/>
      <c r="F2" s="514"/>
      <c r="K2" s="1220" t="s">
        <v>687</v>
      </c>
      <c r="L2" s="1220"/>
      <c r="M2" s="1220"/>
      <c r="N2" s="1220"/>
      <c r="O2" s="1220"/>
      <c r="P2" s="1220"/>
    </row>
    <row r="3" spans="1:22">
      <c r="C3" s="514"/>
      <c r="D3" s="514"/>
      <c r="E3" s="514"/>
      <c r="F3" s="514"/>
    </row>
    <row r="4" spans="1:22" ht="15" thickBot="1"/>
    <row r="5" spans="1:22" ht="15" thickBot="1">
      <c r="A5" s="510"/>
      <c r="B5" s="511"/>
      <c r="C5" s="1322" t="s">
        <v>688</v>
      </c>
      <c r="D5" s="1735"/>
      <c r="E5" s="1735"/>
      <c r="F5" s="1401"/>
      <c r="H5" s="1736" t="s">
        <v>96</v>
      </c>
      <c r="I5" s="1737"/>
      <c r="J5" s="1737"/>
      <c r="K5" s="1737"/>
      <c r="L5" s="1737"/>
      <c r="M5" s="1737"/>
      <c r="N5" s="1737"/>
      <c r="O5" s="1737"/>
      <c r="P5" s="1737"/>
      <c r="Q5" s="1737"/>
      <c r="R5" s="1737"/>
      <c r="S5" s="1737"/>
      <c r="T5" s="1738"/>
    </row>
    <row r="6" spans="1:22" ht="15" thickBot="1">
      <c r="A6" s="512" t="s">
        <v>291</v>
      </c>
      <c r="B6" s="513" t="s">
        <v>206</v>
      </c>
      <c r="C6" s="513" t="s">
        <v>96</v>
      </c>
      <c r="D6" s="513" t="s">
        <v>689</v>
      </c>
      <c r="E6" s="513" t="s">
        <v>99</v>
      </c>
      <c r="F6" s="367" t="s">
        <v>690</v>
      </c>
      <c r="H6" s="1221" t="s">
        <v>291</v>
      </c>
      <c r="I6" s="1067" t="s">
        <v>206</v>
      </c>
      <c r="J6" s="1222">
        <v>2023</v>
      </c>
      <c r="K6" s="1066">
        <v>2024</v>
      </c>
      <c r="L6" s="1066">
        <v>2025</v>
      </c>
      <c r="M6" s="1066">
        <v>2026</v>
      </c>
      <c r="N6" s="1066">
        <v>2027</v>
      </c>
      <c r="O6" s="1223">
        <v>2028</v>
      </c>
      <c r="P6" s="1223">
        <v>2029</v>
      </c>
      <c r="Q6" s="1223">
        <v>2030</v>
      </c>
      <c r="R6" s="1223">
        <v>2031</v>
      </c>
      <c r="S6" s="1224">
        <v>2032</v>
      </c>
      <c r="T6" s="338" t="s">
        <v>691</v>
      </c>
      <c r="U6" s="338"/>
      <c r="V6" s="338"/>
    </row>
    <row r="7" spans="1:22">
      <c r="A7" s="1333">
        <v>1</v>
      </c>
      <c r="B7" s="87" t="s">
        <v>209</v>
      </c>
      <c r="C7" s="1715">
        <f>SUM(Profitability!EI72:EL72)</f>
        <v>-1982189.1664709998</v>
      </c>
      <c r="D7" s="1718">
        <f>SUM(Profitability!EI106:EL106)</f>
        <v>0</v>
      </c>
      <c r="E7" s="1718">
        <f>SUM(Profitability!EI142:EL142)</f>
        <v>0</v>
      </c>
      <c r="F7" s="1721">
        <f>SUM(Profitability!EI184:EL184)</f>
        <v>-1998846.2182900831</v>
      </c>
      <c r="H7" s="1607">
        <v>1</v>
      </c>
      <c r="I7" s="933" t="s">
        <v>209</v>
      </c>
      <c r="J7" s="1729">
        <f>C7</f>
        <v>-1982189.1664709998</v>
      </c>
      <c r="K7" s="1731">
        <f>C21</f>
        <v>-60407.759923196048</v>
      </c>
      <c r="L7" s="1731">
        <f>C35</f>
        <v>1232266.4466141625</v>
      </c>
      <c r="M7" s="1731">
        <f>C53</f>
        <v>1887005.3463415499</v>
      </c>
      <c r="N7" s="1731">
        <f>C78</f>
        <v>2620904.1195224086</v>
      </c>
      <c r="O7" s="1731">
        <f>C101</f>
        <v>3148045.2211441165</v>
      </c>
      <c r="P7" s="1731">
        <f>C124</f>
        <v>2725250.4042112906</v>
      </c>
      <c r="Q7" s="1731">
        <f>C147</f>
        <v>3512149.8273009872</v>
      </c>
      <c r="R7" s="1731">
        <f>C170</f>
        <v>3596087.0312717822</v>
      </c>
      <c r="S7" s="1713">
        <f>C215</f>
        <v>8789622.1455993466</v>
      </c>
      <c r="T7" s="1713">
        <f>SUM(J7:S11)</f>
        <v>25468733.615611449</v>
      </c>
      <c r="U7" s="514"/>
      <c r="V7" s="514"/>
    </row>
    <row r="8" spans="1:22">
      <c r="A8" s="1333"/>
      <c r="B8" s="87" t="s">
        <v>210</v>
      </c>
      <c r="C8" s="1716"/>
      <c r="D8" s="1719"/>
      <c r="E8" s="1719"/>
      <c r="F8" s="1722"/>
      <c r="H8" s="1607"/>
      <c r="I8" s="933" t="s">
        <v>210</v>
      </c>
      <c r="J8" s="1730"/>
      <c r="K8" s="1724"/>
      <c r="L8" s="1724"/>
      <c r="M8" s="1724"/>
      <c r="N8" s="1724"/>
      <c r="O8" s="1724"/>
      <c r="P8" s="1724"/>
      <c r="Q8" s="1724"/>
      <c r="R8" s="1724"/>
      <c r="S8" s="1714"/>
      <c r="T8" s="1714"/>
      <c r="U8" s="514"/>
      <c r="V8" s="514"/>
    </row>
    <row r="9" spans="1:22">
      <c r="A9" s="1333"/>
      <c r="B9" s="87" t="s">
        <v>211</v>
      </c>
      <c r="C9" s="1716"/>
      <c r="D9" s="1719"/>
      <c r="E9" s="1719"/>
      <c r="F9" s="1722"/>
      <c r="H9" s="1607"/>
      <c r="I9" s="933" t="s">
        <v>211</v>
      </c>
      <c r="J9" s="1730"/>
      <c r="K9" s="1724"/>
      <c r="L9" s="1724"/>
      <c r="M9" s="1724"/>
      <c r="N9" s="1724"/>
      <c r="O9" s="1724"/>
      <c r="P9" s="1724"/>
      <c r="Q9" s="1724"/>
      <c r="R9" s="1724"/>
      <c r="S9" s="1714"/>
      <c r="T9" s="1714"/>
      <c r="U9" s="514"/>
      <c r="V9" s="514"/>
    </row>
    <row r="10" spans="1:22">
      <c r="A10" s="1333"/>
      <c r="B10" s="87" t="s">
        <v>212</v>
      </c>
      <c r="C10" s="1716"/>
      <c r="D10" s="1719"/>
      <c r="E10" s="1719"/>
      <c r="F10" s="1722"/>
      <c r="H10" s="1607"/>
      <c r="I10" s="933" t="s">
        <v>212</v>
      </c>
      <c r="J10" s="1730"/>
      <c r="K10" s="1724"/>
      <c r="L10" s="1724"/>
      <c r="M10" s="1724"/>
      <c r="N10" s="1724"/>
      <c r="O10" s="1724"/>
      <c r="P10" s="1724"/>
      <c r="Q10" s="1724"/>
      <c r="R10" s="1724"/>
      <c r="S10" s="1714"/>
      <c r="T10" s="1714"/>
      <c r="U10" s="514"/>
      <c r="V10" s="514"/>
    </row>
    <row r="11" spans="1:22" ht="15" thickBot="1">
      <c r="A11" s="1333"/>
      <c r="B11" s="87" t="s">
        <v>213</v>
      </c>
      <c r="C11" s="1717"/>
      <c r="D11" s="1720"/>
      <c r="E11" s="1720"/>
      <c r="F11" s="1723"/>
      <c r="H11" s="1607"/>
      <c r="I11" s="933" t="s">
        <v>213</v>
      </c>
      <c r="J11" s="1730"/>
      <c r="K11" s="1724"/>
      <c r="L11" s="1724"/>
      <c r="M11" s="1724"/>
      <c r="N11" s="1724"/>
      <c r="O11" s="1724"/>
      <c r="P11" s="1724"/>
      <c r="Q11" s="1724"/>
      <c r="R11" s="1724"/>
      <c r="S11" s="1714"/>
      <c r="T11" s="1714"/>
      <c r="U11" s="514"/>
      <c r="V11" s="514"/>
    </row>
    <row r="12" spans="1:22">
      <c r="A12" s="1333">
        <v>2</v>
      </c>
      <c r="B12" s="303" t="s">
        <v>214</v>
      </c>
      <c r="C12" s="1732">
        <f>SUM(Profitability!EI68:EL68)</f>
        <v>-3367029.0602913434</v>
      </c>
      <c r="D12" s="1725">
        <f>SUM(Profitability!EM93:EP93)</f>
        <v>0</v>
      </c>
      <c r="E12" s="1725">
        <f>SUM(Profitability!EM129:EP129)</f>
        <v>0</v>
      </c>
      <c r="F12" s="1725" t="e">
        <f>SUM(Profitability!EM171:EP171)</f>
        <v>#REF!</v>
      </c>
      <c r="H12" s="1607">
        <v>2</v>
      </c>
      <c r="I12" s="934" t="s">
        <v>214</v>
      </c>
      <c r="J12" s="1730">
        <f>C12</f>
        <v>-3367029.0602913434</v>
      </c>
      <c r="K12" s="1724">
        <f>C26</f>
        <v>-1935329.2213157699</v>
      </c>
      <c r="L12" s="1724">
        <f>C40</f>
        <v>-358065.89088191302</v>
      </c>
      <c r="M12" s="1724">
        <f>C58</f>
        <v>1418581.1784393904</v>
      </c>
      <c r="N12" s="1724">
        <f>C83</f>
        <v>2659013.7748732842</v>
      </c>
      <c r="O12" s="1724">
        <f>C106</f>
        <v>3558646.8250660375</v>
      </c>
      <c r="P12" s="1724">
        <f>C129</f>
        <v>3855513.0352919544</v>
      </c>
      <c r="Q12" s="1724">
        <f>C152</f>
        <v>4447109.5013193097</v>
      </c>
      <c r="R12" s="1724">
        <f>C175</f>
        <v>4935383.0589722488</v>
      </c>
      <c r="S12" s="1714">
        <f>C220</f>
        <v>15429310.211877275</v>
      </c>
      <c r="T12" s="1714">
        <f>SUM(J12:S15)</f>
        <v>30643133.41335047</v>
      </c>
      <c r="U12" s="514"/>
      <c r="V12" s="514"/>
    </row>
    <row r="13" spans="1:22">
      <c r="A13" s="1333"/>
      <c r="B13" s="303" t="s">
        <v>215</v>
      </c>
      <c r="C13" s="1733"/>
      <c r="D13" s="1726"/>
      <c r="E13" s="1726"/>
      <c r="F13" s="1726"/>
      <c r="H13" s="1607"/>
      <c r="I13" s="934" t="s">
        <v>215</v>
      </c>
      <c r="J13" s="1730"/>
      <c r="K13" s="1724"/>
      <c r="L13" s="1724"/>
      <c r="M13" s="1724"/>
      <c r="N13" s="1724"/>
      <c r="O13" s="1724"/>
      <c r="P13" s="1724"/>
      <c r="Q13" s="1724"/>
      <c r="R13" s="1724"/>
      <c r="S13" s="1714"/>
      <c r="T13" s="1714"/>
      <c r="U13" s="514"/>
      <c r="V13" s="514"/>
    </row>
    <row r="14" spans="1:22">
      <c r="A14" s="1333"/>
      <c r="B14" s="303" t="s">
        <v>216</v>
      </c>
      <c r="C14" s="1733"/>
      <c r="D14" s="1726"/>
      <c r="E14" s="1726"/>
      <c r="F14" s="1726"/>
      <c r="H14" s="1607"/>
      <c r="I14" s="934" t="s">
        <v>216</v>
      </c>
      <c r="J14" s="1730"/>
      <c r="K14" s="1724"/>
      <c r="L14" s="1724"/>
      <c r="M14" s="1724"/>
      <c r="N14" s="1724"/>
      <c r="O14" s="1724"/>
      <c r="P14" s="1724"/>
      <c r="Q14" s="1724"/>
      <c r="R14" s="1724"/>
      <c r="S14" s="1714"/>
      <c r="T14" s="1714"/>
      <c r="U14" s="514"/>
      <c r="V14" s="514"/>
    </row>
    <row r="15" spans="1:22" ht="15" thickBot="1">
      <c r="A15" s="1403"/>
      <c r="B15" s="695" t="s">
        <v>217</v>
      </c>
      <c r="C15" s="1733"/>
      <c r="D15" s="1726"/>
      <c r="E15" s="1726"/>
      <c r="F15" s="1726"/>
      <c r="H15" s="1728"/>
      <c r="I15" s="935" t="s">
        <v>217</v>
      </c>
      <c r="J15" s="1730"/>
      <c r="K15" s="1724"/>
      <c r="L15" s="1724"/>
      <c r="M15" s="1724"/>
      <c r="N15" s="1724"/>
      <c r="O15" s="1724"/>
      <c r="P15" s="1724"/>
      <c r="Q15" s="1724"/>
      <c r="R15" s="1724"/>
      <c r="S15" s="1714"/>
      <c r="T15" s="1714"/>
      <c r="U15" s="514"/>
      <c r="V15" s="514"/>
    </row>
    <row r="16" spans="1:22" ht="15" thickBot="1">
      <c r="A16" s="1736" t="s">
        <v>692</v>
      </c>
      <c r="B16" s="1737"/>
      <c r="C16" s="693">
        <f>SUM(C7:C15)</f>
        <v>-5349218.2267623432</v>
      </c>
      <c r="D16" s="693">
        <f t="shared" ref="D16:F16" si="0">SUM(D7:D15)</f>
        <v>0</v>
      </c>
      <c r="E16" s="693">
        <f t="shared" si="0"/>
        <v>0</v>
      </c>
      <c r="F16" s="693" t="e">
        <f t="shared" si="0"/>
        <v>#REF!</v>
      </c>
      <c r="H16" s="1607">
        <v>3</v>
      </c>
      <c r="I16" s="936" t="s">
        <v>218</v>
      </c>
      <c r="J16" s="1730" t="s">
        <v>116</v>
      </c>
      <c r="K16" s="1724" t="s">
        <v>116</v>
      </c>
      <c r="L16" s="1724">
        <f>C44</f>
        <v>-1326997.4526274777</v>
      </c>
      <c r="M16" s="1724">
        <f>C62</f>
        <v>-178630.18809716776</v>
      </c>
      <c r="N16" s="1724">
        <f>C87</f>
        <v>963435.05967303412</v>
      </c>
      <c r="O16" s="1724">
        <f>C110</f>
        <v>1786971.8243507864</v>
      </c>
      <c r="P16" s="1724">
        <f>C133</f>
        <v>1592525.5508755122</v>
      </c>
      <c r="Q16" s="1724">
        <f>C156</f>
        <v>2428066.4061214998</v>
      </c>
      <c r="R16" s="1724">
        <f>C179</f>
        <v>2668989.0049077747</v>
      </c>
      <c r="S16" s="1714">
        <f>C224</f>
        <v>13637941.276874814</v>
      </c>
      <c r="T16" s="1714">
        <f>SUM(J16:S19)</f>
        <v>21572301.482078776</v>
      </c>
      <c r="U16" s="514"/>
      <c r="V16" s="514"/>
    </row>
    <row r="17" spans="1:22">
      <c r="A17" s="338"/>
      <c r="B17" s="58"/>
      <c r="C17" s="696"/>
      <c r="D17" s="696"/>
      <c r="E17" s="696"/>
      <c r="F17" s="696"/>
      <c r="H17" s="1607"/>
      <c r="I17" s="936" t="s">
        <v>219</v>
      </c>
      <c r="J17" s="1730"/>
      <c r="K17" s="1724"/>
      <c r="L17" s="1724"/>
      <c r="M17" s="1724"/>
      <c r="N17" s="1724"/>
      <c r="O17" s="1724"/>
      <c r="P17" s="1724"/>
      <c r="Q17" s="1724"/>
      <c r="R17" s="1724"/>
      <c r="S17" s="1714"/>
      <c r="T17" s="1714"/>
      <c r="U17" s="514"/>
      <c r="V17" s="514"/>
    </row>
    <row r="18" spans="1:22" ht="15" thickBot="1">
      <c r="B18" s="133"/>
      <c r="C18" s="514"/>
      <c r="D18" s="514"/>
      <c r="E18" s="514"/>
      <c r="F18" s="514"/>
      <c r="H18" s="1607"/>
      <c r="I18" s="936" t="s">
        <v>220</v>
      </c>
      <c r="J18" s="1730"/>
      <c r="K18" s="1724"/>
      <c r="L18" s="1724"/>
      <c r="M18" s="1724"/>
      <c r="N18" s="1724"/>
      <c r="O18" s="1724"/>
      <c r="P18" s="1724"/>
      <c r="Q18" s="1724"/>
      <c r="R18" s="1724"/>
      <c r="S18" s="1714"/>
      <c r="T18" s="1714"/>
      <c r="U18" s="514"/>
      <c r="V18" s="514"/>
    </row>
    <row r="19" spans="1:22" ht="15" thickBot="1">
      <c r="A19" s="510"/>
      <c r="B19" s="511"/>
      <c r="C19" s="1322" t="s">
        <v>693</v>
      </c>
      <c r="D19" s="1735"/>
      <c r="E19" s="1735"/>
      <c r="F19" s="1401"/>
      <c r="H19" s="1607"/>
      <c r="I19" s="936" t="s">
        <v>221</v>
      </c>
      <c r="J19" s="1730"/>
      <c r="K19" s="1724"/>
      <c r="L19" s="1724"/>
      <c r="M19" s="1724"/>
      <c r="N19" s="1724"/>
      <c r="O19" s="1724"/>
      <c r="P19" s="1724"/>
      <c r="Q19" s="1724"/>
      <c r="R19" s="1724"/>
      <c r="S19" s="1714"/>
      <c r="T19" s="1714"/>
      <c r="U19" s="514"/>
      <c r="V19" s="514"/>
    </row>
    <row r="20" spans="1:22" ht="15" thickBot="1">
      <c r="A20" s="512" t="s">
        <v>291</v>
      </c>
      <c r="B20" s="513" t="s">
        <v>206</v>
      </c>
      <c r="C20" s="513" t="s">
        <v>96</v>
      </c>
      <c r="D20" s="513" t="s">
        <v>689</v>
      </c>
      <c r="E20" s="513" t="s">
        <v>99</v>
      </c>
      <c r="F20" s="367" t="s">
        <v>690</v>
      </c>
      <c r="H20" s="1607">
        <v>4</v>
      </c>
      <c r="I20" s="937" t="s">
        <v>222</v>
      </c>
      <c r="J20" s="1730"/>
      <c r="K20" s="1724"/>
      <c r="L20" s="1724" t="s">
        <v>116</v>
      </c>
      <c r="M20" s="1724">
        <f>C66</f>
        <v>-1887435.964349776</v>
      </c>
      <c r="N20" s="1724">
        <f>C91</f>
        <v>-369071.29005195072</v>
      </c>
      <c r="O20" s="1724">
        <f>C114</f>
        <v>699097.39369379147</v>
      </c>
      <c r="P20" s="1724">
        <f>C137</f>
        <v>1418714.9512377982</v>
      </c>
      <c r="Q20" s="1724">
        <f>C160</f>
        <v>1533919.4399308697</v>
      </c>
      <c r="R20" s="1724">
        <f>C183</f>
        <v>2464880.7530879891</v>
      </c>
      <c r="S20" s="1714">
        <f>C228</f>
        <v>13296406.591657132</v>
      </c>
      <c r="T20" s="1714">
        <f>SUM(J20:S23)</f>
        <v>17156511.875205852</v>
      </c>
      <c r="U20" s="514"/>
      <c r="V20" s="514"/>
    </row>
    <row r="21" spans="1:22">
      <c r="A21" s="1333">
        <v>1</v>
      </c>
      <c r="B21" s="87" t="s">
        <v>209</v>
      </c>
      <c r="C21" s="1715">
        <f>SUM(Profitability!EM72:EP72)</f>
        <v>-60407.759923196048</v>
      </c>
      <c r="D21" s="1718">
        <f>SUM(Profitability!EM106:EP106)</f>
        <v>0</v>
      </c>
      <c r="E21" s="1718">
        <f>SUM(Profitability!EM142:EP142)</f>
        <v>0</v>
      </c>
      <c r="F21" s="1721">
        <f>SUM(Profitability!EM184:EP184)</f>
        <v>-131035.30822587945</v>
      </c>
      <c r="H21" s="1607"/>
      <c r="I21" s="938" t="s">
        <v>223</v>
      </c>
      <c r="J21" s="1730"/>
      <c r="K21" s="1724"/>
      <c r="L21" s="1724"/>
      <c r="M21" s="1724"/>
      <c r="N21" s="1724"/>
      <c r="O21" s="1724"/>
      <c r="P21" s="1724"/>
      <c r="Q21" s="1724"/>
      <c r="R21" s="1724"/>
      <c r="S21" s="1714"/>
      <c r="T21" s="1714"/>
      <c r="U21" s="514"/>
      <c r="V21" s="514"/>
    </row>
    <row r="22" spans="1:22">
      <c r="A22" s="1333"/>
      <c r="B22" s="87" t="s">
        <v>210</v>
      </c>
      <c r="C22" s="1716"/>
      <c r="D22" s="1719"/>
      <c r="E22" s="1719"/>
      <c r="F22" s="1722"/>
      <c r="H22" s="1607"/>
      <c r="I22" s="938" t="s">
        <v>224</v>
      </c>
      <c r="J22" s="1730"/>
      <c r="K22" s="1724"/>
      <c r="L22" s="1724"/>
      <c r="M22" s="1724"/>
      <c r="N22" s="1724"/>
      <c r="O22" s="1724"/>
      <c r="P22" s="1724"/>
      <c r="Q22" s="1724"/>
      <c r="R22" s="1724"/>
      <c r="S22" s="1714"/>
      <c r="T22" s="1714"/>
      <c r="U22" s="514"/>
      <c r="V22" s="514"/>
    </row>
    <row r="23" spans="1:22" ht="15" thickBot="1">
      <c r="A23" s="1333"/>
      <c r="B23" s="87" t="s">
        <v>211</v>
      </c>
      <c r="C23" s="1716"/>
      <c r="D23" s="1719"/>
      <c r="E23" s="1719"/>
      <c r="F23" s="1722"/>
      <c r="H23" s="1728"/>
      <c r="I23" s="939" t="s">
        <v>225</v>
      </c>
      <c r="J23" s="1744"/>
      <c r="K23" s="1745"/>
      <c r="L23" s="1745"/>
      <c r="M23" s="1745"/>
      <c r="N23" s="1745"/>
      <c r="O23" s="1745"/>
      <c r="P23" s="1745"/>
      <c r="Q23" s="1745"/>
      <c r="R23" s="1745"/>
      <c r="S23" s="1743"/>
      <c r="T23" s="1714"/>
      <c r="U23" s="514"/>
      <c r="V23" s="514"/>
    </row>
    <row r="24" spans="1:22" ht="15" thickBot="1">
      <c r="A24" s="1333"/>
      <c r="B24" s="87" t="s">
        <v>212</v>
      </c>
      <c r="C24" s="1716"/>
      <c r="D24" s="1719"/>
      <c r="E24" s="1719"/>
      <c r="F24" s="1722"/>
      <c r="H24" s="1741" t="s">
        <v>694</v>
      </c>
      <c r="I24" s="1742"/>
      <c r="J24" s="940">
        <f>SUM(J7:J23)</f>
        <v>-5349218.2267623432</v>
      </c>
      <c r="K24" s="940">
        <f>SUM(K7:K23)</f>
        <v>-1995736.9812389659</v>
      </c>
      <c r="L24" s="940">
        <f>SUM(L7:L23)</f>
        <v>-452796.89689522819</v>
      </c>
      <c r="M24" s="940">
        <f t="shared" ref="M24:S24" si="1">SUM(M7:M23)</f>
        <v>1239520.3723339965</v>
      </c>
      <c r="N24" s="941">
        <f t="shared" si="1"/>
        <v>5874281.6640167749</v>
      </c>
      <c r="O24" s="941">
        <f t="shared" si="1"/>
        <v>9192761.2642547321</v>
      </c>
      <c r="P24" s="941">
        <f>SUM(P7:P23)</f>
        <v>9592003.9416165557</v>
      </c>
      <c r="Q24" s="941">
        <f t="shared" si="1"/>
        <v>11921245.174672665</v>
      </c>
      <c r="R24" s="941">
        <f t="shared" si="1"/>
        <v>13665339.848239794</v>
      </c>
      <c r="S24" s="941">
        <f t="shared" si="1"/>
        <v>51153280.226008564</v>
      </c>
      <c r="T24" s="514"/>
      <c r="U24" s="514"/>
      <c r="V24" s="514"/>
    </row>
    <row r="25" spans="1:22" ht="15" thickBot="1">
      <c r="A25" s="1333"/>
      <c r="B25" s="87" t="s">
        <v>213</v>
      </c>
      <c r="C25" s="1717"/>
      <c r="D25" s="1720"/>
      <c r="E25" s="1720"/>
      <c r="F25" s="1723"/>
      <c r="H25" s="778"/>
      <c r="I25" s="646" t="s">
        <v>695</v>
      </c>
      <c r="J25" s="1739">
        <f>SUM(J24:S24)</f>
        <v>94840680.386246547</v>
      </c>
      <c r="K25" s="1739"/>
      <c r="L25" s="1739"/>
      <c r="M25" s="1739"/>
      <c r="N25" s="1739"/>
      <c r="O25" s="1739"/>
      <c r="P25" s="1739"/>
      <c r="Q25" s="1739"/>
      <c r="R25" s="1739"/>
      <c r="S25" s="1740"/>
      <c r="T25" s="514"/>
      <c r="U25" s="514"/>
      <c r="V25" s="514"/>
    </row>
    <row r="26" spans="1:22">
      <c r="A26" s="1333">
        <v>2</v>
      </c>
      <c r="B26" s="303" t="s">
        <v>214</v>
      </c>
      <c r="C26" s="1732">
        <f>SUM(Profitability!EM73:EP73)</f>
        <v>-1935329.2213157699</v>
      </c>
      <c r="D26" s="1725">
        <f>SUM(Profitability!EM107:EP107)</f>
        <v>0</v>
      </c>
      <c r="E26" s="1725">
        <f>SUM(Profitability!EM143:EP143)</f>
        <v>0</v>
      </c>
      <c r="F26" s="1725" t="e">
        <f>SUM(Profitability!EM185:EP185)</f>
        <v>#REF!</v>
      </c>
      <c r="I26" s="125"/>
      <c r="J26" s="514"/>
      <c r="K26" s="514"/>
      <c r="L26" s="514"/>
      <c r="M26" s="514"/>
      <c r="N26" s="514"/>
      <c r="Q26" s="125"/>
      <c r="R26" s="514"/>
      <c r="S26" s="514"/>
      <c r="T26" s="514"/>
      <c r="U26" s="514"/>
      <c r="V26" s="514"/>
    </row>
    <row r="27" spans="1:22">
      <c r="A27" s="1333"/>
      <c r="B27" s="303" t="s">
        <v>215</v>
      </c>
      <c r="C27" s="1733"/>
      <c r="D27" s="1726"/>
      <c r="E27" s="1726"/>
      <c r="F27" s="1726"/>
      <c r="I27" s="58"/>
      <c r="J27" s="972"/>
      <c r="K27" s="972"/>
      <c r="L27" s="972"/>
      <c r="M27" s="972"/>
      <c r="N27" s="972"/>
      <c r="O27" s="972"/>
      <c r="P27" s="972"/>
      <c r="Q27" s="972"/>
      <c r="R27" s="972"/>
      <c r="S27" s="972"/>
      <c r="T27" s="514"/>
      <c r="U27" s="514"/>
      <c r="V27" s="514"/>
    </row>
    <row r="28" spans="1:22">
      <c r="A28" s="1333"/>
      <c r="B28" s="303" t="s">
        <v>216</v>
      </c>
      <c r="C28" s="1733"/>
      <c r="D28" s="1726"/>
      <c r="E28" s="1726"/>
      <c r="F28" s="1726"/>
      <c r="I28" s="58"/>
      <c r="J28" s="514"/>
      <c r="K28" s="514"/>
      <c r="L28" s="514"/>
      <c r="M28" s="514"/>
      <c r="N28" s="514"/>
      <c r="Q28" s="58"/>
      <c r="R28" s="514"/>
      <c r="S28" s="514"/>
      <c r="T28" s="514"/>
      <c r="U28" s="514"/>
      <c r="V28" s="514"/>
    </row>
    <row r="29" spans="1:22" ht="15" thickBot="1">
      <c r="A29" s="1403"/>
      <c r="B29" s="695" t="s">
        <v>217</v>
      </c>
      <c r="C29" s="1733"/>
      <c r="D29" s="1726"/>
      <c r="E29" s="1726"/>
      <c r="F29" s="1726"/>
      <c r="I29" s="58"/>
      <c r="J29" s="514"/>
      <c r="K29" s="514"/>
      <c r="L29" s="514"/>
      <c r="M29" s="514"/>
      <c r="N29" s="514"/>
      <c r="Q29" s="58"/>
      <c r="R29" s="514"/>
      <c r="S29" s="514"/>
      <c r="T29" s="514"/>
      <c r="U29" s="514"/>
      <c r="V29" s="514"/>
    </row>
    <row r="30" spans="1:22" ht="15" thickBot="1">
      <c r="A30" s="1736" t="s">
        <v>692</v>
      </c>
      <c r="B30" s="1737"/>
      <c r="C30" s="693">
        <f>SUM(C21:C29)</f>
        <v>-1995736.9812389659</v>
      </c>
      <c r="D30" s="693">
        <f t="shared" ref="D30:F30" si="2">SUM(D21:D29)</f>
        <v>0</v>
      </c>
      <c r="E30" s="693">
        <f t="shared" si="2"/>
        <v>0</v>
      </c>
      <c r="F30" s="693" t="e">
        <f t="shared" si="2"/>
        <v>#REF!</v>
      </c>
      <c r="H30" s="1331"/>
      <c r="I30" s="1331"/>
      <c r="J30" s="696"/>
      <c r="K30" s="696"/>
      <c r="L30" s="696"/>
      <c r="M30" s="696"/>
      <c r="N30" s="696"/>
      <c r="R30" s="696"/>
      <c r="S30" s="696"/>
      <c r="T30" s="696"/>
      <c r="U30" s="696"/>
      <c r="V30" s="696"/>
    </row>
    <row r="31" spans="1:22">
      <c r="A31" s="338"/>
      <c r="B31" s="125"/>
      <c r="C31" s="696"/>
      <c r="D31" s="696"/>
      <c r="E31" s="696"/>
      <c r="F31" s="696"/>
      <c r="H31" s="338"/>
      <c r="I31" s="58"/>
      <c r="J31" s="514"/>
    </row>
    <row r="32" spans="1:22" ht="15" thickBot="1">
      <c r="B32" s="133"/>
      <c r="C32" s="514"/>
      <c r="D32" s="514"/>
      <c r="E32" s="514"/>
      <c r="F32" s="514"/>
      <c r="I32" s="133"/>
      <c r="K32" s="514"/>
      <c r="N32" s="514"/>
    </row>
    <row r="33" spans="1:9" ht="15" thickBot="1">
      <c r="A33" s="510"/>
      <c r="B33" s="511"/>
      <c r="C33" s="1322" t="s">
        <v>696</v>
      </c>
      <c r="D33" s="1735"/>
      <c r="E33" s="1735"/>
      <c r="F33" s="1401"/>
      <c r="I33" s="133"/>
    </row>
    <row r="34" spans="1:9" ht="15" thickBot="1">
      <c r="A34" s="512" t="s">
        <v>291</v>
      </c>
      <c r="B34" s="513" t="s">
        <v>206</v>
      </c>
      <c r="C34" s="513" t="s">
        <v>96</v>
      </c>
      <c r="D34" s="513" t="s">
        <v>689</v>
      </c>
      <c r="E34" s="513" t="s">
        <v>99</v>
      </c>
      <c r="F34" s="367" t="s">
        <v>690</v>
      </c>
      <c r="I34" s="338"/>
    </row>
    <row r="35" spans="1:9">
      <c r="A35" s="1333">
        <v>1</v>
      </c>
      <c r="B35" s="87" t="s">
        <v>209</v>
      </c>
      <c r="C35" s="1715">
        <f>SUM(Profitability!EQ72:ET72)</f>
        <v>1232266.4466141625</v>
      </c>
      <c r="D35" s="1718">
        <f>SUM(Profitability!EQ106:ET106)</f>
        <v>0</v>
      </c>
      <c r="E35" s="1718">
        <f>SUM(Profitability!EQ142:ET142)</f>
        <v>0</v>
      </c>
      <c r="F35" s="1721">
        <f>SUM(Profitability!EQ184:ET184)</f>
        <v>1242621.6268378112</v>
      </c>
    </row>
    <row r="36" spans="1:9">
      <c r="A36" s="1333"/>
      <c r="B36" s="87" t="s">
        <v>210</v>
      </c>
      <c r="C36" s="1716"/>
      <c r="D36" s="1719"/>
      <c r="E36" s="1719"/>
      <c r="F36" s="1722"/>
    </row>
    <row r="37" spans="1:9">
      <c r="A37" s="1333"/>
      <c r="B37" s="87" t="s">
        <v>211</v>
      </c>
      <c r="C37" s="1716"/>
      <c r="D37" s="1719"/>
      <c r="E37" s="1719"/>
      <c r="F37" s="1722"/>
    </row>
    <row r="38" spans="1:9">
      <c r="A38" s="1333"/>
      <c r="B38" s="87" t="s">
        <v>212</v>
      </c>
      <c r="C38" s="1716"/>
      <c r="D38" s="1719"/>
      <c r="E38" s="1719"/>
      <c r="F38" s="1722"/>
    </row>
    <row r="39" spans="1:9" ht="15" thickBot="1">
      <c r="A39" s="1333"/>
      <c r="B39" s="87" t="s">
        <v>213</v>
      </c>
      <c r="C39" s="1717"/>
      <c r="D39" s="1720"/>
      <c r="E39" s="1720"/>
      <c r="F39" s="1723"/>
    </row>
    <row r="40" spans="1:9">
      <c r="A40" s="1333">
        <v>2</v>
      </c>
      <c r="B40" s="303" t="s">
        <v>214</v>
      </c>
      <c r="C40" s="1715">
        <f>SUM(Profitability!EQ73:ET73)</f>
        <v>-358065.89088191302</v>
      </c>
      <c r="D40" s="1718">
        <f>SUM(Profitability!EQ107:ET107)</f>
        <v>0</v>
      </c>
      <c r="E40" s="1718">
        <f>SUM(Profitability!EQ143:ET143)</f>
        <v>0</v>
      </c>
      <c r="F40" s="1721" t="e">
        <f>SUM(Profitability!EQ185:ET185)</f>
        <v>#REF!</v>
      </c>
      <c r="H40" s="111"/>
    </row>
    <row r="41" spans="1:9">
      <c r="A41" s="1333"/>
      <c r="B41" s="303" t="s">
        <v>215</v>
      </c>
      <c r="C41" s="1716"/>
      <c r="D41" s="1719"/>
      <c r="E41" s="1719"/>
      <c r="F41" s="1722"/>
    </row>
    <row r="42" spans="1:9">
      <c r="A42" s="1333"/>
      <c r="B42" s="303" t="s">
        <v>216</v>
      </c>
      <c r="C42" s="1716"/>
      <c r="D42" s="1719"/>
      <c r="E42" s="1719"/>
      <c r="F42" s="1722"/>
    </row>
    <row r="43" spans="1:9" ht="15" thickBot="1">
      <c r="A43" s="1333"/>
      <c r="B43" s="305" t="s">
        <v>217</v>
      </c>
      <c r="C43" s="1717"/>
      <c r="D43" s="1720"/>
      <c r="E43" s="1720"/>
      <c r="F43" s="1723"/>
    </row>
    <row r="44" spans="1:9">
      <c r="A44" s="1333">
        <v>3</v>
      </c>
      <c r="B44" s="203" t="s">
        <v>218</v>
      </c>
      <c r="C44" s="1732">
        <f>SUM(Profitability!EQ74:ET74)</f>
        <v>-1326997.4526274777</v>
      </c>
      <c r="D44" s="1725">
        <f>SUM(Profitability!EQ108:ET108)</f>
        <v>0</v>
      </c>
      <c r="E44" s="1725">
        <f>SUM(Profitability!EQ144:ET144)</f>
        <v>0</v>
      </c>
      <c r="F44" s="1725" t="e">
        <f>SUM(Profitability!EQ186:ET186)</f>
        <v>#REF!</v>
      </c>
    </row>
    <row r="45" spans="1:9">
      <c r="A45" s="1333"/>
      <c r="B45" s="203" t="s">
        <v>219</v>
      </c>
      <c r="C45" s="1733"/>
      <c r="D45" s="1726"/>
      <c r="E45" s="1726"/>
      <c r="F45" s="1726"/>
    </row>
    <row r="46" spans="1:9">
      <c r="A46" s="1333"/>
      <c r="B46" s="203" t="s">
        <v>220</v>
      </c>
      <c r="C46" s="1733"/>
      <c r="D46" s="1726"/>
      <c r="E46" s="1726"/>
      <c r="F46" s="1726"/>
    </row>
    <row r="47" spans="1:9" ht="15" thickBot="1">
      <c r="A47" s="1403"/>
      <c r="B47" s="694" t="s">
        <v>221</v>
      </c>
      <c r="C47" s="1733"/>
      <c r="D47" s="1726"/>
      <c r="E47" s="1726"/>
      <c r="F47" s="1726"/>
    </row>
    <row r="48" spans="1:9" ht="15" thickBot="1">
      <c r="A48" s="1736" t="s">
        <v>692</v>
      </c>
      <c r="B48" s="1737"/>
      <c r="C48" s="693">
        <f>SUM(C35:C47)</f>
        <v>-452796.89689522819</v>
      </c>
      <c r="D48" s="693">
        <f t="shared" ref="D48:F48" si="3">SUM(D35:D47)</f>
        <v>0</v>
      </c>
      <c r="E48" s="693">
        <f t="shared" si="3"/>
        <v>0</v>
      </c>
      <c r="F48" s="693" t="e">
        <f t="shared" si="3"/>
        <v>#REF!</v>
      </c>
    </row>
    <row r="49" spans="1:6">
      <c r="F49" s="514"/>
    </row>
    <row r="50" spans="1:6" ht="15" thickBot="1"/>
    <row r="51" spans="1:6" ht="15" thickBot="1">
      <c r="A51" s="510"/>
      <c r="B51" s="511"/>
      <c r="C51" s="1322" t="s">
        <v>697</v>
      </c>
      <c r="D51" s="1735"/>
      <c r="E51" s="1735"/>
      <c r="F51" s="1401"/>
    </row>
    <row r="52" spans="1:6" ht="15" thickBot="1">
      <c r="A52" s="512" t="s">
        <v>291</v>
      </c>
      <c r="B52" s="513" t="s">
        <v>206</v>
      </c>
      <c r="C52" s="513" t="s">
        <v>96</v>
      </c>
      <c r="D52" s="513" t="s">
        <v>689</v>
      </c>
      <c r="E52" s="513" t="s">
        <v>99</v>
      </c>
      <c r="F52" s="367" t="s">
        <v>690</v>
      </c>
    </row>
    <row r="53" spans="1:6">
      <c r="A53" s="1333">
        <v>1</v>
      </c>
      <c r="B53" s="87" t="s">
        <v>209</v>
      </c>
      <c r="C53" s="1715">
        <f>SUM(Profitability!$EU72:$EX72)</f>
        <v>1887005.3463415499</v>
      </c>
      <c r="D53" s="1718">
        <f>SUM(Profitability!$EU106:$EX106)</f>
        <v>0</v>
      </c>
      <c r="E53" s="1718">
        <f>SUM(Profitability!$EU142:$EX142)</f>
        <v>0</v>
      </c>
      <c r="F53" s="1718">
        <f>SUM(Profitability!$EU184:$EX184)</f>
        <v>1902862.5341259334</v>
      </c>
    </row>
    <row r="54" spans="1:6">
      <c r="A54" s="1333"/>
      <c r="B54" s="87" t="s">
        <v>210</v>
      </c>
      <c r="C54" s="1716"/>
      <c r="D54" s="1719"/>
      <c r="E54" s="1719"/>
      <c r="F54" s="1719"/>
    </row>
    <row r="55" spans="1:6">
      <c r="A55" s="1333"/>
      <c r="B55" s="87" t="s">
        <v>211</v>
      </c>
      <c r="C55" s="1716"/>
      <c r="D55" s="1719"/>
      <c r="E55" s="1719"/>
      <c r="F55" s="1719"/>
    </row>
    <row r="56" spans="1:6">
      <c r="A56" s="1333"/>
      <c r="B56" s="87" t="s">
        <v>212</v>
      </c>
      <c r="C56" s="1716"/>
      <c r="D56" s="1719"/>
      <c r="E56" s="1719"/>
      <c r="F56" s="1719"/>
    </row>
    <row r="57" spans="1:6" ht="15" thickBot="1">
      <c r="A57" s="1333"/>
      <c r="B57" s="87" t="s">
        <v>213</v>
      </c>
      <c r="C57" s="1717"/>
      <c r="D57" s="1720"/>
      <c r="E57" s="1720"/>
      <c r="F57" s="1720"/>
    </row>
    <row r="58" spans="1:6">
      <c r="A58" s="1333">
        <v>2</v>
      </c>
      <c r="B58" s="303" t="s">
        <v>214</v>
      </c>
      <c r="C58" s="1715">
        <f>SUM(Profitability!$EU73:$EX73)</f>
        <v>1418581.1784393904</v>
      </c>
      <c r="D58" s="1718">
        <f>SUM(Profitability!$EU107:$EX107)</f>
        <v>0</v>
      </c>
      <c r="E58" s="1718">
        <f>SUM(Profitability!$EU143:$EX143)</f>
        <v>0</v>
      </c>
      <c r="F58" s="1721" t="e">
        <f>SUM(Profitability!$EU185:$EX185)</f>
        <v>#REF!</v>
      </c>
    </row>
    <row r="59" spans="1:6">
      <c r="A59" s="1333"/>
      <c r="B59" s="303" t="s">
        <v>215</v>
      </c>
      <c r="C59" s="1716"/>
      <c r="D59" s="1719"/>
      <c r="E59" s="1719"/>
      <c r="F59" s="1722"/>
    </row>
    <row r="60" spans="1:6">
      <c r="A60" s="1333"/>
      <c r="B60" s="303" t="s">
        <v>216</v>
      </c>
      <c r="C60" s="1716"/>
      <c r="D60" s="1719"/>
      <c r="E60" s="1719"/>
      <c r="F60" s="1722"/>
    </row>
    <row r="61" spans="1:6" ht="15" thickBot="1">
      <c r="A61" s="1333"/>
      <c r="B61" s="305" t="s">
        <v>217</v>
      </c>
      <c r="C61" s="1717"/>
      <c r="D61" s="1720"/>
      <c r="E61" s="1720"/>
      <c r="F61" s="1723"/>
    </row>
    <row r="62" spans="1:6">
      <c r="A62" s="1333">
        <v>3</v>
      </c>
      <c r="B62" s="203" t="s">
        <v>218</v>
      </c>
      <c r="C62" s="1732">
        <f>SUM(Profitability!$EU74:$EX74)</f>
        <v>-178630.18809716776</v>
      </c>
      <c r="D62" s="1725">
        <f>SUM(Profitability!$EU108:$EX108)</f>
        <v>0</v>
      </c>
      <c r="E62" s="1725">
        <f>SUM(Profitability!$EU144:$EX144)</f>
        <v>0</v>
      </c>
      <c r="F62" s="1725" t="e">
        <f>SUM(Profitability!$EU186:$EX186)</f>
        <v>#REF!</v>
      </c>
    </row>
    <row r="63" spans="1:6">
      <c r="A63" s="1333"/>
      <c r="B63" s="203" t="s">
        <v>219</v>
      </c>
      <c r="C63" s="1733"/>
      <c r="D63" s="1726"/>
      <c r="E63" s="1726"/>
      <c r="F63" s="1726"/>
    </row>
    <row r="64" spans="1:6">
      <c r="A64" s="1333"/>
      <c r="B64" s="203" t="s">
        <v>220</v>
      </c>
      <c r="C64" s="1733"/>
      <c r="D64" s="1726"/>
      <c r="E64" s="1726"/>
      <c r="F64" s="1726"/>
    </row>
    <row r="65" spans="1:8">
      <c r="A65" s="1333"/>
      <c r="B65" s="203" t="s">
        <v>221</v>
      </c>
      <c r="C65" s="1734"/>
      <c r="D65" s="1727"/>
      <c r="E65" s="1727"/>
      <c r="F65" s="1727"/>
    </row>
    <row r="66" spans="1:8">
      <c r="A66" s="1333">
        <v>4</v>
      </c>
      <c r="B66" s="307" t="s">
        <v>222</v>
      </c>
      <c r="C66" s="1746">
        <f>SUM(Profitability!$EU75:$EX75)</f>
        <v>-1887435.964349776</v>
      </c>
      <c r="D66" s="1747">
        <f>SUM(Profitability!$EU109:$EX109)</f>
        <v>0</v>
      </c>
      <c r="E66" s="1747">
        <f>SUM(Profitability!$EU145:$EX145)</f>
        <v>0</v>
      </c>
      <c r="F66" s="1747">
        <f>SUM(Profitability!$EU187:$EX187)</f>
        <v>-1948332.1994990981</v>
      </c>
    </row>
    <row r="67" spans="1:8">
      <c r="A67" s="1333"/>
      <c r="B67" s="308" t="s">
        <v>223</v>
      </c>
      <c r="C67" s="1733"/>
      <c r="D67" s="1726"/>
      <c r="E67" s="1726"/>
      <c r="F67" s="1726"/>
    </row>
    <row r="68" spans="1:8">
      <c r="A68" s="1333"/>
      <c r="B68" s="308" t="s">
        <v>224</v>
      </c>
      <c r="C68" s="1733"/>
      <c r="D68" s="1726"/>
      <c r="E68" s="1726"/>
      <c r="F68" s="1726"/>
    </row>
    <row r="69" spans="1:8" ht="15" thickBot="1">
      <c r="A69" s="1403"/>
      <c r="B69" s="630" t="s">
        <v>225</v>
      </c>
      <c r="C69" s="1733"/>
      <c r="D69" s="1726"/>
      <c r="E69" s="1726"/>
      <c r="F69" s="1726"/>
    </row>
    <row r="70" spans="1:8" ht="15" thickBot="1">
      <c r="A70" s="1736" t="s">
        <v>692</v>
      </c>
      <c r="B70" s="1737"/>
      <c r="C70" s="693">
        <f>SUM(C53:C69)</f>
        <v>1239520.3723339965</v>
      </c>
      <c r="D70" s="693">
        <f t="shared" ref="D70" si="4">SUM(D53:D69)</f>
        <v>0</v>
      </c>
      <c r="E70" s="693">
        <f t="shared" ref="E70" si="5">SUM(E53:E69)</f>
        <v>0</v>
      </c>
      <c r="F70" s="693" t="e">
        <f t="shared" ref="F70" si="6">SUM(F53:F69)</f>
        <v>#REF!</v>
      </c>
    </row>
    <row r="71" spans="1:8">
      <c r="B71" s="133"/>
      <c r="C71" s="514"/>
      <c r="D71" s="514"/>
      <c r="E71" s="514"/>
      <c r="F71" s="514"/>
    </row>
    <row r="72" spans="1:8">
      <c r="B72" s="338"/>
      <c r="C72" s="514"/>
      <c r="D72" s="514"/>
      <c r="E72" s="514"/>
      <c r="F72" s="514"/>
    </row>
    <row r="73" spans="1:8">
      <c r="F73" s="514"/>
    </row>
    <row r="75" spans="1:8" ht="15" thickBot="1"/>
    <row r="76" spans="1:8" ht="15" thickBot="1">
      <c r="A76" s="510"/>
      <c r="B76" s="511"/>
      <c r="C76" s="1322" t="s">
        <v>698</v>
      </c>
      <c r="D76" s="1735"/>
      <c r="E76" s="1735"/>
      <c r="F76" s="1401"/>
    </row>
    <row r="77" spans="1:8" ht="15" thickBot="1">
      <c r="A77" s="512" t="s">
        <v>291</v>
      </c>
      <c r="B77" s="513" t="s">
        <v>206</v>
      </c>
      <c r="C77" s="513" t="s">
        <v>96</v>
      </c>
      <c r="D77" s="513" t="s">
        <v>689</v>
      </c>
      <c r="E77" s="513" t="s">
        <v>99</v>
      </c>
      <c r="F77" s="367" t="s">
        <v>690</v>
      </c>
    </row>
    <row r="78" spans="1:8">
      <c r="A78" s="1333">
        <v>1</v>
      </c>
      <c r="B78" s="87" t="s">
        <v>209</v>
      </c>
      <c r="C78" s="1715">
        <f>SUM(Profitability!EY72:FB72)</f>
        <v>2620904.1195224086</v>
      </c>
      <c r="D78" s="1718">
        <f>SUM(Profitability!$EY106:$FB106)</f>
        <v>0</v>
      </c>
      <c r="E78" s="1718">
        <f>SUM(Profitability!$EY142:$FB142)</f>
        <v>0</v>
      </c>
      <c r="F78" s="1718">
        <f>SUM(Profitability!$EY184:$FB184)</f>
        <v>2642928.5238881437</v>
      </c>
      <c r="H78" s="111"/>
    </row>
    <row r="79" spans="1:8">
      <c r="A79" s="1333"/>
      <c r="B79" s="87" t="s">
        <v>210</v>
      </c>
      <c r="C79" s="1716"/>
      <c r="D79" s="1719"/>
      <c r="E79" s="1719"/>
      <c r="F79" s="1719"/>
    </row>
    <row r="80" spans="1:8">
      <c r="A80" s="1333"/>
      <c r="B80" s="87" t="s">
        <v>211</v>
      </c>
      <c r="C80" s="1716"/>
      <c r="D80" s="1719"/>
      <c r="E80" s="1719"/>
      <c r="F80" s="1719"/>
    </row>
    <row r="81" spans="1:8">
      <c r="A81" s="1333"/>
      <c r="B81" s="87" t="s">
        <v>212</v>
      </c>
      <c r="C81" s="1716"/>
      <c r="D81" s="1719"/>
      <c r="E81" s="1719"/>
      <c r="F81" s="1719"/>
    </row>
    <row r="82" spans="1:8" ht="15" thickBot="1">
      <c r="A82" s="1333"/>
      <c r="B82" s="87" t="s">
        <v>213</v>
      </c>
      <c r="C82" s="1717"/>
      <c r="D82" s="1720"/>
      <c r="E82" s="1720"/>
      <c r="F82" s="1720"/>
    </row>
    <row r="83" spans="1:8">
      <c r="A83" s="1333">
        <v>2</v>
      </c>
      <c r="B83" s="303" t="s">
        <v>214</v>
      </c>
      <c r="C83" s="1715">
        <f>SUM(Profitability!EY73:FB73)</f>
        <v>2659013.7748732842</v>
      </c>
      <c r="D83" s="1718">
        <f>SUM(Profitability!$EY107:$FB107)</f>
        <v>0</v>
      </c>
      <c r="E83" s="1718">
        <f>SUM(Profitability!$EY143:$FB143)</f>
        <v>0</v>
      </c>
      <c r="F83" s="1721" t="e">
        <f>SUM(Profitability!$EY185:$FB185)</f>
        <v>#REF!</v>
      </c>
      <c r="H83" s="111"/>
    </row>
    <row r="84" spans="1:8">
      <c r="A84" s="1333"/>
      <c r="B84" s="303" t="s">
        <v>215</v>
      </c>
      <c r="C84" s="1716"/>
      <c r="D84" s="1719"/>
      <c r="E84" s="1719"/>
      <c r="F84" s="1722"/>
      <c r="H84" s="111"/>
    </row>
    <row r="85" spans="1:8">
      <c r="A85" s="1333"/>
      <c r="B85" s="303" t="s">
        <v>216</v>
      </c>
      <c r="C85" s="1716"/>
      <c r="D85" s="1719"/>
      <c r="E85" s="1719"/>
      <c r="F85" s="1722"/>
    </row>
    <row r="86" spans="1:8" ht="15" thickBot="1">
      <c r="A86" s="1333"/>
      <c r="B86" s="305" t="s">
        <v>217</v>
      </c>
      <c r="C86" s="1717"/>
      <c r="D86" s="1720"/>
      <c r="E86" s="1720"/>
      <c r="F86" s="1723"/>
    </row>
    <row r="87" spans="1:8">
      <c r="A87" s="1333">
        <v>3</v>
      </c>
      <c r="B87" s="203" t="s">
        <v>218</v>
      </c>
      <c r="C87" s="1732">
        <f>SUM(Profitability!EY74:FB74)</f>
        <v>963435.05967303412</v>
      </c>
      <c r="D87" s="1725">
        <f>SUM(Profitability!$EY108:$FB108)</f>
        <v>0</v>
      </c>
      <c r="E87" s="1725">
        <f>SUM(Profitability!$EY144:$FB144)</f>
        <v>0</v>
      </c>
      <c r="F87" s="1725" t="e">
        <f>SUM(Profitability!$EY186:$FB186)</f>
        <v>#REF!</v>
      </c>
    </row>
    <row r="88" spans="1:8">
      <c r="A88" s="1333"/>
      <c r="B88" s="203" t="s">
        <v>219</v>
      </c>
      <c r="C88" s="1733"/>
      <c r="D88" s="1726"/>
      <c r="E88" s="1726"/>
      <c r="F88" s="1726"/>
    </row>
    <row r="89" spans="1:8">
      <c r="A89" s="1333"/>
      <c r="B89" s="203" t="s">
        <v>220</v>
      </c>
      <c r="C89" s="1733"/>
      <c r="D89" s="1726"/>
      <c r="E89" s="1726"/>
      <c r="F89" s="1726"/>
    </row>
    <row r="90" spans="1:8">
      <c r="A90" s="1333"/>
      <c r="B90" s="203" t="s">
        <v>221</v>
      </c>
      <c r="C90" s="1734"/>
      <c r="D90" s="1727"/>
      <c r="E90" s="1727"/>
      <c r="F90" s="1727"/>
    </row>
    <row r="91" spans="1:8">
      <c r="A91" s="1333">
        <v>4</v>
      </c>
      <c r="B91" s="307" t="s">
        <v>222</v>
      </c>
      <c r="C91" s="1746">
        <f>SUM(Profitability!EY75:FB75)</f>
        <v>-369071.29005195072</v>
      </c>
      <c r="D91" s="1747">
        <f>SUM(Profitability!$EY109:$FB109)</f>
        <v>0</v>
      </c>
      <c r="E91" s="1747">
        <f>SUM(Profitability!EZ145:FB145)</f>
        <v>0</v>
      </c>
      <c r="F91" s="1747">
        <f>SUM(Profitability!$EY187:$FB187)</f>
        <v>-412907.24796197144</v>
      </c>
    </row>
    <row r="92" spans="1:8">
      <c r="A92" s="1333"/>
      <c r="B92" s="308" t="s">
        <v>223</v>
      </c>
      <c r="C92" s="1733"/>
      <c r="D92" s="1726"/>
      <c r="E92" s="1726"/>
      <c r="F92" s="1726"/>
      <c r="H92" s="111"/>
    </row>
    <row r="93" spans="1:8">
      <c r="A93" s="1333"/>
      <c r="B93" s="308" t="s">
        <v>224</v>
      </c>
      <c r="C93" s="1733"/>
      <c r="D93" s="1726"/>
      <c r="E93" s="1726"/>
      <c r="F93" s="1726"/>
      <c r="H93" s="111"/>
    </row>
    <row r="94" spans="1:8" ht="15" thickBot="1">
      <c r="A94" s="1403"/>
      <c r="B94" s="630" t="s">
        <v>225</v>
      </c>
      <c r="C94" s="1748"/>
      <c r="D94" s="1749"/>
      <c r="E94" s="1749"/>
      <c r="F94" s="1749"/>
    </row>
    <row r="95" spans="1:8" ht="15" thickBot="1">
      <c r="A95" s="1736" t="s">
        <v>692</v>
      </c>
      <c r="B95" s="1737"/>
      <c r="C95" s="693">
        <f>SUM(C78:C94)</f>
        <v>5874281.6640167749</v>
      </c>
      <c r="D95" s="693">
        <f t="shared" ref="D95" si="7">SUM(D78:D94)</f>
        <v>0</v>
      </c>
      <c r="E95" s="693">
        <f t="shared" ref="E95" si="8">SUM(E78:E94)</f>
        <v>0</v>
      </c>
      <c r="F95" s="693" t="e">
        <f t="shared" ref="F95" si="9">SUM(F78:F94)</f>
        <v>#REF!</v>
      </c>
    </row>
    <row r="96" spans="1:8">
      <c r="B96" s="133"/>
      <c r="C96" s="514"/>
      <c r="D96" s="514"/>
      <c r="E96" s="514"/>
      <c r="F96" s="514"/>
    </row>
    <row r="97" spans="1:6">
      <c r="B97" s="338"/>
      <c r="C97" s="514"/>
      <c r="D97" s="514"/>
      <c r="E97" s="514"/>
      <c r="F97" s="514"/>
    </row>
    <row r="98" spans="1:6" ht="15" thickBot="1">
      <c r="F98" s="514"/>
    </row>
    <row r="99" spans="1:6" ht="15" thickBot="1">
      <c r="A99" s="510"/>
      <c r="B99" s="511"/>
      <c r="C99" s="1322" t="s">
        <v>699</v>
      </c>
      <c r="D99" s="1735"/>
      <c r="E99" s="1735"/>
      <c r="F99" s="1401"/>
    </row>
    <row r="100" spans="1:6" ht="15" thickBot="1">
      <c r="A100" s="512" t="s">
        <v>291</v>
      </c>
      <c r="B100" s="513" t="s">
        <v>206</v>
      </c>
      <c r="C100" s="513" t="s">
        <v>96</v>
      </c>
      <c r="D100" s="513" t="s">
        <v>689</v>
      </c>
      <c r="E100" s="513" t="s">
        <v>99</v>
      </c>
      <c r="F100" s="367" t="s">
        <v>690</v>
      </c>
    </row>
    <row r="101" spans="1:6">
      <c r="A101" s="1333">
        <v>1</v>
      </c>
      <c r="B101" s="87" t="s">
        <v>209</v>
      </c>
      <c r="C101" s="1715">
        <f>SUM(Profitability!FC67:FF67)</f>
        <v>3148045.2211441165</v>
      </c>
      <c r="D101" s="1718">
        <f>SUM(Profitability!$EY129:$FB129)</f>
        <v>0</v>
      </c>
      <c r="E101" s="1718" t="e">
        <f>SUM(Profitability!$EY165:$FB165)</f>
        <v>#REF!</v>
      </c>
      <c r="F101" s="1718">
        <f>SUM(Profitability!$EY207:$FB207)</f>
        <v>0</v>
      </c>
    </row>
    <row r="102" spans="1:6">
      <c r="A102" s="1333"/>
      <c r="B102" s="87" t="s">
        <v>210</v>
      </c>
      <c r="C102" s="1716"/>
      <c r="D102" s="1719"/>
      <c r="E102" s="1719"/>
      <c r="F102" s="1719"/>
    </row>
    <row r="103" spans="1:6">
      <c r="A103" s="1333"/>
      <c r="B103" s="87" t="s">
        <v>211</v>
      </c>
      <c r="C103" s="1716"/>
      <c r="D103" s="1719"/>
      <c r="E103" s="1719"/>
      <c r="F103" s="1719"/>
    </row>
    <row r="104" spans="1:6">
      <c r="A104" s="1333"/>
      <c r="B104" s="87" t="s">
        <v>212</v>
      </c>
      <c r="C104" s="1716"/>
      <c r="D104" s="1719"/>
      <c r="E104" s="1719"/>
      <c r="F104" s="1719"/>
    </row>
    <row r="105" spans="1:6" ht="15" thickBot="1">
      <c r="A105" s="1333"/>
      <c r="B105" s="87" t="s">
        <v>213</v>
      </c>
      <c r="C105" s="1717"/>
      <c r="D105" s="1720"/>
      <c r="E105" s="1720"/>
      <c r="F105" s="1720"/>
    </row>
    <row r="106" spans="1:6">
      <c r="A106" s="1333">
        <v>2</v>
      </c>
      <c r="B106" s="303" t="s">
        <v>214</v>
      </c>
      <c r="C106" s="1715">
        <f>SUM(Profitability!FC68:FF68)</f>
        <v>3558646.8250660375</v>
      </c>
      <c r="D106" s="1718">
        <f>SUM(Profitability!$EY130:$FB130)</f>
        <v>0</v>
      </c>
      <c r="E106" s="1718" t="e">
        <f>SUM(Profitability!$EY166:$FB166)</f>
        <v>#REF!</v>
      </c>
      <c r="F106" s="1721">
        <f>SUM(Profitability!$EY208:$FB208)</f>
        <v>0</v>
      </c>
    </row>
    <row r="107" spans="1:6">
      <c r="A107" s="1333"/>
      <c r="B107" s="303" t="s">
        <v>215</v>
      </c>
      <c r="C107" s="1716"/>
      <c r="D107" s="1719"/>
      <c r="E107" s="1719"/>
      <c r="F107" s="1722"/>
    </row>
    <row r="108" spans="1:6">
      <c r="A108" s="1333"/>
      <c r="B108" s="303" t="s">
        <v>216</v>
      </c>
      <c r="C108" s="1716"/>
      <c r="D108" s="1719"/>
      <c r="E108" s="1719"/>
      <c r="F108" s="1722"/>
    </row>
    <row r="109" spans="1:6" ht="15" thickBot="1">
      <c r="A109" s="1333"/>
      <c r="B109" s="305" t="s">
        <v>217</v>
      </c>
      <c r="C109" s="1717"/>
      <c r="D109" s="1720"/>
      <c r="E109" s="1720"/>
      <c r="F109" s="1723"/>
    </row>
    <row r="110" spans="1:6">
      <c r="A110" s="1333">
        <v>3</v>
      </c>
      <c r="B110" s="203" t="s">
        <v>218</v>
      </c>
      <c r="C110" s="1732">
        <f>SUM(Profitability!FC69:FF69)</f>
        <v>1786971.8243507864</v>
      </c>
      <c r="D110" s="1725">
        <f>SUM(Profitability!$EY131:$FB131)</f>
        <v>0</v>
      </c>
      <c r="E110" s="1725">
        <f>SUM(Profitability!$EY167:$FB167)</f>
        <v>3747252.2521783775</v>
      </c>
      <c r="F110" s="1725">
        <f>SUM(Profitability!$EY209:$FB209)</f>
        <v>0</v>
      </c>
    </row>
    <row r="111" spans="1:6">
      <c r="A111" s="1333"/>
      <c r="B111" s="203" t="s">
        <v>219</v>
      </c>
      <c r="C111" s="1733"/>
      <c r="D111" s="1726"/>
      <c r="E111" s="1726"/>
      <c r="F111" s="1726"/>
    </row>
    <row r="112" spans="1:6">
      <c r="A112" s="1333"/>
      <c r="B112" s="203" t="s">
        <v>220</v>
      </c>
      <c r="C112" s="1733"/>
      <c r="D112" s="1726"/>
      <c r="E112" s="1726"/>
      <c r="F112" s="1726"/>
    </row>
    <row r="113" spans="1:6">
      <c r="A113" s="1333"/>
      <c r="B113" s="203" t="s">
        <v>221</v>
      </c>
      <c r="C113" s="1734"/>
      <c r="D113" s="1727"/>
      <c r="E113" s="1727"/>
      <c r="F113" s="1727"/>
    </row>
    <row r="114" spans="1:6">
      <c r="A114" s="1333">
        <v>4</v>
      </c>
      <c r="B114" s="307" t="s">
        <v>222</v>
      </c>
      <c r="C114" s="1746">
        <f>SUM(Profitability!FC70:FF70)</f>
        <v>699097.39369379147</v>
      </c>
      <c r="D114" s="1747">
        <f>SUM(Profitability!$EY132:$FB132)</f>
        <v>0</v>
      </c>
      <c r="E114" s="1747" t="e">
        <f>SUM(Profitability!EZ168:FB168)</f>
        <v>#REF!</v>
      </c>
      <c r="F114" s="1747">
        <f>SUM(Profitability!$EY210:$FB210)</f>
        <v>0</v>
      </c>
    </row>
    <row r="115" spans="1:6">
      <c r="A115" s="1333"/>
      <c r="B115" s="308" t="s">
        <v>223</v>
      </c>
      <c r="C115" s="1733"/>
      <c r="D115" s="1726"/>
      <c r="E115" s="1726"/>
      <c r="F115" s="1726"/>
    </row>
    <row r="116" spans="1:6">
      <c r="A116" s="1333"/>
      <c r="B116" s="308" t="s">
        <v>224</v>
      </c>
      <c r="C116" s="1733"/>
      <c r="D116" s="1726"/>
      <c r="E116" s="1726"/>
      <c r="F116" s="1726"/>
    </row>
    <row r="117" spans="1:6" ht="15" thickBot="1">
      <c r="A117" s="1403"/>
      <c r="B117" s="630" t="s">
        <v>225</v>
      </c>
      <c r="C117" s="1748"/>
      <c r="D117" s="1749"/>
      <c r="E117" s="1749"/>
      <c r="F117" s="1749"/>
    </row>
    <row r="118" spans="1:6" ht="15" thickBot="1">
      <c r="A118" s="1750" t="s">
        <v>692</v>
      </c>
      <c r="B118" s="1751"/>
      <c r="C118" s="810">
        <f>SUM(C101:C117)</f>
        <v>9192761.2642547321</v>
      </c>
      <c r="D118" s="693">
        <f t="shared" ref="D118:F118" si="10">SUM(D101:D117)</f>
        <v>0</v>
      </c>
      <c r="E118" s="693" t="e">
        <f t="shared" si="10"/>
        <v>#REF!</v>
      </c>
      <c r="F118" s="693">
        <f t="shared" si="10"/>
        <v>0</v>
      </c>
    </row>
    <row r="121" spans="1:6" ht="15" thickBot="1"/>
    <row r="122" spans="1:6" ht="15" thickBot="1">
      <c r="A122" s="510"/>
      <c r="B122" s="511"/>
      <c r="C122" s="1322" t="s">
        <v>700</v>
      </c>
      <c r="D122" s="1735"/>
      <c r="E122" s="1735"/>
      <c r="F122" s="1401"/>
    </row>
    <row r="123" spans="1:6" ht="15" thickBot="1">
      <c r="A123" s="512" t="s">
        <v>291</v>
      </c>
      <c r="B123" s="513" t="s">
        <v>206</v>
      </c>
      <c r="C123" s="513" t="s">
        <v>96</v>
      </c>
      <c r="D123" s="513" t="s">
        <v>689</v>
      </c>
      <c r="E123" s="513" t="s">
        <v>99</v>
      </c>
      <c r="F123" s="367" t="s">
        <v>690</v>
      </c>
    </row>
    <row r="124" spans="1:6">
      <c r="A124" s="1333">
        <v>1</v>
      </c>
      <c r="B124" s="87" t="s">
        <v>209</v>
      </c>
      <c r="C124" s="1715">
        <f>SUM(Profitability!FG67:FJ67)</f>
        <v>2725250.4042112906</v>
      </c>
      <c r="D124" s="1718">
        <f>SUM(Profitability!$EY152:$FB152)</f>
        <v>0</v>
      </c>
      <c r="E124" s="1718">
        <f>SUM(Profitability!$EY188:$FB188)</f>
        <v>0</v>
      </c>
      <c r="F124" s="1718">
        <f>SUM(Profitability!$EY230:$FB230)</f>
        <v>0</v>
      </c>
    </row>
    <row r="125" spans="1:6">
      <c r="A125" s="1333"/>
      <c r="B125" s="87" t="s">
        <v>210</v>
      </c>
      <c r="C125" s="1716"/>
      <c r="D125" s="1719"/>
      <c r="E125" s="1719"/>
      <c r="F125" s="1719"/>
    </row>
    <row r="126" spans="1:6">
      <c r="A126" s="1333"/>
      <c r="B126" s="87" t="s">
        <v>211</v>
      </c>
      <c r="C126" s="1716"/>
      <c r="D126" s="1719"/>
      <c r="E126" s="1719"/>
      <c r="F126" s="1719"/>
    </row>
    <row r="127" spans="1:6">
      <c r="A127" s="1333"/>
      <c r="B127" s="87" t="s">
        <v>212</v>
      </c>
      <c r="C127" s="1716"/>
      <c r="D127" s="1719"/>
      <c r="E127" s="1719"/>
      <c r="F127" s="1719"/>
    </row>
    <row r="128" spans="1:6" ht="15" thickBot="1">
      <c r="A128" s="1333"/>
      <c r="B128" s="87" t="s">
        <v>213</v>
      </c>
      <c r="C128" s="1717"/>
      <c r="D128" s="1720"/>
      <c r="E128" s="1720"/>
      <c r="F128" s="1720"/>
    </row>
    <row r="129" spans="1:6">
      <c r="A129" s="1333">
        <v>2</v>
      </c>
      <c r="B129" s="303" t="s">
        <v>214</v>
      </c>
      <c r="C129" s="1715">
        <f>SUM(Profitability!FG68:FJ68)</f>
        <v>3855513.0352919544</v>
      </c>
      <c r="D129" s="1718">
        <f>SUM(Profitability!$EY153:$FB153)</f>
        <v>0</v>
      </c>
      <c r="E129" s="1718">
        <f>SUM(Profitability!$EY189:$FB189)</f>
        <v>0</v>
      </c>
      <c r="F129" s="1721">
        <f>SUM(Profitability!$EY231:$FB231)</f>
        <v>0</v>
      </c>
    </row>
    <row r="130" spans="1:6">
      <c r="A130" s="1333"/>
      <c r="B130" s="303" t="s">
        <v>215</v>
      </c>
      <c r="C130" s="1716"/>
      <c r="D130" s="1719"/>
      <c r="E130" s="1719"/>
      <c r="F130" s="1722"/>
    </row>
    <row r="131" spans="1:6">
      <c r="A131" s="1333"/>
      <c r="B131" s="303" t="s">
        <v>216</v>
      </c>
      <c r="C131" s="1716"/>
      <c r="D131" s="1719"/>
      <c r="E131" s="1719"/>
      <c r="F131" s="1722"/>
    </row>
    <row r="132" spans="1:6" ht="15" thickBot="1">
      <c r="A132" s="1333"/>
      <c r="B132" s="305" t="s">
        <v>217</v>
      </c>
      <c r="C132" s="1717"/>
      <c r="D132" s="1720"/>
      <c r="E132" s="1720"/>
      <c r="F132" s="1723"/>
    </row>
    <row r="133" spans="1:6">
      <c r="A133" s="1333">
        <v>3</v>
      </c>
      <c r="B133" s="203" t="s">
        <v>218</v>
      </c>
      <c r="C133" s="1732">
        <f>SUM(Profitability!FG69:FJ69)</f>
        <v>1592525.5508755122</v>
      </c>
      <c r="D133" s="1725">
        <f>SUM(Profitability!$EY154:$FB154)</f>
        <v>0</v>
      </c>
      <c r="E133" s="1725">
        <f>SUM(Profitability!$EY190:$FB190)</f>
        <v>0</v>
      </c>
      <c r="F133" s="1725">
        <f>SUM(Profitability!$EY232:$FB232)</f>
        <v>0</v>
      </c>
    </row>
    <row r="134" spans="1:6">
      <c r="A134" s="1333"/>
      <c r="B134" s="203" t="s">
        <v>219</v>
      </c>
      <c r="C134" s="1733"/>
      <c r="D134" s="1726"/>
      <c r="E134" s="1726"/>
      <c r="F134" s="1726"/>
    </row>
    <row r="135" spans="1:6">
      <c r="A135" s="1333"/>
      <c r="B135" s="203" t="s">
        <v>220</v>
      </c>
      <c r="C135" s="1733"/>
      <c r="D135" s="1726"/>
      <c r="E135" s="1726"/>
      <c r="F135" s="1726"/>
    </row>
    <row r="136" spans="1:6">
      <c r="A136" s="1333"/>
      <c r="B136" s="203" t="s">
        <v>221</v>
      </c>
      <c r="C136" s="1734"/>
      <c r="D136" s="1727"/>
      <c r="E136" s="1727"/>
      <c r="F136" s="1727"/>
    </row>
    <row r="137" spans="1:6">
      <c r="A137" s="1333">
        <v>4</v>
      </c>
      <c r="B137" s="307" t="s">
        <v>222</v>
      </c>
      <c r="C137" s="1746">
        <f>SUM(Profitability!FG70:FJ70)</f>
        <v>1418714.9512377982</v>
      </c>
      <c r="D137" s="1747">
        <f>SUM(Profitability!$EY155:$FB155)</f>
        <v>0</v>
      </c>
      <c r="E137" s="1747">
        <f>SUM(Profitability!EZ191:FB191)</f>
        <v>0</v>
      </c>
      <c r="F137" s="1747">
        <f>SUM(Profitability!$EY233:$FB233)</f>
        <v>0</v>
      </c>
    </row>
    <row r="138" spans="1:6">
      <c r="A138" s="1333"/>
      <c r="B138" s="308" t="s">
        <v>223</v>
      </c>
      <c r="C138" s="1733"/>
      <c r="D138" s="1726"/>
      <c r="E138" s="1726"/>
      <c r="F138" s="1726"/>
    </row>
    <row r="139" spans="1:6">
      <c r="A139" s="1333"/>
      <c r="B139" s="308" t="s">
        <v>224</v>
      </c>
      <c r="C139" s="1733"/>
      <c r="D139" s="1726"/>
      <c r="E139" s="1726"/>
      <c r="F139" s="1726"/>
    </row>
    <row r="140" spans="1:6" ht="15" thickBot="1">
      <c r="A140" s="1403"/>
      <c r="B140" s="630" t="s">
        <v>225</v>
      </c>
      <c r="C140" s="1748"/>
      <c r="D140" s="1749"/>
      <c r="E140" s="1749"/>
      <c r="F140" s="1749"/>
    </row>
    <row r="141" spans="1:6" ht="15" thickBot="1">
      <c r="A141" s="1750" t="s">
        <v>692</v>
      </c>
      <c r="B141" s="1751"/>
      <c r="C141" s="810">
        <f>SUM(C124:C140)</f>
        <v>9592003.9416165557</v>
      </c>
      <c r="D141" s="693">
        <f>SUM(D124:D140)</f>
        <v>0</v>
      </c>
      <c r="E141" s="693">
        <f>SUM(E124:E140)</f>
        <v>0</v>
      </c>
      <c r="F141" s="693">
        <f>SUM(F124:F140)</f>
        <v>0</v>
      </c>
    </row>
    <row r="144" spans="1:6" ht="15" thickBot="1"/>
    <row r="145" spans="1:6" ht="15" thickBot="1">
      <c r="A145" s="510"/>
      <c r="B145" s="511"/>
      <c r="C145" s="1322" t="s">
        <v>701</v>
      </c>
      <c r="D145" s="1735"/>
      <c r="E145" s="1735"/>
      <c r="F145" s="1401"/>
    </row>
    <row r="146" spans="1:6" ht="15" thickBot="1">
      <c r="A146" s="512" t="s">
        <v>291</v>
      </c>
      <c r="B146" s="513" t="s">
        <v>206</v>
      </c>
      <c r="C146" s="513" t="s">
        <v>96</v>
      </c>
      <c r="D146" s="513" t="s">
        <v>689</v>
      </c>
      <c r="E146" s="513" t="s">
        <v>99</v>
      </c>
      <c r="F146" s="367" t="s">
        <v>690</v>
      </c>
    </row>
    <row r="147" spans="1:6">
      <c r="A147" s="1333">
        <v>1</v>
      </c>
      <c r="B147" s="87" t="s">
        <v>209</v>
      </c>
      <c r="C147" s="1715">
        <f>SUM(Profitability!FK67:FN67)</f>
        <v>3512149.8273009872</v>
      </c>
      <c r="D147" s="1718">
        <f>SUM(Profitability!$EY175:$FB175)</f>
        <v>0</v>
      </c>
      <c r="E147" s="1718">
        <f>SUM(Profitability!$EY211:$FB211)</f>
        <v>0</v>
      </c>
      <c r="F147" s="1718">
        <f>SUM(Profitability!$EY253:$FB253)</f>
        <v>0</v>
      </c>
    </row>
    <row r="148" spans="1:6">
      <c r="A148" s="1333"/>
      <c r="B148" s="87" t="s">
        <v>210</v>
      </c>
      <c r="C148" s="1716"/>
      <c r="D148" s="1719"/>
      <c r="E148" s="1719"/>
      <c r="F148" s="1719"/>
    </row>
    <row r="149" spans="1:6">
      <c r="A149" s="1333"/>
      <c r="B149" s="87" t="s">
        <v>211</v>
      </c>
      <c r="C149" s="1716"/>
      <c r="D149" s="1719"/>
      <c r="E149" s="1719"/>
      <c r="F149" s="1719"/>
    </row>
    <row r="150" spans="1:6">
      <c r="A150" s="1333"/>
      <c r="B150" s="87" t="s">
        <v>212</v>
      </c>
      <c r="C150" s="1716"/>
      <c r="D150" s="1719"/>
      <c r="E150" s="1719"/>
      <c r="F150" s="1719"/>
    </row>
    <row r="151" spans="1:6" ht="15" thickBot="1">
      <c r="A151" s="1333"/>
      <c r="B151" s="87" t="s">
        <v>213</v>
      </c>
      <c r="C151" s="1717"/>
      <c r="D151" s="1720"/>
      <c r="E151" s="1720"/>
      <c r="F151" s="1720"/>
    </row>
    <row r="152" spans="1:6">
      <c r="A152" s="1333">
        <v>2</v>
      </c>
      <c r="B152" s="303" t="s">
        <v>214</v>
      </c>
      <c r="C152" s="1715">
        <f>SUM(Profitability!FK68:FN68)</f>
        <v>4447109.5013193097</v>
      </c>
      <c r="D152" s="1718">
        <f>SUM(Profitability!$EY176:$FB176)</f>
        <v>0</v>
      </c>
      <c r="E152" s="1718">
        <f>SUM(Profitability!$EY212:$FB212)</f>
        <v>0</v>
      </c>
      <c r="F152" s="1721">
        <f>SUM(Profitability!$EY254:$FB254)</f>
        <v>0</v>
      </c>
    </row>
    <row r="153" spans="1:6">
      <c r="A153" s="1333"/>
      <c r="B153" s="303" t="s">
        <v>215</v>
      </c>
      <c r="C153" s="1716"/>
      <c r="D153" s="1719"/>
      <c r="E153" s="1719"/>
      <c r="F153" s="1722"/>
    </row>
    <row r="154" spans="1:6">
      <c r="A154" s="1333"/>
      <c r="B154" s="303" t="s">
        <v>216</v>
      </c>
      <c r="C154" s="1716"/>
      <c r="D154" s="1719"/>
      <c r="E154" s="1719"/>
      <c r="F154" s="1722"/>
    </row>
    <row r="155" spans="1:6" ht="15" thickBot="1">
      <c r="A155" s="1333"/>
      <c r="B155" s="305" t="s">
        <v>217</v>
      </c>
      <c r="C155" s="1717"/>
      <c r="D155" s="1720"/>
      <c r="E155" s="1720"/>
      <c r="F155" s="1723"/>
    </row>
    <row r="156" spans="1:6">
      <c r="A156" s="1333">
        <v>3</v>
      </c>
      <c r="B156" s="203" t="s">
        <v>218</v>
      </c>
      <c r="C156" s="1732">
        <f>SUM(Profitability!FK69:FN69)</f>
        <v>2428066.4061214998</v>
      </c>
      <c r="D156" s="1725">
        <f>SUM(Profitability!$EY177:$FB177)</f>
        <v>0</v>
      </c>
      <c r="E156" s="1725">
        <f>SUM(Profitability!$EY213:$FB213)</f>
        <v>0</v>
      </c>
      <c r="F156" s="1725">
        <f>SUM(Profitability!$EY255:$FB255)</f>
        <v>0</v>
      </c>
    </row>
    <row r="157" spans="1:6">
      <c r="A157" s="1333"/>
      <c r="B157" s="203" t="s">
        <v>219</v>
      </c>
      <c r="C157" s="1733"/>
      <c r="D157" s="1726"/>
      <c r="E157" s="1726"/>
      <c r="F157" s="1726"/>
    </row>
    <row r="158" spans="1:6">
      <c r="A158" s="1333"/>
      <c r="B158" s="203" t="s">
        <v>220</v>
      </c>
      <c r="C158" s="1733"/>
      <c r="D158" s="1726"/>
      <c r="E158" s="1726"/>
      <c r="F158" s="1726"/>
    </row>
    <row r="159" spans="1:6">
      <c r="A159" s="1333"/>
      <c r="B159" s="203" t="s">
        <v>221</v>
      </c>
      <c r="C159" s="1734"/>
      <c r="D159" s="1727"/>
      <c r="E159" s="1727"/>
      <c r="F159" s="1727"/>
    </row>
    <row r="160" spans="1:6">
      <c r="A160" s="1333">
        <v>4</v>
      </c>
      <c r="B160" s="307" t="s">
        <v>222</v>
      </c>
      <c r="C160" s="1746">
        <f>SUM(Profitability!FK70:FN70)</f>
        <v>1533919.4399308697</v>
      </c>
      <c r="D160" s="1747">
        <f>SUM(Profitability!$EY178:$FB178)</f>
        <v>0</v>
      </c>
      <c r="E160" s="1747">
        <f>SUM(Profitability!EZ214:FB214)</f>
        <v>0</v>
      </c>
      <c r="F160" s="1747">
        <f>SUM(Profitability!$EY256:$FB256)</f>
        <v>0</v>
      </c>
    </row>
    <row r="161" spans="1:6">
      <c r="A161" s="1333"/>
      <c r="B161" s="308" t="s">
        <v>223</v>
      </c>
      <c r="C161" s="1733"/>
      <c r="D161" s="1726"/>
      <c r="E161" s="1726"/>
      <c r="F161" s="1726"/>
    </row>
    <row r="162" spans="1:6">
      <c r="A162" s="1333"/>
      <c r="B162" s="308" t="s">
        <v>224</v>
      </c>
      <c r="C162" s="1733"/>
      <c r="D162" s="1726"/>
      <c r="E162" s="1726"/>
      <c r="F162" s="1726"/>
    </row>
    <row r="163" spans="1:6" ht="15" thickBot="1">
      <c r="A163" s="1403"/>
      <c r="B163" s="630" t="s">
        <v>225</v>
      </c>
      <c r="C163" s="1748"/>
      <c r="D163" s="1749"/>
      <c r="E163" s="1749"/>
      <c r="F163" s="1749"/>
    </row>
    <row r="164" spans="1:6" ht="15" thickBot="1">
      <c r="A164" s="1750" t="s">
        <v>692</v>
      </c>
      <c r="B164" s="1751"/>
      <c r="C164" s="810">
        <f>SUM(C147:C163)</f>
        <v>11921245.174672665</v>
      </c>
      <c r="D164" s="693">
        <f>SUM(D147:D163)</f>
        <v>0</v>
      </c>
      <c r="E164" s="693">
        <f>SUM(E147:E163)</f>
        <v>0</v>
      </c>
      <c r="F164" s="693">
        <f>SUM(F147:F163)</f>
        <v>0</v>
      </c>
    </row>
    <row r="167" spans="1:6" ht="15" thickBot="1"/>
    <row r="168" spans="1:6" ht="15" thickBot="1">
      <c r="A168" s="510"/>
      <c r="B168" s="511"/>
      <c r="C168" s="1322" t="s">
        <v>702</v>
      </c>
      <c r="D168" s="1735"/>
      <c r="E168" s="1735"/>
      <c r="F168" s="1401"/>
    </row>
    <row r="169" spans="1:6" ht="15" thickBot="1">
      <c r="A169" s="512" t="s">
        <v>291</v>
      </c>
      <c r="B169" s="513" t="s">
        <v>206</v>
      </c>
      <c r="C169" s="513" t="s">
        <v>96</v>
      </c>
      <c r="D169" s="513" t="s">
        <v>689</v>
      </c>
      <c r="E169" s="513" t="s">
        <v>99</v>
      </c>
      <c r="F169" s="367" t="s">
        <v>690</v>
      </c>
    </row>
    <row r="170" spans="1:6">
      <c r="A170" s="1333">
        <v>1</v>
      </c>
      <c r="B170" s="87" t="s">
        <v>209</v>
      </c>
      <c r="C170" s="1715">
        <f>SUM(Profitability!FO67:FR67)</f>
        <v>3596087.0312717822</v>
      </c>
      <c r="D170" s="1718">
        <f>SUM(Profitability!$EY198:$FB198)</f>
        <v>0</v>
      </c>
      <c r="E170" s="1718">
        <f>SUM(Profitability!$EY234:$FB234)</f>
        <v>0</v>
      </c>
      <c r="F170" s="1718">
        <f>SUM(Profitability!$EY276:$FB276)</f>
        <v>0</v>
      </c>
    </row>
    <row r="171" spans="1:6">
      <c r="A171" s="1333"/>
      <c r="B171" s="87" t="s">
        <v>210</v>
      </c>
      <c r="C171" s="1716"/>
      <c r="D171" s="1719"/>
      <c r="E171" s="1719"/>
      <c r="F171" s="1719"/>
    </row>
    <row r="172" spans="1:6">
      <c r="A172" s="1333"/>
      <c r="B172" s="87" t="s">
        <v>211</v>
      </c>
      <c r="C172" s="1716"/>
      <c r="D172" s="1719"/>
      <c r="E172" s="1719"/>
      <c r="F172" s="1719"/>
    </row>
    <row r="173" spans="1:6">
      <c r="A173" s="1333"/>
      <c r="B173" s="87" t="s">
        <v>212</v>
      </c>
      <c r="C173" s="1716"/>
      <c r="D173" s="1719"/>
      <c r="E173" s="1719"/>
      <c r="F173" s="1719"/>
    </row>
    <row r="174" spans="1:6" ht="15" thickBot="1">
      <c r="A174" s="1333"/>
      <c r="B174" s="87" t="s">
        <v>213</v>
      </c>
      <c r="C174" s="1717"/>
      <c r="D174" s="1720"/>
      <c r="E174" s="1720"/>
      <c r="F174" s="1720"/>
    </row>
    <row r="175" spans="1:6">
      <c r="A175" s="1333">
        <v>2</v>
      </c>
      <c r="B175" s="303" t="s">
        <v>214</v>
      </c>
      <c r="C175" s="1715">
        <f>SUM(Profitability!FO68:FR68)</f>
        <v>4935383.0589722488</v>
      </c>
      <c r="D175" s="1718">
        <f>SUM(Profitability!$EY199:$FB199)</f>
        <v>0</v>
      </c>
      <c r="E175" s="1718">
        <f>SUM(Profitability!$EY235:$FB235)</f>
        <v>0</v>
      </c>
      <c r="F175" s="1721">
        <f>SUM(Profitability!$EY277:$FB277)</f>
        <v>0</v>
      </c>
    </row>
    <row r="176" spans="1:6">
      <c r="A176" s="1333"/>
      <c r="B176" s="303" t="s">
        <v>215</v>
      </c>
      <c r="C176" s="1716"/>
      <c r="D176" s="1719"/>
      <c r="E176" s="1719"/>
      <c r="F176" s="1722"/>
    </row>
    <row r="177" spans="1:6">
      <c r="A177" s="1333"/>
      <c r="B177" s="303" t="s">
        <v>216</v>
      </c>
      <c r="C177" s="1716"/>
      <c r="D177" s="1719"/>
      <c r="E177" s="1719"/>
      <c r="F177" s="1722"/>
    </row>
    <row r="178" spans="1:6" ht="15" thickBot="1">
      <c r="A178" s="1333"/>
      <c r="B178" s="305" t="s">
        <v>217</v>
      </c>
      <c r="C178" s="1717"/>
      <c r="D178" s="1720"/>
      <c r="E178" s="1720"/>
      <c r="F178" s="1723"/>
    </row>
    <row r="179" spans="1:6">
      <c r="A179" s="1333">
        <v>3</v>
      </c>
      <c r="B179" s="203" t="s">
        <v>218</v>
      </c>
      <c r="C179" s="1732">
        <f>SUM(Profitability!FO69:FR69)</f>
        <v>2668989.0049077747</v>
      </c>
      <c r="D179" s="1725">
        <f>SUM(Profitability!$EY200:$FB200)</f>
        <v>0</v>
      </c>
      <c r="E179" s="1725">
        <f>SUM(Profitability!$EY236:$FB236)</f>
        <v>0</v>
      </c>
      <c r="F179" s="1725">
        <f>SUM(Profitability!$EY278:$FB278)</f>
        <v>0</v>
      </c>
    </row>
    <row r="180" spans="1:6">
      <c r="A180" s="1333"/>
      <c r="B180" s="203" t="s">
        <v>219</v>
      </c>
      <c r="C180" s="1733"/>
      <c r="D180" s="1726"/>
      <c r="E180" s="1726"/>
      <c r="F180" s="1726"/>
    </row>
    <row r="181" spans="1:6">
      <c r="A181" s="1333"/>
      <c r="B181" s="203" t="s">
        <v>220</v>
      </c>
      <c r="C181" s="1733"/>
      <c r="D181" s="1726"/>
      <c r="E181" s="1726"/>
      <c r="F181" s="1726"/>
    </row>
    <row r="182" spans="1:6">
      <c r="A182" s="1333"/>
      <c r="B182" s="203" t="s">
        <v>221</v>
      </c>
      <c r="C182" s="1734"/>
      <c r="D182" s="1727"/>
      <c r="E182" s="1727"/>
      <c r="F182" s="1727"/>
    </row>
    <row r="183" spans="1:6">
      <c r="A183" s="1333">
        <v>4</v>
      </c>
      <c r="B183" s="307" t="s">
        <v>222</v>
      </c>
      <c r="C183" s="1746">
        <f>SUM(Profitability!FO70:FR70)</f>
        <v>2464880.7530879891</v>
      </c>
      <c r="D183" s="1747">
        <f>SUM(Profitability!$EY201:$FB201)</f>
        <v>0</v>
      </c>
      <c r="E183" s="1747">
        <f>SUM(Profitability!EZ237:FB237)</f>
        <v>0</v>
      </c>
      <c r="F183" s="1747">
        <f>SUM(Profitability!$EY279:$FB279)</f>
        <v>0</v>
      </c>
    </row>
    <row r="184" spans="1:6">
      <c r="A184" s="1333"/>
      <c r="B184" s="308" t="s">
        <v>223</v>
      </c>
      <c r="C184" s="1733"/>
      <c r="D184" s="1726"/>
      <c r="E184" s="1726"/>
      <c r="F184" s="1726"/>
    </row>
    <row r="185" spans="1:6">
      <c r="A185" s="1333"/>
      <c r="B185" s="308" t="s">
        <v>224</v>
      </c>
      <c r="C185" s="1733"/>
      <c r="D185" s="1726"/>
      <c r="E185" s="1726"/>
      <c r="F185" s="1726"/>
    </row>
    <row r="186" spans="1:6" ht="15" thickBot="1">
      <c r="A186" s="1403"/>
      <c r="B186" s="630" t="s">
        <v>225</v>
      </c>
      <c r="C186" s="1748"/>
      <c r="D186" s="1749"/>
      <c r="E186" s="1749"/>
      <c r="F186" s="1749"/>
    </row>
    <row r="187" spans="1:6" ht="15" thickBot="1">
      <c r="A187" s="1750" t="s">
        <v>692</v>
      </c>
      <c r="B187" s="1751"/>
      <c r="C187" s="810">
        <f>SUM(C170:C186)</f>
        <v>13665339.848239794</v>
      </c>
      <c r="D187" s="693">
        <f>SUM(D170:D186)</f>
        <v>0</v>
      </c>
      <c r="E187" s="693">
        <f>SUM(E170:E186)</f>
        <v>0</v>
      </c>
      <c r="F187" s="693">
        <f>SUM(F170:F186)</f>
        <v>0</v>
      </c>
    </row>
    <row r="189" spans="1:6" ht="15" thickBot="1"/>
    <row r="190" spans="1:6" ht="15" thickBot="1">
      <c r="A190" s="942"/>
      <c r="B190" s="943"/>
      <c r="C190" s="1752" t="s">
        <v>702</v>
      </c>
      <c r="D190" s="1753"/>
      <c r="E190" s="1753"/>
      <c r="F190" s="1754"/>
    </row>
    <row r="191" spans="1:6" ht="15" thickBot="1">
      <c r="A191" s="944" t="s">
        <v>291</v>
      </c>
      <c r="B191" s="945" t="s">
        <v>206</v>
      </c>
      <c r="C191" s="945" t="s">
        <v>96</v>
      </c>
      <c r="D191" s="945" t="s">
        <v>689</v>
      </c>
      <c r="E191" s="945" t="s">
        <v>99</v>
      </c>
      <c r="F191" s="946" t="s">
        <v>690</v>
      </c>
    </row>
    <row r="192" spans="1:6">
      <c r="A192" s="1755">
        <v>1</v>
      </c>
      <c r="B192" s="619" t="s">
        <v>209</v>
      </c>
      <c r="C192" s="1756">
        <f>SUM(Profitability!FO89:FR89)</f>
        <v>0</v>
      </c>
      <c r="D192" s="1756">
        <f>SUM(Profitability!$EY220:$FB220)</f>
        <v>0</v>
      </c>
      <c r="E192" s="1756">
        <f>SUM(Profitability!$EY256:$FB256)</f>
        <v>0</v>
      </c>
      <c r="F192" s="1756">
        <f>SUM(Profitability!$EY298:$FB298)</f>
        <v>0</v>
      </c>
    </row>
    <row r="193" spans="1:6">
      <c r="A193" s="1755"/>
      <c r="B193" s="619" t="s">
        <v>210</v>
      </c>
      <c r="C193" s="1757"/>
      <c r="D193" s="1757"/>
      <c r="E193" s="1757"/>
      <c r="F193" s="1757"/>
    </row>
    <row r="194" spans="1:6">
      <c r="A194" s="1755"/>
      <c r="B194" s="619" t="s">
        <v>211</v>
      </c>
      <c r="C194" s="1757"/>
      <c r="D194" s="1757"/>
      <c r="E194" s="1757"/>
      <c r="F194" s="1757"/>
    </row>
    <row r="195" spans="1:6">
      <c r="A195" s="1755"/>
      <c r="B195" s="619" t="s">
        <v>212</v>
      </c>
      <c r="C195" s="1757"/>
      <c r="D195" s="1757"/>
      <c r="E195" s="1757"/>
      <c r="F195" s="1757"/>
    </row>
    <row r="196" spans="1:6" ht="15" thickBot="1">
      <c r="A196" s="1755"/>
      <c r="B196" s="619" t="s">
        <v>213</v>
      </c>
      <c r="C196" s="1758"/>
      <c r="D196" s="1758"/>
      <c r="E196" s="1758"/>
      <c r="F196" s="1758"/>
    </row>
    <row r="197" spans="1:6">
      <c r="A197" s="1755">
        <v>2</v>
      </c>
      <c r="B197" s="619" t="s">
        <v>214</v>
      </c>
      <c r="C197" s="1756">
        <f>SUM(Profitability!FO90:FR90)</f>
        <v>0</v>
      </c>
      <c r="D197" s="1756">
        <f>SUM(Profitability!$EY221:$FB221)</f>
        <v>0</v>
      </c>
      <c r="E197" s="1756">
        <f>SUM(Profitability!$EY257:$FB257)</f>
        <v>0</v>
      </c>
      <c r="F197" s="1759">
        <f>SUM(Profitability!$EY299:$FB299)</f>
        <v>0</v>
      </c>
    </row>
    <row r="198" spans="1:6">
      <c r="A198" s="1755"/>
      <c r="B198" s="619" t="s">
        <v>215</v>
      </c>
      <c r="C198" s="1757"/>
      <c r="D198" s="1757"/>
      <c r="E198" s="1757"/>
      <c r="F198" s="1760"/>
    </row>
    <row r="199" spans="1:6">
      <c r="A199" s="1755"/>
      <c r="B199" s="619" t="s">
        <v>216</v>
      </c>
      <c r="C199" s="1757"/>
      <c r="D199" s="1757"/>
      <c r="E199" s="1757"/>
      <c r="F199" s="1760"/>
    </row>
    <row r="200" spans="1:6" ht="15" thickBot="1">
      <c r="A200" s="1755"/>
      <c r="B200" s="947" t="s">
        <v>217</v>
      </c>
      <c r="C200" s="1758"/>
      <c r="D200" s="1758"/>
      <c r="E200" s="1758"/>
      <c r="F200" s="1761"/>
    </row>
    <row r="201" spans="1:6">
      <c r="A201" s="1755">
        <v>3</v>
      </c>
      <c r="B201" s="947" t="s">
        <v>218</v>
      </c>
      <c r="C201" s="1762">
        <f>SUM(Profitability!FO91:FR91)</f>
        <v>0</v>
      </c>
      <c r="D201" s="1762">
        <f>SUM(Profitability!$EY222:$FB222)</f>
        <v>0</v>
      </c>
      <c r="E201" s="1762">
        <f>SUM(Profitability!$EY258:$FB258)</f>
        <v>0</v>
      </c>
      <c r="F201" s="1762">
        <f>SUM(Profitability!$EY300:$FB300)</f>
        <v>0</v>
      </c>
    </row>
    <row r="202" spans="1:6">
      <c r="A202" s="1755"/>
      <c r="B202" s="947" t="s">
        <v>219</v>
      </c>
      <c r="C202" s="1763"/>
      <c r="D202" s="1763"/>
      <c r="E202" s="1763"/>
      <c r="F202" s="1763"/>
    </row>
    <row r="203" spans="1:6">
      <c r="A203" s="1755"/>
      <c r="B203" s="947" t="s">
        <v>220</v>
      </c>
      <c r="C203" s="1763"/>
      <c r="D203" s="1763"/>
      <c r="E203" s="1763"/>
      <c r="F203" s="1763"/>
    </row>
    <row r="204" spans="1:6">
      <c r="A204" s="1755"/>
      <c r="B204" s="947" t="s">
        <v>221</v>
      </c>
      <c r="C204" s="1764"/>
      <c r="D204" s="1764"/>
      <c r="E204" s="1764"/>
      <c r="F204" s="1764"/>
    </row>
    <row r="205" spans="1:6">
      <c r="A205" s="1755">
        <v>4</v>
      </c>
      <c r="B205" s="947" t="s">
        <v>222</v>
      </c>
      <c r="C205" s="1766">
        <f>SUM(Profitability!FO92:FR92)</f>
        <v>0</v>
      </c>
      <c r="D205" s="1766">
        <f>SUM(Profitability!$EY223:$FB223)</f>
        <v>0</v>
      </c>
      <c r="E205" s="1766">
        <f>SUM(Profitability!EZ259:FB259)</f>
        <v>0</v>
      </c>
      <c r="F205" s="1766">
        <f>SUM(Profitability!$EY301:$FB301)</f>
        <v>0</v>
      </c>
    </row>
    <row r="206" spans="1:6">
      <c r="A206" s="1755"/>
      <c r="B206" s="619" t="s">
        <v>223</v>
      </c>
      <c r="C206" s="1763"/>
      <c r="D206" s="1763"/>
      <c r="E206" s="1763"/>
      <c r="F206" s="1763"/>
    </row>
    <row r="207" spans="1:6">
      <c r="A207" s="1755"/>
      <c r="B207" s="619" t="s">
        <v>224</v>
      </c>
      <c r="C207" s="1763"/>
      <c r="D207" s="1763"/>
      <c r="E207" s="1763"/>
      <c r="F207" s="1763"/>
    </row>
    <row r="208" spans="1:6" ht="15" thickBot="1">
      <c r="A208" s="1765"/>
      <c r="B208" s="948" t="s">
        <v>225</v>
      </c>
      <c r="C208" s="1767"/>
      <c r="D208" s="1767"/>
      <c r="E208" s="1767"/>
      <c r="F208" s="1767"/>
    </row>
    <row r="209" spans="1:6" ht="15" thickBot="1">
      <c r="A209" s="1768" t="s">
        <v>692</v>
      </c>
      <c r="B209" s="1769"/>
      <c r="C209" s="949">
        <f>SUM(C192:C208)</f>
        <v>0</v>
      </c>
      <c r="D209" s="950">
        <f>SUM(D192:D208)</f>
        <v>0</v>
      </c>
      <c r="E209" s="950">
        <f>SUM(E192:E208)</f>
        <v>0</v>
      </c>
      <c r="F209" s="950">
        <f>SUM(F192:F208)</f>
        <v>0</v>
      </c>
    </row>
    <row r="212" spans="1:6" ht="15" thickBot="1"/>
    <row r="213" spans="1:6" ht="15" thickBot="1">
      <c r="A213" s="510"/>
      <c r="B213" s="511"/>
      <c r="C213" s="1322" t="s">
        <v>703</v>
      </c>
      <c r="D213" s="1735"/>
      <c r="E213" s="1735"/>
      <c r="F213" s="1401"/>
    </row>
    <row r="214" spans="1:6" ht="15" thickBot="1">
      <c r="A214" s="512" t="s">
        <v>291</v>
      </c>
      <c r="B214" s="513" t="s">
        <v>206</v>
      </c>
      <c r="C214" s="513" t="s">
        <v>96</v>
      </c>
      <c r="D214" s="513" t="s">
        <v>689</v>
      </c>
      <c r="E214" s="513" t="s">
        <v>99</v>
      </c>
      <c r="F214" s="367" t="s">
        <v>690</v>
      </c>
    </row>
    <row r="215" spans="1:6">
      <c r="A215" s="1333">
        <v>1</v>
      </c>
      <c r="B215" s="87" t="s">
        <v>209</v>
      </c>
      <c r="C215" s="1715">
        <f>SUM(Profitability!FS67:FV67)</f>
        <v>8789622.1455993466</v>
      </c>
      <c r="D215" s="1718">
        <f>SUM(Profitability!$EY243:$FB243)</f>
        <v>0</v>
      </c>
      <c r="E215" s="1718">
        <f>SUM(Profitability!$EY279:$FB279)</f>
        <v>0</v>
      </c>
      <c r="F215" s="1718">
        <f>SUM(Profitability!$EY321:$FB321)</f>
        <v>0</v>
      </c>
    </row>
    <row r="216" spans="1:6">
      <c r="A216" s="1333"/>
      <c r="B216" s="87" t="s">
        <v>210</v>
      </c>
      <c r="C216" s="1716"/>
      <c r="D216" s="1719"/>
      <c r="E216" s="1719"/>
      <c r="F216" s="1719"/>
    </row>
    <row r="217" spans="1:6">
      <c r="A217" s="1333"/>
      <c r="B217" s="87" t="s">
        <v>211</v>
      </c>
      <c r="C217" s="1716"/>
      <c r="D217" s="1719"/>
      <c r="E217" s="1719"/>
      <c r="F217" s="1719"/>
    </row>
    <row r="218" spans="1:6">
      <c r="A218" s="1333"/>
      <c r="B218" s="87" t="s">
        <v>212</v>
      </c>
      <c r="C218" s="1716"/>
      <c r="D218" s="1719"/>
      <c r="E218" s="1719"/>
      <c r="F218" s="1719"/>
    </row>
    <row r="219" spans="1:6" ht="15" thickBot="1">
      <c r="A219" s="1333"/>
      <c r="B219" s="87" t="s">
        <v>213</v>
      </c>
      <c r="C219" s="1717"/>
      <c r="D219" s="1720"/>
      <c r="E219" s="1720"/>
      <c r="F219" s="1720"/>
    </row>
    <row r="220" spans="1:6">
      <c r="A220" s="1333">
        <v>2</v>
      </c>
      <c r="B220" s="303" t="s">
        <v>214</v>
      </c>
      <c r="C220" s="1715">
        <f>SUM(Profitability!FS68:FV68)</f>
        <v>15429310.211877275</v>
      </c>
      <c r="D220" s="1718">
        <f>SUM(Profitability!$EY244:$FB244)</f>
        <v>0</v>
      </c>
      <c r="E220" s="1718">
        <f>SUM(Profitability!$EY280:$FB280)</f>
        <v>0</v>
      </c>
      <c r="F220" s="1721">
        <f>SUM(Profitability!$EY322:$FB322)</f>
        <v>0</v>
      </c>
    </row>
    <row r="221" spans="1:6">
      <c r="A221" s="1333"/>
      <c r="B221" s="303" t="s">
        <v>215</v>
      </c>
      <c r="C221" s="1716"/>
      <c r="D221" s="1719"/>
      <c r="E221" s="1719"/>
      <c r="F221" s="1722"/>
    </row>
    <row r="222" spans="1:6">
      <c r="A222" s="1333"/>
      <c r="B222" s="303" t="s">
        <v>216</v>
      </c>
      <c r="C222" s="1716"/>
      <c r="D222" s="1719"/>
      <c r="E222" s="1719"/>
      <c r="F222" s="1722"/>
    </row>
    <row r="223" spans="1:6" ht="15" thickBot="1">
      <c r="A223" s="1333"/>
      <c r="B223" s="305" t="s">
        <v>217</v>
      </c>
      <c r="C223" s="1717"/>
      <c r="D223" s="1720"/>
      <c r="E223" s="1720"/>
      <c r="F223" s="1723"/>
    </row>
    <row r="224" spans="1:6">
      <c r="A224" s="1333">
        <v>3</v>
      </c>
      <c r="B224" s="203" t="s">
        <v>218</v>
      </c>
      <c r="C224" s="1732">
        <f>SUM(Profitability!FS69:FV69)</f>
        <v>13637941.276874814</v>
      </c>
      <c r="D224" s="1725">
        <f>SUM(Profitability!$EY245:$FB245)</f>
        <v>0</v>
      </c>
      <c r="E224" s="1725">
        <f>SUM(Profitability!$EY281:$FB281)</f>
        <v>0</v>
      </c>
      <c r="F224" s="1725">
        <f>SUM(Profitability!$EY323:$FB323)</f>
        <v>0</v>
      </c>
    </row>
    <row r="225" spans="1:6">
      <c r="A225" s="1333"/>
      <c r="B225" s="203" t="s">
        <v>219</v>
      </c>
      <c r="C225" s="1733"/>
      <c r="D225" s="1726"/>
      <c r="E225" s="1726"/>
      <c r="F225" s="1726"/>
    </row>
    <row r="226" spans="1:6">
      <c r="A226" s="1333"/>
      <c r="B226" s="203" t="s">
        <v>220</v>
      </c>
      <c r="C226" s="1733"/>
      <c r="D226" s="1726"/>
      <c r="E226" s="1726"/>
      <c r="F226" s="1726"/>
    </row>
    <row r="227" spans="1:6">
      <c r="A227" s="1333"/>
      <c r="B227" s="203" t="s">
        <v>221</v>
      </c>
      <c r="C227" s="1734"/>
      <c r="D227" s="1727"/>
      <c r="E227" s="1727"/>
      <c r="F227" s="1727"/>
    </row>
    <row r="228" spans="1:6">
      <c r="A228" s="1333">
        <v>4</v>
      </c>
      <c r="B228" s="307" t="s">
        <v>222</v>
      </c>
      <c r="C228" s="1746">
        <f>SUM(Profitability!FS70:FV70)</f>
        <v>13296406.591657132</v>
      </c>
      <c r="D228" s="1747">
        <f>SUM(Profitability!$EY246:$FB246)</f>
        <v>0</v>
      </c>
      <c r="E228" s="1747">
        <f>SUM(Profitability!EZ282:FB282)</f>
        <v>0</v>
      </c>
      <c r="F228" s="1747">
        <f>SUM(Profitability!$EY324:$FB324)</f>
        <v>0</v>
      </c>
    </row>
    <row r="229" spans="1:6">
      <c r="A229" s="1333"/>
      <c r="B229" s="308" t="s">
        <v>223</v>
      </c>
      <c r="C229" s="1733"/>
      <c r="D229" s="1726"/>
      <c r="E229" s="1726"/>
      <c r="F229" s="1726"/>
    </row>
    <row r="230" spans="1:6">
      <c r="A230" s="1333"/>
      <c r="B230" s="308" t="s">
        <v>224</v>
      </c>
      <c r="C230" s="1733"/>
      <c r="D230" s="1726"/>
      <c r="E230" s="1726"/>
      <c r="F230" s="1726"/>
    </row>
    <row r="231" spans="1:6" ht="15" thickBot="1">
      <c r="A231" s="1403"/>
      <c r="B231" s="630" t="s">
        <v>225</v>
      </c>
      <c r="C231" s="1748"/>
      <c r="D231" s="1749"/>
      <c r="E231" s="1749"/>
      <c r="F231" s="1749"/>
    </row>
    <row r="232" spans="1:6" ht="15" thickBot="1">
      <c r="A232" s="1750" t="s">
        <v>692</v>
      </c>
      <c r="B232" s="1751"/>
      <c r="C232" s="810">
        <f>SUM(C215:C231)</f>
        <v>51153280.226008564</v>
      </c>
      <c r="D232" s="693">
        <f>SUM(D215:D231)</f>
        <v>0</v>
      </c>
      <c r="E232" s="693">
        <f>SUM(E215:E231)</f>
        <v>0</v>
      </c>
      <c r="F232" s="693">
        <f>SUM(F215:F231)</f>
        <v>0</v>
      </c>
    </row>
  </sheetData>
  <mergeCells count="267">
    <mergeCell ref="A209:B209"/>
    <mergeCell ref="C213:F213"/>
    <mergeCell ref="A215:A219"/>
    <mergeCell ref="C215:C219"/>
    <mergeCell ref="D215:D219"/>
    <mergeCell ref="E215:E219"/>
    <mergeCell ref="F215:F219"/>
    <mergeCell ref="A220:A223"/>
    <mergeCell ref="C220:C223"/>
    <mergeCell ref="D220:D223"/>
    <mergeCell ref="E220:E223"/>
    <mergeCell ref="F220:F223"/>
    <mergeCell ref="A232:B232"/>
    <mergeCell ref="A224:A227"/>
    <mergeCell ref="C224:C227"/>
    <mergeCell ref="D224:D227"/>
    <mergeCell ref="E224:E227"/>
    <mergeCell ref="F224:F227"/>
    <mergeCell ref="A228:A231"/>
    <mergeCell ref="C228:C231"/>
    <mergeCell ref="D228:D231"/>
    <mergeCell ref="E228:E231"/>
    <mergeCell ref="F228:F231"/>
    <mergeCell ref="A201:A204"/>
    <mergeCell ref="C201:C204"/>
    <mergeCell ref="D201:D204"/>
    <mergeCell ref="E201:E204"/>
    <mergeCell ref="F201:F204"/>
    <mergeCell ref="A205:A208"/>
    <mergeCell ref="C205:C208"/>
    <mergeCell ref="D205:D208"/>
    <mergeCell ref="E205:E208"/>
    <mergeCell ref="F205:F208"/>
    <mergeCell ref="A187:B187"/>
    <mergeCell ref="C190:F190"/>
    <mergeCell ref="A192:A196"/>
    <mergeCell ref="C192:C196"/>
    <mergeCell ref="D192:D196"/>
    <mergeCell ref="E192:E196"/>
    <mergeCell ref="F192:F196"/>
    <mergeCell ref="A197:A200"/>
    <mergeCell ref="C197:C200"/>
    <mergeCell ref="D197:D200"/>
    <mergeCell ref="E197:E200"/>
    <mergeCell ref="F197:F200"/>
    <mergeCell ref="A179:A182"/>
    <mergeCell ref="C179:C182"/>
    <mergeCell ref="D179:D182"/>
    <mergeCell ref="E179:E182"/>
    <mergeCell ref="F179:F182"/>
    <mergeCell ref="A183:A186"/>
    <mergeCell ref="C183:C186"/>
    <mergeCell ref="D183:D186"/>
    <mergeCell ref="E183:E186"/>
    <mergeCell ref="F183:F186"/>
    <mergeCell ref="A164:B164"/>
    <mergeCell ref="C168:F168"/>
    <mergeCell ref="A170:A174"/>
    <mergeCell ref="C170:C174"/>
    <mergeCell ref="D170:D174"/>
    <mergeCell ref="E170:E174"/>
    <mergeCell ref="F170:F174"/>
    <mergeCell ref="A175:A178"/>
    <mergeCell ref="C175:C178"/>
    <mergeCell ref="D175:D178"/>
    <mergeCell ref="E175:E178"/>
    <mergeCell ref="F175:F178"/>
    <mergeCell ref="A156:A159"/>
    <mergeCell ref="C156:C159"/>
    <mergeCell ref="D156:D159"/>
    <mergeCell ref="E156:E159"/>
    <mergeCell ref="F156:F159"/>
    <mergeCell ref="A160:A163"/>
    <mergeCell ref="C160:C163"/>
    <mergeCell ref="D160:D163"/>
    <mergeCell ref="E160:E163"/>
    <mergeCell ref="F160:F163"/>
    <mergeCell ref="A141:B141"/>
    <mergeCell ref="C145:F145"/>
    <mergeCell ref="A147:A151"/>
    <mergeCell ref="C147:C151"/>
    <mergeCell ref="D147:D151"/>
    <mergeCell ref="E147:E151"/>
    <mergeCell ref="F147:F151"/>
    <mergeCell ref="A152:A155"/>
    <mergeCell ref="C152:C155"/>
    <mergeCell ref="D152:D155"/>
    <mergeCell ref="E152:E155"/>
    <mergeCell ref="F152:F155"/>
    <mergeCell ref="A133:A136"/>
    <mergeCell ref="C133:C136"/>
    <mergeCell ref="D133:D136"/>
    <mergeCell ref="E133:E136"/>
    <mergeCell ref="F133:F136"/>
    <mergeCell ref="A137:A140"/>
    <mergeCell ref="C137:C140"/>
    <mergeCell ref="D137:D140"/>
    <mergeCell ref="E137:E140"/>
    <mergeCell ref="F137:F140"/>
    <mergeCell ref="A129:A132"/>
    <mergeCell ref="C129:C132"/>
    <mergeCell ref="D129:D132"/>
    <mergeCell ref="E129:E132"/>
    <mergeCell ref="F129:F132"/>
    <mergeCell ref="C99:F99"/>
    <mergeCell ref="A101:A105"/>
    <mergeCell ref="C101:C105"/>
    <mergeCell ref="D101:D105"/>
    <mergeCell ref="E101:E105"/>
    <mergeCell ref="F101:F105"/>
    <mergeCell ref="A106:A109"/>
    <mergeCell ref="C106:C109"/>
    <mergeCell ref="D106:D109"/>
    <mergeCell ref="E106:E109"/>
    <mergeCell ref="F106:F109"/>
    <mergeCell ref="A114:A117"/>
    <mergeCell ref="C114:C117"/>
    <mergeCell ref="D114:D117"/>
    <mergeCell ref="E114:E117"/>
    <mergeCell ref="F114:F117"/>
    <mergeCell ref="A118:B118"/>
    <mergeCell ref="A124:A128"/>
    <mergeCell ref="C124:C128"/>
    <mergeCell ref="D124:D128"/>
    <mergeCell ref="E124:E128"/>
    <mergeCell ref="F124:F128"/>
    <mergeCell ref="O20:O23"/>
    <mergeCell ref="P20:P23"/>
    <mergeCell ref="Q20:Q23"/>
    <mergeCell ref="R20:R23"/>
    <mergeCell ref="A110:A113"/>
    <mergeCell ref="C110:C113"/>
    <mergeCell ref="D110:D113"/>
    <mergeCell ref="E110:E113"/>
    <mergeCell ref="F110:F113"/>
    <mergeCell ref="A21:A25"/>
    <mergeCell ref="A26:A29"/>
    <mergeCell ref="A35:A39"/>
    <mergeCell ref="A58:A61"/>
    <mergeCell ref="A95:B95"/>
    <mergeCell ref="F87:F90"/>
    <mergeCell ref="F91:F94"/>
    <mergeCell ref="F58:F61"/>
    <mergeCell ref="F62:F65"/>
    <mergeCell ref="F66:F69"/>
    <mergeCell ref="C76:F76"/>
    <mergeCell ref="A78:A82"/>
    <mergeCell ref="Q7:Q11"/>
    <mergeCell ref="R7:R11"/>
    <mergeCell ref="S7:S11"/>
    <mergeCell ref="O12:O15"/>
    <mergeCell ref="P12:P15"/>
    <mergeCell ref="L20:L23"/>
    <mergeCell ref="M20:M23"/>
    <mergeCell ref="N20:N23"/>
    <mergeCell ref="N7:N11"/>
    <mergeCell ref="N12:N15"/>
    <mergeCell ref="L16:L19"/>
    <mergeCell ref="M16:M19"/>
    <mergeCell ref="N16:N19"/>
    <mergeCell ref="M12:M15"/>
    <mergeCell ref="S12:S15"/>
    <mergeCell ref="C122:F122"/>
    <mergeCell ref="S20:S23"/>
    <mergeCell ref="J16:J23"/>
    <mergeCell ref="K16:K23"/>
    <mergeCell ref="E53:E57"/>
    <mergeCell ref="F53:F57"/>
    <mergeCell ref="E62:E65"/>
    <mergeCell ref="C66:C69"/>
    <mergeCell ref="D66:D69"/>
    <mergeCell ref="E66:E69"/>
    <mergeCell ref="C58:C61"/>
    <mergeCell ref="D58:D61"/>
    <mergeCell ref="E58:E61"/>
    <mergeCell ref="C62:C65"/>
    <mergeCell ref="C91:C94"/>
    <mergeCell ref="D91:D94"/>
    <mergeCell ref="E91:E94"/>
    <mergeCell ref="C33:F33"/>
    <mergeCell ref="C53:C57"/>
    <mergeCell ref="C26:C29"/>
    <mergeCell ref="D26:D29"/>
    <mergeCell ref="E26:E29"/>
    <mergeCell ref="F26:F29"/>
    <mergeCell ref="C78:C82"/>
    <mergeCell ref="A48:B48"/>
    <mergeCell ref="A40:A43"/>
    <mergeCell ref="A53:A57"/>
    <mergeCell ref="A70:B70"/>
    <mergeCell ref="A44:A47"/>
    <mergeCell ref="A62:A65"/>
    <mergeCell ref="A66:A69"/>
    <mergeCell ref="H5:T5"/>
    <mergeCell ref="J25:S25"/>
    <mergeCell ref="O16:O19"/>
    <mergeCell ref="P16:P19"/>
    <mergeCell ref="J12:J15"/>
    <mergeCell ref="H24:I24"/>
    <mergeCell ref="C12:C15"/>
    <mergeCell ref="D12:D15"/>
    <mergeCell ref="E12:E15"/>
    <mergeCell ref="F40:F43"/>
    <mergeCell ref="F44:F47"/>
    <mergeCell ref="D53:D57"/>
    <mergeCell ref="D40:D43"/>
    <mergeCell ref="E40:E43"/>
    <mergeCell ref="C19:F19"/>
    <mergeCell ref="O7:O11"/>
    <mergeCell ref="P7:P11"/>
    <mergeCell ref="C5:F5"/>
    <mergeCell ref="A7:A11"/>
    <mergeCell ref="C7:C11"/>
    <mergeCell ref="D7:D11"/>
    <mergeCell ref="E7:E11"/>
    <mergeCell ref="F7:F11"/>
    <mergeCell ref="A12:A15"/>
    <mergeCell ref="A16:B16"/>
    <mergeCell ref="A30:B30"/>
    <mergeCell ref="A91:A94"/>
    <mergeCell ref="A83:A86"/>
    <mergeCell ref="A87:A90"/>
    <mergeCell ref="J7:J11"/>
    <mergeCell ref="K7:K11"/>
    <mergeCell ref="L7:L11"/>
    <mergeCell ref="M7:M11"/>
    <mergeCell ref="H7:H11"/>
    <mergeCell ref="C87:C90"/>
    <mergeCell ref="D87:D90"/>
    <mergeCell ref="E87:E90"/>
    <mergeCell ref="C51:F51"/>
    <mergeCell ref="C35:C39"/>
    <mergeCell ref="D35:D39"/>
    <mergeCell ref="C44:C47"/>
    <mergeCell ref="D44:D47"/>
    <mergeCell ref="E44:E47"/>
    <mergeCell ref="E35:E39"/>
    <mergeCell ref="F35:F39"/>
    <mergeCell ref="C40:C43"/>
    <mergeCell ref="D78:D82"/>
    <mergeCell ref="E78:E82"/>
    <mergeCell ref="F78:F82"/>
    <mergeCell ref="H30:I30"/>
    <mergeCell ref="T7:T11"/>
    <mergeCell ref="T12:T15"/>
    <mergeCell ref="T16:T19"/>
    <mergeCell ref="T20:T23"/>
    <mergeCell ref="C21:C25"/>
    <mergeCell ref="D21:D25"/>
    <mergeCell ref="E21:E25"/>
    <mergeCell ref="F21:F25"/>
    <mergeCell ref="C83:C86"/>
    <mergeCell ref="D83:D86"/>
    <mergeCell ref="E83:E86"/>
    <mergeCell ref="F83:F86"/>
    <mergeCell ref="Q16:Q19"/>
    <mergeCell ref="R16:R19"/>
    <mergeCell ref="S16:S19"/>
    <mergeCell ref="Q12:Q15"/>
    <mergeCell ref="D62:D65"/>
    <mergeCell ref="R12:R15"/>
    <mergeCell ref="F12:F15"/>
    <mergeCell ref="K12:K15"/>
    <mergeCell ref="L12:L15"/>
    <mergeCell ref="H12:H15"/>
    <mergeCell ref="H16:H19"/>
    <mergeCell ref="H20:H23"/>
  </mergeCells>
  <conditionalFormatting sqref="J25 J7:S12 L20:S20 J16:S16 J26:N26 J28:N29 J27:S27">
    <cfRule type="cellIs" dxfId="18" priority="6" operator="lessThan">
      <formula>0</formula>
    </cfRule>
  </conditionalFormatting>
  <conditionalFormatting sqref="T7:T12">
    <cfRule type="cellIs" dxfId="17" priority="3" operator="lessThan">
      <formula>0</formula>
    </cfRule>
  </conditionalFormatting>
  <conditionalFormatting sqref="T16">
    <cfRule type="cellIs" dxfId="16" priority="2" operator="lessThan">
      <formula>0</formula>
    </cfRule>
  </conditionalFormatting>
  <conditionalFormatting sqref="T20">
    <cfRule type="cellIs" dxfId="15" priority="1" operator="lessThan">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F0550-6E8D-46CF-88B7-027E789353B7}">
  <dimension ref="A2:AH129"/>
  <sheetViews>
    <sheetView topLeftCell="A31" zoomScale="91" zoomScaleNormal="40" workbookViewId="0">
      <selection activeCell="F40" sqref="F40"/>
    </sheetView>
  </sheetViews>
  <sheetFormatPr defaultRowHeight="14.45"/>
  <cols>
    <col min="1" max="1" width="14.42578125" customWidth="1"/>
    <col min="3" max="3" width="9" bestFit="1" customWidth="1"/>
    <col min="4" max="4" width="22.7109375" customWidth="1"/>
    <col min="5" max="5" width="13.5703125" bestFit="1" customWidth="1"/>
    <col min="6" max="7" width="15.5703125" bestFit="1" customWidth="1"/>
    <col min="8" max="13" width="13.5703125" bestFit="1" customWidth="1"/>
    <col min="14" max="14" width="14.7109375" bestFit="1" customWidth="1"/>
    <col min="16" max="16" width="29" bestFit="1" customWidth="1"/>
    <col min="17" max="21" width="14.7109375" bestFit="1" customWidth="1"/>
    <col min="22" max="23" width="14.28515625" bestFit="1" customWidth="1"/>
    <col min="31" max="31" width="31.7109375" customWidth="1"/>
    <col min="32" max="32" width="16.140625" bestFit="1" customWidth="1"/>
    <col min="33" max="33" width="15" bestFit="1" customWidth="1"/>
  </cols>
  <sheetData>
    <row r="2" spans="1:34">
      <c r="A2" s="1556" t="s">
        <v>612</v>
      </c>
      <c r="B2" s="1556"/>
      <c r="C2" s="1556"/>
      <c r="D2" s="1556"/>
      <c r="E2" s="811">
        <v>2023</v>
      </c>
      <c r="F2" s="811">
        <v>2024</v>
      </c>
      <c r="G2" s="811">
        <v>2025</v>
      </c>
      <c r="H2" s="811">
        <v>2026</v>
      </c>
      <c r="I2" s="811">
        <v>2027</v>
      </c>
      <c r="J2" s="811">
        <v>2028</v>
      </c>
      <c r="K2" s="811">
        <v>2029</v>
      </c>
      <c r="L2" s="811">
        <v>2030</v>
      </c>
      <c r="M2" s="811">
        <v>2031</v>
      </c>
      <c r="N2" s="811">
        <v>2032</v>
      </c>
    </row>
    <row r="3" spans="1:34">
      <c r="A3" s="1556" t="s">
        <v>613</v>
      </c>
      <c r="B3" s="1556"/>
      <c r="C3" s="1556"/>
      <c r="D3" s="1556"/>
      <c r="E3" s="300">
        <v>357</v>
      </c>
      <c r="F3" s="300">
        <v>360</v>
      </c>
      <c r="G3" s="300">
        <v>357</v>
      </c>
      <c r="H3" s="300">
        <v>357</v>
      </c>
      <c r="I3" s="300">
        <v>357</v>
      </c>
      <c r="J3" s="300">
        <v>357</v>
      </c>
      <c r="K3" s="300">
        <v>336</v>
      </c>
      <c r="L3" s="300">
        <v>357</v>
      </c>
      <c r="M3" s="300">
        <v>357</v>
      </c>
      <c r="N3" s="300">
        <v>357</v>
      </c>
    </row>
    <row r="4" spans="1:34">
      <c r="A4" s="1556" t="s">
        <v>614</v>
      </c>
      <c r="B4" s="1556"/>
      <c r="C4" s="1556"/>
      <c r="D4" s="1556"/>
      <c r="E4" s="300">
        <v>355</v>
      </c>
      <c r="F4" s="300">
        <v>355</v>
      </c>
      <c r="G4" s="300">
        <v>352</v>
      </c>
      <c r="H4" s="300">
        <v>355</v>
      </c>
      <c r="I4" s="300">
        <v>334</v>
      </c>
      <c r="J4" s="300">
        <v>355</v>
      </c>
      <c r="K4" s="300">
        <v>352</v>
      </c>
      <c r="L4" s="300">
        <v>355</v>
      </c>
      <c r="M4" s="300">
        <v>355</v>
      </c>
      <c r="N4" s="300">
        <v>352</v>
      </c>
    </row>
    <row r="5" spans="1:34">
      <c r="A5" s="1556" t="s">
        <v>615</v>
      </c>
      <c r="B5" s="1556"/>
      <c r="C5" s="1556"/>
      <c r="D5" s="1556"/>
      <c r="E5" s="300" t="s">
        <v>116</v>
      </c>
      <c r="F5" s="300" t="s">
        <v>116</v>
      </c>
      <c r="G5" s="300">
        <v>357</v>
      </c>
      <c r="H5" s="300">
        <v>357</v>
      </c>
      <c r="I5" s="300">
        <v>357</v>
      </c>
      <c r="J5" s="300">
        <v>357</v>
      </c>
      <c r="K5" s="300">
        <v>333</v>
      </c>
      <c r="L5" s="300">
        <v>357</v>
      </c>
      <c r="M5" s="300">
        <v>357</v>
      </c>
      <c r="N5" s="300">
        <v>357</v>
      </c>
    </row>
    <row r="6" spans="1:34">
      <c r="A6" s="1556" t="s">
        <v>616</v>
      </c>
      <c r="B6" s="1556"/>
      <c r="C6" s="1556"/>
      <c r="D6" s="1556"/>
      <c r="E6" s="300" t="s">
        <v>116</v>
      </c>
      <c r="F6" s="300" t="s">
        <v>116</v>
      </c>
      <c r="G6" s="300" t="s">
        <v>116</v>
      </c>
      <c r="H6" s="300">
        <v>356</v>
      </c>
      <c r="I6" s="300">
        <v>356</v>
      </c>
      <c r="J6" s="300">
        <v>353</v>
      </c>
      <c r="K6" s="300">
        <v>356</v>
      </c>
      <c r="L6" s="300">
        <v>335</v>
      </c>
      <c r="M6" s="300">
        <v>353</v>
      </c>
      <c r="N6" s="300">
        <v>356</v>
      </c>
    </row>
    <row r="9" spans="1:34">
      <c r="A9" s="1908"/>
      <c r="B9" s="1909"/>
      <c r="C9" s="748"/>
      <c r="D9" s="581"/>
      <c r="E9" s="581" t="s">
        <v>704</v>
      </c>
      <c r="F9" s="581"/>
      <c r="G9" s="581"/>
      <c r="H9" s="581"/>
      <c r="I9" s="581"/>
      <c r="J9" s="581"/>
      <c r="K9" s="581"/>
      <c r="L9" s="581"/>
      <c r="M9" s="581"/>
      <c r="N9" s="581"/>
    </row>
    <row r="10" spans="1:34" ht="15" thickBot="1">
      <c r="A10" s="1910"/>
      <c r="B10" s="1911"/>
      <c r="C10" s="749"/>
      <c r="D10" s="581"/>
      <c r="E10" s="581"/>
      <c r="F10" s="581"/>
      <c r="G10" s="581"/>
      <c r="H10" s="581"/>
      <c r="I10" s="581"/>
      <c r="J10" s="581"/>
      <c r="K10" s="581"/>
      <c r="L10" s="581"/>
      <c r="M10" s="581"/>
      <c r="N10" s="581"/>
    </row>
    <row r="11" spans="1:34" ht="15" thickBot="1">
      <c r="A11" s="1814" t="s">
        <v>705</v>
      </c>
      <c r="B11" s="1815"/>
      <c r="C11" s="1815"/>
      <c r="D11" s="1815"/>
      <c r="E11" s="1815"/>
      <c r="F11" s="1815"/>
      <c r="G11" s="1815"/>
      <c r="H11" s="1815"/>
      <c r="I11" s="1815"/>
      <c r="J11" s="1815"/>
      <c r="K11" s="1815"/>
      <c r="L11" s="1815"/>
      <c r="M11" s="1815"/>
      <c r="N11" s="1816"/>
    </row>
    <row r="12" spans="1:34">
      <c r="A12" s="1912" t="s">
        <v>706</v>
      </c>
      <c r="B12" s="1913"/>
      <c r="C12" s="1913"/>
      <c r="D12" s="1913"/>
      <c r="E12" s="708">
        <v>2023</v>
      </c>
      <c r="F12" s="708">
        <v>2024</v>
      </c>
      <c r="G12" s="708">
        <v>2025</v>
      </c>
      <c r="H12" s="708">
        <v>2026</v>
      </c>
      <c r="I12" s="708">
        <v>2027</v>
      </c>
      <c r="J12" s="708">
        <v>2028</v>
      </c>
      <c r="K12" s="708">
        <v>2029</v>
      </c>
      <c r="L12" s="708">
        <v>2030</v>
      </c>
      <c r="M12" s="708">
        <v>2031</v>
      </c>
      <c r="N12" s="750">
        <v>2032</v>
      </c>
    </row>
    <row r="13" spans="1:34">
      <c r="A13" s="1785" t="s">
        <v>707</v>
      </c>
      <c r="B13" s="1786"/>
      <c r="C13" s="1786"/>
      <c r="D13" s="1787"/>
      <c r="E13" s="814">
        <f>'Maintenance Schedule'!B23</f>
        <v>712</v>
      </c>
      <c r="F13" s="814">
        <f>'Maintenance Schedule'!N23</f>
        <v>715</v>
      </c>
      <c r="G13" s="814">
        <f>'Maintenance Schedule'!Z23</f>
        <v>1066</v>
      </c>
      <c r="H13" s="814">
        <f>'Maintenance Schedule'!AL23</f>
        <v>1425</v>
      </c>
      <c r="I13" s="1038">
        <f>'Maintenance Schedule'!AX23</f>
        <v>1404</v>
      </c>
      <c r="J13" s="1038">
        <f>'Maintenance Schedule'!BJ23</f>
        <v>1422</v>
      </c>
      <c r="K13" s="814">
        <f>'Maintenance Schedule'!BV23</f>
        <v>1377</v>
      </c>
      <c r="L13" s="814">
        <f>'Maintenance Schedule'!CH23</f>
        <v>1404</v>
      </c>
      <c r="M13" s="814">
        <f>'Maintenance Schedule'!CT23</f>
        <v>1422</v>
      </c>
      <c r="N13" s="1237">
        <f>'Maintenance Schedule'!DF23</f>
        <v>1422</v>
      </c>
      <c r="AD13" s="1274"/>
      <c r="AE13" s="1274"/>
      <c r="AF13" s="1274"/>
      <c r="AG13" s="1274"/>
      <c r="AH13" s="1274"/>
    </row>
    <row r="14" spans="1:34">
      <c r="A14" s="1914" t="s">
        <v>185</v>
      </c>
      <c r="B14" s="1915"/>
      <c r="C14" s="1915"/>
      <c r="D14" s="1915"/>
      <c r="E14" s="704">
        <v>0.86199999999999999</v>
      </c>
      <c r="F14" s="704">
        <v>0.92400000000000004</v>
      </c>
      <c r="G14" s="704">
        <v>0.95699999999999996</v>
      </c>
      <c r="H14" s="704">
        <v>1</v>
      </c>
      <c r="I14" s="704">
        <v>1</v>
      </c>
      <c r="J14" s="704">
        <v>0.86199999999999999</v>
      </c>
      <c r="K14" s="704">
        <v>0.92400000000000004</v>
      </c>
      <c r="L14" s="704">
        <v>0.95699999999999996</v>
      </c>
      <c r="M14" s="704">
        <v>1</v>
      </c>
      <c r="N14" s="705">
        <v>1</v>
      </c>
      <c r="AD14" s="1274"/>
      <c r="AE14" s="1275" t="s">
        <v>673</v>
      </c>
      <c r="AF14" s="1275" t="s">
        <v>708</v>
      </c>
      <c r="AG14" s="1275" t="s">
        <v>709</v>
      </c>
      <c r="AH14" s="1274"/>
    </row>
    <row r="15" spans="1:34">
      <c r="A15" s="1783" t="s">
        <v>710</v>
      </c>
      <c r="B15" s="1784"/>
      <c r="C15" s="1784"/>
      <c r="D15" s="1784"/>
      <c r="E15" s="704">
        <v>2</v>
      </c>
      <c r="F15" s="704">
        <v>2</v>
      </c>
      <c r="G15" s="704">
        <v>3</v>
      </c>
      <c r="H15" s="704">
        <v>4</v>
      </c>
      <c r="I15" s="704">
        <v>4</v>
      </c>
      <c r="J15" s="704">
        <v>4</v>
      </c>
      <c r="K15" s="704">
        <v>4</v>
      </c>
      <c r="L15" s="704">
        <v>4</v>
      </c>
      <c r="M15" s="704">
        <v>4</v>
      </c>
      <c r="N15" s="705">
        <v>4</v>
      </c>
      <c r="AD15" s="1274"/>
      <c r="AE15" s="1275" t="s">
        <v>711</v>
      </c>
      <c r="AF15" s="1276">
        <f>I38</f>
        <v>-14568808.735028654</v>
      </c>
      <c r="AG15" s="1276">
        <f>N38</f>
        <v>19510908.405947611</v>
      </c>
      <c r="AH15" s="1277"/>
    </row>
    <row r="16" spans="1:34" ht="15" thickBot="1">
      <c r="A16" s="1796" t="s">
        <v>712</v>
      </c>
      <c r="B16" s="1797"/>
      <c r="C16" s="1797"/>
      <c r="D16" s="1797"/>
      <c r="E16" s="706">
        <v>8</v>
      </c>
      <c r="F16" s="706">
        <v>8</v>
      </c>
      <c r="G16" s="706">
        <v>13</v>
      </c>
      <c r="H16" s="706">
        <v>17</v>
      </c>
      <c r="I16" s="706">
        <v>17</v>
      </c>
      <c r="J16" s="706">
        <v>17</v>
      </c>
      <c r="K16" s="706">
        <v>17</v>
      </c>
      <c r="L16" s="706">
        <v>17</v>
      </c>
      <c r="M16" s="706">
        <v>17</v>
      </c>
      <c r="N16" s="706">
        <v>17</v>
      </c>
      <c r="O16" s="780"/>
      <c r="P16" t="s">
        <v>713</v>
      </c>
      <c r="AD16" s="1274"/>
      <c r="AE16" s="1275" t="s">
        <v>714</v>
      </c>
      <c r="AF16" s="1276">
        <f>I74</f>
        <v>-13739812.232949786</v>
      </c>
      <c r="AG16" s="1276">
        <f>N74</f>
        <v>3338522.8581456952</v>
      </c>
      <c r="AH16" s="1274"/>
    </row>
    <row r="17" spans="1:34" ht="15" thickBot="1">
      <c r="A17" s="1798" t="s">
        <v>715</v>
      </c>
      <c r="B17" s="1799"/>
      <c r="C17" s="1799"/>
      <c r="D17" s="1799"/>
      <c r="E17" s="1799"/>
      <c r="F17" s="1799"/>
      <c r="G17" s="1799"/>
      <c r="H17" s="1799"/>
      <c r="I17" s="1799"/>
      <c r="J17" s="1799"/>
      <c r="K17" s="1799"/>
      <c r="L17" s="1799"/>
      <c r="M17" s="1799"/>
      <c r="N17" s="1800"/>
      <c r="P17" s="587"/>
      <c r="V17" s="92"/>
      <c r="AD17" s="1274"/>
      <c r="AE17" s="1274"/>
      <c r="AF17" s="1274"/>
      <c r="AG17" s="1274"/>
      <c r="AH17" s="1274"/>
    </row>
    <row r="18" spans="1:34">
      <c r="A18" s="1916" t="s">
        <v>716</v>
      </c>
      <c r="B18" s="1917"/>
      <c r="C18" s="1917"/>
      <c r="D18" s="1917"/>
      <c r="E18" s="589">
        <f>0.25*$E21</f>
        <v>1470000</v>
      </c>
      <c r="F18" s="589" t="s">
        <v>116</v>
      </c>
      <c r="G18" s="589">
        <f>0.25*$E21/2</f>
        <v>735000</v>
      </c>
      <c r="H18" s="589">
        <f>0.25*$E21/2</f>
        <v>735000</v>
      </c>
      <c r="I18" s="589" t="s">
        <v>116</v>
      </c>
      <c r="J18" s="762" t="s">
        <v>116</v>
      </c>
      <c r="K18" s="762" t="s">
        <v>116</v>
      </c>
      <c r="L18" s="762" t="s">
        <v>116</v>
      </c>
      <c r="M18" s="762" t="s">
        <v>116</v>
      </c>
      <c r="N18" s="763" t="s">
        <v>116</v>
      </c>
      <c r="P18" s="587"/>
      <c r="V18" s="92"/>
    </row>
    <row r="19" spans="1:34" ht="15" thickBot="1">
      <c r="A19" s="1801" t="s">
        <v>717</v>
      </c>
      <c r="B19" s="1802"/>
      <c r="C19" s="1802"/>
      <c r="D19" s="1802"/>
      <c r="E19" s="968">
        <f>50000*2*1.19</f>
        <v>119000</v>
      </c>
      <c r="F19" s="968" t="s">
        <v>116</v>
      </c>
      <c r="G19" s="968">
        <f>50000*1.19</f>
        <v>59500</v>
      </c>
      <c r="H19" s="968">
        <f>50000*1.19</f>
        <v>59500</v>
      </c>
      <c r="I19" s="968" t="s">
        <v>116</v>
      </c>
      <c r="J19" s="969" t="s">
        <v>116</v>
      </c>
      <c r="K19" s="969" t="s">
        <v>116</v>
      </c>
      <c r="L19" s="969" t="s">
        <v>116</v>
      </c>
      <c r="M19" s="969" t="s">
        <v>116</v>
      </c>
      <c r="N19" s="970" t="s">
        <v>116</v>
      </c>
      <c r="P19" s="587"/>
      <c r="V19" s="92"/>
    </row>
    <row r="20" spans="1:34" ht="18" thickBot="1">
      <c r="A20" s="1918" t="s">
        <v>581</v>
      </c>
      <c r="B20" s="1919"/>
      <c r="C20" s="1919"/>
      <c r="D20" s="1919"/>
      <c r="E20" s="751"/>
      <c r="F20" s="751"/>
      <c r="G20" s="751"/>
      <c r="H20" s="751"/>
      <c r="I20" s="751"/>
      <c r="J20" s="751"/>
      <c r="K20" s="751"/>
      <c r="L20" s="751"/>
      <c r="M20" s="751"/>
      <c r="N20" s="752"/>
      <c r="P20" s="29"/>
      <c r="V20" s="92"/>
      <c r="AE20" s="955"/>
      <c r="AF20" s="954" t="s">
        <v>711</v>
      </c>
      <c r="AG20" s="953" t="s">
        <v>714</v>
      </c>
    </row>
    <row r="21" spans="1:34" ht="17.45">
      <c r="A21" s="1783" t="s">
        <v>718</v>
      </c>
      <c r="B21" s="1784"/>
      <c r="C21" s="1784"/>
      <c r="D21" s="1784"/>
      <c r="E21" s="753">
        <f>'Cost Structure'!$B34*E15</f>
        <v>5880000</v>
      </c>
      <c r="F21" s="753">
        <f>'Cost Structure'!$B34*F15</f>
        <v>5880000</v>
      </c>
      <c r="G21" s="753">
        <f>'Cost Structure'!$B34*G15</f>
        <v>8820000</v>
      </c>
      <c r="H21" s="753">
        <f>'Cost Structure'!$B34*H15</f>
        <v>11760000</v>
      </c>
      <c r="I21" s="753">
        <f>'Cost Structure'!$B34*I15</f>
        <v>11760000</v>
      </c>
      <c r="J21" s="753">
        <f>'Cost Structure'!$B34*J15</f>
        <v>11760000</v>
      </c>
      <c r="K21" s="753">
        <f>'Cost Structure'!$B34*K15</f>
        <v>11760000</v>
      </c>
      <c r="L21" s="753">
        <f>'Cost Structure'!$B34*L15</f>
        <v>11760000</v>
      </c>
      <c r="M21" s="753">
        <f>'Cost Structure'!$B34*M15</f>
        <v>11760000</v>
      </c>
      <c r="N21" s="754">
        <f>'Cost Structure'!$B34*N15</f>
        <v>11760000</v>
      </c>
      <c r="AE21" s="956" t="s">
        <v>719</v>
      </c>
      <c r="AF21" s="960">
        <f>I38</f>
        <v>-14568808.735028654</v>
      </c>
      <c r="AG21" s="965">
        <f>N38</f>
        <v>19510908.405947611</v>
      </c>
    </row>
    <row r="22" spans="1:34" ht="17.45">
      <c r="A22" s="1785" t="s">
        <v>720</v>
      </c>
      <c r="B22" s="1786"/>
      <c r="C22" s="1786"/>
      <c r="D22" s="1787"/>
      <c r="E22" s="753">
        <f>'Cost Structure'!$B35*E15</f>
        <v>839999.99999999988</v>
      </c>
      <c r="F22" s="753">
        <f>E22*0.93+((F15-E15)*'Cost Structure'!$B35)</f>
        <v>781199.99999999988</v>
      </c>
      <c r="G22" s="753">
        <f>F22*0.93+((G15-F15)*'Cost Structure'!$B35)</f>
        <v>1146515.9999999998</v>
      </c>
      <c r="H22" s="753">
        <f>G22*0.93+((H15-G15)*'Cost Structure'!$B35)</f>
        <v>1486259.88</v>
      </c>
      <c r="I22" s="753">
        <f>H22*0.93+((I15-H15)*'Cost Structure'!$B35)</f>
        <v>1382221.6883999999</v>
      </c>
      <c r="J22" s="753">
        <f>I22*0.93+((J15-I15)*'Cost Structure'!$B35)</f>
        <v>1285466.1702119999</v>
      </c>
      <c r="K22" s="753">
        <f>J22*0.93+((K15-J15)*'Cost Structure'!$B35)</f>
        <v>1195483.5382971601</v>
      </c>
      <c r="L22" s="753">
        <f>K22*0.93+((L15-K15)*'Cost Structure'!$B35)</f>
        <v>1111799.690616359</v>
      </c>
      <c r="M22" s="753">
        <f>L22*0.93+((M15-L15)*'Cost Structure'!$B35)</f>
        <v>1033973.7122732139</v>
      </c>
      <c r="N22" s="754">
        <f>M22*0.93+((N15-M15)*'Cost Structure'!$B35)</f>
        <v>961595.55241408898</v>
      </c>
      <c r="AE22" s="957" t="s">
        <v>721</v>
      </c>
      <c r="AF22" s="961">
        <f>I74</f>
        <v>-13739812.232949786</v>
      </c>
      <c r="AG22" s="962">
        <f>N74</f>
        <v>3338522.8581456952</v>
      </c>
    </row>
    <row r="23" spans="1:34" ht="17.45">
      <c r="A23" s="1918" t="s">
        <v>722</v>
      </c>
      <c r="B23" s="1919"/>
      <c r="C23" s="1919"/>
      <c r="D23" s="1919"/>
      <c r="E23" s="751"/>
      <c r="F23" s="751"/>
      <c r="G23" s="751"/>
      <c r="H23" s="751"/>
      <c r="I23" s="751"/>
      <c r="J23" s="751"/>
      <c r="K23" s="751"/>
      <c r="L23" s="751"/>
      <c r="M23" s="751"/>
      <c r="N23" s="752"/>
      <c r="AE23" s="957" t="s">
        <v>723</v>
      </c>
      <c r="AF23" s="959">
        <f>I40*100</f>
        <v>3.0361730676416956</v>
      </c>
      <c r="AG23" s="963">
        <f>N40*100</f>
        <v>13.055307861725312</v>
      </c>
    </row>
    <row r="24" spans="1:34" ht="18" thickBot="1">
      <c r="A24" s="1783" t="s">
        <v>589</v>
      </c>
      <c r="B24" s="1784"/>
      <c r="C24" s="1784"/>
      <c r="D24" s="1784"/>
      <c r="E24" s="753">
        <f>[5]Summary!O6</f>
        <v>2259027.8570348159</v>
      </c>
      <c r="F24" s="753">
        <f>[5]Summary!P6*(101.5%)^(F12-$E12)</f>
        <v>2282521.2546682968</v>
      </c>
      <c r="G24" s="753">
        <f>[5]Summary!Q6*(101.5%)^(G12-$E12)</f>
        <v>3713254.5356218461</v>
      </c>
      <c r="H24" s="753">
        <f>[5]Summary!R6*(101.5%)^(H12-$E12)</f>
        <v>5196367.7617102973</v>
      </c>
      <c r="I24" s="753">
        <f>[5]Summary!S6*(101.5%)^(I12-$E12)</f>
        <v>5193154.5800108965</v>
      </c>
      <c r="J24" s="753">
        <f>[5]Summary!T6*(101.5%)^(J12-$E12)</f>
        <v>5341205.0976862889</v>
      </c>
      <c r="K24" s="753">
        <f>[5]Summary!U6*(101.5%)^(K12-$E12)</f>
        <v>5259197.222143257</v>
      </c>
      <c r="L24" s="753">
        <f>[5]Summary!V6*(101.5%)^(L12-$E12)</f>
        <v>5427089.1248142552</v>
      </c>
      <c r="M24" s="753">
        <f>[5]Summary!W6*(101.5%)^(M12-$E12)</f>
        <v>5585182.6670903116</v>
      </c>
      <c r="N24" s="753">
        <f>[5]Summary!X6*(101.5%)^(N12-$E12)</f>
        <v>5669443.1878299303</v>
      </c>
      <c r="AE24" s="958" t="s">
        <v>724</v>
      </c>
      <c r="AF24" s="966">
        <f>I76*100</f>
        <v>3.0361730676416996</v>
      </c>
      <c r="AG24" s="964">
        <f>N76*100</f>
        <v>13.055307861725307</v>
      </c>
    </row>
    <row r="25" spans="1:34">
      <c r="A25" s="1783" t="s">
        <v>590</v>
      </c>
      <c r="B25" s="1784"/>
      <c r="C25" s="1784"/>
      <c r="D25" s="1784"/>
      <c r="E25" s="753">
        <f>[5]Summary!O7</f>
        <v>7657509.2288778331</v>
      </c>
      <c r="F25" s="753">
        <f>[5]Summary!P7*(101%)^(F12-$E12)</f>
        <v>7693640.3721828396</v>
      </c>
      <c r="G25" s="753">
        <f>[5]Summary!Q7*(101%)^(G12-$E12)</f>
        <v>12764792.365120584</v>
      </c>
      <c r="H25" s="753">
        <f>[5]Summary!R7*(101%)^(H12-$E12)</f>
        <v>17948520.537896633</v>
      </c>
      <c r="I25" s="753">
        <f>[5]Summary!S7*(101%)^(I12-$E12)</f>
        <v>17843744.94298495</v>
      </c>
      <c r="J25" s="753">
        <f>[5]Summary!T7*(101%)^(J12-$E12)</f>
        <v>18266415.087597944</v>
      </c>
      <c r="K25" s="753">
        <f>[5]Summary!U7*(101%)^(K12-$E12)</f>
        <v>17909271.005967621</v>
      </c>
      <c r="L25" s="753">
        <f>[5]Summary!V7*(101%)^(L12-$E12)</f>
        <v>18371175.544195063</v>
      </c>
      <c r="M25" s="753">
        <f>[5]Summary!W7*(101%)^(M12-$E12)</f>
        <v>18819905.731167249</v>
      </c>
      <c r="N25" s="753">
        <f>[5]Summary!X7*(101%)^(N12-$E12)</f>
        <v>19010036.087602474</v>
      </c>
      <c r="Y25" s="811"/>
      <c r="Z25" s="811"/>
      <c r="AA25" s="811"/>
      <c r="AB25" s="811"/>
    </row>
    <row r="26" spans="1:34">
      <c r="A26" s="1914" t="s">
        <v>591</v>
      </c>
      <c r="B26" s="1915"/>
      <c r="C26" s="1915"/>
      <c r="D26" s="1915"/>
      <c r="E26" s="753">
        <f>E88</f>
        <v>3240350.2579962742</v>
      </c>
      <c r="F26" s="753">
        <f t="shared" ref="F26:N26" si="0">F88</f>
        <v>3378785.3944647256</v>
      </c>
      <c r="G26" s="753">
        <f t="shared" si="0"/>
        <v>5288737.4533942789</v>
      </c>
      <c r="H26" s="753">
        <f t="shared" si="0"/>
        <v>7350564.3606469538</v>
      </c>
      <c r="I26" s="753">
        <f t="shared" si="0"/>
        <v>7433239.0173302349</v>
      </c>
      <c r="J26" s="753">
        <f t="shared" si="0"/>
        <v>7419235.3517505378</v>
      </c>
      <c r="K26" s="753">
        <f t="shared" si="0"/>
        <v>7403697.4523949996</v>
      </c>
      <c r="L26" s="753">
        <f t="shared" si="0"/>
        <v>7295735.9618242392</v>
      </c>
      <c r="M26" s="753">
        <f t="shared" si="0"/>
        <v>7335198.3188904151</v>
      </c>
      <c r="N26" s="754">
        <f t="shared" si="0"/>
        <v>7536214.9023333434</v>
      </c>
    </row>
    <row r="27" spans="1:34">
      <c r="A27" s="1918" t="s">
        <v>592</v>
      </c>
      <c r="B27" s="1919"/>
      <c r="C27" s="1919"/>
      <c r="D27" s="1919"/>
      <c r="E27" s="753">
        <f>[5]Summary!O9</f>
        <v>3335081.2406220455</v>
      </c>
      <c r="F27" s="753">
        <f>[5]Summary!P9*(101.5%)^(F12-$E12)</f>
        <v>3380456.1910872897</v>
      </c>
      <c r="G27" s="753">
        <f>[5]Summary!Q9*(101.5%)^(G12-$E12)</f>
        <v>5031361.1847772589</v>
      </c>
      <c r="H27" s="753">
        <f>[5]Summary!R9*(101.5%)^(H12-$E12)</f>
        <v>6588704.9683848387</v>
      </c>
      <c r="I27" s="753">
        <f>[5]Summary!S9*(101.5%)^(I12-$E12)</f>
        <v>6596971.2815843942</v>
      </c>
      <c r="J27" s="753">
        <f>[5]Summary!T9*(101.5%)^(J12-$E12)</f>
        <v>6775174.9690600922</v>
      </c>
      <c r="K27" s="753">
        <f>[5]Summary!U9*(101.5%)^(K12-$E12)</f>
        <v>6639025.0060268464</v>
      </c>
      <c r="L27" s="753">
        <f>[5]Summary!V9*(101.5%)^(L12-$E12)</f>
        <v>6901614.6319064759</v>
      </c>
      <c r="M27" s="753">
        <f>[5]Summary!W9*(101.5%)^(M12-$E12)</f>
        <v>7084653.9519874295</v>
      </c>
      <c r="N27" s="753">
        <f>[5]Summary!X9*(101.5%)^(N12-$E12)</f>
        <v>7190437.4329214711</v>
      </c>
    </row>
    <row r="28" spans="1:34">
      <c r="A28" s="1918" t="s">
        <v>593</v>
      </c>
      <c r="B28" s="1919"/>
      <c r="C28" s="1919"/>
      <c r="D28" s="1919"/>
      <c r="E28" s="753">
        <f>[5]Summary!O10</f>
        <v>2763892.3055687761</v>
      </c>
      <c r="F28" s="753">
        <f>[5]Summary!P10</f>
        <v>2763892.3055687761</v>
      </c>
      <c r="G28" s="753">
        <f>[5]Summary!Q10</f>
        <v>3860255.9419324123</v>
      </c>
      <c r="H28" s="753">
        <f>[5]Summary!R10</f>
        <v>4982590.9673131239</v>
      </c>
      <c r="I28" s="753">
        <f>[5]Summary!S10</f>
        <v>4982590.9673131239</v>
      </c>
      <c r="J28" s="753">
        <f>[5]Summary!T10</f>
        <v>4982590.9673131239</v>
      </c>
      <c r="K28" s="753">
        <f>[5]Summary!U10</f>
        <v>4982590.9673131229</v>
      </c>
      <c r="L28" s="753">
        <f>[5]Summary!V10</f>
        <v>4982590.9673131239</v>
      </c>
      <c r="M28" s="753">
        <f>[5]Summary!W10</f>
        <v>4982590.9673131239</v>
      </c>
      <c r="N28" s="753">
        <f>[5]Summary!X10</f>
        <v>4982590.9673131239</v>
      </c>
    </row>
    <row r="29" spans="1:34">
      <c r="A29" s="1919" t="s">
        <v>594</v>
      </c>
      <c r="B29" s="1919"/>
      <c r="C29" s="1919"/>
      <c r="D29" s="1919"/>
      <c r="E29" s="753">
        <f>[5]Summary!O11</f>
        <v>5218889.8472314496</v>
      </c>
      <c r="F29" s="753">
        <f>[5]Summary!P11*(101.5%)^(F12-$E12)</f>
        <v>5278410.6797211347</v>
      </c>
      <c r="G29" s="753">
        <f>[5]Summary!Q11*(101.5%)^(G12-$E12)</f>
        <v>8329719.3404630907</v>
      </c>
      <c r="H29" s="753">
        <f>[5]Summary!R11*(101.5%)^(H12-$E12)</f>
        <v>11485018.556619592</v>
      </c>
      <c r="I29" s="753">
        <f>[5]Summary!S11*(101.5%)^(I12-$E12)</f>
        <v>11491908.163147228</v>
      </c>
      <c r="J29" s="753">
        <f>[5]Summary!T11*(101.5%)^(J12-$E12)</f>
        <v>11807421.723154025</v>
      </c>
      <c r="K29" s="753">
        <f>[5]Summary!U11*(101.5%)^(K12-$E12)</f>
        <v>11638384.045390729</v>
      </c>
      <c r="L29" s="753">
        <f>[5]Summary!V11*(101.5%)^(L12-$E12)</f>
        <v>12011426.867667826</v>
      </c>
      <c r="M29" s="753">
        <f>[5]Summary!W11*(101.5%)^(M12-$E12)</f>
        <v>12346765.560407396</v>
      </c>
      <c r="N29" s="753">
        <f>[5]Summary!X11*(101.5%)^(N12-$E12)</f>
        <v>12532763.700031174</v>
      </c>
    </row>
    <row r="30" spans="1:34">
      <c r="A30" s="1802" t="s">
        <v>725</v>
      </c>
      <c r="B30" s="1802"/>
      <c r="C30" s="1802"/>
      <c r="D30" s="1802"/>
      <c r="E30" s="753">
        <f>1.8%*E33</f>
        <v>457811.7317273817</v>
      </c>
      <c r="F30" s="753">
        <f t="shared" ref="F30:N30" si="1">1.8%*F33</f>
        <v>520258.06544589362</v>
      </c>
      <c r="G30" s="753">
        <f t="shared" si="1"/>
        <v>855939.13688279456</v>
      </c>
      <c r="H30" s="753">
        <f t="shared" si="1"/>
        <v>1189195.8403008892</v>
      </c>
      <c r="I30" s="753">
        <f t="shared" si="1"/>
        <v>1260123.2994756808</v>
      </c>
      <c r="J30" s="753">
        <f t="shared" si="1"/>
        <v>1330514.1486171139</v>
      </c>
      <c r="K30" s="753">
        <f t="shared" si="1"/>
        <v>1316220.9035103435</v>
      </c>
      <c r="L30" s="753">
        <f t="shared" si="1"/>
        <v>1368586.6925745443</v>
      </c>
      <c r="M30" s="753">
        <f t="shared" si="1"/>
        <v>1411020.5631288453</v>
      </c>
      <c r="N30" s="753">
        <f t="shared" si="1"/>
        <v>1419663.7032868012</v>
      </c>
    </row>
    <row r="31" spans="1:34" ht="15" thickBot="1">
      <c r="A31" s="1817" t="s">
        <v>726</v>
      </c>
      <c r="B31" s="1818"/>
      <c r="C31" s="1818"/>
      <c r="D31" s="1818"/>
      <c r="E31" s="1266">
        <f>SUM(E18:E30)</f>
        <v>33241562.46905857</v>
      </c>
      <c r="F31" s="1266">
        <f t="shared" ref="F31:M31" si="2">SUM(F18:F30)</f>
        <v>31959164.263138961</v>
      </c>
      <c r="G31" s="1266">
        <f t="shared" si="2"/>
        <v>50605075.958192259</v>
      </c>
      <c r="H31" s="1266">
        <f t="shared" si="2"/>
        <v>68781722.872872323</v>
      </c>
      <c r="I31" s="1266">
        <f t="shared" si="2"/>
        <v>67943953.940246508</v>
      </c>
      <c r="J31" s="1266">
        <f t="shared" si="2"/>
        <v>68968023.515391141</v>
      </c>
      <c r="K31" s="1266">
        <f t="shared" si="2"/>
        <v>68103870.141044095</v>
      </c>
      <c r="L31" s="1266">
        <f t="shared" si="2"/>
        <v>69230019.480911881</v>
      </c>
      <c r="M31" s="1266">
        <f t="shared" si="2"/>
        <v>70359291.472257987</v>
      </c>
      <c r="N31" s="1267">
        <f>SUM(N18:N30)</f>
        <v>71062745.533732399</v>
      </c>
      <c r="P31" s="586"/>
      <c r="Q31" s="586"/>
      <c r="R31" s="586"/>
      <c r="S31" s="586"/>
      <c r="T31" s="586"/>
    </row>
    <row r="32" spans="1:34" ht="15" thickBot="1">
      <c r="A32" s="1790" t="s">
        <v>727</v>
      </c>
      <c r="B32" s="1791"/>
      <c r="C32" s="1791"/>
      <c r="D32" s="1791"/>
      <c r="E32" s="1791"/>
      <c r="F32" s="1791"/>
      <c r="G32" s="1791"/>
      <c r="H32" s="1791"/>
      <c r="I32" s="1791"/>
      <c r="J32" s="1791"/>
      <c r="K32" s="1791"/>
      <c r="L32" s="1791"/>
      <c r="M32" s="1791"/>
      <c r="N32" s="1792"/>
      <c r="R32" s="1288"/>
      <c r="S32" s="1288"/>
      <c r="T32" s="1288"/>
      <c r="U32" s="1288"/>
    </row>
    <row r="33" spans="1:21">
      <c r="A33" s="1912" t="s">
        <v>322</v>
      </c>
      <c r="B33" s="1913"/>
      <c r="C33" s="1913"/>
      <c r="D33" s="1913"/>
      <c r="E33" s="756">
        <f>Profitability!AQ67</f>
        <v>25433985.095965646</v>
      </c>
      <c r="F33" s="756">
        <f>Profitability!AR67</f>
        <v>28903225.858105198</v>
      </c>
      <c r="G33" s="756">
        <f>Profitability!AS67</f>
        <v>47552174.271266356</v>
      </c>
      <c r="H33" s="756">
        <f>Profitability!AT67</f>
        <v>66066435.572271615</v>
      </c>
      <c r="I33" s="757">
        <f>Profitability!AU67</f>
        <v>70006849.97087115</v>
      </c>
      <c r="J33" s="764">
        <f>Profitability!AV67</f>
        <v>73917452.700950772</v>
      </c>
      <c r="K33" s="764">
        <f>Profitability!AW67</f>
        <v>73123383.52835241</v>
      </c>
      <c r="L33" s="764">
        <f>Profitability!AX67</f>
        <v>76032594.031919122</v>
      </c>
      <c r="M33" s="764">
        <f>Profitability!AY67</f>
        <v>78390031.284935847</v>
      </c>
      <c r="N33" s="971">
        <f>Profitability!AZ67</f>
        <v>78870205.738155618</v>
      </c>
      <c r="Q33" s="813"/>
      <c r="R33" s="813"/>
      <c r="S33" s="813"/>
      <c r="T33" s="813"/>
      <c r="U33" s="813"/>
    </row>
    <row r="34" spans="1:21">
      <c r="A34" s="1912" t="s">
        <v>728</v>
      </c>
      <c r="B34" s="1913"/>
      <c r="C34" s="1913"/>
      <c r="D34" s="1913"/>
      <c r="E34" s="973">
        <f>E33-E30</f>
        <v>24976173.364238266</v>
      </c>
      <c r="F34" s="973">
        <f t="shared" ref="F34:N34" si="3">F33-F30</f>
        <v>28382967.792659305</v>
      </c>
      <c r="G34" s="973">
        <f t="shared" si="3"/>
        <v>46696235.134383559</v>
      </c>
      <c r="H34" s="973">
        <f t="shared" si="3"/>
        <v>64877239.731970727</v>
      </c>
      <c r="I34" s="973">
        <f t="shared" si="3"/>
        <v>68746726.671395466</v>
      </c>
      <c r="J34" s="973">
        <f t="shared" si="3"/>
        <v>72586938.552333653</v>
      </c>
      <c r="K34" s="973">
        <f t="shared" si="3"/>
        <v>71807162.624842063</v>
      </c>
      <c r="L34" s="973">
        <f t="shared" si="3"/>
        <v>74664007.339344576</v>
      </c>
      <c r="M34" s="973">
        <f t="shared" si="3"/>
        <v>76979010.721807003</v>
      </c>
      <c r="N34" s="973">
        <f t="shared" si="3"/>
        <v>77450542.034868822</v>
      </c>
      <c r="Q34" s="813"/>
      <c r="R34" s="813"/>
      <c r="S34" s="813"/>
      <c r="T34" s="813"/>
      <c r="U34" s="813"/>
    </row>
    <row r="35" spans="1:21" ht="15" thickBot="1">
      <c r="A35" s="1920" t="s">
        <v>729</v>
      </c>
      <c r="B35" s="1921"/>
      <c r="C35" s="1921"/>
      <c r="D35" s="1921"/>
      <c r="E35" s="973"/>
      <c r="F35" s="973"/>
      <c r="G35" s="973"/>
      <c r="H35" s="973"/>
      <c r="I35" s="974"/>
      <c r="J35" s="975"/>
      <c r="K35" s="975"/>
      <c r="L35" s="975"/>
      <c r="M35" s="975"/>
      <c r="N35" s="976">
        <f>E18</f>
        <v>1470000</v>
      </c>
      <c r="Q35" s="813"/>
      <c r="R35" s="813"/>
      <c r="S35" s="813"/>
      <c r="T35" s="813"/>
      <c r="U35" s="813"/>
    </row>
    <row r="36" spans="1:21" ht="15" thickBot="1">
      <c r="A36" s="1803" t="s">
        <v>730</v>
      </c>
      <c r="B36" s="1804"/>
      <c r="C36" s="1804"/>
      <c r="D36" s="1804"/>
      <c r="E36" s="977">
        <f t="shared" ref="E36:M36" si="4">E33</f>
        <v>25433985.095965646</v>
      </c>
      <c r="F36" s="977">
        <f t="shared" si="4"/>
        <v>28903225.858105198</v>
      </c>
      <c r="G36" s="977">
        <f t="shared" si="4"/>
        <v>47552174.271266356</v>
      </c>
      <c r="H36" s="977">
        <f t="shared" si="4"/>
        <v>66066435.572271615</v>
      </c>
      <c r="I36" s="978">
        <f t="shared" si="4"/>
        <v>70006849.97087115</v>
      </c>
      <c r="J36" s="979">
        <f t="shared" si="4"/>
        <v>73917452.700950772</v>
      </c>
      <c r="K36" s="980">
        <f t="shared" si="4"/>
        <v>73123383.52835241</v>
      </c>
      <c r="L36" s="980">
        <f t="shared" si="4"/>
        <v>76032594.031919122</v>
      </c>
      <c r="M36" s="980">
        <f t="shared" si="4"/>
        <v>78390031.284935847</v>
      </c>
      <c r="N36" s="981">
        <f>N33+N35</f>
        <v>80340205.738155618</v>
      </c>
      <c r="Q36" s="813"/>
      <c r="R36" s="813"/>
      <c r="S36" s="813"/>
      <c r="T36" s="813"/>
      <c r="U36" s="813"/>
    </row>
    <row r="37" spans="1:21" ht="15" thickBot="1">
      <c r="A37" s="1805" t="s">
        <v>731</v>
      </c>
      <c r="B37" s="1806"/>
      <c r="C37" s="1806"/>
      <c r="D37" s="1806"/>
      <c r="E37" s="758">
        <f>E36-E31</f>
        <v>-7807577.3730929233</v>
      </c>
      <c r="F37" s="758">
        <f t="shared" ref="F37:N37" si="5">F36-F31</f>
        <v>-3055938.4050337635</v>
      </c>
      <c r="G37" s="758">
        <f t="shared" si="5"/>
        <v>-3052901.686925903</v>
      </c>
      <c r="H37" s="758">
        <f t="shared" si="5"/>
        <v>-2715287.3006007075</v>
      </c>
      <c r="I37" s="759">
        <f t="shared" si="5"/>
        <v>2062896.030624643</v>
      </c>
      <c r="J37" s="765">
        <f t="shared" si="5"/>
        <v>4949429.1855596304</v>
      </c>
      <c r="K37" s="766">
        <f t="shared" si="5"/>
        <v>5019513.3873083144</v>
      </c>
      <c r="L37" s="766">
        <f t="shared" si="5"/>
        <v>6802574.551007241</v>
      </c>
      <c r="M37" s="766">
        <f t="shared" si="5"/>
        <v>8030739.8126778603</v>
      </c>
      <c r="N37" s="767">
        <f t="shared" si="5"/>
        <v>9277460.204423219</v>
      </c>
      <c r="Q37" s="813"/>
      <c r="R37" s="813"/>
      <c r="S37" s="813"/>
      <c r="T37" s="813"/>
      <c r="U37" s="813"/>
    </row>
    <row r="38" spans="1:21" ht="15" thickBot="1">
      <c r="A38" s="1807" t="s">
        <v>732</v>
      </c>
      <c r="B38" s="1808"/>
      <c r="C38" s="1808"/>
      <c r="D38" s="1808"/>
      <c r="E38" s="1808"/>
      <c r="F38" s="1808"/>
      <c r="G38" s="1808"/>
      <c r="H38" s="1809"/>
      <c r="I38" s="779">
        <f>SUM(E37:I37)</f>
        <v>-14568808.735028654</v>
      </c>
      <c r="J38" s="1807" t="s">
        <v>733</v>
      </c>
      <c r="K38" s="1808"/>
      <c r="L38" s="1808"/>
      <c r="M38" s="1808"/>
      <c r="N38" s="781">
        <f>SUM(E37:N37)</f>
        <v>19510908.405947611</v>
      </c>
    </row>
    <row r="39" spans="1:21" ht="15" thickBot="1">
      <c r="A39" s="1770" t="s">
        <v>654</v>
      </c>
      <c r="B39" s="1771"/>
      <c r="C39" s="1771"/>
      <c r="D39" s="1772"/>
      <c r="E39" s="984">
        <f>E37/E33</f>
        <v>-0.30697420571860623</v>
      </c>
      <c r="F39" s="985">
        <f t="shared" ref="F39:M39" si="6">F37/F33</f>
        <v>-0.10573001159234968</v>
      </c>
      <c r="G39" s="985">
        <f t="shared" si="6"/>
        <v>-6.4201095611534101E-2</v>
      </c>
      <c r="H39" s="985">
        <f t="shared" si="6"/>
        <v>-4.1099346091259779E-2</v>
      </c>
      <c r="I39" s="985">
        <f t="shared" si="6"/>
        <v>2.9467059744624768E-2</v>
      </c>
      <c r="J39" s="985">
        <f t="shared" si="6"/>
        <v>6.6958871074516452E-2</v>
      </c>
      <c r="K39" s="985">
        <f t="shared" si="6"/>
        <v>6.86444355431403E-2</v>
      </c>
      <c r="L39" s="985">
        <f t="shared" si="6"/>
        <v>8.9469189334135613E-2</v>
      </c>
      <c r="M39" s="985">
        <f t="shared" si="6"/>
        <v>0.10244593197682678</v>
      </c>
      <c r="N39" s="986">
        <f>N37/N33</f>
        <v>0.11762946625527812</v>
      </c>
      <c r="O39" s="1268"/>
      <c r="P39" s="733"/>
      <c r="U39" s="135"/>
    </row>
    <row r="40" spans="1:21" ht="15" thickBot="1">
      <c r="A40" s="1810" t="s">
        <v>656</v>
      </c>
      <c r="B40" s="1811"/>
      <c r="C40" s="1811"/>
      <c r="D40" s="1812"/>
      <c r="E40" s="987">
        <f>E37/E31</f>
        <v>-0.23487395877857004</v>
      </c>
      <c r="F40" s="988">
        <f t="shared" ref="F40:M40" si="7">F37/F31</f>
        <v>-9.5620097568021187E-2</v>
      </c>
      <c r="G40" s="988">
        <f t="shared" si="7"/>
        <v>-6.0327973609763559E-2</v>
      </c>
      <c r="H40" s="988">
        <f t="shared" si="7"/>
        <v>-3.9476872447922112E-2</v>
      </c>
      <c r="I40" s="988">
        <f t="shared" si="7"/>
        <v>3.0361730676416954E-2</v>
      </c>
      <c r="J40" s="988">
        <f t="shared" si="7"/>
        <v>7.1764115212829008E-2</v>
      </c>
      <c r="K40" s="988">
        <f t="shared" si="7"/>
        <v>7.3703790649677178E-2</v>
      </c>
      <c r="L40" s="988">
        <f t="shared" si="7"/>
        <v>9.8260474314655483E-2</v>
      </c>
      <c r="M40" s="988">
        <f t="shared" si="7"/>
        <v>0.1141390091434378</v>
      </c>
      <c r="N40" s="989">
        <f>N37/N31</f>
        <v>0.13055307861725313</v>
      </c>
      <c r="P40" s="135"/>
      <c r="Q40" s="135"/>
      <c r="U40" s="135"/>
    </row>
    <row r="41" spans="1:21">
      <c r="A41" s="1203" t="s">
        <v>734</v>
      </c>
      <c r="B41" s="1232">
        <v>0.1</v>
      </c>
      <c r="C41" s="1203"/>
      <c r="D41" s="1203" t="s">
        <v>735</v>
      </c>
      <c r="E41" s="1233">
        <f>E37</f>
        <v>-7807577.3730929233</v>
      </c>
      <c r="F41" s="1233">
        <f>F37/((1+$B41)^(F12-$E12))</f>
        <v>-2778125.8227579668</v>
      </c>
      <c r="G41" s="1233">
        <f t="shared" ref="G41:N41" si="8">G37/((1+$B41)^(G12-$E12))</f>
        <v>-2523059.2453933079</v>
      </c>
      <c r="H41" s="1233">
        <f t="shared" si="8"/>
        <v>-2040035.5376414026</v>
      </c>
      <c r="I41" s="1233">
        <f>I37/((1+$B41)^(I12-$E12))</f>
        <v>1408985.7459358256</v>
      </c>
      <c r="J41" s="1233">
        <f>J37/((1+$B41)^(J12-$E12))</f>
        <v>3073206.1182852816</v>
      </c>
      <c r="K41" s="1233">
        <f t="shared" si="8"/>
        <v>2833384.4486914715</v>
      </c>
      <c r="L41" s="1233">
        <f t="shared" si="8"/>
        <v>3490796.3557189684</v>
      </c>
      <c r="M41" s="1233">
        <f t="shared" si="8"/>
        <v>3746399.3911583517</v>
      </c>
      <c r="N41" s="1233">
        <f t="shared" si="8"/>
        <v>3934548.7772413921</v>
      </c>
      <c r="P41" s="135"/>
      <c r="Q41" s="135"/>
      <c r="U41" s="135"/>
    </row>
    <row r="42" spans="1:21">
      <c r="A42" s="1203"/>
      <c r="B42" s="1203"/>
      <c r="C42" s="1203"/>
      <c r="D42" s="1234">
        <f>SUM(E41:N41)</f>
        <v>3338522.8581456905</v>
      </c>
      <c r="E42" s="1233"/>
      <c r="F42" s="1233"/>
      <c r="G42" s="1233"/>
      <c r="H42" s="1233"/>
      <c r="I42" s="1233"/>
      <c r="J42" s="1233"/>
      <c r="K42" s="1233"/>
      <c r="L42" s="1233"/>
      <c r="M42" s="1233"/>
      <c r="N42" s="1233"/>
      <c r="P42" s="135"/>
      <c r="Q42" s="135"/>
      <c r="U42" s="135"/>
    </row>
    <row r="43" spans="1:21">
      <c r="A43" s="297" t="s">
        <v>736</v>
      </c>
      <c r="B43" s="297"/>
      <c r="C43" s="297"/>
      <c r="D43" s="297"/>
      <c r="E43" s="90">
        <f>E31/1000000</f>
        <v>33.241562469058572</v>
      </c>
      <c r="F43" s="90">
        <f t="shared" ref="F43:N43" si="9">F31/1000000</f>
        <v>31.959164263138963</v>
      </c>
      <c r="G43" s="90">
        <f t="shared" si="9"/>
        <v>50.605075958192259</v>
      </c>
      <c r="H43" s="90">
        <f t="shared" si="9"/>
        <v>68.781722872872322</v>
      </c>
      <c r="I43" s="90">
        <f t="shared" si="9"/>
        <v>67.943953940246502</v>
      </c>
      <c r="J43" s="90">
        <f t="shared" si="9"/>
        <v>68.968023515391138</v>
      </c>
      <c r="K43" s="90">
        <f t="shared" si="9"/>
        <v>68.103870141044098</v>
      </c>
      <c r="L43" s="90">
        <f t="shared" si="9"/>
        <v>69.230019480911878</v>
      </c>
      <c r="M43" s="90">
        <f t="shared" si="9"/>
        <v>70.359291472257993</v>
      </c>
      <c r="N43" s="90">
        <f t="shared" si="9"/>
        <v>71.062745533732397</v>
      </c>
      <c r="P43" s="733"/>
      <c r="Q43" s="135"/>
      <c r="U43" s="135"/>
    </row>
    <row r="44" spans="1:21">
      <c r="A44" s="297" t="s">
        <v>737</v>
      </c>
      <c r="B44" s="297"/>
      <c r="C44" s="297"/>
      <c r="D44" s="297"/>
      <c r="E44" s="90">
        <f t="shared" ref="E44:N44" si="10">E33/1000000</f>
        <v>25.433985095965646</v>
      </c>
      <c r="F44" s="90">
        <f t="shared" si="10"/>
        <v>28.903225858105198</v>
      </c>
      <c r="G44" s="90">
        <f t="shared" si="10"/>
        <v>47.55217427126636</v>
      </c>
      <c r="H44" s="90">
        <f t="shared" si="10"/>
        <v>66.066435572271615</v>
      </c>
      <c r="I44" s="90">
        <f t="shared" si="10"/>
        <v>70.006849970871144</v>
      </c>
      <c r="J44" s="90">
        <f t="shared" si="10"/>
        <v>73.917452700950776</v>
      </c>
      <c r="K44" s="90">
        <f t="shared" si="10"/>
        <v>73.123383528352406</v>
      </c>
      <c r="L44" s="90">
        <f t="shared" si="10"/>
        <v>76.032594031919118</v>
      </c>
      <c r="M44" s="90">
        <f t="shared" si="10"/>
        <v>78.390031284935844</v>
      </c>
      <c r="N44" s="90">
        <f t="shared" si="10"/>
        <v>78.870205738155619</v>
      </c>
      <c r="P44" s="135"/>
      <c r="Q44" s="135"/>
      <c r="U44" s="135"/>
    </row>
    <row r="45" spans="1:21">
      <c r="A45" t="s">
        <v>738</v>
      </c>
      <c r="B45" s="992">
        <v>0.13730000000000001</v>
      </c>
      <c r="E45" s="135"/>
      <c r="F45" s="135"/>
      <c r="G45" s="135"/>
      <c r="H45" s="135"/>
      <c r="I45" s="135"/>
      <c r="J45" s="135"/>
      <c r="K45" s="135"/>
      <c r="L45" s="135"/>
      <c r="M45" s="135"/>
      <c r="N45" s="135"/>
      <c r="P45" s="135"/>
      <c r="Q45" s="135"/>
      <c r="U45" s="135"/>
    </row>
    <row r="46" spans="1:21">
      <c r="A46" s="1813" t="s">
        <v>739</v>
      </c>
      <c r="B46" s="1813"/>
      <c r="C46" s="1813"/>
      <c r="D46" s="1813"/>
      <c r="E46" s="990"/>
      <c r="F46" s="990">
        <v>0.1</v>
      </c>
      <c r="G46" s="990"/>
      <c r="H46" s="990"/>
      <c r="I46" s="990"/>
      <c r="J46" s="990"/>
      <c r="K46" s="990"/>
      <c r="L46" s="990"/>
      <c r="M46" s="990"/>
      <c r="N46" s="990"/>
      <c r="P46" s="135"/>
      <c r="Q46" s="135"/>
      <c r="U46" s="135"/>
    </row>
    <row r="47" spans="1:21" ht="15" thickBot="1">
      <c r="A47" s="196"/>
      <c r="B47" s="196"/>
      <c r="C47" s="196"/>
      <c r="D47" s="196"/>
      <c r="E47" s="815"/>
      <c r="F47" s="196"/>
      <c r="G47" s="196"/>
      <c r="H47" s="196"/>
      <c r="I47" s="773"/>
      <c r="J47" s="196"/>
      <c r="K47" s="196"/>
      <c r="L47" s="196"/>
      <c r="M47" s="196"/>
      <c r="N47" s="773"/>
      <c r="P47" s="135"/>
      <c r="Q47" s="135"/>
      <c r="U47" s="135"/>
    </row>
    <row r="48" spans="1:21" ht="15" thickBot="1">
      <c r="A48" s="1814" t="s">
        <v>740</v>
      </c>
      <c r="B48" s="1815"/>
      <c r="C48" s="1815"/>
      <c r="D48" s="1815"/>
      <c r="E48" s="1815"/>
      <c r="F48" s="1815"/>
      <c r="G48" s="1815"/>
      <c r="H48" s="1815"/>
      <c r="I48" s="1815"/>
      <c r="J48" s="1815"/>
      <c r="K48" s="1815"/>
      <c r="L48" s="1815"/>
      <c r="M48" s="1815"/>
      <c r="N48" s="1816"/>
      <c r="P48" s="135"/>
    </row>
    <row r="49" spans="1:14" ht="14.65" customHeight="1">
      <c r="A49" s="1912" t="s">
        <v>706</v>
      </c>
      <c r="B49" s="1913"/>
      <c r="C49" s="1913"/>
      <c r="D49" s="1913"/>
      <c r="E49" s="708">
        <v>2023</v>
      </c>
      <c r="F49" s="708">
        <v>2024</v>
      </c>
      <c r="G49" s="708">
        <v>2025</v>
      </c>
      <c r="H49" s="708">
        <v>2026</v>
      </c>
      <c r="I49" s="708">
        <v>2027</v>
      </c>
      <c r="J49" s="708">
        <v>2028</v>
      </c>
      <c r="K49" s="708">
        <v>2029</v>
      </c>
      <c r="L49" s="708">
        <v>2030</v>
      </c>
      <c r="M49" s="708">
        <v>2031</v>
      </c>
      <c r="N49" s="750">
        <v>2032</v>
      </c>
    </row>
    <row r="50" spans="1:14">
      <c r="A50" s="1785" t="s">
        <v>741</v>
      </c>
      <c r="B50" s="1786"/>
      <c r="C50" s="1786"/>
      <c r="D50" s="1787"/>
      <c r="E50" s="708">
        <v>365</v>
      </c>
      <c r="F50" s="708">
        <v>365</v>
      </c>
      <c r="G50" s="708">
        <v>365</v>
      </c>
      <c r="H50" s="708">
        <v>365</v>
      </c>
      <c r="I50" s="811">
        <v>365</v>
      </c>
      <c r="J50" s="811">
        <v>365</v>
      </c>
      <c r="K50" s="708">
        <v>365</v>
      </c>
      <c r="L50" s="708">
        <v>365</v>
      </c>
      <c r="M50" s="708">
        <v>365</v>
      </c>
      <c r="N50" s="750">
        <v>365</v>
      </c>
    </row>
    <row r="51" spans="1:14">
      <c r="A51" s="1914" t="s">
        <v>185</v>
      </c>
      <c r="B51" s="1915"/>
      <c r="C51" s="1915"/>
      <c r="D51" s="1915"/>
      <c r="E51" s="703">
        <v>0.86199999999999999</v>
      </c>
      <c r="F51" s="703">
        <v>0.92400000000000004</v>
      </c>
      <c r="G51" s="703">
        <v>0.95699999999999996</v>
      </c>
      <c r="H51" s="703">
        <v>1</v>
      </c>
      <c r="I51" s="703">
        <v>1</v>
      </c>
      <c r="J51" s="768">
        <v>1</v>
      </c>
      <c r="K51" s="768">
        <v>1.008</v>
      </c>
      <c r="L51" s="768">
        <v>1.0189999999999999</v>
      </c>
      <c r="M51" s="768">
        <v>1.03</v>
      </c>
      <c r="N51" s="769">
        <v>1.042</v>
      </c>
    </row>
    <row r="52" spans="1:14">
      <c r="A52" s="1783" t="s">
        <v>710</v>
      </c>
      <c r="B52" s="1784"/>
      <c r="C52" s="1784"/>
      <c r="D52" s="1784"/>
      <c r="E52" s="704">
        <v>2</v>
      </c>
      <c r="F52" s="704">
        <v>2</v>
      </c>
      <c r="G52" s="704">
        <v>3</v>
      </c>
      <c r="H52" s="704">
        <v>4</v>
      </c>
      <c r="I52" s="704">
        <v>4</v>
      </c>
      <c r="J52" s="704">
        <v>4</v>
      </c>
      <c r="K52" s="704">
        <v>4</v>
      </c>
      <c r="L52" s="704">
        <v>4</v>
      </c>
      <c r="M52" s="704">
        <v>4</v>
      </c>
      <c r="N52" s="705">
        <v>4</v>
      </c>
    </row>
    <row r="53" spans="1:14" ht="15" thickBot="1">
      <c r="A53" s="1796" t="s">
        <v>742</v>
      </c>
      <c r="B53" s="1797"/>
      <c r="C53" s="1797"/>
      <c r="D53" s="1797"/>
      <c r="E53" s="706">
        <f>E52*4</f>
        <v>8</v>
      </c>
      <c r="F53" s="706">
        <f t="shared" ref="F53:N53" si="11">F52*4</f>
        <v>8</v>
      </c>
      <c r="G53" s="706">
        <f t="shared" si="11"/>
        <v>12</v>
      </c>
      <c r="H53" s="706">
        <f t="shared" si="11"/>
        <v>16</v>
      </c>
      <c r="I53" s="706">
        <f t="shared" si="11"/>
        <v>16</v>
      </c>
      <c r="J53" s="706">
        <f t="shared" si="11"/>
        <v>16</v>
      </c>
      <c r="K53" s="706">
        <f t="shared" si="11"/>
        <v>16</v>
      </c>
      <c r="L53" s="706">
        <f t="shared" si="11"/>
        <v>16</v>
      </c>
      <c r="M53" s="706">
        <f t="shared" si="11"/>
        <v>16</v>
      </c>
      <c r="N53" s="707">
        <f t="shared" si="11"/>
        <v>16</v>
      </c>
    </row>
    <row r="54" spans="1:14" ht="15" thickBot="1">
      <c r="A54" s="1798" t="s">
        <v>715</v>
      </c>
      <c r="B54" s="1799"/>
      <c r="C54" s="1799"/>
      <c r="D54" s="1799"/>
      <c r="E54" s="1799"/>
      <c r="F54" s="1799"/>
      <c r="G54" s="1799"/>
      <c r="H54" s="1799"/>
      <c r="I54" s="1799"/>
      <c r="J54" s="1799"/>
      <c r="K54" s="1799"/>
      <c r="L54" s="1799"/>
      <c r="M54" s="1799"/>
      <c r="N54" s="1800"/>
    </row>
    <row r="55" spans="1:14">
      <c r="A55" s="1916" t="s">
        <v>716</v>
      </c>
      <c r="B55" s="1917"/>
      <c r="C55" s="1917"/>
      <c r="D55" s="1917"/>
      <c r="E55" s="589">
        <f>E18</f>
        <v>1470000</v>
      </c>
      <c r="F55" s="589" t="s">
        <v>116</v>
      </c>
      <c r="G55" s="589">
        <f>G18/((100%+$F46)^(G49-$E49))</f>
        <v>607438.01652892551</v>
      </c>
      <c r="H55" s="589">
        <f>H18/((100%+$F46)^(H49-$E49))</f>
        <v>552216.37866265944</v>
      </c>
      <c r="I55" s="589"/>
      <c r="J55" s="762" t="s">
        <v>116</v>
      </c>
      <c r="K55" s="762" t="s">
        <v>116</v>
      </c>
      <c r="L55" s="762" t="s">
        <v>116</v>
      </c>
      <c r="M55" s="762" t="s">
        <v>116</v>
      </c>
      <c r="N55" s="763" t="s">
        <v>116</v>
      </c>
    </row>
    <row r="56" spans="1:14">
      <c r="A56" s="1801" t="s">
        <v>717</v>
      </c>
      <c r="B56" s="1802"/>
      <c r="C56" s="1802"/>
      <c r="D56" s="1802"/>
      <c r="E56" s="968">
        <f>50000*2*1.19</f>
        <v>119000</v>
      </c>
      <c r="F56" s="968" t="s">
        <v>116</v>
      </c>
      <c r="G56" s="968">
        <f>50000*1.19/((100%+$F46)^(G49-$E49))</f>
        <v>49173.553719008254</v>
      </c>
      <c r="H56" s="968">
        <f>50000*1.19/((100%+$F46)^(H49-$E49))</f>
        <v>44703.230653643863</v>
      </c>
      <c r="I56" s="968" t="s">
        <v>116</v>
      </c>
      <c r="J56" s="969" t="s">
        <v>116</v>
      </c>
      <c r="K56" s="969" t="s">
        <v>116</v>
      </c>
      <c r="L56" s="969" t="s">
        <v>116</v>
      </c>
      <c r="M56" s="969" t="s">
        <v>116</v>
      </c>
      <c r="N56" s="970" t="s">
        <v>116</v>
      </c>
    </row>
    <row r="57" spans="1:14">
      <c r="A57" s="1918" t="s">
        <v>581</v>
      </c>
      <c r="B57" s="1919"/>
      <c r="C57" s="1919"/>
      <c r="D57" s="1919"/>
      <c r="E57" s="751"/>
      <c r="F57" s="751"/>
      <c r="G57" s="751"/>
      <c r="H57" s="751"/>
      <c r="I57" s="761"/>
      <c r="J57" s="751"/>
      <c r="K57" s="751"/>
      <c r="L57" s="751"/>
      <c r="M57" s="751"/>
      <c r="N57" s="752"/>
    </row>
    <row r="58" spans="1:14">
      <c r="A58" s="1783" t="s">
        <v>718</v>
      </c>
      <c r="B58" s="1784"/>
      <c r="C58" s="1784"/>
      <c r="D58" s="1784"/>
      <c r="E58" s="753">
        <f>E21</f>
        <v>5880000</v>
      </c>
      <c r="F58" s="753">
        <f>F21/((100%+$F46)^(F49-$E49))</f>
        <v>5345454.5454545449</v>
      </c>
      <c r="G58" s="753">
        <f t="shared" ref="G58:N58" si="12">G21/((100%+$F46)^(G49-$E49))</f>
        <v>7289256.1983471066</v>
      </c>
      <c r="H58" s="753">
        <f t="shared" si="12"/>
        <v>8835462.058602551</v>
      </c>
      <c r="I58" s="753">
        <f t="shared" si="12"/>
        <v>8032238.2350932295</v>
      </c>
      <c r="J58" s="753">
        <f t="shared" si="12"/>
        <v>7302034.759175662</v>
      </c>
      <c r="K58" s="753">
        <f t="shared" si="12"/>
        <v>6638213.417432419</v>
      </c>
      <c r="L58" s="753">
        <f t="shared" si="12"/>
        <v>6034739.4703931073</v>
      </c>
      <c r="M58" s="753">
        <f t="shared" si="12"/>
        <v>5486126.7912664618</v>
      </c>
      <c r="N58" s="754">
        <f t="shared" si="12"/>
        <v>4987387.9920604192</v>
      </c>
    </row>
    <row r="59" spans="1:14">
      <c r="A59" s="1785" t="s">
        <v>720</v>
      </c>
      <c r="B59" s="1786"/>
      <c r="C59" s="1786"/>
      <c r="D59" s="1787"/>
      <c r="E59" s="753">
        <f>E22</f>
        <v>839999.99999999988</v>
      </c>
      <c r="F59" s="753">
        <f>F22/((100%+$F46)^(F49-$E49))</f>
        <v>710181.818181818</v>
      </c>
      <c r="G59" s="753">
        <f t="shared" ref="G59:N59" si="13">G22/((100%+$F46)^(G49-$E49))</f>
        <v>947533.88429752027</v>
      </c>
      <c r="H59" s="753">
        <f t="shared" si="13"/>
        <v>1116649.0458302025</v>
      </c>
      <c r="I59" s="753">
        <f t="shared" si="13"/>
        <v>944076.01147462567</v>
      </c>
      <c r="J59" s="753">
        <f t="shared" si="13"/>
        <v>798173.35515581991</v>
      </c>
      <c r="K59" s="753">
        <f t="shared" si="13"/>
        <v>674819.29117719317</v>
      </c>
      <c r="L59" s="753">
        <f t="shared" si="13"/>
        <v>570529.03708617238</v>
      </c>
      <c r="M59" s="753">
        <f t="shared" si="13"/>
        <v>482356.36771830946</v>
      </c>
      <c r="N59" s="754">
        <f t="shared" si="13"/>
        <v>407810.38361638889</v>
      </c>
    </row>
    <row r="60" spans="1:14">
      <c r="A60" s="1918" t="s">
        <v>722</v>
      </c>
      <c r="B60" s="1919"/>
      <c r="C60" s="1919"/>
      <c r="D60" s="1919"/>
      <c r="E60" s="751"/>
      <c r="F60" s="753"/>
      <c r="G60" s="753"/>
      <c r="H60" s="753"/>
      <c r="I60" s="753"/>
      <c r="J60" s="753"/>
      <c r="K60" s="753"/>
      <c r="L60" s="753"/>
      <c r="M60" s="753"/>
      <c r="N60" s="754"/>
    </row>
    <row r="61" spans="1:14">
      <c r="A61" s="1783" t="s">
        <v>589</v>
      </c>
      <c r="B61" s="1784"/>
      <c r="C61" s="1784"/>
      <c r="D61" s="1784"/>
      <c r="E61" s="753">
        <f t="shared" ref="E61:E67" si="14">E24</f>
        <v>2259027.8570348159</v>
      </c>
      <c r="F61" s="753">
        <f>F24/((100%+$F46)^(F49-$E49))</f>
        <v>2075019.3224257242</v>
      </c>
      <c r="G61" s="753">
        <f t="shared" ref="G61:N61" si="15">G24/((100%+$F46)^(G49-$E49))</f>
        <v>3068805.4013403682</v>
      </c>
      <c r="H61" s="753">
        <f t="shared" si="15"/>
        <v>3904108.0103007481</v>
      </c>
      <c r="I61" s="753">
        <f t="shared" si="15"/>
        <v>3546994.4539381838</v>
      </c>
      <c r="J61" s="753">
        <f t="shared" si="15"/>
        <v>3316468.1359856734</v>
      </c>
      <c r="K61" s="753">
        <f t="shared" si="15"/>
        <v>2968679.7249111119</v>
      </c>
      <c r="L61" s="753">
        <f t="shared" si="15"/>
        <v>2784954.8427600148</v>
      </c>
      <c r="M61" s="753">
        <f t="shared" si="15"/>
        <v>2605528.9340171115</v>
      </c>
      <c r="N61" s="754">
        <f t="shared" si="15"/>
        <v>2404397.3534567808</v>
      </c>
    </row>
    <row r="62" spans="1:14">
      <c r="A62" s="1783" t="s">
        <v>590</v>
      </c>
      <c r="B62" s="1784"/>
      <c r="C62" s="1784"/>
      <c r="D62" s="1784"/>
      <c r="E62" s="753">
        <f t="shared" si="14"/>
        <v>7657509.2288778331</v>
      </c>
      <c r="F62" s="753">
        <f>F25/((100%+$F46)^(F49-$E49))</f>
        <v>6994218.5201662173</v>
      </c>
      <c r="G62" s="753">
        <f t="shared" ref="G62:N62" si="16">G25/((100%+$F46)^(G49-$E49))</f>
        <v>10549415.177785605</v>
      </c>
      <c r="H62" s="753">
        <f t="shared" si="16"/>
        <v>13484989.134407684</v>
      </c>
      <c r="I62" s="753">
        <f t="shared" si="16"/>
        <v>12187517.890161153</v>
      </c>
      <c r="J62" s="753">
        <f t="shared" si="16"/>
        <v>11342006.623739025</v>
      </c>
      <c r="K62" s="753">
        <f t="shared" si="16"/>
        <v>10109316.589136707</v>
      </c>
      <c r="L62" s="753">
        <f t="shared" si="16"/>
        <v>9427317.8719451129</v>
      </c>
      <c r="M62" s="753">
        <f t="shared" si="16"/>
        <v>8779624.9184409771</v>
      </c>
      <c r="N62" s="754">
        <f t="shared" si="16"/>
        <v>8062111.029927195</v>
      </c>
    </row>
    <row r="63" spans="1:14">
      <c r="A63" s="1914" t="s">
        <v>591</v>
      </c>
      <c r="B63" s="1915"/>
      <c r="C63" s="1915"/>
      <c r="D63" s="1915"/>
      <c r="E63" s="753">
        <f t="shared" si="14"/>
        <v>3240350.2579962742</v>
      </c>
      <c r="F63" s="753">
        <f>F26/((100%+$F46)^(F49-$E49))</f>
        <v>3071623.0858770232</v>
      </c>
      <c r="G63" s="753">
        <f t="shared" ref="G63:N63" si="17">G26/((100%+$F46)^(G49-$E49))</f>
        <v>4370857.3994994033</v>
      </c>
      <c r="H63" s="753">
        <f t="shared" si="17"/>
        <v>5522587.7991336975</v>
      </c>
      <c r="I63" s="753">
        <f t="shared" si="17"/>
        <v>5077002.2657811847</v>
      </c>
      <c r="J63" s="753">
        <f t="shared" si="17"/>
        <v>4606761.4306961987</v>
      </c>
      <c r="K63" s="753">
        <f t="shared" si="17"/>
        <v>4179194.1978825433</v>
      </c>
      <c r="L63" s="753">
        <f t="shared" si="17"/>
        <v>3743866.1372778197</v>
      </c>
      <c r="M63" s="753">
        <f t="shared" si="17"/>
        <v>3421924.1510644066</v>
      </c>
      <c r="N63" s="754">
        <f t="shared" si="17"/>
        <v>3196090.791622798</v>
      </c>
    </row>
    <row r="64" spans="1:14">
      <c r="A64" s="1918" t="s">
        <v>592</v>
      </c>
      <c r="B64" s="1919"/>
      <c r="C64" s="1919"/>
      <c r="D64" s="1919"/>
      <c r="E64" s="753">
        <f t="shared" si="14"/>
        <v>3335081.2406220455</v>
      </c>
      <c r="F64" s="753">
        <f>F27/((100%+$F46)^(F49-$E49))</f>
        <v>3073141.991897536</v>
      </c>
      <c r="G64" s="753">
        <f t="shared" ref="G64:N64" si="18">G27/((100%+$F46)^(G49-$E49))</f>
        <v>4158149.7394853374</v>
      </c>
      <c r="H64" s="753">
        <f t="shared" si="18"/>
        <v>4950191.5615212899</v>
      </c>
      <c r="I64" s="753">
        <f t="shared" si="18"/>
        <v>4505820.149979095</v>
      </c>
      <c r="J64" s="753">
        <f t="shared" si="18"/>
        <v>4206850.6057460615</v>
      </c>
      <c r="K64" s="753">
        <f t="shared" si="18"/>
        <v>3747556.5368772754</v>
      </c>
      <c r="L64" s="753">
        <f t="shared" si="18"/>
        <v>3541619.5772626367</v>
      </c>
      <c r="M64" s="753">
        <f t="shared" si="18"/>
        <v>3305043.3548341882</v>
      </c>
      <c r="N64" s="754">
        <f t="shared" si="18"/>
        <v>3049447.3903583582</v>
      </c>
    </row>
    <row r="65" spans="1:14">
      <c r="A65" s="1918" t="s">
        <v>593</v>
      </c>
      <c r="B65" s="1919"/>
      <c r="C65" s="1919"/>
      <c r="D65" s="1919"/>
      <c r="E65" s="753">
        <f t="shared" si="14"/>
        <v>2763892.3055687761</v>
      </c>
      <c r="F65" s="753">
        <f>F28/((100%+$F46)^(F49-$E49))</f>
        <v>2512629.3686988871</v>
      </c>
      <c r="G65" s="753">
        <f t="shared" ref="G65:N65" si="19">G28/((100%+$F46)^(G49-$E49))</f>
        <v>3190294.1668862905</v>
      </c>
      <c r="H65" s="753">
        <f t="shared" si="19"/>
        <v>3743494.3405808583</v>
      </c>
      <c r="I65" s="753">
        <f t="shared" si="19"/>
        <v>3403176.6732553258</v>
      </c>
      <c r="J65" s="753">
        <f t="shared" si="19"/>
        <v>3093796.9756866596</v>
      </c>
      <c r="K65" s="753">
        <f t="shared" si="19"/>
        <v>2812542.7051696898</v>
      </c>
      <c r="L65" s="753">
        <f t="shared" si="19"/>
        <v>2556857.0046997182</v>
      </c>
      <c r="M65" s="753">
        <f t="shared" si="19"/>
        <v>2324415.4588179258</v>
      </c>
      <c r="N65" s="754">
        <f t="shared" si="19"/>
        <v>2113104.9625617503</v>
      </c>
    </row>
    <row r="66" spans="1:14">
      <c r="A66" s="1922" t="s">
        <v>594</v>
      </c>
      <c r="B66" s="1923"/>
      <c r="C66" s="1923"/>
      <c r="D66" s="1923"/>
      <c r="E66" s="755">
        <f t="shared" si="14"/>
        <v>5218889.8472314496</v>
      </c>
      <c r="F66" s="755">
        <f>F29/((100%+$F46)^(F49-$E49))</f>
        <v>4798555.1633828497</v>
      </c>
      <c r="G66" s="755">
        <f t="shared" ref="G66:N66" si="20">G29/((100%+$F46)^(G49-$E49))</f>
        <v>6884065.5706306528</v>
      </c>
      <c r="H66" s="755">
        <f t="shared" si="20"/>
        <v>8628864.4302175716</v>
      </c>
      <c r="I66" s="755">
        <f t="shared" si="20"/>
        <v>7849127.9032492489</v>
      </c>
      <c r="J66" s="755">
        <f t="shared" si="20"/>
        <v>7331479.9182582051</v>
      </c>
      <c r="K66" s="755">
        <f t="shared" si="20"/>
        <v>6569564.3815768827</v>
      </c>
      <c r="L66" s="755">
        <f t="shared" si="20"/>
        <v>6163761.2086781701</v>
      </c>
      <c r="M66" s="755">
        <f t="shared" si="20"/>
        <v>5759857.2556494121</v>
      </c>
      <c r="N66" s="1235">
        <f t="shared" si="20"/>
        <v>5315115.2368083494</v>
      </c>
    </row>
    <row r="67" spans="1:14" ht="15" thickBot="1">
      <c r="A67" s="1793" t="s">
        <v>725</v>
      </c>
      <c r="B67" s="1794"/>
      <c r="C67" s="1794"/>
      <c r="D67" s="1795"/>
      <c r="E67" s="973">
        <f t="shared" si="14"/>
        <v>457811.7317273817</v>
      </c>
      <c r="F67" s="973">
        <f>F30/((100%+$F46)^(F49-$E49))</f>
        <v>472961.87767808506</v>
      </c>
      <c r="G67" s="973">
        <f t="shared" ref="G67:N67" si="21">G30/((100%+$F46)^(G49-$E49))</f>
        <v>707387.71643206151</v>
      </c>
      <c r="H67" s="973">
        <f t="shared" si="21"/>
        <v>893460.43598864682</v>
      </c>
      <c r="I67" s="973">
        <f t="shared" si="21"/>
        <v>860681.16896091832</v>
      </c>
      <c r="J67" s="973">
        <f t="shared" si="21"/>
        <v>826144.60550826357</v>
      </c>
      <c r="K67" s="973">
        <f t="shared" si="21"/>
        <v>742972.38622341701</v>
      </c>
      <c r="L67" s="973">
        <f t="shared" si="21"/>
        <v>702301.37179713952</v>
      </c>
      <c r="M67" s="973">
        <f t="shared" si="21"/>
        <v>658251.50632729998</v>
      </c>
      <c r="N67" s="974">
        <f t="shared" si="21"/>
        <v>602075.99545379414</v>
      </c>
    </row>
    <row r="68" spans="1:14" ht="15" thickBot="1">
      <c r="A68" s="1788" t="s">
        <v>726</v>
      </c>
      <c r="B68" s="1789"/>
      <c r="C68" s="1789"/>
      <c r="D68" s="1789"/>
      <c r="E68" s="1037">
        <f>SUM(E55:E67)</f>
        <v>33241562.46905857</v>
      </c>
      <c r="F68" s="1037">
        <f t="shared" ref="F68:N68" si="22">SUM(F55:F67)</f>
        <v>29053785.693762686</v>
      </c>
      <c r="G68" s="1037">
        <f t="shared" si="22"/>
        <v>41822376.824952289</v>
      </c>
      <c r="H68" s="1037">
        <f t="shared" si="22"/>
        <v>51676726.425899558</v>
      </c>
      <c r="I68" s="1037">
        <f t="shared" si="22"/>
        <v>46406634.751892962</v>
      </c>
      <c r="J68" s="1037">
        <f t="shared" si="22"/>
        <v>42823716.409951568</v>
      </c>
      <c r="K68" s="1037">
        <f t="shared" si="22"/>
        <v>38442859.230387241</v>
      </c>
      <c r="L68" s="1037">
        <f t="shared" si="22"/>
        <v>35525946.521899886</v>
      </c>
      <c r="M68" s="1037">
        <f t="shared" si="22"/>
        <v>32823128.738136098</v>
      </c>
      <c r="N68" s="1236">
        <f t="shared" si="22"/>
        <v>30137541.135865834</v>
      </c>
    </row>
    <row r="69" spans="1:14" ht="15" thickBot="1">
      <c r="A69" s="1790" t="s">
        <v>727</v>
      </c>
      <c r="B69" s="1791"/>
      <c r="C69" s="1791"/>
      <c r="D69" s="1791"/>
      <c r="E69" s="1791"/>
      <c r="F69" s="1791"/>
      <c r="G69" s="1791"/>
      <c r="H69" s="1791"/>
      <c r="I69" s="1791"/>
      <c r="J69" s="1791"/>
      <c r="K69" s="1791"/>
      <c r="L69" s="1791"/>
      <c r="M69" s="1791"/>
      <c r="N69" s="1792"/>
    </row>
    <row r="70" spans="1:14">
      <c r="A70" s="1912" t="s">
        <v>743</v>
      </c>
      <c r="B70" s="1913"/>
      <c r="C70" s="1913"/>
      <c r="D70" s="1913"/>
      <c r="E70" s="756">
        <f>E33</f>
        <v>25433985.095965646</v>
      </c>
      <c r="F70" s="753">
        <f>F33/((100%+$F46)^(F49-$E49))</f>
        <v>26275659.871004723</v>
      </c>
      <c r="G70" s="753">
        <f t="shared" ref="G70:N70" si="23">G33/((100%+$F46)^(G49-$E49))</f>
        <v>39299317.579558969</v>
      </c>
      <c r="H70" s="753">
        <f t="shared" si="23"/>
        <v>49636690.888258152</v>
      </c>
      <c r="I70" s="753">
        <f t="shared" si="23"/>
        <v>47815620.497828789</v>
      </c>
      <c r="J70" s="753">
        <f t="shared" si="23"/>
        <v>45896922.528236859</v>
      </c>
      <c r="K70" s="753">
        <f t="shared" si="23"/>
        <v>41276243.679078721</v>
      </c>
      <c r="L70" s="753">
        <f t="shared" si="23"/>
        <v>39016742.877618857</v>
      </c>
      <c r="M70" s="753">
        <f t="shared" si="23"/>
        <v>36569528.129294448</v>
      </c>
      <c r="N70" s="754">
        <f t="shared" si="23"/>
        <v>33448666.414099671</v>
      </c>
    </row>
    <row r="71" spans="1:14" ht="15" thickBot="1">
      <c r="A71" s="1920" t="s">
        <v>729</v>
      </c>
      <c r="B71" s="1921"/>
      <c r="C71" s="1921"/>
      <c r="D71" s="1921"/>
      <c r="E71" s="973"/>
      <c r="F71" s="982"/>
      <c r="G71" s="973"/>
      <c r="H71" s="973"/>
      <c r="I71" s="973"/>
      <c r="J71" s="973"/>
      <c r="K71" s="973"/>
      <c r="L71" s="973"/>
      <c r="M71" s="973"/>
      <c r="N71" s="974">
        <f>N35/((100%+$F46)^(N49-$E49))</f>
        <v>623423.4990075524</v>
      </c>
    </row>
    <row r="72" spans="1:14">
      <c r="A72" s="1776" t="s">
        <v>730</v>
      </c>
      <c r="B72" s="1777"/>
      <c r="C72" s="1777"/>
      <c r="D72" s="1777"/>
      <c r="E72" s="980">
        <f>SUM(E70:E71)</f>
        <v>25433985.095965646</v>
      </c>
      <c r="F72" s="980">
        <f t="shared" ref="F72:N72" si="24">SUM(F70:F71)</f>
        <v>26275659.871004723</v>
      </c>
      <c r="G72" s="980">
        <f t="shared" si="24"/>
        <v>39299317.579558969</v>
      </c>
      <c r="H72" s="980">
        <f t="shared" si="24"/>
        <v>49636690.888258152</v>
      </c>
      <c r="I72" s="980">
        <f t="shared" si="24"/>
        <v>47815620.497828789</v>
      </c>
      <c r="J72" s="980">
        <f t="shared" si="24"/>
        <v>45896922.528236859</v>
      </c>
      <c r="K72" s="980">
        <f t="shared" si="24"/>
        <v>41276243.679078721</v>
      </c>
      <c r="L72" s="980">
        <f t="shared" si="24"/>
        <v>39016742.877618857</v>
      </c>
      <c r="M72" s="980">
        <f t="shared" si="24"/>
        <v>36569528.129294448</v>
      </c>
      <c r="N72" s="981">
        <f t="shared" si="24"/>
        <v>34072089.913107224</v>
      </c>
    </row>
    <row r="73" spans="1:14" ht="15" thickBot="1">
      <c r="A73" s="1778" t="s">
        <v>731</v>
      </c>
      <c r="B73" s="1779"/>
      <c r="C73" s="1779"/>
      <c r="D73" s="1779"/>
      <c r="E73" s="766">
        <f>E72-E68</f>
        <v>-7807577.3730929233</v>
      </c>
      <c r="F73" s="766">
        <f t="shared" ref="F73" si="25">F72-F68</f>
        <v>-2778125.8227579631</v>
      </c>
      <c r="G73" s="766">
        <f>G72-G68</f>
        <v>-2523059.2453933209</v>
      </c>
      <c r="H73" s="766">
        <f t="shared" ref="H73:N73" si="26">H72-H68</f>
        <v>-2040035.5376414061</v>
      </c>
      <c r="I73" s="766">
        <f t="shared" si="26"/>
        <v>1408985.7459358275</v>
      </c>
      <c r="J73" s="766">
        <f t="shared" si="26"/>
        <v>3073206.1182852909</v>
      </c>
      <c r="K73" s="766">
        <f t="shared" si="26"/>
        <v>2833384.4486914799</v>
      </c>
      <c r="L73" s="766">
        <f t="shared" si="26"/>
        <v>3490796.3557189703</v>
      </c>
      <c r="M73" s="766">
        <f t="shared" si="26"/>
        <v>3746399.3911583498</v>
      </c>
      <c r="N73" s="767">
        <f t="shared" si="26"/>
        <v>3934548.7772413902</v>
      </c>
    </row>
    <row r="74" spans="1:14" ht="15" thickBot="1">
      <c r="A74" s="1780" t="s">
        <v>732</v>
      </c>
      <c r="B74" s="1781"/>
      <c r="C74" s="1781"/>
      <c r="D74" s="1781"/>
      <c r="E74" s="1781"/>
      <c r="F74" s="1781"/>
      <c r="G74" s="1781"/>
      <c r="H74" s="1782"/>
      <c r="I74" s="760">
        <f>SUM(E73:I73)</f>
        <v>-13739812.232949786</v>
      </c>
      <c r="J74" s="1780" t="s">
        <v>733</v>
      </c>
      <c r="K74" s="1781"/>
      <c r="L74" s="1781"/>
      <c r="M74" s="1781"/>
      <c r="N74" s="781">
        <f>SUM(E73:N73)</f>
        <v>3338522.8581456952</v>
      </c>
    </row>
    <row r="75" spans="1:14" ht="15" thickBot="1">
      <c r="A75" s="1770" t="s">
        <v>654</v>
      </c>
      <c r="B75" s="1771"/>
      <c r="C75" s="1771"/>
      <c r="D75" s="1772"/>
      <c r="E75" s="984">
        <f>E73/E70</f>
        <v>-0.30697420571860623</v>
      </c>
      <c r="F75" s="985">
        <f t="shared" ref="F75:M75" si="27">F73/F70</f>
        <v>-0.10573001159234954</v>
      </c>
      <c r="G75" s="985">
        <f t="shared" si="27"/>
        <v>-6.420109561153442E-2</v>
      </c>
      <c r="H75" s="985">
        <f t="shared" si="27"/>
        <v>-4.1099346091259849E-2</v>
      </c>
      <c r="I75" s="985">
        <f>I73/I70</f>
        <v>2.9467059744624807E-2</v>
      </c>
      <c r="J75" s="985">
        <f t="shared" si="27"/>
        <v>6.695887107451666E-2</v>
      </c>
      <c r="K75" s="985">
        <f t="shared" si="27"/>
        <v>6.8644435543140508E-2</v>
      </c>
      <c r="L75" s="985">
        <f t="shared" si="27"/>
        <v>8.9469189334135654E-2</v>
      </c>
      <c r="M75" s="985">
        <f t="shared" si="27"/>
        <v>0.10244593197682671</v>
      </c>
      <c r="N75" s="986">
        <f>N73/N70</f>
        <v>0.11762946625527806</v>
      </c>
    </row>
    <row r="76" spans="1:14" ht="15" thickBot="1">
      <c r="A76" s="1773" t="s">
        <v>656</v>
      </c>
      <c r="B76" s="1774"/>
      <c r="C76" s="1774"/>
      <c r="D76" s="1775"/>
      <c r="E76" s="987">
        <f>E73/E68</f>
        <v>-0.23487395877857004</v>
      </c>
      <c r="F76" s="988">
        <f t="shared" ref="F76:N76" si="28">F73/F68</f>
        <v>-9.5620097568021076E-2</v>
      </c>
      <c r="G76" s="988">
        <f t="shared" si="28"/>
        <v>-6.0327973609763851E-2</v>
      </c>
      <c r="H76" s="988">
        <f t="shared" si="28"/>
        <v>-3.9476872447922175E-2</v>
      </c>
      <c r="I76" s="988">
        <f t="shared" si="28"/>
        <v>3.0361730676416995E-2</v>
      </c>
      <c r="J76" s="988">
        <f t="shared" si="28"/>
        <v>7.1764115212829244E-2</v>
      </c>
      <c r="K76" s="988">
        <f t="shared" si="28"/>
        <v>7.37037906496774E-2</v>
      </c>
      <c r="L76" s="988">
        <f t="shared" si="28"/>
        <v>9.8260474314655552E-2</v>
      </c>
      <c r="M76" s="988">
        <f t="shared" si="28"/>
        <v>0.11413900914343773</v>
      </c>
      <c r="N76" s="989">
        <f t="shared" si="28"/>
        <v>0.13055307861725307</v>
      </c>
    </row>
    <row r="77" spans="1:14" ht="15" thickBot="1">
      <c r="A77" s="1773" t="s">
        <v>738</v>
      </c>
      <c r="B77" s="1774"/>
      <c r="C77" s="1774"/>
      <c r="D77" s="1775"/>
      <c r="E77" s="987"/>
      <c r="F77" s="988"/>
      <c r="G77" s="988"/>
      <c r="H77" s="988"/>
      <c r="I77" s="988"/>
      <c r="J77" s="988"/>
      <c r="K77" s="988"/>
      <c r="L77" s="988"/>
      <c r="M77" s="988"/>
      <c r="N77" s="989"/>
    </row>
    <row r="79" spans="1:14">
      <c r="A79" t="s">
        <v>736</v>
      </c>
      <c r="E79" s="135">
        <f>E68/1000000</f>
        <v>33.241562469058572</v>
      </c>
      <c r="F79" s="135">
        <f t="shared" ref="F79:N79" si="29">F68/1000000</f>
        <v>29.053785693762688</v>
      </c>
      <c r="G79" s="135">
        <f t="shared" si="29"/>
        <v>41.822376824952286</v>
      </c>
      <c r="H79" s="135">
        <f t="shared" si="29"/>
        <v>51.67672642589956</v>
      </c>
      <c r="I79" s="135">
        <f t="shared" si="29"/>
        <v>46.406634751892959</v>
      </c>
      <c r="J79" s="135">
        <f t="shared" si="29"/>
        <v>42.823716409951565</v>
      </c>
      <c r="K79" s="135">
        <f t="shared" si="29"/>
        <v>38.442859230387242</v>
      </c>
      <c r="L79" s="135">
        <f t="shared" si="29"/>
        <v>35.52594652189989</v>
      </c>
      <c r="M79" s="135">
        <f t="shared" si="29"/>
        <v>32.823128738136099</v>
      </c>
      <c r="N79" s="135">
        <f t="shared" si="29"/>
        <v>30.137541135865835</v>
      </c>
    </row>
    <row r="80" spans="1:14">
      <c r="A80" t="s">
        <v>737</v>
      </c>
      <c r="E80" s="135">
        <f t="shared" ref="E80:N80" si="30">E70/1000000</f>
        <v>25.433985095965646</v>
      </c>
      <c r="F80" s="135">
        <f t="shared" si="30"/>
        <v>26.275659871004724</v>
      </c>
      <c r="G80" s="135">
        <f t="shared" si="30"/>
        <v>39.299317579558966</v>
      </c>
      <c r="H80" s="135">
        <f t="shared" si="30"/>
        <v>49.636690888258151</v>
      </c>
      <c r="I80" s="135">
        <f t="shared" si="30"/>
        <v>47.815620497828789</v>
      </c>
      <c r="J80" s="135">
        <f t="shared" si="30"/>
        <v>45.896922528236857</v>
      </c>
      <c r="K80" s="135">
        <f t="shared" si="30"/>
        <v>41.276243679078718</v>
      </c>
      <c r="L80" s="135">
        <f t="shared" si="30"/>
        <v>39.01674287761886</v>
      </c>
      <c r="M80" s="135">
        <f t="shared" si="30"/>
        <v>36.569528129294447</v>
      </c>
      <c r="N80" s="135">
        <f t="shared" si="30"/>
        <v>33.448666414099669</v>
      </c>
    </row>
    <row r="81" spans="1:16">
      <c r="E81" s="135"/>
      <c r="F81" s="135"/>
      <c r="G81" s="135"/>
      <c r="H81" s="135"/>
      <c r="I81" s="135"/>
      <c r="J81" s="135"/>
      <c r="K81" s="135"/>
      <c r="L81" s="135"/>
      <c r="M81" s="135"/>
      <c r="N81" s="135"/>
    </row>
    <row r="82" spans="1:16">
      <c r="E82">
        <f>SUM(E55:E67)/E73</f>
        <v>-4.2576026955068302</v>
      </c>
      <c r="F82">
        <f t="shared" ref="F82:M82" si="31">SUM(F55:F67)/F73</f>
        <v>-10.458052495592069</v>
      </c>
      <c r="G82">
        <f t="shared" si="31"/>
        <v>-16.57605817275709</v>
      </c>
      <c r="H82">
        <f t="shared" si="31"/>
        <v>-25.331287358673066</v>
      </c>
      <c r="I82">
        <f>SUM(I55:I67)/I73</f>
        <v>32.936198883311171</v>
      </c>
      <c r="J82">
        <f t="shared" si="31"/>
        <v>13.934540919710667</v>
      </c>
      <c r="K82">
        <f t="shared" si="31"/>
        <v>13.56782319043962</v>
      </c>
      <c r="L82">
        <f t="shared" si="31"/>
        <v>10.177032087161928</v>
      </c>
      <c r="M82">
        <f t="shared" si="31"/>
        <v>8.7612465493134479</v>
      </c>
      <c r="N82">
        <f>SUM(N55:N67)/N73</f>
        <v>7.6597197905361876</v>
      </c>
    </row>
    <row r="83" spans="1:16">
      <c r="A83" t="s">
        <v>744</v>
      </c>
      <c r="P83">
        <f>SUM(E55:N67)/SUM(E73:N73)</f>
        <v>114.40816625528636</v>
      </c>
    </row>
    <row r="85" spans="1:16">
      <c r="A85" t="s">
        <v>745</v>
      </c>
      <c r="E85" s="92">
        <f>('Cost Structure'!$B30/'Cost Structure'!$B32)*(E3*SUM('Cost Structure'!$BA10:$BE10)+E4*SUM('Cost Structure'!$BF10:$BI10)*E14)</f>
        <v>3240350.2579962742</v>
      </c>
      <c r="F85" s="92">
        <f>('Cost Structure'!$B30/'Cost Structure'!$B32)*(F3*SUM('Cost Structure'!$BA10:$BE10)+F4*SUM('Cost Structure'!$BF10:$BI10)*F14)</f>
        <v>3378785.3944647256</v>
      </c>
      <c r="G85" s="92">
        <f>('Cost Structure'!$B30/'Cost Structure'!$B32)*(G3*SUM('Cost Structure'!$BA10:$BE10)+G4*SUM('Cost Structure'!$BF10:$BI10)*G14)</f>
        <v>3416862.3666566014</v>
      </c>
      <c r="H85" s="92">
        <f>('Cost Structure'!$B30/'Cost Structure'!$B32)*(H3*SUM('Cost Structure'!$BA10:$BE10)+H4*SUM('Cost Structure'!$BF10:$BI10)*H14)</f>
        <v>3520616.291679733</v>
      </c>
      <c r="I85" s="92">
        <f>('Cost Structure'!$B30/'Cost Structure'!$B32)*(I3*SUM('Cost Structure'!$BA10:$BE10)+I4*SUM('Cost Structure'!$BF10:$BI10)*I14)</f>
        <v>3400477.7591761071</v>
      </c>
      <c r="J85" s="92">
        <f>('Cost Structure'!$B30/'Cost Structure'!$B32)*(J3*SUM('Cost Structure'!$BA10:$BE10)+J4*SUM('Cost Structure'!$BF10:$BI10)*J14)</f>
        <v>3240350.2579962742</v>
      </c>
      <c r="K85" s="92">
        <f>('Cost Structure'!$B30/'Cost Structure'!$B32)*(K3*SUM('Cost Structure'!$BA10:$BE10)+K4*SUM('Cost Structure'!$BF10:$BI10)*K14)</f>
        <v>3262779.0070570409</v>
      </c>
      <c r="L85" s="92">
        <f>('Cost Structure'!$B30/'Cost Structure'!$B32)*(L3*SUM('Cost Structure'!$BA10:$BE10)+L4*SUM('Cost Structure'!$BF10:$BI10)*L14)</f>
        <v>3433287.0203145975</v>
      </c>
      <c r="M85" s="92">
        <f>('Cost Structure'!$B30/'Cost Structure'!$B32)*(M3*SUM('Cost Structure'!$BA10:$BE10)+M4*SUM('Cost Structure'!$BF10:$BI10)*M14)</f>
        <v>3520616.291679733</v>
      </c>
      <c r="N85" s="92">
        <f>('Cost Structure'!$B30/'Cost Structure'!$B32)*(N3*SUM('Cost Structure'!$BA10:$BE10)+N4*SUM('Cost Structure'!$BF10:$BI10)*N14)</f>
        <v>3503453.6441792152</v>
      </c>
    </row>
    <row r="86" spans="1:16">
      <c r="A86" t="s">
        <v>746</v>
      </c>
      <c r="E86" s="92"/>
      <c r="F86" s="92"/>
      <c r="G86" s="92">
        <f>('Cost Structure'!$B30/'Cost Structure'!$B32)*(G5*SUM('Cost Structure'!$BJ10:$BM10))*E14</f>
        <v>1871875.0867376779</v>
      </c>
      <c r="H86" s="92">
        <f>('Cost Structure'!$B30/'Cost Structure'!$B32)*(H5*SUM('Cost Structure'!$BJ10:$BM10))*F14</f>
        <v>2006511.1138580216</v>
      </c>
      <c r="I86" s="92">
        <f>('Cost Structure'!$B30/'Cost Structure'!$B32)*(I5*SUM('Cost Structure'!$BJ10:$BM10))*G14</f>
        <v>2078172.2250672365</v>
      </c>
      <c r="J86" s="92">
        <f>('Cost Structure'!$B30/'Cost Structure'!$B32)*(J5*SUM('Cost Structure'!$BJ10:$BM10))*H14</f>
        <v>2171548.8245216683</v>
      </c>
      <c r="K86" s="92">
        <f>('Cost Structure'!$B30/'Cost Structure'!$B32)*(K5*SUM('Cost Structure'!$BJ10:$BM10))*I14</f>
        <v>2025562.348923573</v>
      </c>
      <c r="L86" s="92">
        <f>('Cost Structure'!$B30/'Cost Structure'!$B32)*(L5*SUM('Cost Structure'!$BJ10:$BM10))*J14</f>
        <v>1871875.0867376779</v>
      </c>
      <c r="M86" s="92">
        <f>('Cost Structure'!$B30/'Cost Structure'!$B32)*(M5*SUM('Cost Structure'!$BJ10:$BM10))*K14</f>
        <v>2006511.1138580216</v>
      </c>
      <c r="N86" s="92">
        <f>('Cost Structure'!$B30/'Cost Structure'!$B32)*(N5*SUM('Cost Structure'!$BJ10:$BM10))*L14</f>
        <v>2078172.2250672365</v>
      </c>
    </row>
    <row r="87" spans="1:16">
      <c r="A87" t="s">
        <v>747</v>
      </c>
      <c r="E87" s="92"/>
      <c r="F87" s="92"/>
      <c r="G87" s="92"/>
      <c r="H87" s="92">
        <f>('Cost Structure'!$B30/'Cost Structure'!$B32)*(H6*SUM('Cost Structure'!$BN10:$BQ10)*E14)</f>
        <v>1823436.9551091997</v>
      </c>
      <c r="I87" s="92">
        <f>('Cost Structure'!$B30/'Cost Structure'!$B32)*(I6*SUM('Cost Structure'!$BN10:$BQ10)*F14)</f>
        <v>1954589.0330868918</v>
      </c>
      <c r="J87" s="92">
        <f>('Cost Structure'!$B30/'Cost Structure'!$B32)*(J6*SUM('Cost Structure'!$BN10:$BQ10)*G14)</f>
        <v>2007336.2692325951</v>
      </c>
      <c r="K87" s="92">
        <f>('Cost Structure'!$B30/'Cost Structure'!$B32)*(K6*SUM('Cost Structure'!$BN10:$BQ10)*H14)</f>
        <v>2115356.0964143849</v>
      </c>
      <c r="L87" s="92">
        <f>('Cost Structure'!$B30/'Cost Structure'!$B32)*(L6*SUM('Cost Structure'!$BN10:$BQ10)*I14)</f>
        <v>1990573.8547719633</v>
      </c>
      <c r="M87" s="92">
        <f>('Cost Structure'!$B30/'Cost Structure'!$B32)*(M6*SUM('Cost Structure'!$BN10:$BQ10)*J14)</f>
        <v>1808070.9133526613</v>
      </c>
      <c r="N87" s="92">
        <f>('Cost Structure'!$B30/'Cost Structure'!$B32)*(N6*SUM('Cost Structure'!$BN10:$BQ10)*K14)</f>
        <v>1954589.0330868918</v>
      </c>
    </row>
    <row r="88" spans="1:16">
      <c r="A88" t="s">
        <v>748</v>
      </c>
      <c r="E88" s="92">
        <f>SUM(E85:E87)</f>
        <v>3240350.2579962742</v>
      </c>
      <c r="F88" s="92">
        <f t="shared" ref="F88:N88" si="32">SUM(F85:F87)</f>
        <v>3378785.3944647256</v>
      </c>
      <c r="G88" s="92">
        <f t="shared" si="32"/>
        <v>5288737.4533942789</v>
      </c>
      <c r="H88" s="92">
        <f t="shared" si="32"/>
        <v>7350564.3606469538</v>
      </c>
      <c r="I88" s="92">
        <f t="shared" si="32"/>
        <v>7433239.0173302349</v>
      </c>
      <c r="J88" s="92">
        <f t="shared" si="32"/>
        <v>7419235.3517505378</v>
      </c>
      <c r="K88" s="92">
        <f t="shared" si="32"/>
        <v>7403697.4523949996</v>
      </c>
      <c r="L88" s="92">
        <f t="shared" si="32"/>
        <v>7295735.9618242392</v>
      </c>
      <c r="M88" s="92">
        <f t="shared" si="32"/>
        <v>7335198.3188904151</v>
      </c>
      <c r="N88" s="92">
        <f t="shared" si="32"/>
        <v>7536214.9023333434</v>
      </c>
    </row>
    <row r="91" spans="1:16">
      <c r="E91" s="92"/>
      <c r="F91" s="92"/>
      <c r="G91" s="92"/>
      <c r="H91" s="92"/>
      <c r="I91" s="92"/>
      <c r="J91" s="92"/>
      <c r="K91" s="92"/>
      <c r="L91" s="92"/>
      <c r="M91" s="92"/>
      <c r="N91" s="92"/>
    </row>
    <row r="92" spans="1:16">
      <c r="E92" s="92"/>
      <c r="F92" s="92"/>
      <c r="G92" s="92"/>
      <c r="H92" s="92"/>
      <c r="I92" s="92"/>
      <c r="J92" s="92"/>
      <c r="K92" s="92"/>
      <c r="L92" s="92"/>
      <c r="M92" s="92"/>
      <c r="N92" s="92"/>
    </row>
    <row r="93" spans="1:16">
      <c r="E93" s="92"/>
    </row>
    <row r="99" spans="1:14">
      <c r="A99" s="196"/>
      <c r="B99" s="196"/>
      <c r="C99" s="196"/>
      <c r="D99" s="196"/>
      <c r="E99" s="196"/>
      <c r="F99" s="196"/>
      <c r="G99" s="196"/>
      <c r="H99" s="196"/>
      <c r="I99" s="196"/>
      <c r="J99" s="196"/>
      <c r="K99" s="196"/>
      <c r="L99" s="196"/>
      <c r="M99" s="196"/>
      <c r="N99" s="196"/>
    </row>
    <row r="100" spans="1:14">
      <c r="A100" s="196"/>
      <c r="B100" s="196"/>
      <c r="C100" s="196"/>
      <c r="D100" s="196"/>
      <c r="E100" s="196"/>
      <c r="F100" s="196"/>
      <c r="G100" s="196"/>
      <c r="H100" s="196"/>
      <c r="I100" s="196"/>
      <c r="J100" s="196"/>
      <c r="K100" s="196"/>
      <c r="L100" s="196"/>
      <c r="M100" s="196"/>
      <c r="N100" s="196"/>
    </row>
    <row r="101" spans="1:14">
      <c r="A101" s="196"/>
      <c r="B101" s="196"/>
      <c r="C101" s="196"/>
      <c r="D101" s="196"/>
      <c r="E101" s="196"/>
      <c r="F101" s="196">
        <v>1</v>
      </c>
      <c r="G101" s="196">
        <v>2</v>
      </c>
      <c r="H101" s="196">
        <v>3</v>
      </c>
      <c r="I101" s="196">
        <v>4</v>
      </c>
      <c r="J101" s="196">
        <v>5</v>
      </c>
      <c r="K101" s="196">
        <v>6</v>
      </c>
      <c r="L101" s="196">
        <v>7</v>
      </c>
      <c r="M101" s="196"/>
      <c r="N101" s="196"/>
    </row>
    <row r="102" spans="1:14">
      <c r="A102" s="196"/>
      <c r="B102" s="196"/>
      <c r="C102" s="196"/>
      <c r="D102" s="196"/>
      <c r="E102" s="196">
        <v>69820765</v>
      </c>
      <c r="F102" s="196"/>
      <c r="G102" s="196"/>
      <c r="H102" s="196"/>
      <c r="I102" s="196"/>
      <c r="J102" s="196"/>
      <c r="K102" s="196"/>
      <c r="L102" s="196"/>
      <c r="M102" s="196"/>
      <c r="N102" s="196"/>
    </row>
    <row r="103" spans="1:14">
      <c r="A103" s="196"/>
      <c r="B103" s="196"/>
      <c r="C103" s="196"/>
      <c r="D103" s="196"/>
      <c r="E103" s="815">
        <f>E102</f>
        <v>69820765</v>
      </c>
      <c r="F103" s="815">
        <f>$E102/((1+0.1)^F101)</f>
        <v>63473422.727272719</v>
      </c>
      <c r="G103" s="815">
        <f t="shared" ref="G103:K103" si="33">$E102/((1+0.1)^G101)</f>
        <v>57703111.570247926</v>
      </c>
      <c r="H103" s="815">
        <f t="shared" si="33"/>
        <v>52457374.154770836</v>
      </c>
      <c r="I103" s="815">
        <f t="shared" si="33"/>
        <v>47688521.958882578</v>
      </c>
      <c r="J103" s="815">
        <f t="shared" si="33"/>
        <v>43353201.780802339</v>
      </c>
      <c r="K103" s="815">
        <f t="shared" si="33"/>
        <v>39412001.618911214</v>
      </c>
      <c r="L103" s="196"/>
      <c r="M103" s="196"/>
      <c r="N103" s="196"/>
    </row>
    <row r="104" spans="1:14">
      <c r="A104" s="196"/>
      <c r="B104" s="196"/>
      <c r="C104" s="196"/>
      <c r="D104" s="196"/>
      <c r="E104" s="196"/>
      <c r="F104" s="196"/>
      <c r="G104" s="196"/>
      <c r="H104" s="196"/>
      <c r="I104" s="196"/>
      <c r="J104" s="196"/>
      <c r="K104" s="196"/>
      <c r="L104" s="196"/>
      <c r="M104" s="196"/>
      <c r="N104" s="196"/>
    </row>
    <row r="105" spans="1:14">
      <c r="A105" s="196"/>
      <c r="B105" s="196"/>
      <c r="C105" s="196"/>
      <c r="D105" s="196"/>
      <c r="E105" s="196"/>
      <c r="F105" s="196"/>
      <c r="G105" s="196"/>
      <c r="H105" s="196"/>
      <c r="I105" s="196"/>
      <c r="J105" s="196"/>
      <c r="K105" s="196"/>
      <c r="L105" s="196"/>
      <c r="M105" s="196"/>
      <c r="N105" s="196"/>
    </row>
    <row r="106" spans="1:14">
      <c r="A106" s="196"/>
      <c r="B106" s="196"/>
      <c r="C106" s="196"/>
      <c r="D106" s="196"/>
      <c r="E106" s="196"/>
      <c r="F106" s="196"/>
      <c r="G106" s="196"/>
      <c r="H106" s="196"/>
      <c r="I106" s="196"/>
      <c r="J106" s="196"/>
      <c r="K106" s="196"/>
      <c r="L106" s="196"/>
      <c r="M106" s="196"/>
      <c r="N106" s="196"/>
    </row>
    <row r="107" spans="1:14">
      <c r="A107" s="196"/>
      <c r="B107" s="196"/>
      <c r="C107" s="196"/>
      <c r="D107" s="196"/>
      <c r="E107" s="196"/>
      <c r="F107" s="196"/>
      <c r="G107" s="196"/>
      <c r="H107" s="196"/>
      <c r="I107" s="196"/>
      <c r="J107" s="196"/>
      <c r="K107" s="196"/>
      <c r="L107" s="196"/>
      <c r="M107" s="196"/>
      <c r="N107" s="196"/>
    </row>
    <row r="108" spans="1:14">
      <c r="A108" s="196"/>
      <c r="B108" s="196"/>
      <c r="C108" s="196"/>
      <c r="D108" s="196"/>
      <c r="E108" s="196"/>
      <c r="F108" s="196"/>
      <c r="G108" s="196"/>
      <c r="H108" s="196"/>
      <c r="I108" s="196"/>
      <c r="J108" s="196"/>
      <c r="K108" s="196"/>
      <c r="L108" s="196"/>
      <c r="M108" s="196"/>
      <c r="N108" s="196"/>
    </row>
    <row r="109" spans="1:14">
      <c r="A109" s="196"/>
      <c r="B109" s="196"/>
      <c r="C109" s="196"/>
      <c r="D109" s="196"/>
      <c r="E109" s="196"/>
      <c r="F109" s="196"/>
      <c r="G109" s="196"/>
      <c r="H109" s="196"/>
      <c r="I109" s="196"/>
      <c r="J109" s="196"/>
      <c r="K109" s="196"/>
      <c r="L109" s="196"/>
      <c r="M109" s="196"/>
      <c r="N109" s="196"/>
    </row>
    <row r="110" spans="1:14">
      <c r="A110" s="196"/>
      <c r="B110" s="196"/>
      <c r="C110" s="196"/>
      <c r="D110" s="196"/>
      <c r="E110" s="196"/>
      <c r="F110" s="196"/>
      <c r="G110" s="196"/>
      <c r="H110" s="196"/>
      <c r="I110" s="196"/>
      <c r="J110" s="196"/>
      <c r="K110" s="196"/>
      <c r="L110" s="196"/>
      <c r="M110" s="196"/>
      <c r="N110" s="196"/>
    </row>
    <row r="111" spans="1:14">
      <c r="A111" s="196"/>
      <c r="B111" s="196"/>
      <c r="C111" s="196"/>
      <c r="D111" s="196"/>
      <c r="E111" s="196"/>
      <c r="F111" s="196"/>
      <c r="G111" s="196"/>
      <c r="H111" s="196"/>
      <c r="I111" s="196"/>
      <c r="J111" s="196"/>
      <c r="K111" s="196"/>
      <c r="L111" s="196"/>
      <c r="M111" s="196"/>
      <c r="N111" s="196"/>
    </row>
    <row r="112" spans="1:14">
      <c r="A112" s="196"/>
      <c r="B112" s="196"/>
      <c r="C112" s="196"/>
      <c r="D112" s="196"/>
      <c r="E112" s="196"/>
      <c r="F112" s="196"/>
      <c r="G112" s="196"/>
      <c r="H112" s="196"/>
      <c r="I112" s="196"/>
      <c r="J112" s="196"/>
      <c r="K112" s="196"/>
      <c r="L112" s="196"/>
      <c r="M112" s="196"/>
      <c r="N112" s="196"/>
    </row>
    <row r="113" spans="1:14">
      <c r="A113" s="196"/>
      <c r="B113" s="196"/>
      <c r="C113" s="196"/>
      <c r="D113" s="196"/>
      <c r="E113" s="196"/>
      <c r="F113" s="196"/>
      <c r="G113" s="196"/>
      <c r="H113" s="196"/>
      <c r="I113" s="196"/>
      <c r="J113" s="196"/>
      <c r="K113" s="196"/>
      <c r="L113" s="196"/>
      <c r="M113" s="196"/>
      <c r="N113" s="196"/>
    </row>
    <row r="114" spans="1:14">
      <c r="A114" s="196"/>
      <c r="B114" s="196"/>
      <c r="C114" s="196"/>
      <c r="D114" s="196"/>
      <c r="E114" s="196"/>
      <c r="F114" s="196"/>
      <c r="G114" s="196"/>
      <c r="H114" s="196"/>
      <c r="I114" s="196"/>
      <c r="J114" s="196"/>
      <c r="K114" s="196"/>
      <c r="L114" s="196"/>
      <c r="M114" s="196"/>
      <c r="N114" s="196"/>
    </row>
    <row r="115" spans="1:14">
      <c r="A115" s="196"/>
      <c r="B115" s="196"/>
      <c r="C115" s="196"/>
      <c r="D115" s="196"/>
      <c r="E115" s="196"/>
      <c r="F115" s="196"/>
      <c r="G115" s="196"/>
      <c r="H115" s="196"/>
      <c r="I115" s="196"/>
      <c r="J115" s="196"/>
      <c r="K115" s="196"/>
      <c r="L115" s="196"/>
      <c r="M115" s="196"/>
      <c r="N115" s="196"/>
    </row>
    <row r="116" spans="1:14">
      <c r="A116" s="196"/>
      <c r="B116" s="196"/>
      <c r="C116" s="196"/>
      <c r="D116" s="196"/>
      <c r="E116" s="196"/>
      <c r="F116" s="196"/>
      <c r="G116" s="196"/>
      <c r="H116" s="196"/>
      <c r="I116" s="196"/>
      <c r="J116" s="196"/>
      <c r="K116" s="196"/>
      <c r="L116" s="196"/>
      <c r="M116" s="196"/>
      <c r="N116" s="196"/>
    </row>
    <row r="117" spans="1:14">
      <c r="A117" s="196"/>
      <c r="B117" s="196"/>
      <c r="C117" s="196"/>
      <c r="D117" s="196"/>
      <c r="E117" s="196"/>
      <c r="F117" s="196"/>
      <c r="G117" s="196"/>
      <c r="H117" s="196"/>
      <c r="I117" s="196"/>
      <c r="J117" s="196"/>
      <c r="K117" s="196"/>
      <c r="L117" s="196"/>
      <c r="M117" s="196"/>
      <c r="N117" s="196"/>
    </row>
    <row r="118" spans="1:14">
      <c r="A118" s="196"/>
      <c r="B118" s="196"/>
      <c r="C118" s="196"/>
      <c r="D118" s="196"/>
      <c r="E118" s="196"/>
      <c r="F118" s="196"/>
      <c r="G118" s="196"/>
      <c r="H118" s="196"/>
      <c r="I118" s="196"/>
      <c r="J118" s="196"/>
      <c r="K118" s="196"/>
      <c r="L118" s="196"/>
      <c r="M118" s="196"/>
      <c r="N118" s="196"/>
    </row>
    <row r="119" spans="1:14">
      <c r="A119" s="196"/>
      <c r="B119" s="196"/>
      <c r="C119" s="196"/>
      <c r="D119" s="196"/>
      <c r="E119" s="196"/>
      <c r="F119" s="196"/>
      <c r="G119" s="196"/>
      <c r="H119" s="196"/>
      <c r="I119" s="196"/>
      <c r="J119" s="196"/>
      <c r="K119" s="196"/>
      <c r="L119" s="196"/>
      <c r="M119" s="196"/>
      <c r="N119" s="196"/>
    </row>
    <row r="120" spans="1:14">
      <c r="A120" s="196"/>
      <c r="B120" s="196"/>
      <c r="C120" s="196"/>
      <c r="D120" s="196"/>
      <c r="E120" s="196"/>
      <c r="F120" s="196"/>
      <c r="G120" s="196"/>
      <c r="H120" s="196"/>
      <c r="I120" s="196"/>
      <c r="J120" s="196"/>
      <c r="K120" s="196"/>
      <c r="L120" s="196"/>
      <c r="M120" s="196"/>
      <c r="N120" s="196"/>
    </row>
    <row r="121" spans="1:14">
      <c r="A121" s="196"/>
      <c r="B121" s="196"/>
      <c r="C121" s="196"/>
      <c r="D121" s="196"/>
      <c r="E121" s="196"/>
      <c r="F121" s="196"/>
      <c r="G121" s="196"/>
      <c r="H121" s="196"/>
      <c r="I121" s="196"/>
      <c r="J121" s="196"/>
      <c r="K121" s="196"/>
      <c r="L121" s="196"/>
      <c r="M121" s="196"/>
      <c r="N121" s="196"/>
    </row>
    <row r="122" spans="1:14">
      <c r="A122" s="196"/>
      <c r="B122" s="196"/>
      <c r="C122" s="196"/>
      <c r="D122" s="196"/>
      <c r="E122" s="196"/>
      <c r="F122" s="196"/>
      <c r="G122" s="196"/>
      <c r="H122" s="196"/>
      <c r="I122" s="196"/>
      <c r="J122" s="196"/>
      <c r="K122" s="196"/>
      <c r="L122" s="196"/>
      <c r="M122" s="196"/>
      <c r="N122" s="196"/>
    </row>
    <row r="123" spans="1:14">
      <c r="A123" s="196"/>
      <c r="B123" s="196"/>
      <c r="C123" s="196"/>
      <c r="D123" s="196"/>
      <c r="E123" s="196"/>
      <c r="F123" s="196"/>
      <c r="G123" s="196"/>
      <c r="H123" s="196"/>
      <c r="I123" s="196"/>
      <c r="J123" s="196"/>
      <c r="K123" s="196"/>
      <c r="L123" s="196"/>
      <c r="M123" s="196"/>
      <c r="N123" s="196"/>
    </row>
    <row r="124" spans="1:14">
      <c r="A124" s="196"/>
      <c r="B124" s="196"/>
      <c r="C124" s="196"/>
      <c r="D124" s="196"/>
      <c r="E124" s="196"/>
      <c r="F124" s="196"/>
      <c r="G124" s="196"/>
      <c r="H124" s="196"/>
      <c r="I124" s="196"/>
      <c r="J124" s="196"/>
      <c r="K124" s="196"/>
      <c r="L124" s="196"/>
      <c r="M124" s="196"/>
      <c r="N124" s="196"/>
    </row>
    <row r="125" spans="1:14">
      <c r="A125" s="196"/>
      <c r="B125" s="196"/>
      <c r="C125" s="196"/>
      <c r="D125" s="196"/>
      <c r="E125" s="196"/>
      <c r="F125" s="196"/>
      <c r="G125" s="196"/>
      <c r="H125" s="196"/>
      <c r="I125" s="196"/>
      <c r="J125" s="196"/>
      <c r="K125" s="196"/>
      <c r="L125" s="196"/>
      <c r="M125" s="196"/>
      <c r="N125" s="196"/>
    </row>
    <row r="126" spans="1:14">
      <c r="A126" s="196"/>
      <c r="B126" s="196"/>
      <c r="C126" s="196"/>
      <c r="D126" s="196"/>
      <c r="E126" s="196"/>
      <c r="F126" s="196"/>
      <c r="G126" s="196"/>
      <c r="H126" s="196"/>
      <c r="I126" s="196"/>
      <c r="J126" s="196"/>
      <c r="K126" s="196"/>
      <c r="L126" s="196"/>
      <c r="M126" s="196"/>
      <c r="N126" s="196"/>
    </row>
    <row r="127" spans="1:14">
      <c r="A127" s="196"/>
      <c r="B127" s="196"/>
      <c r="C127" s="196"/>
      <c r="D127" s="196"/>
      <c r="E127" s="196"/>
      <c r="F127" s="196"/>
      <c r="G127" s="196"/>
      <c r="H127" s="196"/>
      <c r="I127" s="196"/>
      <c r="J127" s="196"/>
      <c r="K127" s="196"/>
      <c r="L127" s="196"/>
      <c r="M127" s="196"/>
      <c r="N127" s="196"/>
    </row>
    <row r="128" spans="1:14">
      <c r="A128" s="196"/>
      <c r="B128" s="196"/>
      <c r="C128" s="196"/>
      <c r="D128" s="196"/>
      <c r="E128" s="196"/>
      <c r="F128" s="196"/>
      <c r="G128" s="196"/>
      <c r="H128" s="196"/>
      <c r="I128" s="196"/>
      <c r="J128" s="196"/>
      <c r="K128" s="196"/>
      <c r="L128" s="196"/>
      <c r="M128" s="196"/>
      <c r="N128" s="196"/>
    </row>
    <row r="129" spans="1:14">
      <c r="A129" s="196"/>
      <c r="B129" s="196"/>
      <c r="C129" s="196"/>
      <c r="D129" s="196"/>
      <c r="E129" s="196"/>
      <c r="F129" s="196"/>
      <c r="G129" s="196"/>
      <c r="H129" s="196"/>
      <c r="I129" s="196"/>
      <c r="J129" s="196"/>
      <c r="K129" s="196"/>
      <c r="L129" s="196"/>
      <c r="M129" s="196"/>
      <c r="N129" s="196"/>
    </row>
  </sheetData>
  <mergeCells count="71">
    <mergeCell ref="A20:D20"/>
    <mergeCell ref="A9:B9"/>
    <mergeCell ref="A10:B10"/>
    <mergeCell ref="A11:N11"/>
    <mergeCell ref="A12:D12"/>
    <mergeCell ref="A13:D13"/>
    <mergeCell ref="A14:D14"/>
    <mergeCell ref="A15:D15"/>
    <mergeCell ref="A16:D16"/>
    <mergeCell ref="A17:N17"/>
    <mergeCell ref="A18:D18"/>
    <mergeCell ref="A19:D19"/>
    <mergeCell ref="R32:U32"/>
    <mergeCell ref="A21:D21"/>
    <mergeCell ref="A22:D22"/>
    <mergeCell ref="A23:D23"/>
    <mergeCell ref="A24:D24"/>
    <mergeCell ref="A25:D25"/>
    <mergeCell ref="A26:D26"/>
    <mergeCell ref="A30:D30"/>
    <mergeCell ref="A27:D27"/>
    <mergeCell ref="A28:D28"/>
    <mergeCell ref="A29:D29"/>
    <mergeCell ref="A31:D31"/>
    <mergeCell ref="A32:N32"/>
    <mergeCell ref="A50:D50"/>
    <mergeCell ref="A33:D33"/>
    <mergeCell ref="A35:D35"/>
    <mergeCell ref="A36:D36"/>
    <mergeCell ref="A37:D37"/>
    <mergeCell ref="A38:H38"/>
    <mergeCell ref="A39:D39"/>
    <mergeCell ref="A40:D40"/>
    <mergeCell ref="A46:D46"/>
    <mergeCell ref="A48:N48"/>
    <mergeCell ref="A49:D49"/>
    <mergeCell ref="J38:M38"/>
    <mergeCell ref="A34:D34"/>
    <mergeCell ref="A60:D60"/>
    <mergeCell ref="A61:D61"/>
    <mergeCell ref="A62:D62"/>
    <mergeCell ref="A51:D51"/>
    <mergeCell ref="A52:D52"/>
    <mergeCell ref="A53:D53"/>
    <mergeCell ref="A54:N54"/>
    <mergeCell ref="A55:D55"/>
    <mergeCell ref="A56:D56"/>
    <mergeCell ref="J74:M74"/>
    <mergeCell ref="A63:D63"/>
    <mergeCell ref="A64:D64"/>
    <mergeCell ref="A65:D65"/>
    <mergeCell ref="A66:D66"/>
    <mergeCell ref="A68:D68"/>
    <mergeCell ref="A69:N69"/>
    <mergeCell ref="A67:D67"/>
    <mergeCell ref="A75:D75"/>
    <mergeCell ref="A76:D76"/>
    <mergeCell ref="A77:D77"/>
    <mergeCell ref="A2:D2"/>
    <mergeCell ref="A3:D3"/>
    <mergeCell ref="A4:D4"/>
    <mergeCell ref="A5:D5"/>
    <mergeCell ref="A6:D6"/>
    <mergeCell ref="A70:D70"/>
    <mergeCell ref="A71:D71"/>
    <mergeCell ref="A72:D72"/>
    <mergeCell ref="A73:D73"/>
    <mergeCell ref="A74:H74"/>
    <mergeCell ref="A57:D57"/>
    <mergeCell ref="A58:D58"/>
    <mergeCell ref="A59:D59"/>
  </mergeCells>
  <phoneticPr fontId="8" type="noConversion"/>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721FC-7909-45D1-B5CE-094E11955436}">
  <sheetPr codeName="Sheet11"/>
  <dimension ref="A1:AT207"/>
  <sheetViews>
    <sheetView zoomScale="115" zoomScaleNormal="115" workbookViewId="0">
      <selection activeCell="D18" sqref="D18"/>
    </sheetView>
  </sheetViews>
  <sheetFormatPr defaultRowHeight="14.45"/>
  <cols>
    <col min="1" max="1" width="28.5703125" bestFit="1" customWidth="1"/>
    <col min="2" max="2" width="19.42578125" customWidth="1"/>
    <col min="3" max="3" width="17.42578125" customWidth="1"/>
    <col min="4" max="4" width="20.85546875" bestFit="1" customWidth="1"/>
    <col min="5" max="5" width="15.85546875" bestFit="1" customWidth="1"/>
    <col min="6" max="6" width="16.28515625" customWidth="1"/>
    <col min="7" max="7" width="15.85546875" customWidth="1"/>
    <col min="8" max="8" width="18.7109375" customWidth="1"/>
    <col min="9" max="9" width="15" customWidth="1"/>
    <col min="10" max="11" width="18.85546875" customWidth="1"/>
    <col min="12" max="12" width="28.5703125" bestFit="1" customWidth="1"/>
    <col min="13" max="17" width="7" customWidth="1"/>
    <col min="18" max="18" width="24.85546875" customWidth="1"/>
    <col min="19" max="28" width="15.85546875" customWidth="1"/>
    <col min="34" max="44" width="17.85546875" customWidth="1"/>
  </cols>
  <sheetData>
    <row r="1" spans="1:16">
      <c r="A1" s="1842" t="s">
        <v>749</v>
      </c>
      <c r="B1" s="1842"/>
      <c r="C1" s="1842"/>
      <c r="D1" s="1842"/>
      <c r="E1" s="1842"/>
      <c r="F1" s="1842"/>
      <c r="G1" s="1842"/>
      <c r="H1" s="1842"/>
      <c r="I1" s="1842"/>
    </row>
    <row r="2" spans="1:16">
      <c r="A2" s="1556"/>
      <c r="B2" s="1397" t="s">
        <v>655</v>
      </c>
      <c r="C2" s="1397"/>
      <c r="D2" s="1629" t="s">
        <v>672</v>
      </c>
      <c r="E2" s="1629"/>
      <c r="F2" s="1388" t="s">
        <v>674</v>
      </c>
      <c r="G2" s="1388"/>
      <c r="H2" s="1843" t="s">
        <v>750</v>
      </c>
      <c r="I2" s="1843"/>
    </row>
    <row r="3" spans="1:16">
      <c r="A3" s="1556"/>
      <c r="B3" s="300" t="s">
        <v>751</v>
      </c>
      <c r="C3" s="300" t="s">
        <v>752</v>
      </c>
      <c r="D3" s="300" t="s">
        <v>751</v>
      </c>
      <c r="E3" s="300" t="s">
        <v>752</v>
      </c>
      <c r="F3" s="300" t="s">
        <v>751</v>
      </c>
      <c r="G3" s="300" t="s">
        <v>752</v>
      </c>
      <c r="H3" s="300" t="s">
        <v>751</v>
      </c>
      <c r="I3" s="300" t="s">
        <v>752</v>
      </c>
    </row>
    <row r="4" spans="1:16">
      <c r="A4" s="726" t="s">
        <v>753</v>
      </c>
      <c r="B4" s="727">
        <f>SUM(Profitability!AQ46:AQ50)</f>
        <v>12426610.499903735</v>
      </c>
      <c r="C4" s="728">
        <f t="shared" ref="C4:C26" si="0">B4/B$4</f>
        <v>1</v>
      </c>
      <c r="D4" s="727">
        <f>SUM(Profitability!AQ50:AQ54)</f>
        <v>17019846.76456818</v>
      </c>
      <c r="E4" s="728">
        <f t="shared" ref="E4:E26" si="1">D4/D$4</f>
        <v>1</v>
      </c>
      <c r="F4" s="727">
        <f>SUM(Profitability!AQ51:AQ54)</f>
        <v>13007374.596061908</v>
      </c>
      <c r="G4" s="728">
        <f t="shared" ref="G4:G26" si="2">F4/F$4</f>
        <v>1</v>
      </c>
      <c r="H4" s="727">
        <f>SUM(Profitability!AT60:AT62)</f>
        <v>8360234.8972761016</v>
      </c>
      <c r="I4" s="728">
        <f t="shared" ref="I4:I26" si="3">H4/H$4</f>
        <v>1</v>
      </c>
      <c r="M4">
        <v>1</v>
      </c>
      <c r="N4">
        <v>2</v>
      </c>
      <c r="O4">
        <v>3</v>
      </c>
      <c r="P4">
        <v>4</v>
      </c>
    </row>
    <row r="5" spans="1:16">
      <c r="A5" s="697" t="s">
        <v>443</v>
      </c>
      <c r="B5" s="699">
        <f>SUM('Cost Structure'!BA20:BE20)*365</f>
        <v>969422.11315389269</v>
      </c>
      <c r="C5" s="701">
        <f t="shared" si="0"/>
        <v>7.8011788746529268E-2</v>
      </c>
      <c r="D5" s="699">
        <f>SUM('Cost Structure'!BF20:BI20)*365</f>
        <v>1329059.6483938005</v>
      </c>
      <c r="E5" s="701">
        <f t="shared" si="1"/>
        <v>7.8088814005107809E-2</v>
      </c>
      <c r="F5" s="699">
        <f>SUM('Cost Structure'!BJ20:BM20)*365</f>
        <v>1413132.3119203979</v>
      </c>
      <c r="G5" s="701">
        <f t="shared" si="2"/>
        <v>0.10864085611467172</v>
      </c>
      <c r="H5" s="699">
        <f>SUM('Cost Structure'!BN20:BQ20)*365</f>
        <v>1380431.7294957936</v>
      </c>
      <c r="I5" s="701">
        <f t="shared" si="3"/>
        <v>0.16511877315140516</v>
      </c>
      <c r="L5" t="str">
        <f>'Cost Structure'!AZ20</f>
        <v>Flight Crew Cost</v>
      </c>
      <c r="M5">
        <f>SUM('Cost Structure'!BA20:BE20)*365</f>
        <v>969422.11315389269</v>
      </c>
      <c r="N5">
        <f>SUM('Cost Structure'!BF20:BI20)*365</f>
        <v>1329059.6483938005</v>
      </c>
      <c r="O5">
        <f>SUM('Cost Structure'!BJ20:BM20)*365</f>
        <v>1413132.3119203979</v>
      </c>
      <c r="P5">
        <f>SUM('Cost Structure'!BN20:BQ20)*365</f>
        <v>1380431.7294957936</v>
      </c>
    </row>
    <row r="6" spans="1:16">
      <c r="A6" s="697" t="s">
        <v>444</v>
      </c>
      <c r="B6" s="699">
        <f>SUM('Cost Structure'!BA21:BE21)*365</f>
        <v>1312899.8772711025</v>
      </c>
      <c r="C6" s="701">
        <f t="shared" si="0"/>
        <v>0.10565229169138866</v>
      </c>
      <c r="D6" s="699">
        <f>SUM('Cost Structure'!BF21:BI21)*365</f>
        <v>1799961.2610293261</v>
      </c>
      <c r="E6" s="701">
        <f t="shared" si="1"/>
        <v>0.10575660791356097</v>
      </c>
      <c r="F6" s="699">
        <f>SUM('Cost Structure'!BJ21:BM21)*365</f>
        <v>1913821.8673928641</v>
      </c>
      <c r="G6" s="701">
        <f t="shared" si="2"/>
        <v>0.14713360127048927</v>
      </c>
      <c r="H6" s="699">
        <f>SUM('Cost Structure'!BN21:BQ21)*365</f>
        <v>1869535.0803788141</v>
      </c>
      <c r="I6" s="701">
        <f t="shared" si="3"/>
        <v>0.22362231484523701</v>
      </c>
      <c r="L6" t="str">
        <f>'Cost Structure'!AZ21</f>
        <v>Direct Maintenance</v>
      </c>
      <c r="M6">
        <f>SUM('Cost Structure'!BA21:BE21)*365</f>
        <v>1312899.8772711025</v>
      </c>
      <c r="N6">
        <f>SUM('Cost Structure'!BF21:BI21)*365</f>
        <v>1799961.2610293261</v>
      </c>
      <c r="O6">
        <f>SUM('Cost Structure'!BJ21:BM21)*365</f>
        <v>1913821.8673928641</v>
      </c>
      <c r="P6">
        <f>SUM('Cost Structure'!BN21:BQ21)*365</f>
        <v>1869535.0803788141</v>
      </c>
    </row>
    <row r="7" spans="1:16">
      <c r="A7" s="697" t="s">
        <v>6</v>
      </c>
      <c r="B7" s="699">
        <f>SUM('Cost Structure'!BA22:BE22)*365</f>
        <v>3041269.3275487577</v>
      </c>
      <c r="C7" s="701">
        <f t="shared" si="0"/>
        <v>0.24473844477320003</v>
      </c>
      <c r="D7" s="699">
        <f>SUM('Cost Structure'!BF22:BI22)*365</f>
        <v>4747938.1072375067</v>
      </c>
      <c r="E7" s="701">
        <f t="shared" si="1"/>
        <v>0.27896479756337977</v>
      </c>
      <c r="F7" s="699">
        <f>SUM('Cost Structure'!BJ22:BM22)*365</f>
        <v>5099544.2357252622</v>
      </c>
      <c r="G7" s="701">
        <f t="shared" si="2"/>
        <v>0.39205023258645849</v>
      </c>
      <c r="H7" s="699">
        <f>SUM('Cost Structure'!BN22:BQ22)*365</f>
        <v>4962784.8575479267</v>
      </c>
      <c r="I7" s="701">
        <f t="shared" si="3"/>
        <v>0.59361787300556368</v>
      </c>
      <c r="L7" t="str">
        <f>'Cost Structure'!AZ22</f>
        <v>Fuel Cost</v>
      </c>
      <c r="M7">
        <f>SUM('Cost Structure'!BA22:BE22)*365</f>
        <v>3041269.3275487577</v>
      </c>
      <c r="N7">
        <f>SUM('Cost Structure'!BF22:BI22)*365</f>
        <v>4747938.1072375067</v>
      </c>
      <c r="O7">
        <f>SUM('Cost Structure'!BJ22:BM22)*365</f>
        <v>5099544.2357252622</v>
      </c>
      <c r="P7">
        <f>SUM('Cost Structure'!BN22:BQ22)*365</f>
        <v>4962784.8575479267</v>
      </c>
    </row>
    <row r="8" spans="1:16">
      <c r="A8" s="697" t="s">
        <v>22</v>
      </c>
      <c r="B8" s="699">
        <f>SUM('Cost Structure'!BA23:BE23)*365</f>
        <v>597231.24999999988</v>
      </c>
      <c r="C8" s="701">
        <f t="shared" si="0"/>
        <v>4.8060671894771825E-2</v>
      </c>
      <c r="D8" s="699">
        <f>SUM('Cost Structure'!BF23:BI23)*365</f>
        <v>477784.99999999994</v>
      </c>
      <c r="E8" s="701">
        <f t="shared" si="1"/>
        <v>2.8072226889530524E-2</v>
      </c>
      <c r="F8" s="699">
        <f>SUM('Cost Structure'!BJ23:BM23)*365</f>
        <v>477784.99999999994</v>
      </c>
      <c r="G8" s="701">
        <f t="shared" si="2"/>
        <v>3.673185518503122E-2</v>
      </c>
      <c r="H8" s="699">
        <f>SUM('Cost Structure'!BN23:BQ23)*365</f>
        <v>477784.99999999994</v>
      </c>
      <c r="I8" s="701">
        <f t="shared" si="3"/>
        <v>5.7149710010620629E-2</v>
      </c>
      <c r="L8" t="str">
        <f>'Cost Structure'!AZ23</f>
        <v>Terminal Navigation</v>
      </c>
      <c r="M8">
        <f>SUM('Cost Structure'!BA23:BE23)*365</f>
        <v>597231.24999999988</v>
      </c>
      <c r="N8">
        <f>SUM('Cost Structure'!BF23:BI23)*365</f>
        <v>477784.99999999994</v>
      </c>
      <c r="O8">
        <f>SUM('Cost Structure'!BJ23:BM23)*365</f>
        <v>477784.99999999994</v>
      </c>
      <c r="P8">
        <f>SUM('Cost Structure'!BN23:BQ23)*365</f>
        <v>477784.99999999994</v>
      </c>
    </row>
    <row r="9" spans="1:16">
      <c r="A9" s="697" t="s">
        <v>448</v>
      </c>
      <c r="B9" s="699">
        <f>SUM('Cost Structure'!BA25:BE25)*365</f>
        <v>66057.951119999998</v>
      </c>
      <c r="C9" s="701">
        <f t="shared" si="0"/>
        <v>5.315846273648935E-3</v>
      </c>
      <c r="D9" s="699">
        <f>SUM('Cost Structure'!BF25:BI25)*365</f>
        <v>46201.574439999997</v>
      </c>
      <c r="E9" s="701">
        <f t="shared" si="1"/>
        <v>2.7145705292824476E-3</v>
      </c>
      <c r="F9" s="699">
        <f>SUM('Cost Structure'!BJ25:BM25)*365</f>
        <v>53636.895270000001</v>
      </c>
      <c r="G9" s="701">
        <f t="shared" si="2"/>
        <v>4.1235758126193294E-3</v>
      </c>
      <c r="H9" s="699">
        <f>SUM('Cost Structure'!BN25:BQ25)*365</f>
        <v>42554.393699999993</v>
      </c>
      <c r="I9" s="701">
        <f t="shared" si="3"/>
        <v>5.0900954605790916E-3</v>
      </c>
      <c r="L9">
        <f>'Cost Structure'!AZ24</f>
        <v>0</v>
      </c>
      <c r="M9">
        <f>SUM('Cost Structure'!BA24:BE24)*365</f>
        <v>0</v>
      </c>
      <c r="N9">
        <f>SUM('Cost Structure'!BF24:BI24)*365</f>
        <v>0</v>
      </c>
      <c r="O9">
        <f>SUM('Cost Structure'!BJ24:BM24)*365</f>
        <v>0</v>
      </c>
      <c r="P9">
        <f>SUM('Cost Structure'!BN24:BQ24)*365</f>
        <v>0</v>
      </c>
    </row>
    <row r="10" spans="1:16">
      <c r="A10" s="697" t="s">
        <v>446</v>
      </c>
      <c r="B10" s="699">
        <f>SUM('Cost Structure'!BA26:BE26)*365</f>
        <v>237870.49999999997</v>
      </c>
      <c r="C10" s="701">
        <f t="shared" si="0"/>
        <v>1.9142025896912329E-2</v>
      </c>
      <c r="D10" s="699">
        <f>SUM('Cost Structure'!BF26:BI26)*365</f>
        <v>421370.59999999992</v>
      </c>
      <c r="E10" s="701">
        <f t="shared" si="1"/>
        <v>2.4757602452520715E-2</v>
      </c>
      <c r="F10" s="699">
        <f>SUM('Cost Structure'!BJ26:BM26)*365</f>
        <v>462148.39999999997</v>
      </c>
      <c r="G10" s="701">
        <f t="shared" si="2"/>
        <v>3.5529721742612014E-2</v>
      </c>
      <c r="H10" s="699">
        <f>SUM('Cost Structure'!BN26:BQ26)*365</f>
        <v>441759.5</v>
      </c>
      <c r="I10" s="701">
        <f t="shared" si="3"/>
        <v>5.2840560753135334E-2</v>
      </c>
      <c r="L10" t="str">
        <f>'Cost Structure'!AZ25</f>
        <v>Landing Fees</v>
      </c>
      <c r="M10">
        <f>SUM('Cost Structure'!BA25:BE25)*365</f>
        <v>66057.951119999998</v>
      </c>
      <c r="N10">
        <f>SUM('Cost Structure'!BF25:BI25)*365</f>
        <v>46201.574439999997</v>
      </c>
      <c r="O10">
        <f>SUM('Cost Structure'!BJ25:BM25)*365</f>
        <v>53636.895270000001</v>
      </c>
      <c r="P10">
        <f>SUM('Cost Structure'!BN25:BQ25)*365</f>
        <v>42554.393699999993</v>
      </c>
    </row>
    <row r="11" spans="1:16">
      <c r="A11" s="697" t="s">
        <v>445</v>
      </c>
      <c r="B11" s="699">
        <f>SUM('Cost Structure'!BA27:BE27)*365</f>
        <v>987746.07469543384</v>
      </c>
      <c r="C11" s="701">
        <f t="shared" si="0"/>
        <v>7.9486363132013002E-2</v>
      </c>
      <c r="D11" s="699">
        <f>SUM('Cost Structure'!BF27:BI27)*365</f>
        <v>517586.63875315821</v>
      </c>
      <c r="E11" s="701">
        <f t="shared" si="1"/>
        <v>3.0410769609904312E-2</v>
      </c>
      <c r="F11" s="699">
        <f>SUM('Cost Structure'!BJ27:BM27)*365</f>
        <v>604488.93451085757</v>
      </c>
      <c r="G11" s="701">
        <f t="shared" si="2"/>
        <v>4.6472785883622643E-2</v>
      </c>
      <c r="H11" s="699">
        <f>SUM('Cost Structure'!BN27:BQ27)*365</f>
        <v>451931.42980146647</v>
      </c>
      <c r="I11" s="701">
        <f t="shared" si="3"/>
        <v>5.4057264581012308E-2</v>
      </c>
      <c r="L11" t="str">
        <f>'Cost Structure'!AZ26</f>
        <v>Navigation En Route</v>
      </c>
      <c r="M11">
        <f>SUM('Cost Structure'!BA26:BE26)*365</f>
        <v>237870.49999999997</v>
      </c>
      <c r="N11">
        <f>SUM('Cost Structure'!BF26:BI26)*365</f>
        <v>421370.59999999992</v>
      </c>
      <c r="O11">
        <f>SUM('Cost Structure'!BJ26:BM26)*365</f>
        <v>462148.39999999997</v>
      </c>
      <c r="P11">
        <f>SUM('Cost Structure'!BN26:BQ26)*365</f>
        <v>441759.5</v>
      </c>
    </row>
    <row r="12" spans="1:16">
      <c r="A12" s="697" t="s">
        <v>450</v>
      </c>
      <c r="B12" s="699">
        <f>SUM('Cost Structure'!BA28:BE28)*365</f>
        <v>24699.491599999998</v>
      </c>
      <c r="C12" s="701">
        <f t="shared" si="0"/>
        <v>1.9876290159888199E-3</v>
      </c>
      <c r="D12" s="699">
        <f>SUM('Cost Structure'!BF28:BI28)*365</f>
        <v>19615.309874999999</v>
      </c>
      <c r="E12" s="701">
        <f t="shared" si="1"/>
        <v>1.1524962678180534E-3</v>
      </c>
      <c r="F12" s="699">
        <f>SUM('Cost Structure'!BJ28:BM28)*365</f>
        <v>22936.873749999999</v>
      </c>
      <c r="G12" s="701">
        <f t="shared" si="2"/>
        <v>1.7633745826728423E-3</v>
      </c>
      <c r="H12" s="699">
        <f>SUM('Cost Structure'!BN28:BQ28)*365</f>
        <v>16853.36765</v>
      </c>
      <c r="I12" s="701">
        <f t="shared" si="3"/>
        <v>2.0158964260072521E-3</v>
      </c>
      <c r="L12" t="str">
        <f>'Cost Structure'!AZ27</f>
        <v>Ground Handling</v>
      </c>
      <c r="M12">
        <f>SUM('Cost Structure'!BA27:BE27)*365</f>
        <v>987746.07469543384</v>
      </c>
      <c r="N12">
        <f>SUM('Cost Structure'!BF27:BI27)*365</f>
        <v>517586.63875315821</v>
      </c>
      <c r="O12">
        <f>SUM('Cost Structure'!BJ27:BM27)*365</f>
        <v>604488.93451085757</v>
      </c>
      <c r="P12">
        <f>SUM('Cost Structure'!BN27:BQ27)*365</f>
        <v>451931.42980146647</v>
      </c>
    </row>
    <row r="13" spans="1:16">
      <c r="A13" s="724" t="s">
        <v>754</v>
      </c>
      <c r="B13" s="725">
        <f>SUM(B5:B12)</f>
        <v>7237196.5853891876</v>
      </c>
      <c r="C13" s="721">
        <f t="shared" si="0"/>
        <v>0.58239506142445296</v>
      </c>
      <c r="D13" s="725">
        <f>SUM(D5:D12)</f>
        <v>9359518.139728792</v>
      </c>
      <c r="E13" s="721">
        <f t="shared" si="1"/>
        <v>0.54991788523110463</v>
      </c>
      <c r="F13" s="725">
        <f>SUM(F5:F12)</f>
        <v>10047494.51856938</v>
      </c>
      <c r="G13" s="721">
        <f t="shared" si="2"/>
        <v>0.77244600317817735</v>
      </c>
      <c r="H13" s="725">
        <f>SUM(H5:H12)</f>
        <v>9643635.3585740011</v>
      </c>
      <c r="I13" s="721">
        <f t="shared" si="3"/>
        <v>1.1535124882335606</v>
      </c>
      <c r="L13" t="str">
        <f>'Cost Structure'!AZ28</f>
        <v>Parking Fees</v>
      </c>
      <c r="M13">
        <f>SUM('Cost Structure'!BA28:BE28)*365</f>
        <v>24699.491599999998</v>
      </c>
      <c r="N13">
        <f>SUM('Cost Structure'!BF28:BI28)*365</f>
        <v>19615.309874999999</v>
      </c>
      <c r="O13">
        <f>SUM('Cost Structure'!BJ28:BM28)*365</f>
        <v>22936.873749999999</v>
      </c>
      <c r="P13">
        <f>SUM('Cost Structure'!BN28:BQ28)*365</f>
        <v>16853.36765</v>
      </c>
    </row>
    <row r="14" spans="1:16">
      <c r="A14" s="726" t="s">
        <v>755</v>
      </c>
      <c r="B14" s="727">
        <f>B4-B13</f>
        <v>5189413.9145145472</v>
      </c>
      <c r="C14" s="728">
        <f t="shared" si="0"/>
        <v>0.41760493857554704</v>
      </c>
      <c r="D14" s="727">
        <f>D4-D13</f>
        <v>7660328.6248393878</v>
      </c>
      <c r="E14" s="728">
        <f t="shared" si="1"/>
        <v>0.45008211476889537</v>
      </c>
      <c r="F14" s="727">
        <f>F4-F13</f>
        <v>2959880.0774925277</v>
      </c>
      <c r="G14" s="728">
        <f t="shared" si="2"/>
        <v>0.22755399682182262</v>
      </c>
      <c r="H14" s="727">
        <f>H4-H13</f>
        <v>-1283400.4612978995</v>
      </c>
      <c r="I14" s="728">
        <f t="shared" si="3"/>
        <v>-0.15351248823356051</v>
      </c>
      <c r="L14" t="str">
        <f>'Cost Structure'!AZ29</f>
        <v>OTHER INDIRECT COST  ($)</v>
      </c>
      <c r="M14">
        <f>SUM('Cost Structure'!BA29:BE29)*365</f>
        <v>0</v>
      </c>
      <c r="N14">
        <f>SUM('Cost Structure'!BF29:BI29)*365</f>
        <v>0</v>
      </c>
      <c r="O14">
        <f>SUM('Cost Structure'!BJ29:BM29)*365</f>
        <v>0</v>
      </c>
      <c r="P14">
        <f>SUM('Cost Structure'!BN29:BQ29)*365</f>
        <v>0</v>
      </c>
    </row>
    <row r="15" spans="1:16">
      <c r="A15" s="729" t="s">
        <v>458</v>
      </c>
      <c r="B15" s="730">
        <f>SUM('Cost Structure'!BA30:BE30)*365</f>
        <v>93765.29051494936</v>
      </c>
      <c r="C15" s="722">
        <f t="shared" si="0"/>
        <v>7.5455242212408387E-3</v>
      </c>
      <c r="D15" s="730">
        <f>SUM('Cost Structure'!BF30:BI30)*365</f>
        <v>95177.696253073955</v>
      </c>
      <c r="E15" s="722">
        <f t="shared" si="1"/>
        <v>5.5921594106954206E-3</v>
      </c>
      <c r="F15" s="730">
        <f>SUM('Cost Structure'!BJ30:BM30)*365</f>
        <v>93911.74159035481</v>
      </c>
      <c r="G15" s="722">
        <f t="shared" si="2"/>
        <v>7.2198844506859506E-3</v>
      </c>
      <c r="H15" s="730">
        <f>SUM('Cost Structure'!BN30:BQ30)*365</f>
        <v>94134.810942904442</v>
      </c>
      <c r="I15" s="722">
        <f t="shared" si="3"/>
        <v>1.1259828473668253E-2</v>
      </c>
      <c r="L15" t="str">
        <f>'Cost Structure'!AZ30</f>
        <v>General Admission Airplane</v>
      </c>
      <c r="M15">
        <f>SUM('Cost Structure'!BA30:BE30)*365</f>
        <v>93765.29051494936</v>
      </c>
      <c r="N15">
        <f>SUM('Cost Structure'!BF30:BI30)*365</f>
        <v>95177.696253073955</v>
      </c>
      <c r="O15">
        <f>SUM('Cost Structure'!BJ30:BM30)*365</f>
        <v>93911.74159035481</v>
      </c>
      <c r="P15">
        <f>SUM('Cost Structure'!BN30:BQ30)*365</f>
        <v>94134.810942904442</v>
      </c>
    </row>
    <row r="16" spans="1:16">
      <c r="A16" s="697" t="s">
        <v>461</v>
      </c>
      <c r="B16" s="699">
        <f>SUM('Cost Structure'!BA31:BE31)*365</f>
        <v>297369.12445000006</v>
      </c>
      <c r="C16" s="701">
        <f t="shared" si="0"/>
        <v>2.3930026973349144E-2</v>
      </c>
      <c r="D16" s="699">
        <f>SUM('Cost Structure'!BF31:BI31)*365</f>
        <v>237895.29956000001</v>
      </c>
      <c r="E16" s="701">
        <f t="shared" si="1"/>
        <v>1.3977522997166408E-2</v>
      </c>
      <c r="F16" s="699">
        <f>SUM('Cost Structure'!BJ31:BM31)*365</f>
        <v>237895.29956000001</v>
      </c>
      <c r="G16" s="701">
        <f t="shared" si="2"/>
        <v>1.8289263356190636E-2</v>
      </c>
      <c r="H16" s="699">
        <f>SUM('Cost Structure'!BN31:BQ31)*365</f>
        <v>237895.29956000001</v>
      </c>
      <c r="I16" s="701">
        <f t="shared" si="3"/>
        <v>2.8455576007500712E-2</v>
      </c>
      <c r="L16" t="str">
        <f>'Cost Structure'!AZ31</f>
        <v>GPE Maintenance &amp; Overhead</v>
      </c>
      <c r="M16">
        <f>SUM('Cost Structure'!BA31:BE31)*365</f>
        <v>297369.12445000006</v>
      </c>
      <c r="N16">
        <f>SUM('Cost Structure'!BF31:BI31)*365</f>
        <v>237895.29956000001</v>
      </c>
      <c r="O16">
        <f>SUM('Cost Structure'!BJ31:BM31)*365</f>
        <v>237895.29956000001</v>
      </c>
      <c r="P16">
        <f>SUM('Cost Structure'!BN31:BQ31)*365</f>
        <v>237895.29956000001</v>
      </c>
    </row>
    <row r="17" spans="1:16">
      <c r="A17" s="697" t="s">
        <v>463</v>
      </c>
      <c r="B17" s="699">
        <f>SUM('Cost Structure'!BA32:BE32)*365</f>
        <v>397535.56637000007</v>
      </c>
      <c r="C17" s="701">
        <f t="shared" si="0"/>
        <v>3.1990667638056226E-2</v>
      </c>
      <c r="D17" s="699">
        <f>SUM('Cost Structure'!BF32:BI32)*365</f>
        <v>318028.45309600001</v>
      </c>
      <c r="E17" s="701">
        <f t="shared" si="1"/>
        <v>1.8685741269896146E-2</v>
      </c>
      <c r="F17" s="699">
        <f>SUM('Cost Structure'!BJ32:BM32)*365</f>
        <v>318028.45309600001</v>
      </c>
      <c r="G17" s="701">
        <f t="shared" si="2"/>
        <v>2.4449857328802217E-2</v>
      </c>
      <c r="H17" s="699">
        <f>SUM('Cost Structure'!BN32:BQ32)*365</f>
        <v>318028.45309600001</v>
      </c>
      <c r="I17" s="701">
        <f t="shared" si="3"/>
        <v>3.8040612136343056E-2</v>
      </c>
      <c r="L17" t="str">
        <f>'Cost Structure'!AZ32</f>
        <v>GPE Depreciation &amp; Amortization</v>
      </c>
      <c r="M17">
        <f>SUM('Cost Structure'!BA32:BE32)*365</f>
        <v>397535.56637000007</v>
      </c>
      <c r="N17">
        <f>SUM('Cost Structure'!BF32:BI32)*365</f>
        <v>318028.45309600001</v>
      </c>
      <c r="O17">
        <f>SUM('Cost Structure'!BJ32:BM32)*365</f>
        <v>318028.45309600001</v>
      </c>
      <c r="P17">
        <f>SUM('Cost Structure'!BN32:BQ32)*365</f>
        <v>318028.45309600001</v>
      </c>
    </row>
    <row r="18" spans="1:16">
      <c r="A18" s="697" t="s">
        <v>466</v>
      </c>
      <c r="B18" s="699">
        <f>SUM('Cost Structure'!BA34:BE34)*365</f>
        <v>1570000.7800048189</v>
      </c>
      <c r="C18" s="701">
        <f t="shared" si="0"/>
        <v>0.12634183553246328</v>
      </c>
      <c r="D18" s="699">
        <f>SUM('Cost Structure'!BF34:BI34)*365</f>
        <v>2152441.8066580161</v>
      </c>
      <c r="E18" s="701">
        <f t="shared" si="1"/>
        <v>0.1264665796603385</v>
      </c>
      <c r="F18" s="699">
        <f>SUM('Cost Structure'!BJ34:BM34)*365</f>
        <v>2288599.3643646529</v>
      </c>
      <c r="G18" s="701">
        <f t="shared" si="2"/>
        <v>0.17594629473172438</v>
      </c>
      <c r="H18" s="699">
        <f>SUM('Cost Structure'!BN34:BQ34)*365</f>
        <v>2235640.0402305946</v>
      </c>
      <c r="I18" s="701">
        <f t="shared" si="3"/>
        <v>0.26741354372219878</v>
      </c>
      <c r="L18" t="str">
        <f>'Cost Structure'!AZ33</f>
        <v>Marketing Cost</v>
      </c>
      <c r="M18">
        <f>SUM('Cost Structure'!BA33:BE33)*365</f>
        <v>52007.868683627232</v>
      </c>
      <c r="N18">
        <f>SUM('Cost Structure'!BF33:BI33)*365</f>
        <v>42197.293454670275</v>
      </c>
      <c r="O18">
        <f>SUM('Cost Structure'!BJ33:BM33)*365</f>
        <v>41606.294946901784</v>
      </c>
      <c r="P18">
        <f>SUM('Cost Structure'!BN33:BQ33)*365</f>
        <v>41723.166561921171</v>
      </c>
    </row>
    <row r="19" spans="1:16">
      <c r="A19" s="724" t="s">
        <v>756</v>
      </c>
      <c r="B19" s="725">
        <f>SUM(B15:B18)</f>
        <v>2358670.7613397683</v>
      </c>
      <c r="C19" s="721">
        <f t="shared" si="0"/>
        <v>0.18980805436510947</v>
      </c>
      <c r="D19" s="725">
        <f>SUM(D15:D18)</f>
        <v>2803543.2555670901</v>
      </c>
      <c r="E19" s="721">
        <f t="shared" si="1"/>
        <v>0.16472200333809647</v>
      </c>
      <c r="F19" s="725">
        <f>SUM(F15:F18)</f>
        <v>2938434.8586110077</v>
      </c>
      <c r="G19" s="721">
        <f t="shared" si="2"/>
        <v>0.22590529986740318</v>
      </c>
      <c r="H19" s="725">
        <f>SUM(H15:H18)</f>
        <v>2885698.6038294993</v>
      </c>
      <c r="I19" s="721">
        <f t="shared" si="3"/>
        <v>0.3451695603397108</v>
      </c>
      <c r="L19" t="str">
        <f>'Cost Structure'!AZ34</f>
        <v>Maintenance Overhead</v>
      </c>
      <c r="M19">
        <f>SUM('Cost Structure'!BA34:BE34)*365</f>
        <v>1570000.7800048189</v>
      </c>
      <c r="N19">
        <f>SUM('Cost Structure'!BF34:BI34)*365</f>
        <v>2152441.8066580161</v>
      </c>
      <c r="O19">
        <f>SUM('Cost Structure'!BJ34:BM34)*365</f>
        <v>2288599.3643646529</v>
      </c>
      <c r="P19">
        <f>SUM('Cost Structure'!BN34:BQ34)*365</f>
        <v>2235640.0402305946</v>
      </c>
    </row>
    <row r="20" spans="1:16">
      <c r="A20" s="726" t="s">
        <v>757</v>
      </c>
      <c r="B20" s="727">
        <f>B14-B19</f>
        <v>2830743.1531747789</v>
      </c>
      <c r="C20" s="728">
        <f t="shared" si="0"/>
        <v>0.22779688421043759</v>
      </c>
      <c r="D20" s="727">
        <f>D14-D19</f>
        <v>4856785.3692722972</v>
      </c>
      <c r="E20" s="728">
        <f t="shared" si="1"/>
        <v>0.28536011143079887</v>
      </c>
      <c r="F20" s="727">
        <f>F14-F19</f>
        <v>21445.218881519977</v>
      </c>
      <c r="G20" s="728">
        <f t="shared" si="2"/>
        <v>1.6486969544194335E-3</v>
      </c>
      <c r="H20" s="727">
        <f>H14-H19</f>
        <v>-4169099.0651273988</v>
      </c>
      <c r="I20" s="728">
        <f t="shared" si="3"/>
        <v>-0.49868204857327131</v>
      </c>
      <c r="L20" t="str">
        <f>'Cost Structure'!AZ35</f>
        <v>Crew &amp; Technician Accomodation Cost</v>
      </c>
      <c r="M20" t="e">
        <f>SUM('Cost Structure'!BA35:BE35)*365</f>
        <v>#REF!</v>
      </c>
      <c r="N20" t="e">
        <f>SUM('Cost Structure'!BF35:BI35)*365</f>
        <v>#REF!</v>
      </c>
      <c r="O20" t="e">
        <f>SUM('Cost Structure'!BJ35:BM35)*365</f>
        <v>#REF!</v>
      </c>
      <c r="P20" t="e">
        <f>SUM('Cost Structure'!BN35:BQ35)*365</f>
        <v>#REF!</v>
      </c>
    </row>
    <row r="21" spans="1:16">
      <c r="A21" s="729" t="s">
        <v>472</v>
      </c>
      <c r="B21" s="730">
        <f>SUM('Cost Structure'!BA38:BE38)*365</f>
        <v>0</v>
      </c>
      <c r="C21" s="722">
        <f t="shared" si="0"/>
        <v>0</v>
      </c>
      <c r="D21" s="730">
        <f>SUM('Cost Structure'!BF38:BI38)*365</f>
        <v>0</v>
      </c>
      <c r="E21" s="722">
        <f t="shared" si="1"/>
        <v>0</v>
      </c>
      <c r="F21" s="730">
        <f>SUM('Cost Structure'!BJ38:BM38)*365</f>
        <v>0</v>
      </c>
      <c r="G21" s="722">
        <f t="shared" si="2"/>
        <v>0</v>
      </c>
      <c r="H21" s="730">
        <f>SUM('Cost Structure'!BN38:BQ38)*365</f>
        <v>0</v>
      </c>
      <c r="I21" s="722">
        <f t="shared" si="3"/>
        <v>0</v>
      </c>
      <c r="L21" t="str">
        <f>'Cost Structure'!AZ36</f>
        <v>Warehouse lease</v>
      </c>
      <c r="M21">
        <f>SUM('Cost Structure'!BA36:BE36)*365</f>
        <v>1966.1710838181425</v>
      </c>
      <c r="N21">
        <f>SUM('Cost Structure'!BF36:BI36)*365</f>
        <v>957.16783216783222</v>
      </c>
      <c r="O21">
        <f>SUM('Cost Structure'!BJ36:BM36)*365</f>
        <v>1572.9368670545141</v>
      </c>
      <c r="P21">
        <f>SUM('Cost Structure'!BN36:BQ36)*365</f>
        <v>1572.9368670545141</v>
      </c>
    </row>
    <row r="22" spans="1:16">
      <c r="A22" s="697" t="s">
        <v>56</v>
      </c>
      <c r="B22" s="699">
        <f>SUM('Cost Structure'!BA39:BE39)*365</f>
        <v>429411.76470588229</v>
      </c>
      <c r="C22" s="721">
        <f t="shared" si="0"/>
        <v>3.4555823948067645E-2</v>
      </c>
      <c r="D22" s="699">
        <f>SUM('Cost Structure'!BF39:BI39)*365</f>
        <v>435511.36363636359</v>
      </c>
      <c r="E22" s="701">
        <f t="shared" si="1"/>
        <v>2.5588442108833123E-2</v>
      </c>
      <c r="F22" s="699">
        <f>SUM('Cost Structure'!BJ39:BM39)*365</f>
        <v>429411.76470588229</v>
      </c>
      <c r="G22" s="701">
        <f t="shared" si="2"/>
        <v>3.3012946735299704E-2</v>
      </c>
      <c r="H22" s="699">
        <f>SUM('Cost Structure'!BN39:BQ39)*365</f>
        <v>430617.97752808983</v>
      </c>
      <c r="I22" s="701">
        <f t="shared" si="3"/>
        <v>5.1507880199441775E-2</v>
      </c>
      <c r="L22" t="str">
        <f>'Cost Structure'!AZ37</f>
        <v>OWNERSHIP COST ($)</v>
      </c>
      <c r="M22">
        <f>SUM('Cost Structure'!BA37:BE37)*365</f>
        <v>0</v>
      </c>
      <c r="N22">
        <f>SUM('Cost Structure'!BF37:BI37)*365</f>
        <v>0</v>
      </c>
      <c r="O22">
        <f>SUM('Cost Structure'!BJ37:BM37)*365</f>
        <v>0</v>
      </c>
      <c r="P22">
        <f>SUM('Cost Structure'!BN37:BQ37)*365</f>
        <v>0</v>
      </c>
    </row>
    <row r="23" spans="1:16">
      <c r="A23" s="698" t="s">
        <v>50</v>
      </c>
      <c r="B23" s="719">
        <f>SUM('Cost Structure'!BA40:BE40)*365</f>
        <v>1633989.1778069113</v>
      </c>
      <c r="C23" s="723">
        <f t="shared" si="0"/>
        <v>0.13149113974559429</v>
      </c>
      <c r="D23" s="720">
        <f>SUM('Cost Structure'!BF40:BI40)*365</f>
        <v>1208768.6223168636</v>
      </c>
      <c r="E23" s="701">
        <f t="shared" si="1"/>
        <v>7.1021122518756821E-2</v>
      </c>
      <c r="F23" s="699">
        <f>SUM('Cost Structure'!BJ40:BM40)*365</f>
        <v>1120932.0091673033</v>
      </c>
      <c r="G23" s="701">
        <f t="shared" si="2"/>
        <v>8.6176653166171971E-2</v>
      </c>
      <c r="H23" s="699">
        <f>SUM('Cost Structure'!BN40:BQ40)*365</f>
        <v>1150708.6636628073</v>
      </c>
      <c r="I23" s="701">
        <f t="shared" si="3"/>
        <v>0.13764070959749308</v>
      </c>
      <c r="L23" t="str">
        <f>'Cost Structure'!AZ38</f>
        <v>Interest</v>
      </c>
      <c r="M23">
        <f>SUM('Cost Structure'!BA38:BE38)*365</f>
        <v>0</v>
      </c>
      <c r="N23">
        <f>SUM('Cost Structure'!BF38:BI38)*365</f>
        <v>0</v>
      </c>
      <c r="O23">
        <f>SUM('Cost Structure'!BJ38:BM38)*365</f>
        <v>0</v>
      </c>
      <c r="P23">
        <f>SUM('Cost Structure'!BN38:BQ38)*365</f>
        <v>0</v>
      </c>
    </row>
    <row r="24" spans="1:16">
      <c r="A24" s="698" t="s">
        <v>473</v>
      </c>
      <c r="B24" s="699">
        <f>SUM('Cost Structure'!BA41:BE41)*365</f>
        <v>3005882.3529411769</v>
      </c>
      <c r="C24" s="722">
        <f t="shared" si="0"/>
        <v>0.24189076763647355</v>
      </c>
      <c r="D24" s="699">
        <f>SUM('Cost Structure'!BF41:BI41)*365</f>
        <v>3048579.5454545459</v>
      </c>
      <c r="E24" s="701">
        <f t="shared" si="1"/>
        <v>0.17911909476183191</v>
      </c>
      <c r="F24" s="699">
        <f>SUM('Cost Structure'!BJ41:BM41)*365</f>
        <v>3005882.3529411769</v>
      </c>
      <c r="G24" s="701">
        <f t="shared" si="2"/>
        <v>0.23109062714709799</v>
      </c>
      <c r="H24" s="699">
        <f>SUM('Cost Structure'!BN41:BQ41)*365</f>
        <v>3014325.8426966295</v>
      </c>
      <c r="I24" s="701">
        <f t="shared" si="3"/>
        <v>0.36055516139609251</v>
      </c>
      <c r="L24" t="str">
        <f>'Cost Structure'!AZ39</f>
        <v>Insurance</v>
      </c>
      <c r="M24">
        <f>SUM('Cost Structure'!BA39:BE39)*365</f>
        <v>429411.76470588229</v>
      </c>
      <c r="N24">
        <f>SUM('Cost Structure'!BF39:BI39)*365</f>
        <v>435511.36363636359</v>
      </c>
      <c r="O24">
        <f>SUM('Cost Structure'!BJ39:BM39)*365</f>
        <v>429411.76470588229</v>
      </c>
      <c r="P24">
        <f>SUM('Cost Structure'!BN39:BQ39)*365</f>
        <v>430617.97752808983</v>
      </c>
    </row>
    <row r="25" spans="1:16">
      <c r="A25" s="724" t="s">
        <v>758</v>
      </c>
      <c r="B25" s="725">
        <f>SUM(B21:B24)</f>
        <v>5069283.2954539703</v>
      </c>
      <c r="C25" s="721">
        <f t="shared" si="0"/>
        <v>0.4079377313301355</v>
      </c>
      <c r="D25" s="725">
        <f>SUM(D21:D24)</f>
        <v>4692859.5314077735</v>
      </c>
      <c r="E25" s="721">
        <f t="shared" si="1"/>
        <v>0.27572865938942187</v>
      </c>
      <c r="F25" s="725">
        <f>SUM(F21:F24)</f>
        <v>4556226.1268143626</v>
      </c>
      <c r="G25" s="721">
        <f t="shared" si="2"/>
        <v>0.3502802270485697</v>
      </c>
      <c r="H25" s="725">
        <f>SUM(H21:H24)</f>
        <v>4595652.4838875271</v>
      </c>
      <c r="I25" s="721">
        <f t="shared" si="3"/>
        <v>0.54970375119302739</v>
      </c>
      <c r="L25" t="str">
        <f>'Cost Structure'!AZ40</f>
        <v>Depreciation</v>
      </c>
      <c r="M25">
        <f>SUM('Cost Structure'!BA40:BE40)*365</f>
        <v>1633989.1778069113</v>
      </c>
      <c r="N25">
        <f>SUM('Cost Structure'!BF40:BI40)*365</f>
        <v>1208768.6223168636</v>
      </c>
      <c r="O25">
        <f>SUM('Cost Structure'!BJ40:BM40)*365</f>
        <v>1120932.0091673033</v>
      </c>
      <c r="P25">
        <f>SUM('Cost Structure'!BN40:BQ40)*365</f>
        <v>1150708.6636628073</v>
      </c>
    </row>
    <row r="26" spans="1:16">
      <c r="A26" s="726" t="s">
        <v>759</v>
      </c>
      <c r="B26" s="727">
        <f>B20-B25</f>
        <v>-2238540.1422791914</v>
      </c>
      <c r="C26" s="728">
        <f t="shared" si="0"/>
        <v>-0.18014084711969791</v>
      </c>
      <c r="D26" s="727">
        <f>D20-D25</f>
        <v>163925.83786452375</v>
      </c>
      <c r="E26" s="728">
        <f t="shared" si="1"/>
        <v>9.6314520413769908E-3</v>
      </c>
      <c r="F26" s="727">
        <f>F20-F25</f>
        <v>-4534780.9079328422</v>
      </c>
      <c r="G26" s="728">
        <f t="shared" si="2"/>
        <v>-0.34863153009415021</v>
      </c>
      <c r="H26" s="727">
        <f>H20-H25</f>
        <v>-8764751.549014926</v>
      </c>
      <c r="I26" s="728">
        <f t="shared" si="3"/>
        <v>-1.0483857997662986</v>
      </c>
      <c r="L26" t="str">
        <f>'Cost Structure'!AZ41</f>
        <v>Lease</v>
      </c>
      <c r="M26">
        <f>SUM('Cost Structure'!BA41:BE41)*365</f>
        <v>3005882.3529411769</v>
      </c>
      <c r="N26">
        <f>SUM('Cost Structure'!BF41:BI41)*365</f>
        <v>3048579.5454545459</v>
      </c>
      <c r="O26">
        <f>SUM('Cost Structure'!BJ41:BM41)*365</f>
        <v>3005882.3529411769</v>
      </c>
      <c r="P26">
        <f>SUM('Cost Structure'!BN41:BQ41)*365</f>
        <v>3014325.8426966295</v>
      </c>
    </row>
    <row r="27" spans="1:16">
      <c r="A27" s="775" t="s">
        <v>348</v>
      </c>
      <c r="B27" t="s">
        <v>760</v>
      </c>
      <c r="L27" t="str">
        <f>'Cost Structure'!AZ42</f>
        <v>TOTAL</v>
      </c>
      <c r="M27">
        <f>SUM('Cost Structure'!BA42:BE42)*365</f>
        <v>0</v>
      </c>
      <c r="N27">
        <f>SUM('Cost Structure'!BF42:BI42)*365</f>
        <v>0</v>
      </c>
      <c r="O27">
        <f>SUM('Cost Structure'!BJ42:BM42)*365</f>
        <v>0</v>
      </c>
      <c r="P27">
        <f>SUM('Cost Structure'!BN42:BQ42)*365</f>
        <v>0</v>
      </c>
    </row>
    <row r="28" spans="1:16">
      <c r="A28" s="775" t="s">
        <v>761</v>
      </c>
      <c r="B28" t="s">
        <v>762</v>
      </c>
      <c r="L28" t="str">
        <f>'Cost Structure'!AZ43</f>
        <v xml:space="preserve">Total Operating Cost / Trip </v>
      </c>
      <c r="M28" t="e">
        <f>SUM('Cost Structure'!BA43:BE43)*365</f>
        <v>#REF!</v>
      </c>
      <c r="N28" t="e">
        <f>SUM('Cost Structure'!BF43:BI43)*365</f>
        <v>#REF!</v>
      </c>
      <c r="O28" t="e">
        <f>SUM('Cost Structure'!BJ43:BM43)*365</f>
        <v>#REF!</v>
      </c>
      <c r="P28" t="e">
        <f>SUM('Cost Structure'!BN43:BQ43)*365</f>
        <v>#REF!</v>
      </c>
    </row>
    <row r="29" spans="1:16">
      <c r="A29" s="774" t="s">
        <v>763</v>
      </c>
      <c r="B29" t="s">
        <v>764</v>
      </c>
    </row>
    <row r="30" spans="1:16">
      <c r="A30" s="775" t="s">
        <v>765</v>
      </c>
      <c r="B30" t="s">
        <v>766</v>
      </c>
    </row>
    <row r="31" spans="1:16">
      <c r="A31" s="775" t="s">
        <v>767</v>
      </c>
    </row>
    <row r="32" spans="1:16">
      <c r="A32" s="775" t="s">
        <v>768</v>
      </c>
    </row>
    <row r="33" spans="1:46">
      <c r="A33" s="775" t="s">
        <v>769</v>
      </c>
    </row>
    <row r="34" spans="1:46">
      <c r="A34" s="775" t="s">
        <v>770</v>
      </c>
    </row>
    <row r="35" spans="1:46">
      <c r="A35" s="775" t="s">
        <v>771</v>
      </c>
    </row>
    <row r="41" spans="1:46">
      <c r="A41" s="710" t="s">
        <v>772</v>
      </c>
      <c r="B41" s="709"/>
      <c r="C41" s="709"/>
      <c r="D41" s="709"/>
      <c r="E41" s="709"/>
      <c r="F41" s="709"/>
      <c r="G41" s="709"/>
      <c r="H41" s="709"/>
      <c r="I41" s="709"/>
      <c r="J41" s="709"/>
      <c r="K41" s="709"/>
      <c r="R41" s="710" t="s">
        <v>772</v>
      </c>
      <c r="S41" s="709"/>
      <c r="T41" s="709"/>
      <c r="U41" s="709"/>
      <c r="V41" s="709"/>
      <c r="W41" s="709"/>
      <c r="X41" s="709"/>
      <c r="Y41" s="709"/>
      <c r="Z41" s="709"/>
      <c r="AA41" s="709"/>
      <c r="AB41" s="709"/>
    </row>
    <row r="42" spans="1:46">
      <c r="A42" s="297"/>
      <c r="B42" s="716">
        <v>2023</v>
      </c>
      <c r="C42" s="714">
        <v>2024</v>
      </c>
      <c r="D42" s="715">
        <v>2025</v>
      </c>
      <c r="E42" s="712">
        <v>2026</v>
      </c>
      <c r="F42" s="715">
        <v>2027</v>
      </c>
      <c r="G42" s="712">
        <v>2028</v>
      </c>
      <c r="H42" s="715">
        <v>2029</v>
      </c>
      <c r="I42" s="712">
        <v>2030</v>
      </c>
      <c r="J42" s="715">
        <v>2031</v>
      </c>
      <c r="K42" s="712">
        <v>2032</v>
      </c>
      <c r="R42" s="297"/>
      <c r="S42" s="716">
        <v>2023</v>
      </c>
      <c r="T42" s="714">
        <v>2024</v>
      </c>
      <c r="U42" s="715">
        <v>2025</v>
      </c>
      <c r="V42" s="712">
        <v>2026</v>
      </c>
      <c r="W42" s="713">
        <v>2027</v>
      </c>
      <c r="X42" s="712">
        <v>2028</v>
      </c>
      <c r="Y42" s="713">
        <v>2029</v>
      </c>
      <c r="Z42" s="712">
        <v>2030</v>
      </c>
      <c r="AA42" s="713">
        <v>2031</v>
      </c>
      <c r="AB42" s="712">
        <v>2032</v>
      </c>
      <c r="AH42" s="282"/>
      <c r="AI42" s="282">
        <v>2023</v>
      </c>
      <c r="AJ42" s="282">
        <v>2024</v>
      </c>
      <c r="AK42" s="282">
        <v>2025</v>
      </c>
      <c r="AL42" s="282">
        <v>2026</v>
      </c>
      <c r="AM42" s="282">
        <v>2027</v>
      </c>
      <c r="AN42" s="282">
        <v>2028</v>
      </c>
      <c r="AO42" s="282">
        <v>2029</v>
      </c>
      <c r="AP42" s="282">
        <v>2030</v>
      </c>
      <c r="AQ42" s="282">
        <v>2031</v>
      </c>
      <c r="AR42" s="282">
        <v>2032</v>
      </c>
    </row>
    <row r="43" spans="1:46" ht="15" thickBot="1">
      <c r="A43" s="702" t="s">
        <v>753</v>
      </c>
      <c r="B43" s="700">
        <f>SUM(Profitability!AQ46:AQ50)</f>
        <v>12426610.499903735</v>
      </c>
      <c r="C43" s="700">
        <f>SUM(Profitability!AR46:AR50)</f>
        <v>14398846.708286457</v>
      </c>
      <c r="D43" s="700">
        <f>SUM(Profitability!AS46:AS50)</f>
        <v>15641066.112988897</v>
      </c>
      <c r="E43" s="700">
        <f>SUM(Profitability!AT46:AT50)</f>
        <v>16295805.012716284</v>
      </c>
      <c r="F43" s="700">
        <f>SUM(Profitability!AU46:AU50)</f>
        <v>17029703.785897143</v>
      </c>
      <c r="G43" s="700">
        <f>SUM(Profitability!AV46:AV50)</f>
        <v>17556844.887518853</v>
      </c>
      <c r="H43" s="700">
        <f>SUM(Profitability!AW46:AW50)</f>
        <v>16785629.298085988</v>
      </c>
      <c r="I43" s="700">
        <f>SUM(Profitability!AX46:AX50)</f>
        <v>17920949.49367572</v>
      </c>
      <c r="J43" s="700">
        <f>SUM(Profitability!AY46:AY50)</f>
        <v>18004886.697646514</v>
      </c>
      <c r="K43" s="700">
        <f>SUM(Profitability!AZ46:AZ50)</f>
        <v>18044063.129507616</v>
      </c>
      <c r="R43" s="917" t="str">
        <f t="shared" ref="R43:W43" si="4">A43</f>
        <v>Net Revenues</v>
      </c>
      <c r="S43" s="918">
        <f>B43</f>
        <v>12426610.499903735</v>
      </c>
      <c r="T43" s="918">
        <f t="shared" si="4"/>
        <v>14398846.708286457</v>
      </c>
      <c r="U43" s="918">
        <f t="shared" si="4"/>
        <v>15641066.112988897</v>
      </c>
      <c r="V43" s="918">
        <f t="shared" si="4"/>
        <v>16295805.012716284</v>
      </c>
      <c r="W43" s="918">
        <f t="shared" si="4"/>
        <v>17029703.785897143</v>
      </c>
      <c r="X43" s="918">
        <f t="shared" ref="X43:AB43" si="5">G43</f>
        <v>17556844.887518853</v>
      </c>
      <c r="Y43" s="918">
        <f t="shared" si="5"/>
        <v>16785629.298085988</v>
      </c>
      <c r="Z43" s="918">
        <f t="shared" si="5"/>
        <v>17920949.49367572</v>
      </c>
      <c r="AA43" s="918">
        <f t="shared" si="5"/>
        <v>18004886.697646514</v>
      </c>
      <c r="AB43" s="918">
        <f t="shared" si="5"/>
        <v>18044063.129507616</v>
      </c>
      <c r="AH43" s="282" t="s">
        <v>728</v>
      </c>
      <c r="AI43" s="919">
        <f t="shared" ref="AI43:AR43" si="6">SUM(S43,S83,S127,S171)</f>
        <v>25433985.095965642</v>
      </c>
      <c r="AJ43" s="919">
        <f t="shared" si="6"/>
        <v>33572772.108250231</v>
      </c>
      <c r="AK43" s="919">
        <f t="shared" si="6"/>
        <v>47552174.271266356</v>
      </c>
      <c r="AL43" s="919">
        <f t="shared" si="6"/>
        <v>66066435.57227163</v>
      </c>
      <c r="AM43" s="919">
        <f t="shared" si="6"/>
        <v>70006849.970871136</v>
      </c>
      <c r="AN43" s="919">
        <f t="shared" si="6"/>
        <v>73917452.700950772</v>
      </c>
      <c r="AO43" s="919">
        <f t="shared" si="6"/>
        <v>73123383.52835241</v>
      </c>
      <c r="AP43" s="919">
        <f t="shared" si="6"/>
        <v>76032594.031919122</v>
      </c>
      <c r="AQ43" s="919">
        <f t="shared" si="6"/>
        <v>78390031.284935832</v>
      </c>
      <c r="AR43" s="919">
        <f t="shared" si="6"/>
        <v>78870205.738155618</v>
      </c>
      <c r="AS43" s="1000"/>
      <c r="AT43" s="1000"/>
    </row>
    <row r="44" spans="1:46">
      <c r="A44" s="697" t="s">
        <v>443</v>
      </c>
      <c r="B44" s="699">
        <f>SUM('Cost Structure'!BA20:BE20)*$B$70</f>
        <v>948174.50519435527</v>
      </c>
      <c r="C44" s="699">
        <f>SUM('Cost Structure'!BA20:BE20)*$C$70</f>
        <v>956142.35817918181</v>
      </c>
      <c r="D44" s="699">
        <f>SUM('Cost Structure'!BA20:BE20)*$D$70</f>
        <v>948174.50519435527</v>
      </c>
      <c r="E44" s="699">
        <f>SUM('Cost Structure'!BA20:BE20)*$E$70</f>
        <v>948174.50519435527</v>
      </c>
      <c r="F44" s="699">
        <f>SUM('Cost Structure'!BA20:BE20)*$F$70</f>
        <v>948174.50519435527</v>
      </c>
      <c r="G44" s="699">
        <f>SUM('Cost Structure'!BA20:BE20)*$G$70</f>
        <v>948174.50519435527</v>
      </c>
      <c r="H44" s="699">
        <f>SUM('Cost Structure'!BA20:BE20)*$H$70</f>
        <v>892399.53430056968</v>
      </c>
      <c r="I44" s="699">
        <f>SUM('Cost Structure'!BA20:BE20)*$I$70</f>
        <v>948174.50519435527</v>
      </c>
      <c r="J44" s="699">
        <f>SUM('Cost Structure'!BA20:BE20)*$J$70</f>
        <v>948174.50519435527</v>
      </c>
      <c r="K44" s="699">
        <f>SUM('Cost Structure'!BA20:BE20)*$K$70</f>
        <v>948174.50519435527</v>
      </c>
      <c r="R44" s="785" t="str">
        <f t="shared" ref="R44:W44" si="7">A52</f>
        <v>Total Direct Cost</v>
      </c>
      <c r="S44" s="916">
        <f t="shared" si="7"/>
        <v>7078573.0985861355</v>
      </c>
      <c r="T44" s="916">
        <f t="shared" si="7"/>
        <v>7138056.9061372802</v>
      </c>
      <c r="U44" s="916">
        <f t="shared" si="7"/>
        <v>7078573.0985861355</v>
      </c>
      <c r="V44" s="916">
        <f t="shared" si="7"/>
        <v>7078573.0985861355</v>
      </c>
      <c r="W44" s="916">
        <f t="shared" si="7"/>
        <v>7078573.0985861355</v>
      </c>
      <c r="X44" s="1000">
        <f>S44</f>
        <v>7078573.0985861355</v>
      </c>
      <c r="Y44" s="1000">
        <f t="shared" ref="Y44:AB44" si="8">T44</f>
        <v>7138056.9061372802</v>
      </c>
      <c r="Z44" s="1000">
        <f t="shared" si="8"/>
        <v>7078573.0985861355</v>
      </c>
      <c r="AA44" s="1000">
        <f t="shared" si="8"/>
        <v>7078573.0985861355</v>
      </c>
      <c r="AB44" s="1000">
        <f t="shared" si="8"/>
        <v>7078573.0985861355</v>
      </c>
      <c r="AH44" s="282" t="s">
        <v>773</v>
      </c>
      <c r="AI44" s="919">
        <f>SUM(S45,S85,S129,S173)</f>
        <v>9252319.0121638328</v>
      </c>
      <c r="AJ44" s="919">
        <f t="shared" ref="AJ44:AR44" si="9">SUM(T45,T85,T129,T173)</f>
        <v>17331622.216897279</v>
      </c>
      <c r="AK44" s="919">
        <f t="shared" si="9"/>
        <v>21508389.440626506</v>
      </c>
      <c r="AL44" s="919">
        <f t="shared" si="9"/>
        <v>30517424.328621946</v>
      </c>
      <c r="AM44" s="919">
        <f t="shared" si="9"/>
        <v>35130554.161460251</v>
      </c>
      <c r="AN44" s="919">
        <f t="shared" si="9"/>
        <v>38574442.897701718</v>
      </c>
      <c r="AO44" s="919">
        <f t="shared" si="9"/>
        <v>38534737.695540637</v>
      </c>
      <c r="AP44" s="919">
        <f t="shared" si="9"/>
        <v>41120257.212506242</v>
      </c>
      <c r="AQ44" s="919">
        <f t="shared" si="9"/>
        <v>43434721.459505655</v>
      </c>
      <c r="AR44" s="919">
        <f t="shared" si="9"/>
        <v>43539828.57635361</v>
      </c>
    </row>
    <row r="45" spans="1:46">
      <c r="A45" s="697" t="s">
        <v>444</v>
      </c>
      <c r="B45" s="699">
        <f>SUM('Cost Structure'!BA21:BE21)*$B$70</f>
        <v>1284123.989550092</v>
      </c>
      <c r="C45" s="699">
        <f>SUM('Cost Structure'!BA21:BE21)*$C$70</f>
        <v>1294914.9474454708</v>
      </c>
      <c r="D45" s="699">
        <f>SUM('Cost Structure'!BA21:BE21)*$D$70</f>
        <v>1284123.989550092</v>
      </c>
      <c r="E45" s="699">
        <f>SUM('Cost Structure'!BA21:BE21)*$E$70</f>
        <v>1284123.989550092</v>
      </c>
      <c r="F45" s="699">
        <f>SUM('Cost Structure'!BA21:BE21)*$F$70</f>
        <v>1284123.989550092</v>
      </c>
      <c r="G45" s="699">
        <f>SUM('Cost Structure'!BA21:BE21)*$G$70</f>
        <v>1284123.989550092</v>
      </c>
      <c r="H45" s="699">
        <f>SUM('Cost Structure'!BA21:BE21)*$H$70</f>
        <v>1208587.2842824396</v>
      </c>
      <c r="I45" s="699">
        <f>SUM('Cost Structure'!BA21:BE21)*$I$70</f>
        <v>1284123.989550092</v>
      </c>
      <c r="J45" s="699">
        <f>SUM('Cost Structure'!BA21:BE21)*$J$70</f>
        <v>1284123.989550092</v>
      </c>
      <c r="K45" s="699">
        <f>SUM('Cost Structure'!BA21:BE21)*$K$70</f>
        <v>1284123.989550092</v>
      </c>
      <c r="R45" s="917" t="s">
        <v>773</v>
      </c>
      <c r="S45" s="918">
        <f>B53</f>
        <v>5348037.4013175992</v>
      </c>
      <c r="T45" s="918">
        <f>C53</f>
        <v>7260789.8021491766</v>
      </c>
      <c r="U45" s="918">
        <f>D53</f>
        <v>8562493.0144027621</v>
      </c>
      <c r="V45" s="918">
        <f>E53</f>
        <v>9217231.9141301475</v>
      </c>
      <c r="W45" s="918">
        <f>F53</f>
        <v>9951130.6873110086</v>
      </c>
      <c r="X45" s="918">
        <f t="shared" ref="X45:AB45" si="10">G53</f>
        <v>10478271.788932718</v>
      </c>
      <c r="Y45" s="918">
        <f t="shared" si="10"/>
        <v>10123442.852357861</v>
      </c>
      <c r="Z45" s="918">
        <f t="shared" si="10"/>
        <v>10842376.395089585</v>
      </c>
      <c r="AA45" s="918">
        <f t="shared" si="10"/>
        <v>10926313.599060379</v>
      </c>
      <c r="AB45" s="918">
        <f t="shared" si="10"/>
        <v>10965490.030921482</v>
      </c>
      <c r="AH45" s="282" t="s">
        <v>774</v>
      </c>
      <c r="AI45" s="1018" t="e">
        <f t="shared" ref="AI45:AR45" si="11">SUM(S47,S87,S131,S175)</f>
        <v>#REF!</v>
      </c>
      <c r="AJ45" s="919" t="e">
        <f t="shared" si="11"/>
        <v>#REF!</v>
      </c>
      <c r="AK45" s="919" t="e">
        <f t="shared" si="11"/>
        <v>#REF!</v>
      </c>
      <c r="AL45" s="919" t="e">
        <f t="shared" si="11"/>
        <v>#REF!</v>
      </c>
      <c r="AM45" s="919" t="e">
        <f t="shared" si="11"/>
        <v>#REF!</v>
      </c>
      <c r="AN45" s="919" t="e">
        <f t="shared" si="11"/>
        <v>#REF!</v>
      </c>
      <c r="AO45" s="919" t="e">
        <f t="shared" si="11"/>
        <v>#REF!</v>
      </c>
      <c r="AP45" s="919" t="e">
        <f t="shared" si="11"/>
        <v>#REF!</v>
      </c>
      <c r="AQ45" s="919" t="e">
        <f t="shared" si="11"/>
        <v>#REF!</v>
      </c>
      <c r="AR45" s="919" t="e">
        <f t="shared" si="11"/>
        <v>#REF!</v>
      </c>
    </row>
    <row r="46" spans="1:46">
      <c r="A46" s="697" t="s">
        <v>6</v>
      </c>
      <c r="B46" s="699">
        <f>SUM('Cost Structure'!BA22:BE22)*$B$70</f>
        <v>2974611.3696846752</v>
      </c>
      <c r="C46" s="699">
        <f>SUM('Cost Structure'!BA22:BE22)*$C$70</f>
        <v>2999608.103883706</v>
      </c>
      <c r="D46" s="699">
        <f>SUM('Cost Structure'!BA22:BE22)*$D$70</f>
        <v>2974611.3696846752</v>
      </c>
      <c r="E46" s="699">
        <f>SUM('Cost Structure'!BA22:BE22)*$E$70</f>
        <v>2974611.3696846752</v>
      </c>
      <c r="F46" s="699">
        <f>SUM('Cost Structure'!BA22:BE22)*$F$70</f>
        <v>2974611.3696846752</v>
      </c>
      <c r="G46" s="699">
        <f>SUM('Cost Structure'!BA22:BE22)*$G$70</f>
        <v>2974611.3696846752</v>
      </c>
      <c r="H46" s="699">
        <f>SUM('Cost Structure'!BA22:BE22)*$H$70</f>
        <v>2799634.2302914592</v>
      </c>
      <c r="I46" s="699">
        <f>SUM('Cost Structure'!BA22:BE22)*$I$70</f>
        <v>2974611.3696846752</v>
      </c>
      <c r="J46" s="699">
        <f>SUM('Cost Structure'!BA22:BE22)*$J$70</f>
        <v>2974611.3696846752</v>
      </c>
      <c r="K46" s="699">
        <f>SUM('Cost Structure'!BA22:BE22)*$K$70</f>
        <v>2974611.3696846752</v>
      </c>
      <c r="R46" s="282" t="str">
        <f t="shared" ref="R46:W47" si="12">A61</f>
        <v>Total Indirect Cost</v>
      </c>
      <c r="S46" s="916" t="e">
        <f t="shared" si="12"/>
        <v>#REF!</v>
      </c>
      <c r="T46" s="916" t="e">
        <f t="shared" si="12"/>
        <v>#REF!</v>
      </c>
      <c r="U46" s="916" t="e">
        <f t="shared" si="12"/>
        <v>#REF!</v>
      </c>
      <c r="V46" s="916" t="e">
        <f t="shared" si="12"/>
        <v>#REF!</v>
      </c>
      <c r="W46" s="916" t="e">
        <f t="shared" si="12"/>
        <v>#REF!</v>
      </c>
      <c r="X46" s="1001" t="e">
        <f>B61</f>
        <v>#REF!</v>
      </c>
      <c r="Y46" s="1001" t="e">
        <f t="shared" ref="Y46:AB46" si="13">C61</f>
        <v>#REF!</v>
      </c>
      <c r="Z46" s="1001" t="e">
        <f t="shared" si="13"/>
        <v>#REF!</v>
      </c>
      <c r="AA46" s="1001" t="e">
        <f t="shared" si="13"/>
        <v>#REF!</v>
      </c>
      <c r="AB46" s="1001" t="e">
        <f t="shared" si="13"/>
        <v>#REF!</v>
      </c>
      <c r="AH46" s="282" t="s">
        <v>775</v>
      </c>
      <c r="AI46" s="1018" t="e">
        <f t="shared" ref="AI46:AR46" si="14">SUM(S49,S89,S133,S177)</f>
        <v>#REF!</v>
      </c>
      <c r="AJ46" s="1018" t="e">
        <f t="shared" si="14"/>
        <v>#REF!</v>
      </c>
      <c r="AK46" s="1018" t="e">
        <f t="shared" si="14"/>
        <v>#REF!</v>
      </c>
      <c r="AL46" s="1018" t="e">
        <f t="shared" si="14"/>
        <v>#REF!</v>
      </c>
      <c r="AM46" s="919" t="e">
        <f t="shared" si="14"/>
        <v>#REF!</v>
      </c>
      <c r="AN46" s="919" t="e">
        <f t="shared" si="14"/>
        <v>#REF!</v>
      </c>
      <c r="AO46" s="919" t="e">
        <f t="shared" si="14"/>
        <v>#REF!</v>
      </c>
      <c r="AP46" s="919" t="e">
        <f t="shared" si="14"/>
        <v>#REF!</v>
      </c>
      <c r="AQ46" s="919" t="e">
        <f t="shared" si="14"/>
        <v>#REF!</v>
      </c>
      <c r="AR46" s="919" t="e">
        <f t="shared" si="14"/>
        <v>#REF!</v>
      </c>
    </row>
    <row r="47" spans="1:46">
      <c r="A47" s="697" t="s">
        <v>22</v>
      </c>
      <c r="B47" s="699">
        <f>SUM('Cost Structure'!BA23:BE23)*$B$70</f>
        <v>584141.24999999988</v>
      </c>
      <c r="C47" s="699">
        <f>SUM('Cost Structure'!BA23:BE23)*$C$70</f>
        <v>589049.99999999988</v>
      </c>
      <c r="D47" s="699">
        <f>SUM('Cost Structure'!BA23:BE23)*$D$70</f>
        <v>584141.24999999988</v>
      </c>
      <c r="E47" s="699">
        <f>SUM('Cost Structure'!BA23:BE23)*$E$70</f>
        <v>584141.24999999988</v>
      </c>
      <c r="F47" s="699">
        <f>SUM('Cost Structure'!BA23:BE23)*$F$70</f>
        <v>584141.24999999988</v>
      </c>
      <c r="G47" s="699">
        <f>SUM('Cost Structure'!BA23:BE23)*$G$70</f>
        <v>584141.24999999988</v>
      </c>
      <c r="H47" s="699">
        <f>SUM('Cost Structure'!BA23:BE23)*$H$70</f>
        <v>549779.99999999988</v>
      </c>
      <c r="I47" s="699">
        <f>SUM('Cost Structure'!BA23:BE23)*$I$70</f>
        <v>584141.24999999988</v>
      </c>
      <c r="J47" s="699">
        <f>SUM('Cost Structure'!BA23:BE23)*$J$70</f>
        <v>584141.24999999988</v>
      </c>
      <c r="K47" s="699">
        <f>SUM('Cost Structure'!BA23:BE23)*$K$70</f>
        <v>584141.24999999988</v>
      </c>
      <c r="R47" s="917" t="str">
        <f t="shared" si="12"/>
        <v>CM 2</v>
      </c>
      <c r="S47" s="918" t="e">
        <f t="shared" si="12"/>
        <v>#REF!</v>
      </c>
      <c r="T47" s="918" t="e">
        <f t="shared" si="12"/>
        <v>#REF!</v>
      </c>
      <c r="U47" s="918" t="e">
        <f t="shared" si="12"/>
        <v>#REF!</v>
      </c>
      <c r="V47" s="918" t="e">
        <f t="shared" si="12"/>
        <v>#REF!</v>
      </c>
      <c r="W47" s="918" t="e">
        <f t="shared" si="12"/>
        <v>#REF!</v>
      </c>
      <c r="X47" s="918" t="e">
        <f>G62</f>
        <v>#REF!</v>
      </c>
      <c r="Y47" s="918" t="e">
        <f>H62</f>
        <v>#REF!</v>
      </c>
      <c r="Z47" s="918" t="e">
        <f>I62</f>
        <v>#REF!</v>
      </c>
      <c r="AA47" s="918" t="e">
        <f>J62</f>
        <v>#REF!</v>
      </c>
      <c r="AB47" s="918" t="e">
        <f>K62</f>
        <v>#REF!</v>
      </c>
    </row>
    <row r="48" spans="1:46">
      <c r="A48" s="697" t="s">
        <v>448</v>
      </c>
      <c r="B48" s="699">
        <f>SUM('Cost Structure'!BA25:BE25)*$B$70</f>
        <v>64610.105615999993</v>
      </c>
      <c r="C48" s="699">
        <f>SUM('Cost Structure'!BA25:BE25)*$C$70</f>
        <v>65153.047679999996</v>
      </c>
      <c r="D48" s="699">
        <f>SUM('Cost Structure'!BA25:BE25)*$D$70</f>
        <v>64610.105615999993</v>
      </c>
      <c r="E48" s="699">
        <f>SUM('Cost Structure'!BA25:BE25)*$E$70</f>
        <v>64610.105615999993</v>
      </c>
      <c r="F48" s="699">
        <f>SUM('Cost Structure'!BA25:BE25)*$F$70</f>
        <v>64610.105615999993</v>
      </c>
      <c r="G48" s="699">
        <f>SUM('Cost Structure'!BA25:BE25)*$G$70</f>
        <v>64610.105615999993</v>
      </c>
      <c r="H48" s="699">
        <f>SUM('Cost Structure'!BA25:BE25)*$H$70</f>
        <v>60809.511167999997</v>
      </c>
      <c r="I48" s="699">
        <f>SUM('Cost Structure'!BA25:BE25)*$I$70</f>
        <v>64610.105615999993</v>
      </c>
      <c r="J48" s="699">
        <f>SUM('Cost Structure'!BA25:BE25)*$J$70</f>
        <v>64610.105615999993</v>
      </c>
      <c r="K48" s="699">
        <f>SUM('Cost Structure'!BA25:BE25)*$K$70</f>
        <v>64610.105615999993</v>
      </c>
      <c r="R48" s="914" t="str">
        <f>'Summary RP'!A67</f>
        <v>Total Fleet Cost</v>
      </c>
      <c r="S48" s="916">
        <f>'Summary RP'!B67</f>
        <v>4958175.716375527</v>
      </c>
      <c r="T48" s="916">
        <f>'Summary RP'!C67</f>
        <v>4999841.0585299432</v>
      </c>
      <c r="U48" s="916">
        <f>'Summary RP'!D67</f>
        <v>4958175.716375527</v>
      </c>
      <c r="V48" s="916">
        <f>'Summary RP'!E67</f>
        <v>4958175.716375527</v>
      </c>
      <c r="W48" s="916">
        <f>'Summary RP'!F67</f>
        <v>4958175.716375527</v>
      </c>
      <c r="X48" s="916">
        <f>'Summary RP'!G67</f>
        <v>4958175.716375527</v>
      </c>
      <c r="Y48" s="916">
        <f>'Summary RP'!H67</f>
        <v>4666518.3212946141</v>
      </c>
      <c r="Z48" s="916">
        <f>'Summary RP'!I67</f>
        <v>4958175.716375527</v>
      </c>
      <c r="AA48" s="916">
        <f>'Summary RP'!J67</f>
        <v>4958175.716375527</v>
      </c>
      <c r="AB48" s="916">
        <f>'Summary RP'!K67</f>
        <v>4958175.716375527</v>
      </c>
    </row>
    <row r="49" spans="1:44">
      <c r="A49" s="697" t="s">
        <v>446</v>
      </c>
      <c r="B49" s="699">
        <f>SUM('Cost Structure'!BA26:BE26)*$B$70</f>
        <v>232656.89999999997</v>
      </c>
      <c r="C49" s="699">
        <f>SUM('Cost Structure'!BA26:BE26)*$C$70</f>
        <v>234611.99999999997</v>
      </c>
      <c r="D49" s="699">
        <f>SUM('Cost Structure'!BA26:BE26)*$D$70</f>
        <v>232656.89999999997</v>
      </c>
      <c r="E49" s="699">
        <f>SUM('Cost Structure'!BA26:BE26)*$E$70</f>
        <v>232656.89999999997</v>
      </c>
      <c r="F49" s="699">
        <f>SUM('Cost Structure'!BA26:BE26)*$F$70</f>
        <v>232656.89999999997</v>
      </c>
      <c r="G49" s="699">
        <f>SUM('Cost Structure'!BA26:BE26)*$G$70</f>
        <v>232656.89999999997</v>
      </c>
      <c r="H49" s="699">
        <f>SUM('Cost Structure'!BA26:BE26)*$H$70</f>
        <v>218971.19999999998</v>
      </c>
      <c r="I49" s="699">
        <f>SUM('Cost Structure'!BA26:BE26)*$I$70</f>
        <v>232656.89999999997</v>
      </c>
      <c r="J49" s="699">
        <f>SUM('Cost Structure'!BA26:BE26)*$J$70</f>
        <v>232656.89999999997</v>
      </c>
      <c r="K49" s="699">
        <f>SUM('Cost Structure'!BA26:BE26)*$K$70</f>
        <v>232656.89999999997</v>
      </c>
      <c r="R49" s="919" t="s">
        <v>759</v>
      </c>
      <c r="S49" s="920" t="e">
        <f>'Summary RP'!B68</f>
        <v>#REF!</v>
      </c>
      <c r="T49" s="920" t="e">
        <f>'Summary RP'!C68</f>
        <v>#REF!</v>
      </c>
      <c r="U49" s="920" t="e">
        <f>'Summary RP'!D68</f>
        <v>#REF!</v>
      </c>
      <c r="V49" s="918" t="e">
        <f>'Summary RP'!E68</f>
        <v>#REF!</v>
      </c>
      <c r="W49" s="918" t="e">
        <f>'Summary RP'!F68</f>
        <v>#REF!</v>
      </c>
      <c r="X49" s="918" t="e">
        <f>'Summary RP'!G68</f>
        <v>#REF!</v>
      </c>
      <c r="Y49" s="918" t="e">
        <f>'Summary RP'!H68</f>
        <v>#REF!</v>
      </c>
      <c r="Z49" s="918" t="e">
        <f>'Summary RP'!I68</f>
        <v>#REF!</v>
      </c>
      <c r="AA49" s="918" t="e">
        <f>'Summary RP'!J68</f>
        <v>#REF!</v>
      </c>
      <c r="AB49" s="918" t="e">
        <f>'Summary RP'!K68</f>
        <v>#REF!</v>
      </c>
      <c r="AI49" s="1000">
        <f>AI43/1000000</f>
        <v>25.433985095965642</v>
      </c>
      <c r="AJ49" s="1000">
        <f t="shared" ref="AJ49:AR49" si="15">AJ43/1000000</f>
        <v>33.572772108250227</v>
      </c>
      <c r="AK49" s="1000">
        <f t="shared" si="15"/>
        <v>47.55217427126636</v>
      </c>
      <c r="AL49" s="1000">
        <f t="shared" si="15"/>
        <v>66.066435572271629</v>
      </c>
      <c r="AM49" s="1000">
        <f t="shared" si="15"/>
        <v>70.00684997087113</v>
      </c>
      <c r="AN49" s="1000">
        <f t="shared" si="15"/>
        <v>73.917452700950776</v>
      </c>
      <c r="AO49" s="1000">
        <f t="shared" si="15"/>
        <v>73.123383528352406</v>
      </c>
      <c r="AP49" s="1000">
        <f t="shared" si="15"/>
        <v>76.032594031919118</v>
      </c>
      <c r="AQ49" s="1000">
        <f t="shared" si="15"/>
        <v>78.39003128493583</v>
      </c>
      <c r="AR49" s="1000">
        <f t="shared" si="15"/>
        <v>78.870205738155619</v>
      </c>
    </row>
    <row r="50" spans="1:44">
      <c r="A50" s="697" t="s">
        <v>445</v>
      </c>
      <c r="B50" s="699">
        <f>SUM('Cost Structure'!BA27:BE27)*$B$70</f>
        <v>966096.84566101327</v>
      </c>
      <c r="C50" s="699">
        <f>SUM('Cost Structure'!BA27:BE27)*$C$70</f>
        <v>974215.30654892104</v>
      </c>
      <c r="D50" s="699">
        <f>SUM('Cost Structure'!BA27:BE27)*$D$70</f>
        <v>966096.84566101327</v>
      </c>
      <c r="E50" s="699">
        <f>SUM('Cost Structure'!BA27:BE27)*$E$70</f>
        <v>966096.84566101327</v>
      </c>
      <c r="F50" s="699">
        <f>SUM('Cost Structure'!BA27:BE27)*$F$70</f>
        <v>966096.84566101327</v>
      </c>
      <c r="G50" s="699">
        <f>SUM('Cost Structure'!BA27:BE27)*$G$70</f>
        <v>966096.84566101327</v>
      </c>
      <c r="H50" s="699">
        <f>SUM('Cost Structure'!BA27:BE27)*$H$70</f>
        <v>909267.61944565957</v>
      </c>
      <c r="I50" s="699">
        <f>SUM('Cost Structure'!BA27:BE27)*$I$70</f>
        <v>966096.84566101327</v>
      </c>
      <c r="J50" s="699">
        <f>SUM('Cost Structure'!BA27:BE27)*$J$70</f>
        <v>966096.84566101327</v>
      </c>
      <c r="K50" s="699">
        <f>SUM('Cost Structure'!BA27:BE27)*$K$70</f>
        <v>966096.84566101327</v>
      </c>
      <c r="R50" s="922" t="str">
        <f t="shared" ref="R50:S53" si="16">A70</f>
        <v>No of flight</v>
      </c>
      <c r="S50" s="807">
        <f t="shared" si="16"/>
        <v>357</v>
      </c>
      <c r="T50" s="807">
        <f t="shared" ref="T50:W53" si="17">S50</f>
        <v>357</v>
      </c>
      <c r="U50" s="807">
        <f t="shared" si="17"/>
        <v>357</v>
      </c>
      <c r="V50" s="807">
        <f t="shared" si="17"/>
        <v>357</v>
      </c>
      <c r="W50" s="807">
        <f t="shared" si="17"/>
        <v>357</v>
      </c>
      <c r="X50" s="807">
        <f t="shared" ref="X50:X53" si="18">W50</f>
        <v>357</v>
      </c>
      <c r="Y50" s="807">
        <f t="shared" ref="Y50:Y53" si="19">X50</f>
        <v>357</v>
      </c>
      <c r="Z50" s="807">
        <f t="shared" ref="Z50:Z53" si="20">Y50</f>
        <v>357</v>
      </c>
      <c r="AA50" s="807">
        <f t="shared" ref="AA50:AA53" si="21">Z50</f>
        <v>357</v>
      </c>
      <c r="AB50" s="807">
        <f t="shared" ref="AB50:AB53" si="22">AA50</f>
        <v>357</v>
      </c>
      <c r="AI50" s="1000">
        <f t="shared" ref="AI50:AR52" si="23">AI44/1000000</f>
        <v>9.2523190121638326</v>
      </c>
      <c r="AJ50" s="1000">
        <f t="shared" si="23"/>
        <v>17.33162221689728</v>
      </c>
      <c r="AK50" s="1000">
        <f t="shared" si="23"/>
        <v>21.508389440626505</v>
      </c>
      <c r="AL50" s="1000">
        <f t="shared" si="23"/>
        <v>30.517424328621946</v>
      </c>
      <c r="AM50" s="1000">
        <f t="shared" si="23"/>
        <v>35.130554161460253</v>
      </c>
      <c r="AN50" s="1000">
        <f t="shared" si="23"/>
        <v>38.574442897701715</v>
      </c>
      <c r="AO50" s="1000">
        <f t="shared" si="23"/>
        <v>38.534737695540635</v>
      </c>
      <c r="AP50" s="1000">
        <f t="shared" si="23"/>
        <v>41.120257212506239</v>
      </c>
      <c r="AQ50" s="1000">
        <f t="shared" si="23"/>
        <v>43.434721459505653</v>
      </c>
      <c r="AR50" s="1000">
        <f t="shared" si="23"/>
        <v>43.539828576353607</v>
      </c>
    </row>
    <row r="51" spans="1:44">
      <c r="A51" s="697" t="s">
        <v>450</v>
      </c>
      <c r="B51" s="699">
        <f>SUM('Cost Structure'!BA28:BE28)*$B$70</f>
        <v>24158.132879999997</v>
      </c>
      <c r="C51" s="699">
        <f>SUM('Cost Structure'!BA28:BE28)*$C$70</f>
        <v>24361.142399999997</v>
      </c>
      <c r="D51" s="699">
        <f>SUM('Cost Structure'!BA28:BE28)*$D$70</f>
        <v>24158.132879999997</v>
      </c>
      <c r="E51" s="699">
        <f>SUM('Cost Structure'!BA28:BE28)*$E$70</f>
        <v>24158.132879999997</v>
      </c>
      <c r="F51" s="699">
        <f>SUM('Cost Structure'!BA28:BE28)*$F$70</f>
        <v>24158.132879999997</v>
      </c>
      <c r="G51" s="699">
        <f>SUM('Cost Structure'!BA28:BE28)*$G$70</f>
        <v>24158.132879999997</v>
      </c>
      <c r="H51" s="699">
        <f>SUM('Cost Structure'!BA28:BE28)*$H$70</f>
        <v>22737.066239999996</v>
      </c>
      <c r="I51" s="699">
        <f>SUM('Cost Structure'!BA28:BE28)*$I$70</f>
        <v>24158.132879999997</v>
      </c>
      <c r="J51" s="699">
        <f>SUM('Cost Structure'!BA28:BE28)*$J$70</f>
        <v>24158.132879999997</v>
      </c>
      <c r="K51" s="699">
        <f>SUM('Cost Structure'!BA28:BE28)*$K$70</f>
        <v>24158.132879999997</v>
      </c>
      <c r="R51" s="922" t="str">
        <f t="shared" si="16"/>
        <v>Total Annual Blocktime Hour</v>
      </c>
      <c r="S51" s="807">
        <f t="shared" si="16"/>
        <v>2814.5841248303936</v>
      </c>
      <c r="T51" s="807">
        <f t="shared" si="17"/>
        <v>2814.5841248303936</v>
      </c>
      <c r="U51" s="807">
        <f t="shared" si="17"/>
        <v>2814.5841248303936</v>
      </c>
      <c r="V51" s="807">
        <f t="shared" si="17"/>
        <v>2814.5841248303936</v>
      </c>
      <c r="W51" s="807">
        <f t="shared" si="17"/>
        <v>2814.5841248303936</v>
      </c>
      <c r="X51" s="807">
        <f t="shared" si="18"/>
        <v>2814.5841248303936</v>
      </c>
      <c r="Y51" s="807">
        <f t="shared" si="19"/>
        <v>2814.5841248303936</v>
      </c>
      <c r="Z51" s="807">
        <f t="shared" si="20"/>
        <v>2814.5841248303936</v>
      </c>
      <c r="AA51" s="807">
        <f t="shared" si="21"/>
        <v>2814.5841248303936</v>
      </c>
      <c r="AB51" s="807">
        <f t="shared" si="22"/>
        <v>2814.5841248303936</v>
      </c>
      <c r="AI51" s="1000" t="e">
        <f t="shared" si="23"/>
        <v>#REF!</v>
      </c>
      <c r="AJ51" s="1000" t="e">
        <f t="shared" si="23"/>
        <v>#REF!</v>
      </c>
      <c r="AK51" s="1000" t="e">
        <f t="shared" si="23"/>
        <v>#REF!</v>
      </c>
      <c r="AL51" s="1000" t="e">
        <f t="shared" si="23"/>
        <v>#REF!</v>
      </c>
      <c r="AM51" s="1000" t="e">
        <f t="shared" si="23"/>
        <v>#REF!</v>
      </c>
      <c r="AN51" s="1000" t="e">
        <f t="shared" si="23"/>
        <v>#REF!</v>
      </c>
      <c r="AO51" s="1000" t="e">
        <f t="shared" si="23"/>
        <v>#REF!</v>
      </c>
      <c r="AP51" s="1000" t="e">
        <f t="shared" si="23"/>
        <v>#REF!</v>
      </c>
      <c r="AQ51" s="1000" t="e">
        <f t="shared" si="23"/>
        <v>#REF!</v>
      </c>
      <c r="AR51" s="1000" t="e">
        <f t="shared" si="23"/>
        <v>#REF!</v>
      </c>
    </row>
    <row r="52" spans="1:44">
      <c r="A52" s="711" t="s">
        <v>754</v>
      </c>
      <c r="B52" s="699">
        <f>SUM(B44:B51)</f>
        <v>7078573.0985861355</v>
      </c>
      <c r="C52" s="699">
        <f t="shared" ref="C52:K52" si="24">SUM(C44:C51)</f>
        <v>7138056.9061372802</v>
      </c>
      <c r="D52" s="699">
        <f t="shared" si="24"/>
        <v>7078573.0985861355</v>
      </c>
      <c r="E52" s="699">
        <f t="shared" si="24"/>
        <v>7078573.0985861355</v>
      </c>
      <c r="F52" s="699">
        <f t="shared" si="24"/>
        <v>7078573.0985861355</v>
      </c>
      <c r="G52" s="699">
        <f t="shared" si="24"/>
        <v>7078573.0985861355</v>
      </c>
      <c r="H52" s="699">
        <f t="shared" si="24"/>
        <v>6662186.4457281278</v>
      </c>
      <c r="I52" s="699">
        <f t="shared" si="24"/>
        <v>7078573.0985861355</v>
      </c>
      <c r="J52" s="699">
        <f t="shared" si="24"/>
        <v>7078573.0985861355</v>
      </c>
      <c r="K52" s="699">
        <f t="shared" si="24"/>
        <v>7078573.0985861355</v>
      </c>
      <c r="R52" s="784" t="str">
        <f t="shared" si="16"/>
        <v>ATK</v>
      </c>
      <c r="S52" s="807">
        <f t="shared" si="16"/>
        <v>38247552</v>
      </c>
      <c r="T52" s="807">
        <f t="shared" si="17"/>
        <v>38247552</v>
      </c>
      <c r="U52" s="807">
        <f t="shared" si="17"/>
        <v>38247552</v>
      </c>
      <c r="V52" s="807">
        <f t="shared" si="17"/>
        <v>38247552</v>
      </c>
      <c r="W52" s="807">
        <f t="shared" si="17"/>
        <v>38247552</v>
      </c>
      <c r="X52" s="807">
        <f t="shared" si="18"/>
        <v>38247552</v>
      </c>
      <c r="Y52" s="807">
        <f t="shared" si="19"/>
        <v>38247552</v>
      </c>
      <c r="Z52" s="807">
        <f t="shared" si="20"/>
        <v>38247552</v>
      </c>
      <c r="AA52" s="807">
        <f t="shared" si="21"/>
        <v>38247552</v>
      </c>
      <c r="AB52" s="807">
        <f t="shared" si="22"/>
        <v>38247552</v>
      </c>
      <c r="AI52" s="1000" t="e">
        <f t="shared" si="23"/>
        <v>#REF!</v>
      </c>
      <c r="AJ52" s="1000" t="e">
        <f t="shared" si="23"/>
        <v>#REF!</v>
      </c>
      <c r="AK52" s="1000" t="e">
        <f t="shared" si="23"/>
        <v>#REF!</v>
      </c>
      <c r="AL52" s="1000" t="e">
        <f t="shared" si="23"/>
        <v>#REF!</v>
      </c>
      <c r="AM52" s="1000" t="e">
        <f t="shared" si="23"/>
        <v>#REF!</v>
      </c>
      <c r="AN52" s="1000" t="e">
        <f t="shared" si="23"/>
        <v>#REF!</v>
      </c>
      <c r="AO52" s="1000" t="e">
        <f t="shared" si="23"/>
        <v>#REF!</v>
      </c>
      <c r="AP52" s="1000" t="e">
        <f t="shared" si="23"/>
        <v>#REF!</v>
      </c>
      <c r="AQ52" s="1000" t="e">
        <f t="shared" si="23"/>
        <v>#REF!</v>
      </c>
      <c r="AR52" s="1000" t="e">
        <f t="shared" si="23"/>
        <v>#REF!</v>
      </c>
    </row>
    <row r="53" spans="1:44">
      <c r="A53" s="702" t="s">
        <v>755</v>
      </c>
      <c r="B53" s="700">
        <f>B43-B52</f>
        <v>5348037.4013175992</v>
      </c>
      <c r="C53" s="700">
        <f>C43-C52</f>
        <v>7260789.8021491766</v>
      </c>
      <c r="D53" s="700">
        <f t="shared" ref="D53:F53" si="25">D43-D52</f>
        <v>8562493.0144027621</v>
      </c>
      <c r="E53" s="700">
        <f t="shared" si="25"/>
        <v>9217231.9141301475</v>
      </c>
      <c r="F53" s="700">
        <f t="shared" si="25"/>
        <v>9951130.6873110086</v>
      </c>
      <c r="G53" s="700">
        <f>G43-G52</f>
        <v>10478271.788932718</v>
      </c>
      <c r="H53" s="700">
        <f>H43-H52</f>
        <v>10123442.852357861</v>
      </c>
      <c r="I53" s="700">
        <f t="shared" ref="I53:K53" si="26">I43-I52</f>
        <v>10842376.395089585</v>
      </c>
      <c r="J53" s="700">
        <f t="shared" si="26"/>
        <v>10926313.599060379</v>
      </c>
      <c r="K53" s="700">
        <f t="shared" si="26"/>
        <v>10965490.030921482</v>
      </c>
      <c r="R53" s="922" t="str">
        <f t="shared" si="16"/>
        <v>Average Daily utilization</v>
      </c>
      <c r="S53" s="921">
        <f t="shared" si="16"/>
        <v>7.8839891451831754</v>
      </c>
      <c r="T53" s="807">
        <f t="shared" si="17"/>
        <v>7.8839891451831754</v>
      </c>
      <c r="U53" s="807">
        <f t="shared" si="17"/>
        <v>7.8839891451831754</v>
      </c>
      <c r="V53" s="807">
        <f t="shared" si="17"/>
        <v>7.8839891451831754</v>
      </c>
      <c r="W53" s="807">
        <f t="shared" si="17"/>
        <v>7.8839891451831754</v>
      </c>
      <c r="X53" s="807">
        <f t="shared" si="18"/>
        <v>7.8839891451831754</v>
      </c>
      <c r="Y53" s="807">
        <f t="shared" si="19"/>
        <v>7.8839891451831754</v>
      </c>
      <c r="Z53" s="807">
        <f t="shared" si="20"/>
        <v>7.8839891451831754</v>
      </c>
      <c r="AA53" s="807">
        <f t="shared" si="21"/>
        <v>7.8839891451831754</v>
      </c>
      <c r="AB53" s="807">
        <f t="shared" si="22"/>
        <v>7.8839891451831754</v>
      </c>
    </row>
    <row r="54" spans="1:44">
      <c r="A54" s="995" t="s">
        <v>458</v>
      </c>
      <c r="B54" s="699">
        <f>SUM('Cost Structure'!$BA$30:$BE$30)*B70</f>
        <v>91710.16085982717</v>
      </c>
      <c r="C54" s="699">
        <f>SUM('Cost Structure'!$BA$30:$BE$30)*C70</f>
        <v>92480.834480497986</v>
      </c>
      <c r="D54" s="699">
        <f>SUM('Cost Structure'!$BA$30:$BE$30)*D70</f>
        <v>91710.16085982717</v>
      </c>
      <c r="E54" s="699">
        <f>SUM('Cost Structure'!$BA$30:$BE$30)*E70</f>
        <v>91710.16085982717</v>
      </c>
      <c r="F54" s="699">
        <f>SUM('Cost Structure'!$BA$30:$BE$30)*F70</f>
        <v>91710.16085982717</v>
      </c>
      <c r="G54" s="699">
        <f>SUM('Cost Structure'!$BA$30:$BE$30)*G70</f>
        <v>91710.16085982717</v>
      </c>
      <c r="H54" s="699">
        <f>SUM('Cost Structure'!$BA$30:$BE$30)*H70</f>
        <v>86315.445515131461</v>
      </c>
      <c r="I54" s="699">
        <f>SUM('Cost Structure'!$BA$30:$BE$30)*I70</f>
        <v>91710.16085982717</v>
      </c>
      <c r="J54" s="699">
        <f>SUM('Cost Structure'!$BA$30:$BE$30)*J70</f>
        <v>91710.16085982717</v>
      </c>
      <c r="K54" s="699">
        <f>SUM('Cost Structure'!$BA$30:$BE$30)*K70</f>
        <v>91710.16085982717</v>
      </c>
      <c r="R54" s="922" t="s">
        <v>767</v>
      </c>
      <c r="S54" s="1021">
        <f>B75</f>
        <v>0.32489949944780089</v>
      </c>
      <c r="T54" s="1021">
        <f>C75</f>
        <v>0.37646453054790163</v>
      </c>
      <c r="U54" s="1021">
        <f>D75</f>
        <v>0.40894293347163491</v>
      </c>
      <c r="V54" s="1021">
        <f>E75</f>
        <v>0.4260613859082088</v>
      </c>
      <c r="W54" s="1021">
        <f>F75</f>
        <v>0.44524950997902146</v>
      </c>
      <c r="X54" s="1021">
        <f t="shared" ref="X54:AB54" si="27">G75</f>
        <v>0.45903185875840768</v>
      </c>
      <c r="Y54" s="1021">
        <f t="shared" si="27"/>
        <v>0.43886806920573601</v>
      </c>
      <c r="Z54" s="1021">
        <f t="shared" si="27"/>
        <v>0.468551542688947</v>
      </c>
      <c r="AA54" s="1021">
        <f t="shared" si="27"/>
        <v>0.47074611984700387</v>
      </c>
      <c r="AB54" s="1021">
        <f t="shared" si="27"/>
        <v>0.47177040584212071</v>
      </c>
    </row>
    <row r="55" spans="1:44">
      <c r="A55" s="996" t="s">
        <v>462</v>
      </c>
      <c r="B55" s="699">
        <f>SUM('Cost Structure'!$BA$31:$BE$31)*B70</f>
        <v>290851.44501000002</v>
      </c>
      <c r="C55" s="699">
        <f>SUM('Cost Structure'!$BA$31:$BE$31)*C70</f>
        <v>293295.57480000006</v>
      </c>
      <c r="D55" s="699">
        <f>SUM('Cost Structure'!$BA$31:$BE$31)*D70</f>
        <v>290851.44501000002</v>
      </c>
      <c r="E55" s="699">
        <f>SUM('Cost Structure'!$BA$31:$BE$31)*E70</f>
        <v>290851.44501000002</v>
      </c>
      <c r="F55" s="699">
        <f>SUM('Cost Structure'!$BA$31:$BE$31)*F70</f>
        <v>290851.44501000002</v>
      </c>
      <c r="G55" s="699">
        <f>SUM('Cost Structure'!$BA$31:$BE$31)*G70</f>
        <v>290851.44501000002</v>
      </c>
      <c r="H55" s="699">
        <f>SUM('Cost Structure'!$BA$31:$BE$31)*H70</f>
        <v>273742.53648000001</v>
      </c>
      <c r="I55" s="699">
        <f>SUM('Cost Structure'!$BA$31:$BE$31)*I70</f>
        <v>290851.44501000002</v>
      </c>
      <c r="J55" s="699">
        <f>SUM('Cost Structure'!$BA$31:$BE$31)*J70</f>
        <v>290851.44501000002</v>
      </c>
      <c r="K55" s="699">
        <f>SUM('Cost Structure'!$BA$31:$BE$31)*K70</f>
        <v>290851.44501000002</v>
      </c>
      <c r="R55" s="922" t="s">
        <v>768</v>
      </c>
      <c r="S55" s="1021">
        <f>B76</f>
        <v>2514.9623477723158</v>
      </c>
      <c r="T55" s="1021">
        <f>$S$55</f>
        <v>2514.9623477723158</v>
      </c>
      <c r="U55" s="1021">
        <f>$S$55</f>
        <v>2514.9623477723158</v>
      </c>
      <c r="V55" s="1021">
        <f>$S$55</f>
        <v>2514.9623477723158</v>
      </c>
      <c r="W55" s="1021">
        <f>$S$55</f>
        <v>2514.9623477723158</v>
      </c>
      <c r="X55" s="1021">
        <f t="shared" ref="X55:AB55" si="28">$S$55</f>
        <v>2514.9623477723158</v>
      </c>
      <c r="Y55" s="1021">
        <f t="shared" si="28"/>
        <v>2514.9623477723158</v>
      </c>
      <c r="Z55" s="1021">
        <f t="shared" si="28"/>
        <v>2514.9623477723158</v>
      </c>
      <c r="AA55" s="1021">
        <f t="shared" si="28"/>
        <v>2514.9623477723158</v>
      </c>
      <c r="AB55" s="1021">
        <f t="shared" si="28"/>
        <v>2514.9623477723158</v>
      </c>
    </row>
    <row r="56" spans="1:44">
      <c r="A56" s="996" t="s">
        <v>463</v>
      </c>
      <c r="B56" s="699">
        <f>SUM('Cost Structure'!$BA$32:$BE$32)*B70</f>
        <v>388822.45806600008</v>
      </c>
      <c r="C56" s="699">
        <f>SUM('Cost Structure'!$BA$32:$BE$32)*C70</f>
        <v>392089.87368000008</v>
      </c>
      <c r="D56" s="699">
        <f>SUM('Cost Structure'!$BA$32:$BE$32)*D70</f>
        <v>388822.45806600008</v>
      </c>
      <c r="E56" s="699">
        <f>SUM('Cost Structure'!$BA$32:$BE$32)*E70</f>
        <v>388822.45806600008</v>
      </c>
      <c r="F56" s="699">
        <f>SUM('Cost Structure'!$BA$32:$BE$32)*F70</f>
        <v>388822.45806600008</v>
      </c>
      <c r="G56" s="699">
        <f>SUM('Cost Structure'!$BA$32:$BE$32)*G70</f>
        <v>388822.45806600008</v>
      </c>
      <c r="H56" s="699">
        <f>SUM('Cost Structure'!$BA$32:$BE$32)*H70</f>
        <v>365950.54876800004</v>
      </c>
      <c r="I56" s="699">
        <f>SUM('Cost Structure'!$BA$32:$BE$32)*I70</f>
        <v>388822.45806600008</v>
      </c>
      <c r="J56" s="699">
        <f>SUM('Cost Structure'!$BA$32:$BE$32)*J70</f>
        <v>388822.45806600008</v>
      </c>
      <c r="K56" s="699">
        <f>SUM('Cost Structure'!$BA$32:$BE$32)*K70</f>
        <v>388822.45806600008</v>
      </c>
      <c r="R56" s="922" t="s">
        <v>769</v>
      </c>
      <c r="S56" s="1021" t="e">
        <f>B77</f>
        <v>#REF!</v>
      </c>
      <c r="T56" s="1021" t="e">
        <f>$S$56</f>
        <v>#REF!</v>
      </c>
      <c r="U56" s="1021" t="e">
        <f>$S$56</f>
        <v>#REF!</v>
      </c>
      <c r="V56" s="1021" t="e">
        <f>$S$56</f>
        <v>#REF!</v>
      </c>
      <c r="W56" s="1021" t="e">
        <f>$S$56</f>
        <v>#REF!</v>
      </c>
      <c r="X56" s="1021" t="e">
        <f t="shared" ref="X56:AB56" si="29">$S$56</f>
        <v>#REF!</v>
      </c>
      <c r="Y56" s="1021" t="e">
        <f t="shared" si="29"/>
        <v>#REF!</v>
      </c>
      <c r="Z56" s="1021" t="e">
        <f t="shared" si="29"/>
        <v>#REF!</v>
      </c>
      <c r="AA56" s="1021" t="e">
        <f t="shared" si="29"/>
        <v>#REF!</v>
      </c>
      <c r="AB56" s="1021" t="e">
        <f t="shared" si="29"/>
        <v>#REF!</v>
      </c>
    </row>
    <row r="57" spans="1:44">
      <c r="A57" s="997" t="s">
        <v>83</v>
      </c>
      <c r="B57" s="699">
        <f>SUM('Cost Structure'!$BA$33:$BE$33)*B70</f>
        <v>50867.970191931294</v>
      </c>
      <c r="C57" s="699">
        <f>SUM('Cost Structure'!$BA$33:$BE$33)*C70</f>
        <v>51295.432126317268</v>
      </c>
      <c r="D57" s="699">
        <f>SUM('Cost Structure'!$BA$33:$BE$33)*D70</f>
        <v>50867.970191931294</v>
      </c>
      <c r="E57" s="699">
        <f>SUM('Cost Structure'!$BA$33:$BE$33)*E70</f>
        <v>50867.970191931294</v>
      </c>
      <c r="F57" s="699">
        <f>SUM('Cost Structure'!$BA$33:$BE$33)*F70</f>
        <v>50867.970191931294</v>
      </c>
      <c r="G57" s="699">
        <f>SUM('Cost Structure'!$BA$33:$BE$33)*G70</f>
        <v>50867.970191931294</v>
      </c>
      <c r="H57" s="699">
        <f>SUM('Cost Structure'!$BA$33:$BE$33)*H70</f>
        <v>47875.736651229454</v>
      </c>
      <c r="I57" s="699">
        <f>SUM('Cost Structure'!$BA$33:$BE$33)*I70</f>
        <v>50867.970191931294</v>
      </c>
      <c r="J57" s="699">
        <f>SUM('Cost Structure'!$BA$33:$BE$33)*J70</f>
        <v>50867.970191931294</v>
      </c>
      <c r="K57" s="699">
        <f>SUM('Cost Structure'!$BA$33:$BE$33)*K70</f>
        <v>50867.970191931294</v>
      </c>
      <c r="R57" s="922" t="s">
        <v>770</v>
      </c>
      <c r="S57" s="1021">
        <f>B78</f>
        <v>1761.6015355996176</v>
      </c>
      <c r="T57" s="1021">
        <f>$S$57</f>
        <v>1761.6015355996176</v>
      </c>
      <c r="U57" s="1021">
        <f>$S$57</f>
        <v>1761.6015355996176</v>
      </c>
      <c r="V57" s="1021">
        <f>$S$57</f>
        <v>1761.6015355996176</v>
      </c>
      <c r="W57" s="1021">
        <f>$S$57</f>
        <v>1761.6015355996176</v>
      </c>
      <c r="X57" s="1021">
        <f t="shared" ref="X57:AB57" si="30">$S$57</f>
        <v>1761.6015355996176</v>
      </c>
      <c r="Y57" s="1021">
        <f t="shared" si="30"/>
        <v>1761.6015355996176</v>
      </c>
      <c r="Z57" s="1021">
        <f t="shared" si="30"/>
        <v>1761.6015355996176</v>
      </c>
      <c r="AA57" s="1021">
        <f t="shared" si="30"/>
        <v>1761.6015355996176</v>
      </c>
      <c r="AB57" s="1021">
        <f t="shared" si="30"/>
        <v>1761.6015355996176</v>
      </c>
    </row>
    <row r="58" spans="1:44">
      <c r="A58" s="996" t="s">
        <v>466</v>
      </c>
      <c r="B58" s="699">
        <f>SUM('Cost Structure'!$BA$34:$BE$34)*B70</f>
        <v>1535589.8040047132</v>
      </c>
      <c r="C58" s="699">
        <f>SUM('Cost Structure'!$BA$34:$BE$34)*C70</f>
        <v>1548493.9200047529</v>
      </c>
      <c r="D58" s="699">
        <f>SUM('Cost Structure'!$BA$34:$BE$34)*D70</f>
        <v>1535589.8040047132</v>
      </c>
      <c r="E58" s="699">
        <f>SUM('Cost Structure'!$BA$34:$BE$34)*E70</f>
        <v>1535589.8040047132</v>
      </c>
      <c r="F58" s="699">
        <f>SUM('Cost Structure'!$BA$34:$BE$34)*F70</f>
        <v>1535589.8040047132</v>
      </c>
      <c r="G58" s="699">
        <f>SUM('Cost Structure'!$BA$34:$BE$34)*G70</f>
        <v>1535589.8040047132</v>
      </c>
      <c r="H58" s="699">
        <f>SUM('Cost Structure'!$BA$34:$BE$34)*H70</f>
        <v>1445260.992004436</v>
      </c>
      <c r="I58" s="699">
        <f>SUM('Cost Structure'!$BA$34:$BE$34)*I70</f>
        <v>1535589.8040047132</v>
      </c>
      <c r="J58" s="699">
        <f>SUM('Cost Structure'!$BA$34:$BE$34)*J70</f>
        <v>1535589.8040047132</v>
      </c>
      <c r="K58" s="699">
        <f>SUM('Cost Structure'!$BA$34:$BE$34)*K70</f>
        <v>1535589.8040047132</v>
      </c>
      <c r="R58" s="922" t="s">
        <v>771</v>
      </c>
      <c r="S58" s="1021" t="e">
        <f>B79</f>
        <v>#REF!</v>
      </c>
      <c r="T58" s="1021" t="e">
        <f>$S$58</f>
        <v>#REF!</v>
      </c>
      <c r="U58" s="1021" t="e">
        <f>$S$58</f>
        <v>#REF!</v>
      </c>
      <c r="V58" s="1021" t="e">
        <f>$S$58</f>
        <v>#REF!</v>
      </c>
      <c r="W58" s="1021" t="e">
        <f>$S$58</f>
        <v>#REF!</v>
      </c>
      <c r="X58" s="1021" t="e">
        <f t="shared" ref="X58:AB58" si="31">$S$58</f>
        <v>#REF!</v>
      </c>
      <c r="Y58" s="1021" t="e">
        <f t="shared" si="31"/>
        <v>#REF!</v>
      </c>
      <c r="Z58" s="1021" t="e">
        <f t="shared" si="31"/>
        <v>#REF!</v>
      </c>
      <c r="AA58" s="1021" t="e">
        <f t="shared" si="31"/>
        <v>#REF!</v>
      </c>
      <c r="AB58" s="1021" t="e">
        <f t="shared" si="31"/>
        <v>#REF!</v>
      </c>
    </row>
    <row r="59" spans="1:44">
      <c r="A59" s="996" t="s">
        <v>776</v>
      </c>
      <c r="B59" s="787" t="e">
        <f>SUM('Cost Structure'!$BA$35:$BE$35)*B70</f>
        <v>#REF!</v>
      </c>
      <c r="C59" s="787" t="e">
        <f>SUM('Cost Structure'!$BA$35:$BE$35)*C70</f>
        <v>#REF!</v>
      </c>
      <c r="D59" s="787" t="e">
        <f>SUM('Cost Structure'!$BA$35:$BE$35)*D70</f>
        <v>#REF!</v>
      </c>
      <c r="E59" s="787" t="e">
        <f>SUM('Cost Structure'!$BA$35:$BE$35)*E70</f>
        <v>#REF!</v>
      </c>
      <c r="F59" s="787" t="e">
        <f>SUM('Cost Structure'!$BA$35:$BE$35)*F70</f>
        <v>#REF!</v>
      </c>
      <c r="G59" s="787" t="e">
        <f>SUM('Cost Structure'!$BA$35:$BE$35)*G70</f>
        <v>#REF!</v>
      </c>
      <c r="H59" s="787" t="e">
        <f>SUM('Cost Structure'!$BA$35:$BE$35)*H70</f>
        <v>#REF!</v>
      </c>
      <c r="I59" s="787" t="e">
        <f>SUM('Cost Structure'!$BA$35:$BE$35)*I70</f>
        <v>#REF!</v>
      </c>
      <c r="J59" s="787" t="e">
        <f>SUM('Cost Structure'!$BA$35:$BE$35)*J70</f>
        <v>#REF!</v>
      </c>
      <c r="K59" s="787" t="e">
        <f>SUM('Cost Structure'!$BA$35:$BE$35)*K70</f>
        <v>#REF!</v>
      </c>
      <c r="R59" s="993"/>
      <c r="S59" s="994"/>
      <c r="T59" s="994"/>
      <c r="U59" s="994"/>
      <c r="V59" s="994"/>
      <c r="W59" s="994"/>
    </row>
    <row r="60" spans="1:44">
      <c r="A60" s="998" t="s">
        <v>75</v>
      </c>
      <c r="B60" s="699">
        <f>SUM('Cost Structure'!$BA$36:$BE$36)*B70</f>
        <v>1923.0769230769229</v>
      </c>
      <c r="C60" s="699">
        <f>SUM('Cost Structure'!$BA$36:$BE$36)*C70</f>
        <v>1939.2372333548803</v>
      </c>
      <c r="D60" s="699">
        <f>SUM('Cost Structure'!$BA$36:$BE$36)*D70</f>
        <v>1923.0769230769229</v>
      </c>
      <c r="E60" s="699">
        <f>SUM('Cost Structure'!$BA$36:$BE$36)*E70</f>
        <v>1923.0769230769229</v>
      </c>
      <c r="F60" s="699">
        <f>SUM('Cost Structure'!$BA$36:$BE$36)*F70</f>
        <v>1923.0769230769229</v>
      </c>
      <c r="G60" s="699">
        <f>SUM('Cost Structure'!$BA$36:$BE$36)*G70</f>
        <v>1923.0769230769229</v>
      </c>
      <c r="H60" s="699">
        <f>SUM('Cost Structure'!$BA$36:$BE$36)*H70</f>
        <v>1809.9547511312217</v>
      </c>
      <c r="I60" s="699">
        <f>SUM('Cost Structure'!$BA$36:$BE$36)*I70</f>
        <v>1923.0769230769229</v>
      </c>
      <c r="J60" s="699">
        <f>SUM('Cost Structure'!$BA$36:$BE$36)*J70</f>
        <v>1923.0769230769229</v>
      </c>
      <c r="K60" s="699">
        <f>SUM('Cost Structure'!$BA$36:$BE$36)*K70</f>
        <v>1923.0769230769229</v>
      </c>
      <c r="R60" s="993"/>
      <c r="S60" s="994"/>
      <c r="T60" s="994"/>
      <c r="U60" s="994"/>
      <c r="V60" s="994"/>
      <c r="W60" s="994"/>
    </row>
    <row r="61" spans="1:44">
      <c r="A61" s="711" t="s">
        <v>756</v>
      </c>
      <c r="B61" s="699" t="e">
        <f>SUM(B54:B60)</f>
        <v>#REF!</v>
      </c>
      <c r="C61" s="699" t="e">
        <f t="shared" ref="C61:K61" si="32">SUM(C54:C60)</f>
        <v>#REF!</v>
      </c>
      <c r="D61" s="699" t="e">
        <f t="shared" si="32"/>
        <v>#REF!</v>
      </c>
      <c r="E61" s="699" t="e">
        <f t="shared" si="32"/>
        <v>#REF!</v>
      </c>
      <c r="F61" s="699" t="e">
        <f t="shared" si="32"/>
        <v>#REF!</v>
      </c>
      <c r="G61" s="699" t="e">
        <f t="shared" si="32"/>
        <v>#REF!</v>
      </c>
      <c r="H61" s="699" t="e">
        <f t="shared" si="32"/>
        <v>#REF!</v>
      </c>
      <c r="I61" s="699" t="e">
        <f t="shared" si="32"/>
        <v>#REF!</v>
      </c>
      <c r="J61" s="699" t="e">
        <f t="shared" si="32"/>
        <v>#REF!</v>
      </c>
      <c r="K61" s="699" t="e">
        <f t="shared" si="32"/>
        <v>#REF!</v>
      </c>
    </row>
    <row r="62" spans="1:44">
      <c r="A62" s="702" t="s">
        <v>757</v>
      </c>
      <c r="B62" s="700" t="e">
        <f t="shared" ref="B62:K62" si="33">B53-B61</f>
        <v>#REF!</v>
      </c>
      <c r="C62" s="700" t="e">
        <f t="shared" si="33"/>
        <v>#REF!</v>
      </c>
      <c r="D62" s="700" t="e">
        <f t="shared" si="33"/>
        <v>#REF!</v>
      </c>
      <c r="E62" s="700" t="e">
        <f t="shared" si="33"/>
        <v>#REF!</v>
      </c>
      <c r="F62" s="700" t="e">
        <f t="shared" si="33"/>
        <v>#REF!</v>
      </c>
      <c r="G62" s="700" t="e">
        <f t="shared" si="33"/>
        <v>#REF!</v>
      </c>
      <c r="H62" s="700" t="e">
        <f t="shared" si="33"/>
        <v>#REF!</v>
      </c>
      <c r="I62" s="700" t="e">
        <f t="shared" si="33"/>
        <v>#REF!</v>
      </c>
      <c r="J62" s="700" t="e">
        <f t="shared" si="33"/>
        <v>#REF!</v>
      </c>
      <c r="K62" s="700" t="e">
        <f t="shared" si="33"/>
        <v>#REF!</v>
      </c>
    </row>
    <row r="63" spans="1:44">
      <c r="A63" s="697" t="s">
        <v>472</v>
      </c>
      <c r="B63" s="730">
        <f>SUM('Cost Structure'!$BA$38:$BE$38)*B70</f>
        <v>0</v>
      </c>
      <c r="C63" s="730">
        <f>SUM('Cost Structure'!$BA$38:$BE$38)*C70</f>
        <v>0</v>
      </c>
      <c r="D63" s="730">
        <f>SUM('Cost Structure'!$BA$38:$BE$38)*D70</f>
        <v>0</v>
      </c>
      <c r="E63" s="730">
        <f>SUM('Cost Structure'!$BA$38:$BE$38)*E70</f>
        <v>0</v>
      </c>
      <c r="F63" s="730">
        <f>SUM('Cost Structure'!$BA$38:$BE$38)*F70</f>
        <v>0</v>
      </c>
      <c r="G63" s="730">
        <f>SUM('Cost Structure'!$BA$38:$BE$38)*G70</f>
        <v>0</v>
      </c>
      <c r="H63" s="730">
        <f>SUM('Cost Structure'!$BA$38:$BE$38)*H70</f>
        <v>0</v>
      </c>
      <c r="I63" s="730">
        <f>SUM('Cost Structure'!$BA$38:$BE$38)*I70</f>
        <v>0</v>
      </c>
      <c r="J63" s="730">
        <f>SUM('Cost Structure'!$BA$38:$BE$38)*J70</f>
        <v>0</v>
      </c>
      <c r="K63" s="730">
        <f>SUM('Cost Structure'!$BA$38:$BE$38)*K70</f>
        <v>0</v>
      </c>
    </row>
    <row r="64" spans="1:44">
      <c r="A64" s="697" t="s">
        <v>56</v>
      </c>
      <c r="B64" s="730">
        <f>SUM('Cost Structure'!$BA$39:$BE$39)*B70</f>
        <v>419999.99999999994</v>
      </c>
      <c r="C64" s="730">
        <f>SUM('Cost Structure'!$BA$39:$BE$39)*C70</f>
        <v>423529.41176470579</v>
      </c>
      <c r="D64" s="730">
        <f>SUM('Cost Structure'!$BA$39:$BE$39)*D70</f>
        <v>419999.99999999994</v>
      </c>
      <c r="E64" s="730">
        <f>SUM('Cost Structure'!$BA$39:$BE$39)*E70</f>
        <v>419999.99999999994</v>
      </c>
      <c r="F64" s="730">
        <f>SUM('Cost Structure'!$BA$39:$BE$39)*F70</f>
        <v>419999.99999999994</v>
      </c>
      <c r="G64" s="730">
        <f>SUM('Cost Structure'!$BA$39:$BE$39)*G70</f>
        <v>419999.99999999994</v>
      </c>
      <c r="H64" s="730">
        <f>SUM('Cost Structure'!$BA$39:$BE$39)*H70</f>
        <v>395294.11764705874</v>
      </c>
      <c r="I64" s="730">
        <f>SUM('Cost Structure'!$BA$39:$BE$39)*I70</f>
        <v>419999.99999999994</v>
      </c>
      <c r="J64" s="730">
        <f>SUM('Cost Structure'!$BA$39:$BE$39)*J70</f>
        <v>419999.99999999994</v>
      </c>
      <c r="K64" s="730">
        <f>SUM('Cost Structure'!$BA$39:$BE$39)*K70</f>
        <v>419999.99999999994</v>
      </c>
    </row>
    <row r="65" spans="1:11">
      <c r="A65" s="786" t="s">
        <v>50</v>
      </c>
      <c r="B65" s="730">
        <f>SUM('Cost Structure'!$BA$40:$BE$40)*B70</f>
        <v>1598175.716375527</v>
      </c>
      <c r="C65" s="730">
        <f>SUM('Cost Structure'!$BA$40:$BE$40)*C70</f>
        <v>1611605.764412296</v>
      </c>
      <c r="D65" s="730">
        <f>SUM('Cost Structure'!$BA$40:$BE$40)*D70</f>
        <v>1598175.716375527</v>
      </c>
      <c r="E65" s="730">
        <f>SUM('Cost Structure'!$BA$40:$BE$40)*E70</f>
        <v>1598175.716375527</v>
      </c>
      <c r="F65" s="730">
        <f>SUM('Cost Structure'!$BA$40:$BE$40)*F70</f>
        <v>1598175.716375527</v>
      </c>
      <c r="G65" s="730">
        <f>SUM('Cost Structure'!$BA$40:$BE$40)*G70</f>
        <v>1598175.716375527</v>
      </c>
      <c r="H65" s="730">
        <f>SUM('Cost Structure'!$BA$40:$BE$40)*H70</f>
        <v>1504165.380118143</v>
      </c>
      <c r="I65" s="730">
        <f>SUM('Cost Structure'!$BA$40:$BE$40)*I70</f>
        <v>1598175.716375527</v>
      </c>
      <c r="J65" s="730">
        <f>SUM('Cost Structure'!$BA$40:$BE$40)*J70</f>
        <v>1598175.716375527</v>
      </c>
      <c r="K65" s="730">
        <f>SUM('Cost Structure'!$BA$40:$BE$40)*K70</f>
        <v>1598175.716375527</v>
      </c>
    </row>
    <row r="66" spans="1:11">
      <c r="A66" s="784" t="s">
        <v>473</v>
      </c>
      <c r="B66" s="730">
        <f>SUM('Cost Structure'!$BA$41:$BE$41)*B70</f>
        <v>2940000</v>
      </c>
      <c r="C66" s="730">
        <f>SUM('Cost Structure'!$BA$41:$BE$41)*C70</f>
        <v>2964705.8823529412</v>
      </c>
      <c r="D66" s="730">
        <f>SUM('Cost Structure'!$BA$41:$BE$41)*D70</f>
        <v>2940000</v>
      </c>
      <c r="E66" s="730">
        <f>SUM('Cost Structure'!$BA$41:$BE$41)*E70</f>
        <v>2940000</v>
      </c>
      <c r="F66" s="730">
        <f>SUM('Cost Structure'!$BA$41:$BE$41)*F70</f>
        <v>2940000</v>
      </c>
      <c r="G66" s="730">
        <f>SUM('Cost Structure'!$BA$41:$BE$41)*G70</f>
        <v>2940000</v>
      </c>
      <c r="H66" s="730">
        <f>SUM('Cost Structure'!$BA$41:$BE$41)*H70</f>
        <v>2767058.823529412</v>
      </c>
      <c r="I66" s="730">
        <f>SUM('Cost Structure'!$BA$41:$BE$41)*I70</f>
        <v>2940000</v>
      </c>
      <c r="J66" s="730">
        <f>SUM('Cost Structure'!$BA$41:$BE$41)*J70</f>
        <v>2940000</v>
      </c>
      <c r="K66" s="730">
        <f>SUM('Cost Structure'!$BA$41:$BE$41)*K70</f>
        <v>2940000</v>
      </c>
    </row>
    <row r="67" spans="1:11">
      <c r="A67" s="785" t="s">
        <v>758</v>
      </c>
      <c r="B67" s="730">
        <f>SUM(B64:B66)</f>
        <v>4958175.716375527</v>
      </c>
      <c r="C67" s="730">
        <f t="shared" ref="C67:K67" si="34">SUM(C64:C66)</f>
        <v>4999841.0585299432</v>
      </c>
      <c r="D67" s="730">
        <f t="shared" si="34"/>
        <v>4958175.716375527</v>
      </c>
      <c r="E67" s="730">
        <f t="shared" si="34"/>
        <v>4958175.716375527</v>
      </c>
      <c r="F67" s="730">
        <f t="shared" si="34"/>
        <v>4958175.716375527</v>
      </c>
      <c r="G67" s="730">
        <f t="shared" si="34"/>
        <v>4958175.716375527</v>
      </c>
      <c r="H67" s="730">
        <f t="shared" si="34"/>
        <v>4666518.3212946141</v>
      </c>
      <c r="I67" s="730">
        <f t="shared" si="34"/>
        <v>4958175.716375527</v>
      </c>
      <c r="J67" s="730">
        <f t="shared" si="34"/>
        <v>4958175.716375527</v>
      </c>
      <c r="K67" s="730">
        <f t="shared" si="34"/>
        <v>4958175.716375527</v>
      </c>
    </row>
    <row r="68" spans="1:11">
      <c r="A68" s="909" t="s">
        <v>759</v>
      </c>
      <c r="B68" s="910" t="e">
        <f t="shared" ref="B68:K68" si="35">B62-B67</f>
        <v>#REF!</v>
      </c>
      <c r="C68" s="910" t="e">
        <f t="shared" si="35"/>
        <v>#REF!</v>
      </c>
      <c r="D68" s="910" t="e">
        <f t="shared" si="35"/>
        <v>#REF!</v>
      </c>
      <c r="E68" s="910" t="e">
        <f t="shared" si="35"/>
        <v>#REF!</v>
      </c>
      <c r="F68" s="910" t="e">
        <f t="shared" si="35"/>
        <v>#REF!</v>
      </c>
      <c r="G68" s="910" t="e">
        <f t="shared" si="35"/>
        <v>#REF!</v>
      </c>
      <c r="H68" s="910" t="e">
        <f t="shared" si="35"/>
        <v>#REF!</v>
      </c>
      <c r="I68" s="910" t="e">
        <f t="shared" si="35"/>
        <v>#REF!</v>
      </c>
      <c r="J68" s="910" t="e">
        <f t="shared" si="35"/>
        <v>#REF!</v>
      </c>
      <c r="K68" s="910" t="e">
        <f t="shared" si="35"/>
        <v>#REF!</v>
      </c>
    </row>
    <row r="69" spans="1:11">
      <c r="A69" s="782"/>
      <c r="B69" s="783"/>
      <c r="C69" s="783"/>
      <c r="D69" s="783"/>
      <c r="E69" s="783"/>
      <c r="F69" s="783"/>
    </row>
    <row r="70" spans="1:11" ht="14.45" customHeight="1">
      <c r="A70" s="790" t="s">
        <v>348</v>
      </c>
      <c r="B70" s="1227">
        <f>365-'Maintenance Schedule'!O33-'Maintenance Schedule'!O38</f>
        <v>357</v>
      </c>
      <c r="C70" s="1227">
        <f>365-'Maintenance Schedule'!P33-'Maintenance Schedule'!P38</f>
        <v>360</v>
      </c>
      <c r="D70" s="1227">
        <f>365-'Maintenance Schedule'!Q33-'Maintenance Schedule'!Q38</f>
        <v>357</v>
      </c>
      <c r="E70" s="1227">
        <f>365-'Maintenance Schedule'!R33-'Maintenance Schedule'!R38</f>
        <v>357</v>
      </c>
      <c r="F70" s="1227">
        <f>365-'Maintenance Schedule'!S33-'Maintenance Schedule'!S38</f>
        <v>357</v>
      </c>
      <c r="G70" s="1227">
        <f>365-'Maintenance Schedule'!T33-'Maintenance Schedule'!T38</f>
        <v>357</v>
      </c>
      <c r="H70" s="1227">
        <f>365-'Maintenance Schedule'!U33-'Maintenance Schedule'!U38</f>
        <v>336</v>
      </c>
      <c r="I70" s="1227">
        <f>365-'Maintenance Schedule'!V33-'Maintenance Schedule'!V38</f>
        <v>357</v>
      </c>
      <c r="J70" s="1227">
        <v>357</v>
      </c>
      <c r="K70" s="1227">
        <v>357</v>
      </c>
    </row>
    <row r="71" spans="1:11">
      <c r="A71" s="791" t="s">
        <v>777</v>
      </c>
      <c r="B71" s="1836">
        <f>SUM('Cost Structure'!BA10:BE10)*B70</f>
        <v>2814.5841248303936</v>
      </c>
      <c r="C71" s="1836"/>
      <c r="D71" s="1836"/>
      <c r="E71" s="1836"/>
      <c r="F71" s="1837"/>
    </row>
    <row r="72" spans="1:11">
      <c r="A72" s="792" t="s">
        <v>763</v>
      </c>
      <c r="B72" s="1838">
        <f>B70*27*SUM('Cost Structure'!BA9:BE9)</f>
        <v>38247552</v>
      </c>
      <c r="C72" s="1838"/>
      <c r="D72" s="1838"/>
      <c r="E72" s="1838"/>
      <c r="F72" s="1839"/>
    </row>
    <row r="73" spans="1:11">
      <c r="A73" s="791" t="s">
        <v>765</v>
      </c>
      <c r="B73" s="1840">
        <f>B71/B70</f>
        <v>7.8839891451831754</v>
      </c>
      <c r="C73" s="1840"/>
      <c r="D73" s="1840"/>
      <c r="E73" s="1840"/>
      <c r="F73" s="1841"/>
    </row>
    <row r="74" spans="1:11">
      <c r="A74" s="287" t="s">
        <v>742</v>
      </c>
      <c r="B74" s="1838"/>
      <c r="C74" s="1838"/>
      <c r="D74" s="1838"/>
      <c r="E74" s="1838"/>
      <c r="F74" s="1839"/>
    </row>
    <row r="75" spans="1:11">
      <c r="A75" s="791" t="s">
        <v>767</v>
      </c>
      <c r="B75" s="914">
        <f t="shared" ref="B75:G75" si="36">B43/$B$72</f>
        <v>0.32489949944780089</v>
      </c>
      <c r="C75" s="914">
        <f t="shared" si="36"/>
        <v>0.37646453054790163</v>
      </c>
      <c r="D75" s="914">
        <f t="shared" si="36"/>
        <v>0.40894293347163491</v>
      </c>
      <c r="E75" s="914">
        <f t="shared" si="36"/>
        <v>0.4260613859082088</v>
      </c>
      <c r="F75" s="1002">
        <f t="shared" si="36"/>
        <v>0.44524950997902146</v>
      </c>
      <c r="G75" s="1002">
        <f t="shared" si="36"/>
        <v>0.45903185875840768</v>
      </c>
      <c r="H75" s="1002">
        <f t="shared" ref="H75:K75" si="37">H43/$B$72</f>
        <v>0.43886806920573601</v>
      </c>
      <c r="I75" s="1002">
        <f t="shared" si="37"/>
        <v>0.468551542688947</v>
      </c>
      <c r="J75" s="1002">
        <f t="shared" si="37"/>
        <v>0.47074611984700387</v>
      </c>
      <c r="K75" s="1002">
        <f t="shared" si="37"/>
        <v>0.47177040584212071</v>
      </c>
    </row>
    <row r="76" spans="1:11">
      <c r="A76" s="791" t="s">
        <v>768</v>
      </c>
      <c r="B76" s="1844">
        <f>B52/B71</f>
        <v>2514.9623477723158</v>
      </c>
      <c r="C76" s="1845"/>
      <c r="D76" s="1845"/>
      <c r="E76" s="1845"/>
      <c r="F76" s="1846"/>
    </row>
    <row r="77" spans="1:11">
      <c r="A77" s="791" t="s">
        <v>769</v>
      </c>
      <c r="B77" s="1844" t="e">
        <f>B61/B71</f>
        <v>#REF!</v>
      </c>
      <c r="C77" s="1845"/>
      <c r="D77" s="1845"/>
      <c r="E77" s="1845"/>
      <c r="F77" s="1846"/>
    </row>
    <row r="78" spans="1:11">
      <c r="A78" s="791" t="s">
        <v>770</v>
      </c>
      <c r="B78" s="1844">
        <f>B67/B71</f>
        <v>1761.6015355996176</v>
      </c>
      <c r="C78" s="1845"/>
      <c r="D78" s="1845"/>
      <c r="E78" s="1845"/>
      <c r="F78" s="1846"/>
    </row>
    <row r="79" spans="1:11" ht="15" thickBot="1">
      <c r="A79" s="793" t="s">
        <v>771</v>
      </c>
      <c r="B79" s="1847" t="e">
        <f>SUM(B52,B61,B67)/B71</f>
        <v>#REF!</v>
      </c>
      <c r="C79" s="1848"/>
      <c r="D79" s="1848"/>
      <c r="E79" s="1848"/>
      <c r="F79" s="1849"/>
    </row>
    <row r="81" spans="1:28">
      <c r="A81" s="710" t="s">
        <v>778</v>
      </c>
      <c r="B81" s="709"/>
      <c r="C81" s="709"/>
      <c r="D81" s="709"/>
      <c r="E81" s="709"/>
      <c r="F81" s="709"/>
      <c r="G81" s="709"/>
      <c r="H81" s="709"/>
      <c r="I81" s="709"/>
      <c r="J81" s="709"/>
      <c r="K81" s="709"/>
      <c r="R81" s="710" t="s">
        <v>778</v>
      </c>
      <c r="S81" s="709"/>
      <c r="T81" s="709"/>
      <c r="U81" s="709"/>
      <c r="V81" s="709"/>
      <c r="W81" s="709"/>
      <c r="X81" s="709"/>
      <c r="Y81" s="709"/>
      <c r="Z81" s="709"/>
      <c r="AA81" s="709"/>
      <c r="AB81" s="709"/>
    </row>
    <row r="82" spans="1:28">
      <c r="A82" s="297"/>
      <c r="B82" s="716">
        <v>2023</v>
      </c>
      <c r="C82" s="714">
        <v>2024</v>
      </c>
      <c r="D82" s="715">
        <v>2025</v>
      </c>
      <c r="E82" s="712">
        <v>2026</v>
      </c>
      <c r="F82" s="713">
        <v>2027</v>
      </c>
      <c r="G82" s="712">
        <v>2028</v>
      </c>
      <c r="H82" s="713">
        <v>2029</v>
      </c>
      <c r="I82" s="712">
        <v>2030</v>
      </c>
      <c r="J82" s="713">
        <v>2031</v>
      </c>
      <c r="K82" s="712">
        <v>2032</v>
      </c>
      <c r="R82" s="297"/>
      <c r="S82" s="716">
        <v>2023</v>
      </c>
      <c r="T82" s="714">
        <v>2024</v>
      </c>
      <c r="U82" s="715">
        <v>2025</v>
      </c>
      <c r="V82" s="712">
        <v>2026</v>
      </c>
      <c r="W82" s="713">
        <v>2027</v>
      </c>
      <c r="X82" s="712">
        <v>2028</v>
      </c>
      <c r="Y82" s="713">
        <v>2029</v>
      </c>
      <c r="Z82" s="712">
        <v>2030</v>
      </c>
      <c r="AA82" s="713">
        <v>2031</v>
      </c>
      <c r="AB82" s="712">
        <v>2032</v>
      </c>
    </row>
    <row r="83" spans="1:28">
      <c r="A83" s="702" t="s">
        <v>753</v>
      </c>
      <c r="B83" s="794">
        <f>SUM(Profitability!AQ51:AQ54)</f>
        <v>13007374.596061908</v>
      </c>
      <c r="C83" s="794">
        <f>SUM(Profitability!AR50:AR54)</f>
        <v>19173925.399963778</v>
      </c>
      <c r="D83" s="794">
        <f>SUM(Profitability!AS51:AS54)</f>
        <v>15982450.066954982</v>
      </c>
      <c r="E83" s="794">
        <f>SUM(Profitability!AT51:AT54)</f>
        <v>17858289.549573895</v>
      </c>
      <c r="F83" s="794">
        <f>SUM(Profitability!AU51:AU54)</f>
        <v>18404375.252924506</v>
      </c>
      <c r="G83" s="794">
        <f>SUM(Profitability!AV51:AV54)</f>
        <v>19998355.196200542</v>
      </c>
      <c r="H83" s="794">
        <f>SUM(Profitability!AW51:AW54)</f>
        <v>20196028.993128851</v>
      </c>
      <c r="I83" s="794">
        <f>SUM(Profitability!AX51:AX54)</f>
        <v>20886817.872453816</v>
      </c>
      <c r="J83" s="794">
        <f>SUM(Profitability!AY51:AY54)</f>
        <v>21375091.430106759</v>
      </c>
      <c r="K83" s="794">
        <f>SUM(Profitability!AZ51:AZ54)</f>
        <v>21487300.579010956</v>
      </c>
      <c r="R83" s="917" t="s">
        <v>753</v>
      </c>
      <c r="S83" s="918">
        <f>B83</f>
        <v>13007374.596061908</v>
      </c>
      <c r="T83" s="918">
        <f>C83</f>
        <v>19173925.399963778</v>
      </c>
      <c r="U83" s="918">
        <f>D83</f>
        <v>15982450.066954982</v>
      </c>
      <c r="V83" s="918">
        <f>E83</f>
        <v>17858289.549573895</v>
      </c>
      <c r="W83" s="918">
        <f>F83</f>
        <v>18404375.252924506</v>
      </c>
      <c r="X83" s="918">
        <f t="shared" ref="X83:AB83" si="38">G83</f>
        <v>19998355.196200542</v>
      </c>
      <c r="Y83" s="918">
        <f t="shared" si="38"/>
        <v>20196028.993128851</v>
      </c>
      <c r="Z83" s="918">
        <f t="shared" si="38"/>
        <v>20886817.872453816</v>
      </c>
      <c r="AA83" s="918">
        <f t="shared" si="38"/>
        <v>21375091.430106759</v>
      </c>
      <c r="AB83" s="918">
        <f t="shared" si="38"/>
        <v>21487300.579010956</v>
      </c>
    </row>
    <row r="84" spans="1:28">
      <c r="A84" s="697" t="s">
        <v>443</v>
      </c>
      <c r="B84" s="787">
        <f>SUM('Cost Structure'!$BF$20:$BI$20)*B110</f>
        <v>1292647.0552871211</v>
      </c>
      <c r="C84" s="787">
        <f>SUM('Cost Structure'!$BF$20:$BI$20)*C110</f>
        <v>1292647.0552871211</v>
      </c>
      <c r="D84" s="787">
        <f>SUM('Cost Structure'!$BF$20:$BI$20)*D110</f>
        <v>1281723.2773551173</v>
      </c>
      <c r="E84" s="787">
        <f>SUM('Cost Structure'!$BF$20:$BI$20)*E110</f>
        <v>1292647.0552871211</v>
      </c>
      <c r="F84" s="787">
        <f>SUM('Cost Structure'!$BF$20:$BI$20)*F110</f>
        <v>1216180.6097630942</v>
      </c>
      <c r="G84" s="787">
        <f>SUM('Cost Structure'!$BF$20:$BI$20)*G110</f>
        <v>1292647.0552871211</v>
      </c>
      <c r="H84" s="787">
        <f>SUM('Cost Structure'!$BF$20:$BI$20)*H110</f>
        <v>1281723.2773551173</v>
      </c>
      <c r="I84" s="787">
        <f>SUM('Cost Structure'!$BF$20:$BI$20)*I110</f>
        <v>1292647.0552871211</v>
      </c>
      <c r="J84" s="787">
        <f>SUM('Cost Structure'!$BF$20:$BI$20)*J110</f>
        <v>1292647.0552871211</v>
      </c>
      <c r="K84" s="787">
        <f>SUM('Cost Structure'!$BF$20:$BI$20)*K110</f>
        <v>1281723.2773551173</v>
      </c>
      <c r="R84" s="785" t="s">
        <v>754</v>
      </c>
      <c r="S84" s="916">
        <f t="shared" ref="S84:W85" si="39">B92</f>
        <v>9103092.9852156732</v>
      </c>
      <c r="T84" s="916">
        <f>C92</f>
        <v>9103092.9852156732</v>
      </c>
      <c r="U84" s="916">
        <f t="shared" si="39"/>
        <v>9026165.4388617389</v>
      </c>
      <c r="V84" s="916">
        <f t="shared" si="39"/>
        <v>9103092.9852156732</v>
      </c>
      <c r="W84" s="916">
        <f t="shared" si="39"/>
        <v>8564600.1607381273</v>
      </c>
      <c r="X84" s="916">
        <f t="shared" ref="X84:X85" si="40">G92</f>
        <v>9103092.9852156732</v>
      </c>
      <c r="Y84" s="916">
        <f t="shared" ref="Y84:Y85" si="41">H92</f>
        <v>9026165.4388617389</v>
      </c>
      <c r="Z84" s="916">
        <f t="shared" ref="Z84:Z85" si="42">I92</f>
        <v>9103092.9852156732</v>
      </c>
      <c r="AA84" s="916">
        <f t="shared" ref="AA84:AA85" si="43">J92</f>
        <v>9103092.9852156732</v>
      </c>
      <c r="AB84" s="916">
        <f t="shared" ref="AB84:AB85" si="44">K92</f>
        <v>9026165.4388617389</v>
      </c>
    </row>
    <row r="85" spans="1:28">
      <c r="A85" s="697" t="s">
        <v>444</v>
      </c>
      <c r="B85" s="787">
        <f>SUM('Cost Structure'!$BF$21:$BI$21)*B110</f>
        <v>1750647.2538778377</v>
      </c>
      <c r="C85" s="787">
        <f>SUM('Cost Structure'!$BF$21:$BI$21)*C110</f>
        <v>1750647.2538778377</v>
      </c>
      <c r="D85" s="787">
        <f>SUM('Cost Structure'!$BF$21:$BI$21)*D110</f>
        <v>1735853.0517323911</v>
      </c>
      <c r="E85" s="787">
        <f>SUM('Cost Structure'!$BF$21:$BI$21)*E110</f>
        <v>1750647.2538778377</v>
      </c>
      <c r="F85" s="787">
        <f>SUM('Cost Structure'!$BF$21:$BI$21)*F110</f>
        <v>1647087.838859712</v>
      </c>
      <c r="G85" s="787">
        <f>SUM('Cost Structure'!$BF$21:$BI$21)*G110</f>
        <v>1750647.2538778377</v>
      </c>
      <c r="H85" s="787">
        <f>SUM('Cost Structure'!$BF$21:$BI$21)*H110</f>
        <v>1735853.0517323911</v>
      </c>
      <c r="I85" s="787">
        <f>SUM('Cost Structure'!$BF$21:$BI$21)*I110</f>
        <v>1750647.2538778377</v>
      </c>
      <c r="J85" s="787">
        <f>SUM('Cost Structure'!$BF$21:$BI$21)*J110</f>
        <v>1750647.2538778377</v>
      </c>
      <c r="K85" s="787">
        <f>SUM('Cost Structure'!$BF$21:$BI$21)*K110</f>
        <v>1735853.0517323911</v>
      </c>
      <c r="R85" s="917" t="s">
        <v>773</v>
      </c>
      <c r="S85" s="918">
        <f t="shared" si="39"/>
        <v>3904281.6108462345</v>
      </c>
      <c r="T85" s="918">
        <f t="shared" si="39"/>
        <v>10070832.414748104</v>
      </c>
      <c r="U85" s="918">
        <f t="shared" si="39"/>
        <v>6956284.6280932426</v>
      </c>
      <c r="V85" s="918">
        <f t="shared" si="39"/>
        <v>8755196.5643582214</v>
      </c>
      <c r="W85" s="918">
        <f t="shared" si="39"/>
        <v>9839775.0921863783</v>
      </c>
      <c r="X85" s="918">
        <f t="shared" si="40"/>
        <v>10895262.210984869</v>
      </c>
      <c r="Y85" s="918">
        <f t="shared" si="41"/>
        <v>11169863.554267112</v>
      </c>
      <c r="Z85" s="918">
        <f t="shared" si="42"/>
        <v>11783724.887238143</v>
      </c>
      <c r="AA85" s="918">
        <f t="shared" si="43"/>
        <v>12271998.444891086</v>
      </c>
      <c r="AB85" s="918">
        <f t="shared" si="44"/>
        <v>12461135.140149217</v>
      </c>
    </row>
    <row r="86" spans="1:28">
      <c r="A86" s="697" t="s">
        <v>6</v>
      </c>
      <c r="B86" s="787">
        <f>SUM('Cost Structure'!$BF$22:$BI$22)*B110</f>
        <v>4617857.6111488082</v>
      </c>
      <c r="C86" s="787">
        <f>SUM('Cost Structure'!$BF$22:$BI$22)*C110</f>
        <v>4617857.6111488082</v>
      </c>
      <c r="D86" s="787">
        <f>SUM('Cost Structure'!$BF$22:$BI$22)*D110</f>
        <v>4578833.4623221988</v>
      </c>
      <c r="E86" s="787">
        <f>SUM('Cost Structure'!$BF$22:$BI$22)*E110</f>
        <v>4617857.6111488082</v>
      </c>
      <c r="F86" s="787">
        <f>SUM('Cost Structure'!$BF$22:$BI$22)*F110</f>
        <v>4344688.5693625407</v>
      </c>
      <c r="G86" s="787">
        <f>SUM('Cost Structure'!$BF$22:$BI$22)*G110</f>
        <v>4617857.6111488082</v>
      </c>
      <c r="H86" s="787">
        <f>SUM('Cost Structure'!$BF$22:$BI$22)*H110</f>
        <v>4578833.4623221988</v>
      </c>
      <c r="I86" s="787">
        <f>SUM('Cost Structure'!$BF$22:$BI$22)*I110</f>
        <v>4617857.6111488082</v>
      </c>
      <c r="J86" s="787">
        <f>SUM('Cost Structure'!$BF$22:$BI$22)*J110</f>
        <v>4617857.6111488082</v>
      </c>
      <c r="K86" s="787">
        <f>SUM('Cost Structure'!$BF$22:$BI$22)*K110</f>
        <v>4578833.4623221988</v>
      </c>
      <c r="R86" s="282" t="s">
        <v>756</v>
      </c>
      <c r="S86" s="916" t="e">
        <f>B101</f>
        <v>#REF!</v>
      </c>
      <c r="T86" s="916" t="e">
        <f>S86</f>
        <v>#REF!</v>
      </c>
      <c r="U86" s="916" t="e">
        <f t="shared" ref="U86:AB86" si="45">T86</f>
        <v>#REF!</v>
      </c>
      <c r="V86" s="916" t="e">
        <f t="shared" si="45"/>
        <v>#REF!</v>
      </c>
      <c r="W86" s="916" t="e">
        <f t="shared" si="45"/>
        <v>#REF!</v>
      </c>
      <c r="X86" s="916" t="e">
        <f t="shared" si="45"/>
        <v>#REF!</v>
      </c>
      <c r="Y86" s="916" t="e">
        <f t="shared" si="45"/>
        <v>#REF!</v>
      </c>
      <c r="Z86" s="916" t="e">
        <f t="shared" si="45"/>
        <v>#REF!</v>
      </c>
      <c r="AA86" s="916" t="e">
        <f t="shared" si="45"/>
        <v>#REF!</v>
      </c>
      <c r="AB86" s="916" t="e">
        <f t="shared" si="45"/>
        <v>#REF!</v>
      </c>
    </row>
    <row r="87" spans="1:28">
      <c r="A87" s="697" t="s">
        <v>22</v>
      </c>
      <c r="B87" s="787">
        <f>SUM('Cost Structure'!$BF$23:$BI$23)*B110</f>
        <v>464694.99999999994</v>
      </c>
      <c r="C87" s="787">
        <f>SUM('Cost Structure'!$BF$23:$BI$23)*C110</f>
        <v>464694.99999999994</v>
      </c>
      <c r="D87" s="787">
        <f>SUM('Cost Structure'!$BF$23:$BI$23)*D110</f>
        <v>460767.99999999994</v>
      </c>
      <c r="E87" s="787">
        <f>SUM('Cost Structure'!$BF$23:$BI$23)*E110</f>
        <v>464694.99999999994</v>
      </c>
      <c r="F87" s="787">
        <f>SUM('Cost Structure'!$BF$23:$BI$23)*F110</f>
        <v>437205.99999999994</v>
      </c>
      <c r="G87" s="787">
        <f>SUM('Cost Structure'!$BF$23:$BI$23)*G110</f>
        <v>464694.99999999994</v>
      </c>
      <c r="H87" s="787">
        <f>SUM('Cost Structure'!$BF$23:$BI$23)*H110</f>
        <v>460767.99999999994</v>
      </c>
      <c r="I87" s="787">
        <f>SUM('Cost Structure'!$BF$23:$BI$23)*I110</f>
        <v>464694.99999999994</v>
      </c>
      <c r="J87" s="787">
        <f>SUM('Cost Structure'!$BF$23:$BI$23)*J110</f>
        <v>464694.99999999994</v>
      </c>
      <c r="K87" s="787">
        <f>SUM('Cost Structure'!$BF$23:$BI$23)*K110</f>
        <v>460767.99999999994</v>
      </c>
      <c r="R87" s="917" t="s">
        <v>757</v>
      </c>
      <c r="S87" s="920" t="e">
        <f>B102</f>
        <v>#REF!</v>
      </c>
      <c r="T87" s="918" t="e">
        <f t="shared" ref="T87:AB87" si="46">C102</f>
        <v>#REF!</v>
      </c>
      <c r="U87" s="918" t="e">
        <f t="shared" si="46"/>
        <v>#REF!</v>
      </c>
      <c r="V87" s="918" t="e">
        <f t="shared" si="46"/>
        <v>#REF!</v>
      </c>
      <c r="W87" s="918" t="e">
        <f t="shared" si="46"/>
        <v>#REF!</v>
      </c>
      <c r="X87" s="918" t="e">
        <f t="shared" si="46"/>
        <v>#REF!</v>
      </c>
      <c r="Y87" s="918" t="e">
        <f t="shared" si="46"/>
        <v>#REF!</v>
      </c>
      <c r="Z87" s="918" t="e">
        <f t="shared" si="46"/>
        <v>#REF!</v>
      </c>
      <c r="AA87" s="918" t="e">
        <f t="shared" si="46"/>
        <v>#REF!</v>
      </c>
      <c r="AB87" s="918" t="e">
        <f t="shared" si="46"/>
        <v>#REF!</v>
      </c>
    </row>
    <row r="88" spans="1:28">
      <c r="A88" s="697" t="s">
        <v>448</v>
      </c>
      <c r="B88" s="787">
        <f>SUM('Cost Structure'!$BF$25:$BI$25)*B110</f>
        <v>44935.777880000001</v>
      </c>
      <c r="C88" s="787">
        <f>SUM('Cost Structure'!$BF$25:$BI$25)*C110</f>
        <v>44935.777880000001</v>
      </c>
      <c r="D88" s="787">
        <f>SUM('Cost Structure'!$BF$25:$BI$25)*D110</f>
        <v>44556.038912000004</v>
      </c>
      <c r="E88" s="787">
        <f>SUM('Cost Structure'!$BF$25:$BI$25)*E110</f>
        <v>44935.777880000001</v>
      </c>
      <c r="F88" s="787">
        <f>SUM('Cost Structure'!$BF$25:$BI$25)*F110</f>
        <v>42277.605104000002</v>
      </c>
      <c r="G88" s="787">
        <f>SUM('Cost Structure'!$BF$25:$BI$25)*G110</f>
        <v>44935.777880000001</v>
      </c>
      <c r="H88" s="787">
        <f>SUM('Cost Structure'!$BF$25:$BI$25)*H110</f>
        <v>44556.038912000004</v>
      </c>
      <c r="I88" s="787">
        <f>SUM('Cost Structure'!$BF$25:$BI$25)*I110</f>
        <v>44935.777880000001</v>
      </c>
      <c r="J88" s="787">
        <f>SUM('Cost Structure'!$BF$25:$BI$25)*J110</f>
        <v>44935.777880000001</v>
      </c>
      <c r="K88" s="787">
        <f>SUM('Cost Structure'!$BF$25:$BI$25)*K110</f>
        <v>44556.038912000004</v>
      </c>
      <c r="R88" s="914" t="s">
        <v>758</v>
      </c>
      <c r="S88" s="916">
        <f t="shared" ref="S88:W89" si="47">B107</f>
        <v>4564288.0373966005</v>
      </c>
      <c r="T88" s="916">
        <f t="shared" si="47"/>
        <v>4564288.0373966005</v>
      </c>
      <c r="U88" s="916">
        <f t="shared" si="47"/>
        <v>4525716.5891932491</v>
      </c>
      <c r="V88" s="916">
        <f t="shared" si="47"/>
        <v>4564288.0373966005</v>
      </c>
      <c r="W88" s="916">
        <f t="shared" si="47"/>
        <v>4294287.8999731401</v>
      </c>
      <c r="X88" s="916">
        <f t="shared" ref="X88:X89" si="48">G107</f>
        <v>4564288.0373966005</v>
      </c>
      <c r="Y88" s="916">
        <f t="shared" ref="Y88:Y89" si="49">H107</f>
        <v>4525716.5891932491</v>
      </c>
      <c r="Z88" s="916">
        <f t="shared" ref="Z88:Z89" si="50">I107</f>
        <v>4564288.0373966005</v>
      </c>
      <c r="AA88" s="916">
        <f t="shared" ref="AA88:AA89" si="51">J107</f>
        <v>4564288.0373966005</v>
      </c>
      <c r="AB88" s="916">
        <f t="shared" ref="AB88:AB89" si="52">K107</f>
        <v>4525716.5891932491</v>
      </c>
    </row>
    <row r="89" spans="1:28">
      <c r="A89" s="697" t="s">
        <v>446</v>
      </c>
      <c r="B89" s="787">
        <f>SUM('Cost Structure'!$BF$26:$BI$26)*B110</f>
        <v>409826.19999999995</v>
      </c>
      <c r="C89" s="787">
        <f>SUM('Cost Structure'!$BF$26:$BI$26)*C110</f>
        <v>409826.19999999995</v>
      </c>
      <c r="D89" s="787">
        <f>SUM('Cost Structure'!$BF$26:$BI$26)*D110</f>
        <v>406362.87999999995</v>
      </c>
      <c r="E89" s="787">
        <f>SUM('Cost Structure'!$BF$26:$BI$26)*E110</f>
        <v>409826.19999999995</v>
      </c>
      <c r="F89" s="787">
        <f>SUM('Cost Structure'!$BF$26:$BI$26)*F110</f>
        <v>385582.95999999996</v>
      </c>
      <c r="G89" s="787">
        <f>SUM('Cost Structure'!$BF$26:$BI$26)*G110</f>
        <v>409826.19999999995</v>
      </c>
      <c r="H89" s="787">
        <f>SUM('Cost Structure'!$BF$26:$BI$26)*H110</f>
        <v>406362.87999999995</v>
      </c>
      <c r="I89" s="787">
        <f>SUM('Cost Structure'!$BF$26:$BI$26)*I110</f>
        <v>409826.19999999995</v>
      </c>
      <c r="J89" s="787">
        <f>SUM('Cost Structure'!$BF$26:$BI$26)*J110</f>
        <v>409826.19999999995</v>
      </c>
      <c r="K89" s="787">
        <f>SUM('Cost Structure'!$BF$26:$BI$26)*K110</f>
        <v>406362.87999999995</v>
      </c>
      <c r="R89" s="919" t="s">
        <v>759</v>
      </c>
      <c r="S89" s="920" t="e">
        <f t="shared" si="47"/>
        <v>#REF!</v>
      </c>
      <c r="T89" s="920" t="e">
        <f t="shared" si="47"/>
        <v>#REF!</v>
      </c>
      <c r="U89" s="920" t="e">
        <f t="shared" si="47"/>
        <v>#REF!</v>
      </c>
      <c r="V89" s="920" t="e">
        <f t="shared" si="47"/>
        <v>#REF!</v>
      </c>
      <c r="W89" s="918" t="e">
        <f t="shared" si="47"/>
        <v>#REF!</v>
      </c>
      <c r="X89" s="918" t="e">
        <f t="shared" si="48"/>
        <v>#REF!</v>
      </c>
      <c r="Y89" s="918" t="e">
        <f t="shared" si="49"/>
        <v>#REF!</v>
      </c>
      <c r="Z89" s="918" t="e">
        <f t="shared" si="50"/>
        <v>#REF!</v>
      </c>
      <c r="AA89" s="918" t="e">
        <f t="shared" si="51"/>
        <v>#REF!</v>
      </c>
      <c r="AB89" s="918" t="e">
        <f t="shared" si="52"/>
        <v>#REF!</v>
      </c>
    </row>
    <row r="90" spans="1:28">
      <c r="A90" s="697" t="s">
        <v>445</v>
      </c>
      <c r="B90" s="787">
        <f>SUM('Cost Structure'!$BF$27:$BI$27)*B110</f>
        <v>503406.18289690732</v>
      </c>
      <c r="C90" s="787">
        <f>SUM('Cost Structure'!$BF$27:$BI$27)*C110</f>
        <v>503406.18289690732</v>
      </c>
      <c r="D90" s="787">
        <f>SUM('Cost Structure'!$BF$27:$BI$27)*D110</f>
        <v>499152.04614003201</v>
      </c>
      <c r="E90" s="787">
        <f>SUM('Cost Structure'!$BF$27:$BI$27)*E110</f>
        <v>503406.18289690732</v>
      </c>
      <c r="F90" s="787">
        <f>SUM('Cost Structure'!$BF$27:$BI$27)*F110</f>
        <v>473627.22559878038</v>
      </c>
      <c r="G90" s="787">
        <f>SUM('Cost Structure'!$BF$27:$BI$27)*G110</f>
        <v>503406.18289690732</v>
      </c>
      <c r="H90" s="787">
        <f>SUM('Cost Structure'!$BF$27:$BI$27)*H110</f>
        <v>499152.04614003201</v>
      </c>
      <c r="I90" s="787">
        <f>SUM('Cost Structure'!$BF$27:$BI$27)*I110</f>
        <v>503406.18289690732</v>
      </c>
      <c r="J90" s="787">
        <f>SUM('Cost Structure'!$BF$27:$BI$27)*J110</f>
        <v>503406.18289690732</v>
      </c>
      <c r="K90" s="787">
        <f>SUM('Cost Structure'!$BF$27:$BI$27)*K110</f>
        <v>499152.04614003201</v>
      </c>
      <c r="R90" s="922" t="s">
        <v>348</v>
      </c>
      <c r="S90" s="807">
        <f>B110</f>
        <v>355</v>
      </c>
      <c r="T90" s="807">
        <f>B110</f>
        <v>355</v>
      </c>
      <c r="U90" s="807">
        <f>B110</f>
        <v>355</v>
      </c>
      <c r="V90" s="807">
        <f>B110</f>
        <v>355</v>
      </c>
      <c r="W90" s="807">
        <f>B110</f>
        <v>355</v>
      </c>
      <c r="X90" s="807">
        <f>W90</f>
        <v>355</v>
      </c>
      <c r="Y90" s="807">
        <f t="shared" ref="Y90:AB90" si="53">X90</f>
        <v>355</v>
      </c>
      <c r="Z90" s="807">
        <f t="shared" si="53"/>
        <v>355</v>
      </c>
      <c r="AA90" s="807">
        <f t="shared" si="53"/>
        <v>355</v>
      </c>
      <c r="AB90" s="807">
        <f t="shared" si="53"/>
        <v>355</v>
      </c>
    </row>
    <row r="91" spans="1:28">
      <c r="A91" s="697" t="s">
        <v>450</v>
      </c>
      <c r="B91" s="787">
        <f>SUM('Cost Structure'!$BF$28:$BI$28)*B110</f>
        <v>19077.904124999997</v>
      </c>
      <c r="C91" s="787">
        <f>SUM('Cost Structure'!$BF$28:$BI$28)*C110</f>
        <v>19077.904124999997</v>
      </c>
      <c r="D91" s="787">
        <f>SUM('Cost Structure'!$BF$28:$BI$28)*D110</f>
        <v>18916.682399999998</v>
      </c>
      <c r="E91" s="787">
        <f>SUM('Cost Structure'!$BF$28:$BI$28)*E110</f>
        <v>19077.904124999997</v>
      </c>
      <c r="F91" s="787">
        <f>SUM('Cost Structure'!$BF$28:$BI$28)*F110</f>
        <v>17949.352049999998</v>
      </c>
      <c r="G91" s="787">
        <f>SUM('Cost Structure'!$BF$28:$BI$28)*G110</f>
        <v>19077.904124999997</v>
      </c>
      <c r="H91" s="787">
        <f>SUM('Cost Structure'!$BF$28:$BI$28)*H110</f>
        <v>18916.682399999998</v>
      </c>
      <c r="I91" s="787">
        <f>SUM('Cost Structure'!$BF$28:$BI$28)*I110</f>
        <v>19077.904124999997</v>
      </c>
      <c r="J91" s="787">
        <f>SUM('Cost Structure'!$BF$28:$BI$28)*J110</f>
        <v>19077.904124999997</v>
      </c>
      <c r="K91" s="787">
        <f>SUM('Cost Structure'!$BF$28:$BI$28)*K110</f>
        <v>18916.682399999998</v>
      </c>
      <c r="R91" s="922" t="s">
        <v>779</v>
      </c>
      <c r="S91" s="807">
        <f>B111</f>
        <v>3804.6983641791044</v>
      </c>
      <c r="T91" s="807">
        <f>B111</f>
        <v>3804.6983641791044</v>
      </c>
      <c r="U91" s="807">
        <f>B111</f>
        <v>3804.6983641791044</v>
      </c>
      <c r="V91" s="807">
        <f>B111</f>
        <v>3804.6983641791044</v>
      </c>
      <c r="W91" s="807">
        <f>B111</f>
        <v>3804.6983641791044</v>
      </c>
      <c r="X91" s="807">
        <f t="shared" ref="X91:AB91" si="54">W91</f>
        <v>3804.6983641791044</v>
      </c>
      <c r="Y91" s="807">
        <f t="shared" si="54"/>
        <v>3804.6983641791044</v>
      </c>
      <c r="Z91" s="807">
        <f t="shared" si="54"/>
        <v>3804.6983641791044</v>
      </c>
      <c r="AA91" s="807">
        <f t="shared" si="54"/>
        <v>3804.6983641791044</v>
      </c>
      <c r="AB91" s="807">
        <f t="shared" si="54"/>
        <v>3804.6983641791044</v>
      </c>
    </row>
    <row r="92" spans="1:28">
      <c r="A92" s="711" t="s">
        <v>754</v>
      </c>
      <c r="B92" s="787">
        <f>SUM(B84:B91)</f>
        <v>9103092.9852156732</v>
      </c>
      <c r="C92" s="787">
        <f t="shared" ref="C92:K92" si="55">SUM(C84:C91)</f>
        <v>9103092.9852156732</v>
      </c>
      <c r="D92" s="787">
        <f t="shared" si="55"/>
        <v>9026165.4388617389</v>
      </c>
      <c r="E92" s="787">
        <f t="shared" si="55"/>
        <v>9103092.9852156732</v>
      </c>
      <c r="F92" s="787">
        <f t="shared" si="55"/>
        <v>8564600.1607381273</v>
      </c>
      <c r="G92" s="787">
        <f t="shared" si="55"/>
        <v>9103092.9852156732</v>
      </c>
      <c r="H92" s="787">
        <f t="shared" si="55"/>
        <v>9026165.4388617389</v>
      </c>
      <c r="I92" s="787">
        <f t="shared" si="55"/>
        <v>9103092.9852156732</v>
      </c>
      <c r="J92" s="787">
        <f t="shared" si="55"/>
        <v>9103092.9852156732</v>
      </c>
      <c r="K92" s="787">
        <f t="shared" si="55"/>
        <v>9026165.4388617389</v>
      </c>
      <c r="R92" s="784" t="s">
        <v>763</v>
      </c>
      <c r="S92" s="807">
        <f>B112</f>
        <v>62226655.811999999</v>
      </c>
      <c r="T92" s="807">
        <f>B112</f>
        <v>62226655.811999999</v>
      </c>
      <c r="U92" s="807">
        <f>B112</f>
        <v>62226655.811999999</v>
      </c>
      <c r="V92" s="807">
        <f>B112</f>
        <v>62226655.811999999</v>
      </c>
      <c r="W92" s="807">
        <f>B112</f>
        <v>62226655.811999999</v>
      </c>
      <c r="X92" s="807">
        <f t="shared" ref="X92:AB92" si="56">W92</f>
        <v>62226655.811999999</v>
      </c>
      <c r="Y92" s="807">
        <f t="shared" si="56"/>
        <v>62226655.811999999</v>
      </c>
      <c r="Z92" s="807">
        <f t="shared" si="56"/>
        <v>62226655.811999999</v>
      </c>
      <c r="AA92" s="807">
        <f t="shared" si="56"/>
        <v>62226655.811999999</v>
      </c>
      <c r="AB92" s="807">
        <f t="shared" si="56"/>
        <v>62226655.811999999</v>
      </c>
    </row>
    <row r="93" spans="1:28">
      <c r="A93" s="702" t="s">
        <v>755</v>
      </c>
      <c r="B93" s="1008">
        <f>B83-B92</f>
        <v>3904281.6108462345</v>
      </c>
      <c r="C93" s="1008">
        <f>C83-C92</f>
        <v>10070832.414748104</v>
      </c>
      <c r="D93" s="1008">
        <f>D83-D92</f>
        <v>6956284.6280932426</v>
      </c>
      <c r="E93" s="1008">
        <f>E83-E92</f>
        <v>8755196.5643582214</v>
      </c>
      <c r="F93" s="1008">
        <f>F83-F92</f>
        <v>9839775.0921863783</v>
      </c>
      <c r="G93" s="1008">
        <f t="shared" ref="G93:K93" si="57">G83-G92</f>
        <v>10895262.210984869</v>
      </c>
      <c r="H93" s="1008">
        <f t="shared" si="57"/>
        <v>11169863.554267112</v>
      </c>
      <c r="I93" s="1008">
        <f t="shared" si="57"/>
        <v>11783724.887238143</v>
      </c>
      <c r="J93" s="1008">
        <f t="shared" si="57"/>
        <v>12271998.444891086</v>
      </c>
      <c r="K93" s="1008">
        <f t="shared" si="57"/>
        <v>12461135.140149217</v>
      </c>
      <c r="R93" s="922" t="s">
        <v>780</v>
      </c>
      <c r="S93" s="807">
        <f>B113</f>
        <v>10.71746018078621</v>
      </c>
      <c r="T93" s="807">
        <f>B113</f>
        <v>10.71746018078621</v>
      </c>
      <c r="U93" s="807">
        <f>B113</f>
        <v>10.71746018078621</v>
      </c>
      <c r="V93" s="807">
        <f>B113</f>
        <v>10.71746018078621</v>
      </c>
      <c r="W93" s="807">
        <f>B113</f>
        <v>10.71746018078621</v>
      </c>
      <c r="X93" s="807">
        <f t="shared" ref="X93:AB93" si="58">W93</f>
        <v>10.71746018078621</v>
      </c>
      <c r="Y93" s="807">
        <f t="shared" si="58"/>
        <v>10.71746018078621</v>
      </c>
      <c r="Z93" s="807">
        <f t="shared" si="58"/>
        <v>10.71746018078621</v>
      </c>
      <c r="AA93" s="807">
        <f t="shared" si="58"/>
        <v>10.71746018078621</v>
      </c>
      <c r="AB93" s="807">
        <f t="shared" si="58"/>
        <v>10.71746018078621</v>
      </c>
    </row>
    <row r="94" spans="1:28">
      <c r="A94" s="1004" t="s">
        <v>458</v>
      </c>
      <c r="B94" s="914">
        <f>SUM('Cost Structure'!$BF$30:$BI$30)*B110</f>
        <v>92570.088136551378</v>
      </c>
      <c r="C94" s="914">
        <f>SUM('Cost Structure'!$BF$30:$BI$30)*C110</f>
        <v>92570.088136551378</v>
      </c>
      <c r="D94" s="914">
        <f>SUM('Cost Structure'!$BF$30:$BI$30)*D110</f>
        <v>91787.805701594611</v>
      </c>
      <c r="E94" s="914">
        <f>SUM('Cost Structure'!$BF$30:$BI$30)*E110</f>
        <v>92570.088136551378</v>
      </c>
      <c r="F94" s="914">
        <f>SUM('Cost Structure'!$BF$30:$BI$30)*F110</f>
        <v>87094.111091853978</v>
      </c>
      <c r="G94" s="914">
        <f>SUM('Cost Structure'!$BF$30:$BI$30)*G110</f>
        <v>92570.088136551378</v>
      </c>
      <c r="H94" s="914">
        <f>SUM('Cost Structure'!$BF$30:$BI$30)*H110</f>
        <v>91787.805701594611</v>
      </c>
      <c r="I94" s="914">
        <f>SUM('Cost Structure'!$BF$30:$BI$30)*I110</f>
        <v>92570.088136551378</v>
      </c>
      <c r="J94" s="914">
        <f>SUM('Cost Structure'!$BF$30:$BI$30)*J110</f>
        <v>92570.088136551378</v>
      </c>
      <c r="K94" s="914">
        <f>SUM('Cost Structure'!$BF$30:$BI$30)*K110</f>
        <v>91787.805701594611</v>
      </c>
      <c r="R94" s="922" t="s">
        <v>767</v>
      </c>
      <c r="S94" s="1021">
        <f>B115</f>
        <v>0.20903219731685344</v>
      </c>
      <c r="T94" s="1021">
        <f>C115</f>
        <v>0.30813041693727355</v>
      </c>
      <c r="U94" s="1021">
        <f>D115</f>
        <v>0.25684250356055405</v>
      </c>
      <c r="V94" s="1021">
        <f>E115</f>
        <v>0.28698777584203783</v>
      </c>
      <c r="W94" s="1021">
        <f>F115</f>
        <v>0.29576352790881211</v>
      </c>
      <c r="X94" s="1021">
        <f t="shared" ref="X94:AB94" si="59">G115</f>
        <v>0.32137923748658193</v>
      </c>
      <c r="Y94" s="1021">
        <f t="shared" si="59"/>
        <v>0.32455591144324647</v>
      </c>
      <c r="Z94" s="1021">
        <f t="shared" si="59"/>
        <v>0.33565708457091681</v>
      </c>
      <c r="AA94" s="1021">
        <f t="shared" si="59"/>
        <v>0.34350377906673096</v>
      </c>
      <c r="AB94" s="1021">
        <f t="shared" si="59"/>
        <v>0.34530701190063429</v>
      </c>
    </row>
    <row r="95" spans="1:28">
      <c r="A95" s="1004" t="s">
        <v>461</v>
      </c>
      <c r="B95" s="914">
        <f>SUM('Cost Structure'!$BF$31:$BI$31)*B110</f>
        <v>231377.62012000001</v>
      </c>
      <c r="C95" s="914">
        <f>SUM('Cost Structure'!$BF$31:$BI$31)*C110</f>
        <v>231377.62012000001</v>
      </c>
      <c r="D95" s="914">
        <f>SUM('Cost Structure'!$BF$31:$BI$31)*D110</f>
        <v>229422.31628800003</v>
      </c>
      <c r="E95" s="914">
        <f>SUM('Cost Structure'!$BF$31:$BI$31)*E110</f>
        <v>231377.62012000001</v>
      </c>
      <c r="F95" s="914">
        <f>SUM('Cost Structure'!$BF$31:$BI$31)*F110</f>
        <v>217690.49329600003</v>
      </c>
      <c r="G95" s="914">
        <f>SUM('Cost Structure'!$BF$31:$BI$31)*G110</f>
        <v>231377.62012000001</v>
      </c>
      <c r="H95" s="914">
        <f>SUM('Cost Structure'!$BF$31:$BI$31)*H110</f>
        <v>229422.31628800003</v>
      </c>
      <c r="I95" s="914">
        <f>SUM('Cost Structure'!$BF$31:$BI$31)*I110</f>
        <v>231377.62012000001</v>
      </c>
      <c r="J95" s="914">
        <f>SUM('Cost Structure'!$BF$31:$BI$31)*J110</f>
        <v>231377.62012000001</v>
      </c>
      <c r="K95" s="914">
        <f>SUM('Cost Structure'!$BF$31:$BI$31)*K110</f>
        <v>229422.31628800003</v>
      </c>
      <c r="R95" s="922" t="s">
        <v>768</v>
      </c>
      <c r="S95" s="1021">
        <f>B116</f>
        <v>2392.5925563299529</v>
      </c>
      <c r="T95" s="1021">
        <f>B116</f>
        <v>2392.5925563299529</v>
      </c>
      <c r="U95" s="1021">
        <f>B116</f>
        <v>2392.5925563299529</v>
      </c>
      <c r="V95" s="1021">
        <f>B116</f>
        <v>2392.5925563299529</v>
      </c>
      <c r="W95" s="1021">
        <f>B116</f>
        <v>2392.5925563299529</v>
      </c>
      <c r="X95" s="1021">
        <f t="shared" ref="X95:AB95" si="60">W95</f>
        <v>2392.5925563299529</v>
      </c>
      <c r="Y95" s="1021">
        <f t="shared" si="60"/>
        <v>2392.5925563299529</v>
      </c>
      <c r="Z95" s="1021">
        <f t="shared" si="60"/>
        <v>2392.5925563299529</v>
      </c>
      <c r="AA95" s="1021">
        <f t="shared" si="60"/>
        <v>2392.5925563299529</v>
      </c>
      <c r="AB95" s="1021">
        <f t="shared" si="60"/>
        <v>2392.5925563299529</v>
      </c>
    </row>
    <row r="96" spans="1:28">
      <c r="A96" s="1004" t="s">
        <v>463</v>
      </c>
      <c r="B96" s="914">
        <f>SUM('Cost Structure'!$BF$32:$BI$32)*B110</f>
        <v>309315.34479200002</v>
      </c>
      <c r="C96" s="914">
        <f>SUM('Cost Structure'!$BF$32:$BI$32)*C110</f>
        <v>309315.34479200002</v>
      </c>
      <c r="D96" s="914">
        <f>SUM('Cost Structure'!$BF$32:$BI$32)*D110</f>
        <v>306701.41230080003</v>
      </c>
      <c r="E96" s="914">
        <f>SUM('Cost Structure'!$BF$32:$BI$32)*E110</f>
        <v>309315.34479200002</v>
      </c>
      <c r="F96" s="914">
        <f>SUM('Cost Structure'!$BF$32:$BI$32)*F110</f>
        <v>291017.81735360005</v>
      </c>
      <c r="G96" s="914">
        <f>SUM('Cost Structure'!$BF$32:$BI$32)*G110</f>
        <v>309315.34479200002</v>
      </c>
      <c r="H96" s="914">
        <f>SUM('Cost Structure'!$BF$32:$BI$32)*H110</f>
        <v>306701.41230080003</v>
      </c>
      <c r="I96" s="914">
        <f>SUM('Cost Structure'!$BF$32:$BI$32)*I110</f>
        <v>309315.34479200002</v>
      </c>
      <c r="J96" s="914">
        <f>SUM('Cost Structure'!$BF$32:$BI$32)*J110</f>
        <v>309315.34479200002</v>
      </c>
      <c r="K96" s="914">
        <f>SUM('Cost Structure'!$BF$32:$BI$32)*K110</f>
        <v>306701.41230080003</v>
      </c>
      <c r="R96" s="922" t="s">
        <v>769</v>
      </c>
      <c r="S96" s="1021" t="e">
        <f>B117</f>
        <v>#REF!</v>
      </c>
      <c r="T96" s="1021" t="e">
        <f>B117</f>
        <v>#REF!</v>
      </c>
      <c r="U96" s="1021" t="e">
        <f>B117</f>
        <v>#REF!</v>
      </c>
      <c r="V96" s="1021" t="e">
        <f>B117</f>
        <v>#REF!</v>
      </c>
      <c r="W96" s="1021" t="e">
        <f>B117</f>
        <v>#REF!</v>
      </c>
      <c r="X96" s="1021" t="e">
        <f t="shared" ref="X96:AB96" si="61">W96</f>
        <v>#REF!</v>
      </c>
      <c r="Y96" s="1021" t="e">
        <f t="shared" si="61"/>
        <v>#REF!</v>
      </c>
      <c r="Z96" s="1021" t="e">
        <f t="shared" si="61"/>
        <v>#REF!</v>
      </c>
      <c r="AA96" s="1021" t="e">
        <f t="shared" si="61"/>
        <v>#REF!</v>
      </c>
      <c r="AB96" s="1021" t="e">
        <f t="shared" si="61"/>
        <v>#REF!</v>
      </c>
    </row>
    <row r="97" spans="1:28">
      <c r="A97" s="1004" t="s">
        <v>83</v>
      </c>
      <c r="B97" s="914">
        <f>SUM('Cost Structure'!$BF$33:$BI$33)*B110</f>
        <v>41041.203223035474</v>
      </c>
      <c r="C97" s="914">
        <f>SUM('Cost Structure'!$BF$33:$BI$33)*C110</f>
        <v>41041.203223035474</v>
      </c>
      <c r="D97" s="914">
        <f>SUM('Cost Structure'!$BF$33:$BI$33)*D110</f>
        <v>40694.376153545032</v>
      </c>
      <c r="E97" s="914">
        <f>SUM('Cost Structure'!$BF$33:$BI$33)*E110</f>
        <v>41041.203223035474</v>
      </c>
      <c r="F97" s="914">
        <f>SUM('Cost Structure'!$BF$33:$BI$33)*F110</f>
        <v>38613.413736602386</v>
      </c>
      <c r="G97" s="914">
        <f>SUM('Cost Structure'!$BF$33:$BI$33)*G110</f>
        <v>41041.203223035474</v>
      </c>
      <c r="H97" s="914">
        <f>SUM('Cost Structure'!$BF$33:$BI$33)*H110</f>
        <v>40694.376153545032</v>
      </c>
      <c r="I97" s="914">
        <f>SUM('Cost Structure'!$BF$33:$BI$33)*I110</f>
        <v>41041.203223035474</v>
      </c>
      <c r="J97" s="914">
        <f>SUM('Cost Structure'!$BF$33:$BI$33)*J110</f>
        <v>41041.203223035474</v>
      </c>
      <c r="K97" s="914">
        <f>SUM('Cost Structure'!$BF$33:$BI$33)*K110</f>
        <v>40694.376153545032</v>
      </c>
      <c r="R97" s="922" t="s">
        <v>770</v>
      </c>
      <c r="S97" s="1021">
        <f>B118</f>
        <v>1199.6451756514957</v>
      </c>
      <c r="T97" s="1021">
        <f>B118</f>
        <v>1199.6451756514957</v>
      </c>
      <c r="U97" s="1021">
        <f>B118</f>
        <v>1199.6451756514957</v>
      </c>
      <c r="V97" s="1021">
        <f>B118</f>
        <v>1199.6451756514957</v>
      </c>
      <c r="W97" s="1021">
        <f>B118</f>
        <v>1199.6451756514957</v>
      </c>
      <c r="X97" s="1021">
        <f t="shared" ref="X97:AB97" si="62">W97</f>
        <v>1199.6451756514957</v>
      </c>
      <c r="Y97" s="1021">
        <f t="shared" si="62"/>
        <v>1199.6451756514957</v>
      </c>
      <c r="Z97" s="1021">
        <f t="shared" si="62"/>
        <v>1199.6451756514957</v>
      </c>
      <c r="AA97" s="1021">
        <f t="shared" si="62"/>
        <v>1199.6451756514957</v>
      </c>
      <c r="AB97" s="1021">
        <f t="shared" si="62"/>
        <v>1199.6451756514957</v>
      </c>
    </row>
    <row r="98" spans="1:28">
      <c r="A98" s="1004" t="s">
        <v>466</v>
      </c>
      <c r="B98" s="914">
        <f>SUM('Cost Structure'!$BF$34:$BI$34)*B110</f>
        <v>2093470.7982564266</v>
      </c>
      <c r="C98" s="914">
        <f>SUM('Cost Structure'!$BF$34:$BI$34)*C110</f>
        <v>2093470.7982564266</v>
      </c>
      <c r="D98" s="914">
        <f>SUM('Cost Structure'!$BF$34:$BI$34)*D110</f>
        <v>2075779.4957359496</v>
      </c>
      <c r="E98" s="914">
        <f>SUM('Cost Structure'!$BF$34:$BI$34)*E110</f>
        <v>2093470.7982564266</v>
      </c>
      <c r="F98" s="914">
        <f>SUM('Cost Structure'!$BF$34:$BI$34)*F110</f>
        <v>1969631.6806130887</v>
      </c>
      <c r="G98" s="914">
        <f>SUM('Cost Structure'!$BF$34:$BI$34)*G110</f>
        <v>2093470.7982564266</v>
      </c>
      <c r="H98" s="914">
        <f>SUM('Cost Structure'!$BF$34:$BI$34)*H110</f>
        <v>2075779.4957359496</v>
      </c>
      <c r="I98" s="914">
        <f>SUM('Cost Structure'!$BF$34:$BI$34)*I110</f>
        <v>2093470.7982564266</v>
      </c>
      <c r="J98" s="914">
        <f>SUM('Cost Structure'!$BF$34:$BI$34)*J110</f>
        <v>2093470.7982564266</v>
      </c>
      <c r="K98" s="914">
        <f>SUM('Cost Structure'!$BF$34:$BI$34)*K110</f>
        <v>2075779.4957359496</v>
      </c>
      <c r="R98" s="922" t="s">
        <v>771</v>
      </c>
      <c r="S98" s="1021" t="e">
        <f>B119</f>
        <v>#REF!</v>
      </c>
      <c r="T98" s="1021" t="e">
        <f>B119</f>
        <v>#REF!</v>
      </c>
      <c r="U98" s="1021" t="e">
        <f>B119</f>
        <v>#REF!</v>
      </c>
      <c r="V98" s="1021" t="e">
        <f>B119</f>
        <v>#REF!</v>
      </c>
      <c r="W98" s="1021" t="e">
        <f>B119</f>
        <v>#REF!</v>
      </c>
      <c r="X98" s="1021" t="e">
        <f t="shared" ref="X98:AB98" si="63">W98</f>
        <v>#REF!</v>
      </c>
      <c r="Y98" s="1021" t="e">
        <f t="shared" si="63"/>
        <v>#REF!</v>
      </c>
      <c r="Z98" s="1021" t="e">
        <f t="shared" si="63"/>
        <v>#REF!</v>
      </c>
      <c r="AA98" s="1021" t="e">
        <f t="shared" si="63"/>
        <v>#REF!</v>
      </c>
      <c r="AB98" s="1021" t="e">
        <f t="shared" si="63"/>
        <v>#REF!</v>
      </c>
    </row>
    <row r="99" spans="1:28">
      <c r="A99" s="1005" t="s">
        <v>776</v>
      </c>
      <c r="B99" s="1003" t="e">
        <f>SUM('Cost Structure'!$BF$35:$BI$35)*B110</f>
        <v>#REF!</v>
      </c>
      <c r="C99" s="1003" t="e">
        <f>B99</f>
        <v>#REF!</v>
      </c>
      <c r="D99" s="1003" t="e">
        <f t="shared" ref="D99:F99" si="64">C99</f>
        <v>#REF!</v>
      </c>
      <c r="E99" s="1003" t="e">
        <f t="shared" si="64"/>
        <v>#REF!</v>
      </c>
      <c r="F99" s="1003" t="e">
        <f t="shared" si="64"/>
        <v>#REF!</v>
      </c>
      <c r="G99" s="1003" t="e">
        <f t="shared" ref="G99:K99" si="65">F99</f>
        <v>#REF!</v>
      </c>
      <c r="H99" s="1003" t="e">
        <f t="shared" si="65"/>
        <v>#REF!</v>
      </c>
      <c r="I99" s="1003" t="e">
        <f t="shared" si="65"/>
        <v>#REF!</v>
      </c>
      <c r="J99" s="1003" t="e">
        <f t="shared" si="65"/>
        <v>#REF!</v>
      </c>
      <c r="K99" s="1003" t="e">
        <f t="shared" si="65"/>
        <v>#REF!</v>
      </c>
    </row>
    <row r="100" spans="1:28">
      <c r="A100" s="1006" t="s">
        <v>75</v>
      </c>
      <c r="B100" s="1003">
        <f>SUM('Cost Structure'!BF36:BI36)*$B$110</f>
        <v>930.944055944056</v>
      </c>
      <c r="C100" s="1003">
        <f>SUM('Cost Structure'!BG36:BJ36)*$B$110</f>
        <v>1080.6687185363655</v>
      </c>
      <c r="D100" s="1003">
        <f>SUM('Cost Structure'!BH36:BK36)*$B$110</f>
        <v>1230.3933811286752</v>
      </c>
      <c r="E100" s="1003">
        <f>SUM('Cost Structure'!BI36:BL36)*$B$110</f>
        <v>1380.1180437209846</v>
      </c>
      <c r="F100" s="1003">
        <f>SUM('Cost Structure'!BJ36:BM36)*$B$110</f>
        <v>1529.8427063132945</v>
      </c>
      <c r="G100" s="1003">
        <f>SUM('Cost Structure'!BK36:BN36)*$B$110</f>
        <v>1529.8427063132945</v>
      </c>
      <c r="H100" s="1003">
        <f>SUM('Cost Structure'!BL36:BO36)*$B$110</f>
        <v>1529.8427063132945</v>
      </c>
      <c r="I100" s="1003">
        <f>SUM('Cost Structure'!BM36:BP36)*$B$110</f>
        <v>1529.8427063132945</v>
      </c>
      <c r="J100" s="1003">
        <f>SUM('Cost Structure'!BN36:BQ36)*$B$110</f>
        <v>1529.8427063132945</v>
      </c>
      <c r="K100" s="1003">
        <f>SUM('Cost Structure'!BO36:BR36)*$B$110</f>
        <v>1147.382029734971</v>
      </c>
    </row>
    <row r="101" spans="1:28">
      <c r="A101" s="1007" t="s">
        <v>756</v>
      </c>
      <c r="B101" s="914" t="e">
        <f>SUM(B94:B100)</f>
        <v>#REF!</v>
      </c>
      <c r="C101" s="914" t="e">
        <f t="shared" ref="C101:K101" si="66">SUM(C94:C100)</f>
        <v>#REF!</v>
      </c>
      <c r="D101" s="914" t="e">
        <f t="shared" si="66"/>
        <v>#REF!</v>
      </c>
      <c r="E101" s="914" t="e">
        <f t="shared" si="66"/>
        <v>#REF!</v>
      </c>
      <c r="F101" s="914" t="e">
        <f t="shared" si="66"/>
        <v>#REF!</v>
      </c>
      <c r="G101" s="914" t="e">
        <f t="shared" si="66"/>
        <v>#REF!</v>
      </c>
      <c r="H101" s="914" t="e">
        <f t="shared" si="66"/>
        <v>#REF!</v>
      </c>
      <c r="I101" s="914" t="e">
        <f t="shared" si="66"/>
        <v>#REF!</v>
      </c>
      <c r="J101" s="914" t="e">
        <f t="shared" si="66"/>
        <v>#REF!</v>
      </c>
      <c r="K101" s="914" t="e">
        <f t="shared" si="66"/>
        <v>#REF!</v>
      </c>
    </row>
    <row r="102" spans="1:28">
      <c r="A102" s="702" t="s">
        <v>757</v>
      </c>
      <c r="B102" s="1010" t="e">
        <f>B93-B101</f>
        <v>#REF!</v>
      </c>
      <c r="C102" s="1009" t="e">
        <f>C93-C101</f>
        <v>#REF!</v>
      </c>
      <c r="D102" s="1009" t="e">
        <f>D93-D101</f>
        <v>#REF!</v>
      </c>
      <c r="E102" s="1009" t="e">
        <f>E93-E101</f>
        <v>#REF!</v>
      </c>
      <c r="F102" s="1009" t="e">
        <f>F93-F101</f>
        <v>#REF!</v>
      </c>
      <c r="G102" s="1009" t="e">
        <f t="shared" ref="G102:K102" si="67">G93-G101</f>
        <v>#REF!</v>
      </c>
      <c r="H102" s="1009" t="e">
        <f t="shared" si="67"/>
        <v>#REF!</v>
      </c>
      <c r="I102" s="1009" t="e">
        <f t="shared" si="67"/>
        <v>#REF!</v>
      </c>
      <c r="J102" s="1009" t="e">
        <f t="shared" si="67"/>
        <v>#REF!</v>
      </c>
      <c r="K102" s="1009" t="e">
        <f t="shared" si="67"/>
        <v>#REF!</v>
      </c>
    </row>
    <row r="103" spans="1:28">
      <c r="A103" s="697" t="s">
        <v>472</v>
      </c>
      <c r="B103" s="787">
        <f>SUM('Cost Structure'!BF38:BI38)</f>
        <v>0</v>
      </c>
      <c r="C103" s="787">
        <f t="shared" ref="C103" si="68">B103</f>
        <v>0</v>
      </c>
      <c r="D103" s="787">
        <f t="shared" ref="D103" si="69">B103</f>
        <v>0</v>
      </c>
      <c r="E103" s="787">
        <f t="shared" ref="E103" si="70">B103</f>
        <v>0</v>
      </c>
      <c r="F103" s="787">
        <f t="shared" ref="F103" si="71">B103</f>
        <v>0</v>
      </c>
      <c r="G103" s="787">
        <f t="shared" ref="G103" si="72">C103</f>
        <v>0</v>
      </c>
      <c r="H103" s="787">
        <f t="shared" ref="H103" si="73">D103</f>
        <v>0</v>
      </c>
      <c r="I103" s="787">
        <f t="shared" ref="I103" si="74">E103</f>
        <v>0</v>
      </c>
      <c r="J103" s="787">
        <f t="shared" ref="J103" si="75">F103</f>
        <v>0</v>
      </c>
      <c r="K103" s="787">
        <f t="shared" ref="K103" si="76">G103</f>
        <v>0</v>
      </c>
    </row>
    <row r="104" spans="1:28">
      <c r="A104" s="697" t="s">
        <v>56</v>
      </c>
      <c r="B104" s="787">
        <f>SUM('Cost Structure'!$BF$39:$BI$39)*B110</f>
        <v>423579.54545454541</v>
      </c>
      <c r="C104" s="787">
        <f>SUM('Cost Structure'!$BF$39:$BI$39)*C110</f>
        <v>423579.54545454541</v>
      </c>
      <c r="D104" s="787">
        <f>SUM('Cost Structure'!$BF$39:$BI$39)*D110</f>
        <v>419999.99999999994</v>
      </c>
      <c r="E104" s="787">
        <f>SUM('Cost Structure'!$BF$39:$BI$39)*E110</f>
        <v>423579.54545454541</v>
      </c>
      <c r="F104" s="787">
        <f>SUM('Cost Structure'!$BF$39:$BI$39)*F110</f>
        <v>398522.72727272724</v>
      </c>
      <c r="G104" s="787">
        <f>SUM('Cost Structure'!$BF$39:$BI$39)*G110</f>
        <v>423579.54545454541</v>
      </c>
      <c r="H104" s="787">
        <f>SUM('Cost Structure'!$BF$39:$BI$39)*H110</f>
        <v>419999.99999999994</v>
      </c>
      <c r="I104" s="787">
        <f>SUM('Cost Structure'!$BF$39:$BI$39)*I110</f>
        <v>423579.54545454541</v>
      </c>
      <c r="J104" s="787">
        <f>SUM('Cost Structure'!$BF$39:$BI$39)*J110</f>
        <v>423579.54545454541</v>
      </c>
      <c r="K104" s="787">
        <f>SUM('Cost Structure'!$BF$39:$BI$39)*K110</f>
        <v>419999.99999999994</v>
      </c>
    </row>
    <row r="105" spans="1:28">
      <c r="A105" s="698" t="s">
        <v>50</v>
      </c>
      <c r="B105" s="787">
        <f>SUM('Cost Structure'!$BF$40:$BI$40)*B110</f>
        <v>1175651.6737602372</v>
      </c>
      <c r="C105" s="787">
        <f>SUM('Cost Structure'!$BF$40:$BI$40)*C110</f>
        <v>1175651.6737602372</v>
      </c>
      <c r="D105" s="787">
        <f>SUM('Cost Structure'!$BF$40:$BI$40)*D110</f>
        <v>1165716.5891932491</v>
      </c>
      <c r="E105" s="787">
        <f>SUM('Cost Structure'!$BF$40:$BI$40)*E110</f>
        <v>1175651.6737602372</v>
      </c>
      <c r="F105" s="787">
        <f>SUM('Cost Structure'!$BF$40:$BI$40)*F110</f>
        <v>1106106.0817913217</v>
      </c>
      <c r="G105" s="787">
        <f>SUM('Cost Structure'!$BF$40:$BI$40)*G110</f>
        <v>1175651.6737602372</v>
      </c>
      <c r="H105" s="787">
        <f>SUM('Cost Structure'!$BF$40:$BI$40)*H110</f>
        <v>1165716.5891932491</v>
      </c>
      <c r="I105" s="787">
        <f>SUM('Cost Structure'!$BF$40:$BI$40)*I110</f>
        <v>1175651.6737602372</v>
      </c>
      <c r="J105" s="787">
        <f>SUM('Cost Structure'!$BF$40:$BI$40)*J110</f>
        <v>1175651.6737602372</v>
      </c>
      <c r="K105" s="787">
        <f>SUM('Cost Structure'!$BF$40:$BI$40)*K110</f>
        <v>1165716.5891932491</v>
      </c>
    </row>
    <row r="106" spans="1:28">
      <c r="A106" s="698" t="s">
        <v>473</v>
      </c>
      <c r="B106" s="787">
        <f>SUM('Cost Structure'!$BF$41:$BI$41)*B110</f>
        <v>2965056.8181818184</v>
      </c>
      <c r="C106" s="787">
        <f>SUM('Cost Structure'!$BF$41:$BI$41)*C110</f>
        <v>2965056.8181818184</v>
      </c>
      <c r="D106" s="787">
        <f>SUM('Cost Structure'!$BF$41:$BI$41)*D110</f>
        <v>2940000</v>
      </c>
      <c r="E106" s="787">
        <f>SUM('Cost Structure'!$BF$41:$BI$41)*E110</f>
        <v>2965056.8181818184</v>
      </c>
      <c r="F106" s="787">
        <f>SUM('Cost Structure'!$BF$41:$BI$41)*F110</f>
        <v>2789659.0909090913</v>
      </c>
      <c r="G106" s="787">
        <f>SUM('Cost Structure'!$BF$41:$BI$41)*G110</f>
        <v>2965056.8181818184</v>
      </c>
      <c r="H106" s="787">
        <f>SUM('Cost Structure'!$BF$41:$BI$41)*H110</f>
        <v>2940000</v>
      </c>
      <c r="I106" s="787">
        <f>SUM('Cost Structure'!$BF$41:$BI$41)*I110</f>
        <v>2965056.8181818184</v>
      </c>
      <c r="J106" s="787">
        <f>SUM('Cost Structure'!$BF$41:$BI$41)*J110</f>
        <v>2965056.8181818184</v>
      </c>
      <c r="K106" s="787">
        <f>SUM('Cost Structure'!$BF$41:$BI$41)*K110</f>
        <v>2940000</v>
      </c>
    </row>
    <row r="107" spans="1:28">
      <c r="A107" s="711" t="s">
        <v>758</v>
      </c>
      <c r="B107" s="787">
        <f>SUM(B103:B106)</f>
        <v>4564288.0373966005</v>
      </c>
      <c r="C107" s="787">
        <f t="shared" ref="C107:K107" si="77">SUM(C103:C106)</f>
        <v>4564288.0373966005</v>
      </c>
      <c r="D107" s="787">
        <f t="shared" si="77"/>
        <v>4525716.5891932491</v>
      </c>
      <c r="E107" s="787">
        <f t="shared" si="77"/>
        <v>4564288.0373966005</v>
      </c>
      <c r="F107" s="787">
        <f t="shared" si="77"/>
        <v>4294287.8999731401</v>
      </c>
      <c r="G107" s="787">
        <f t="shared" si="77"/>
        <v>4564288.0373966005</v>
      </c>
      <c r="H107" s="787">
        <f t="shared" si="77"/>
        <v>4525716.5891932491</v>
      </c>
      <c r="I107" s="787">
        <f t="shared" si="77"/>
        <v>4564288.0373966005</v>
      </c>
      <c r="J107" s="787">
        <f t="shared" si="77"/>
        <v>4564288.0373966005</v>
      </c>
      <c r="K107" s="787">
        <f t="shared" si="77"/>
        <v>4525716.5891932491</v>
      </c>
    </row>
    <row r="108" spans="1:28">
      <c r="A108" s="702" t="s">
        <v>759</v>
      </c>
      <c r="B108" s="795" t="e">
        <f>B102-B107</f>
        <v>#REF!</v>
      </c>
      <c r="C108" s="795" t="e">
        <f t="shared" ref="C108:F108" si="78">C102-C107</f>
        <v>#REF!</v>
      </c>
      <c r="D108" s="795" t="e">
        <f t="shared" si="78"/>
        <v>#REF!</v>
      </c>
      <c r="E108" s="794" t="e">
        <f t="shared" si="78"/>
        <v>#REF!</v>
      </c>
      <c r="F108" s="794" t="e">
        <f t="shared" si="78"/>
        <v>#REF!</v>
      </c>
      <c r="G108" s="794" t="e">
        <f t="shared" ref="G108:K108" si="79">G102-G107</f>
        <v>#REF!</v>
      </c>
      <c r="H108" s="794" t="e">
        <f t="shared" si="79"/>
        <v>#REF!</v>
      </c>
      <c r="I108" s="794" t="e">
        <f t="shared" si="79"/>
        <v>#REF!</v>
      </c>
      <c r="J108" s="794" t="e">
        <f t="shared" si="79"/>
        <v>#REF!</v>
      </c>
      <c r="K108" s="794" t="e">
        <f t="shared" si="79"/>
        <v>#REF!</v>
      </c>
    </row>
    <row r="109" spans="1:28">
      <c r="A109" s="788"/>
    </row>
    <row r="110" spans="1:28" ht="14.45" customHeight="1">
      <c r="A110" s="790" t="s">
        <v>348</v>
      </c>
      <c r="B110" s="1228">
        <f>365-'Maintenance Schedule'!O34-'Maintenance Schedule'!O39</f>
        <v>355</v>
      </c>
      <c r="C110" s="1228">
        <f>365-'Maintenance Schedule'!P34-'Maintenance Schedule'!P39</f>
        <v>355</v>
      </c>
      <c r="D110" s="1228">
        <f>365-'Maintenance Schedule'!Q34-'Maintenance Schedule'!Q39</f>
        <v>352</v>
      </c>
      <c r="E110" s="1228">
        <f>365-'Maintenance Schedule'!R34-'Maintenance Schedule'!R39</f>
        <v>355</v>
      </c>
      <c r="F110" s="1228">
        <f>365-'Maintenance Schedule'!S34-'Maintenance Schedule'!S39</f>
        <v>334</v>
      </c>
      <c r="G110" s="1228">
        <f>365-'Maintenance Schedule'!T34-'Maintenance Schedule'!T39</f>
        <v>355</v>
      </c>
      <c r="H110" s="1228">
        <f>365-'Maintenance Schedule'!U34-'Maintenance Schedule'!U39</f>
        <v>352</v>
      </c>
      <c r="I110" s="1228">
        <f>365-'Maintenance Schedule'!V34-'Maintenance Schedule'!V39</f>
        <v>355</v>
      </c>
      <c r="J110" s="1228">
        <v>355</v>
      </c>
      <c r="K110" s="1228">
        <v>352</v>
      </c>
    </row>
    <row r="111" spans="1:28">
      <c r="A111" s="791" t="s">
        <v>777</v>
      </c>
      <c r="B111" s="1836">
        <f>'Cost Structure'!BF12</f>
        <v>3804.6983641791044</v>
      </c>
      <c r="C111" s="1836"/>
      <c r="D111" s="1836"/>
      <c r="E111" s="1836"/>
      <c r="F111" s="1837"/>
    </row>
    <row r="112" spans="1:28">
      <c r="A112" s="792" t="s">
        <v>763</v>
      </c>
      <c r="B112" s="1836">
        <f>B110*27*SUM('Cost Structure'!BF9:BI9)</f>
        <v>62226655.811999999</v>
      </c>
      <c r="C112" s="1836"/>
      <c r="D112" s="1836"/>
      <c r="E112" s="1836"/>
      <c r="F112" s="1837"/>
    </row>
    <row r="113" spans="1:28">
      <c r="A113" s="791" t="s">
        <v>765</v>
      </c>
      <c r="B113" s="1840">
        <f>B111/B110</f>
        <v>10.71746018078621</v>
      </c>
      <c r="C113" s="1840"/>
      <c r="D113" s="1840"/>
      <c r="E113" s="1840"/>
      <c r="F113" s="1841"/>
    </row>
    <row r="114" spans="1:28">
      <c r="A114" s="287" t="s">
        <v>742</v>
      </c>
      <c r="B114" s="1838"/>
      <c r="C114" s="1838"/>
      <c r="D114" s="1838"/>
      <c r="E114" s="1838"/>
      <c r="F114" s="1839"/>
    </row>
    <row r="115" spans="1:28">
      <c r="A115" s="791" t="s">
        <v>767</v>
      </c>
      <c r="B115" s="789">
        <f>B83/$B$112</f>
        <v>0.20903219731685344</v>
      </c>
      <c r="C115" s="789">
        <f t="shared" ref="C115:K115" si="80">C83/$B$112</f>
        <v>0.30813041693727355</v>
      </c>
      <c r="D115" s="789">
        <f t="shared" si="80"/>
        <v>0.25684250356055405</v>
      </c>
      <c r="E115" s="789">
        <f t="shared" si="80"/>
        <v>0.28698777584203783</v>
      </c>
      <c r="F115" s="913">
        <f t="shared" si="80"/>
        <v>0.29576352790881211</v>
      </c>
      <c r="G115" s="913">
        <f t="shared" si="80"/>
        <v>0.32137923748658193</v>
      </c>
      <c r="H115" s="913">
        <f t="shared" si="80"/>
        <v>0.32455591144324647</v>
      </c>
      <c r="I115" s="913">
        <f t="shared" si="80"/>
        <v>0.33565708457091681</v>
      </c>
      <c r="J115" s="913">
        <f t="shared" si="80"/>
        <v>0.34350377906673096</v>
      </c>
      <c r="K115" s="913">
        <f t="shared" si="80"/>
        <v>0.34530701190063429</v>
      </c>
    </row>
    <row r="116" spans="1:28">
      <c r="A116" s="791" t="s">
        <v>768</v>
      </c>
      <c r="B116" s="1830">
        <f>B92/B111</f>
        <v>2392.5925563299529</v>
      </c>
      <c r="C116" s="1831"/>
      <c r="D116" s="1831"/>
      <c r="E116" s="1831"/>
      <c r="F116" s="1832"/>
    </row>
    <row r="117" spans="1:28">
      <c r="A117" s="791" t="s">
        <v>769</v>
      </c>
      <c r="B117" s="1830" t="e">
        <f>B101/B111</f>
        <v>#REF!</v>
      </c>
      <c r="C117" s="1831"/>
      <c r="D117" s="1831"/>
      <c r="E117" s="1831"/>
      <c r="F117" s="1832"/>
    </row>
    <row r="118" spans="1:28">
      <c r="A118" s="791" t="s">
        <v>770</v>
      </c>
      <c r="B118" s="1830">
        <f>B107/B111</f>
        <v>1199.6451756514957</v>
      </c>
      <c r="C118" s="1831"/>
      <c r="D118" s="1831"/>
      <c r="E118" s="1831"/>
      <c r="F118" s="1832"/>
    </row>
    <row r="119" spans="1:28">
      <c r="A119" s="793" t="s">
        <v>771</v>
      </c>
      <c r="B119" s="1833" t="e">
        <f>SUM(B107,B93,B102)/B111</f>
        <v>#REF!</v>
      </c>
      <c r="C119" s="1834"/>
      <c r="D119" s="1834"/>
      <c r="E119" s="1834"/>
      <c r="F119" s="1835"/>
    </row>
    <row r="120" spans="1:28">
      <c r="A120" s="788"/>
    </row>
    <row r="121" spans="1:28">
      <c r="A121" s="788"/>
    </row>
    <row r="122" spans="1:28">
      <c r="A122" s="788"/>
    </row>
    <row r="125" spans="1:28">
      <c r="A125" s="710" t="s">
        <v>781</v>
      </c>
      <c r="B125" s="709"/>
      <c r="C125" s="709"/>
      <c r="D125" s="709"/>
      <c r="E125" s="709"/>
      <c r="F125" s="709"/>
      <c r="G125" s="709"/>
      <c r="H125" s="709"/>
      <c r="I125" s="709"/>
      <c r="J125" s="709"/>
      <c r="K125" s="709"/>
      <c r="R125" s="1022" t="s">
        <v>781</v>
      </c>
      <c r="S125" s="1023"/>
      <c r="T125" s="1023"/>
      <c r="U125" s="1023"/>
      <c r="V125" s="1023"/>
      <c r="W125" s="1023"/>
      <c r="X125" s="1023"/>
      <c r="Y125" s="1023"/>
      <c r="Z125" s="1023"/>
      <c r="AA125" s="1023"/>
      <c r="AB125" s="1023"/>
    </row>
    <row r="126" spans="1:28">
      <c r="A126" s="282"/>
      <c r="B126" s="1012">
        <v>2023</v>
      </c>
      <c r="C126" s="1013">
        <v>2024</v>
      </c>
      <c r="D126" s="1014">
        <v>2025</v>
      </c>
      <c r="E126" s="1015">
        <v>2026</v>
      </c>
      <c r="F126" s="1016">
        <v>2027</v>
      </c>
      <c r="G126" s="1014">
        <v>2028</v>
      </c>
      <c r="H126" s="1015">
        <v>2029</v>
      </c>
      <c r="I126" s="1016">
        <v>2030</v>
      </c>
      <c r="J126" s="1014">
        <v>2031</v>
      </c>
      <c r="K126" s="1015">
        <v>2032</v>
      </c>
      <c r="R126" s="282"/>
      <c r="S126" s="1030">
        <v>2023</v>
      </c>
      <c r="T126" s="1031">
        <v>2024</v>
      </c>
      <c r="U126" s="1032">
        <v>2025</v>
      </c>
      <c r="V126" s="1033">
        <v>2026</v>
      </c>
      <c r="W126" s="1034">
        <v>2027</v>
      </c>
      <c r="X126" s="1030">
        <v>2028</v>
      </c>
      <c r="Y126" s="1031">
        <v>2029</v>
      </c>
      <c r="Z126" s="1032">
        <v>2030</v>
      </c>
      <c r="AA126" s="1033">
        <v>2031</v>
      </c>
      <c r="AB126" s="1034">
        <v>2032</v>
      </c>
    </row>
    <row r="127" spans="1:28">
      <c r="A127" s="726" t="s">
        <v>753</v>
      </c>
      <c r="B127" s="916" t="s">
        <v>116</v>
      </c>
      <c r="C127" s="916" t="s">
        <v>116</v>
      </c>
      <c r="D127" s="919">
        <f>SUM(Profitability!AS55:AS58)</f>
        <v>15928658.091322476</v>
      </c>
      <c r="E127" s="919">
        <f>SUM(Profitability!AT55:AT58)</f>
        <v>17051030.683473814</v>
      </c>
      <c r="F127" s="919">
        <f>SUM(Profitability!AU55:AU58)</f>
        <v>18193095.931244016</v>
      </c>
      <c r="G127" s="919">
        <f>SUM(Profitability!AV55:AV58)</f>
        <v>19016632.695921768</v>
      </c>
      <c r="H127" s="919">
        <f>SUM(Profitability!AW55:AW58)</f>
        <v>17974168.110534713</v>
      </c>
      <c r="I127" s="919">
        <f>SUM(Profitability!AX55:AX58)</f>
        <v>19657727.277692482</v>
      </c>
      <c r="J127" s="919">
        <f>SUM(Profitability!AY55:AY58)</f>
        <v>19898649.876478754</v>
      </c>
      <c r="K127" s="919">
        <f>SUM(Profitability!AZ55:AZ58)</f>
        <v>19978721.552606709</v>
      </c>
      <c r="R127" s="917" t="s">
        <v>753</v>
      </c>
      <c r="S127" s="918" t="str">
        <f>B127</f>
        <v>-</v>
      </c>
      <c r="T127" s="918" t="str">
        <f>C127</f>
        <v>-</v>
      </c>
      <c r="U127" s="918">
        <f>D127</f>
        <v>15928658.091322476</v>
      </c>
      <c r="V127" s="918">
        <f>E127</f>
        <v>17051030.683473814</v>
      </c>
      <c r="W127" s="918">
        <f>F127</f>
        <v>18193095.931244016</v>
      </c>
      <c r="X127" s="918">
        <f t="shared" ref="X127:AB127" si="81">G127</f>
        <v>19016632.695921768</v>
      </c>
      <c r="Y127" s="918">
        <f t="shared" si="81"/>
        <v>17974168.110534713</v>
      </c>
      <c r="Z127" s="918">
        <f t="shared" si="81"/>
        <v>19657727.277692482</v>
      </c>
      <c r="AA127" s="918">
        <f t="shared" si="81"/>
        <v>19898649.876478754</v>
      </c>
      <c r="AB127" s="918">
        <f t="shared" si="81"/>
        <v>19978721.552606709</v>
      </c>
    </row>
    <row r="128" spans="1:28">
      <c r="A128" s="1017" t="s">
        <v>443</v>
      </c>
      <c r="B128" s="916" t="s">
        <v>116</v>
      </c>
      <c r="C128" s="916" t="s">
        <v>116</v>
      </c>
      <c r="D128" s="914">
        <f>SUM('Cost Structure'!$BJ$20:$BM$20)*D154</f>
        <v>1382159.548919403</v>
      </c>
      <c r="E128" s="914">
        <f>SUM('Cost Structure'!$BJ$20:$BM$20)*E154</f>
        <v>1382159.548919403</v>
      </c>
      <c r="F128" s="914">
        <f>SUM('Cost Structure'!$BJ$20:$BM$20)*F154</f>
        <v>1382159.548919403</v>
      </c>
      <c r="G128" s="914">
        <f>SUM('Cost Structure'!$BJ$20:$BM$20)*G154</f>
        <v>1382159.548919403</v>
      </c>
      <c r="H128" s="914">
        <f>SUM('Cost Structure'!$BJ$20:$BM$20)*H154</f>
        <v>1289241.2599164178</v>
      </c>
      <c r="I128" s="914">
        <f>SUM('Cost Structure'!$BJ$20:$BM$20)*I154</f>
        <v>1382159.548919403</v>
      </c>
      <c r="J128" s="914">
        <f>SUM('Cost Structure'!$BJ$20:$BM$20)*J154</f>
        <v>1382159.548919403</v>
      </c>
      <c r="K128" s="914">
        <f>SUM('Cost Structure'!$BJ$20:$BM$20)*K154</f>
        <v>1382159.548919403</v>
      </c>
      <c r="R128" s="785" t="s">
        <v>754</v>
      </c>
      <c r="S128" s="916" t="str">
        <f t="shared" ref="S128:W129" si="82">B136</f>
        <v>-</v>
      </c>
      <c r="T128" s="916" t="str">
        <f t="shared" si="82"/>
        <v>-</v>
      </c>
      <c r="U128" s="916">
        <f t="shared" si="82"/>
        <v>9939046.293191975</v>
      </c>
      <c r="V128" s="916">
        <f t="shared" si="82"/>
        <v>9939046.293191975</v>
      </c>
      <c r="W128" s="916">
        <f t="shared" si="82"/>
        <v>9827275.4606281351</v>
      </c>
      <c r="X128" s="916">
        <f t="shared" ref="X128:X129" si="83">G136</f>
        <v>9827275.4606281351</v>
      </c>
      <c r="Y128" s="916">
        <f t="shared" ref="Y128:Y129" si="84">H136</f>
        <v>9501930.7844959181</v>
      </c>
      <c r="Z128" s="916">
        <f t="shared" ref="Z128:Z129" si="85">I136</f>
        <v>9827275.4606281351</v>
      </c>
      <c r="AA128" s="916">
        <f t="shared" ref="AA128:AA129" si="86">J136</f>
        <v>9491962.9629366118</v>
      </c>
      <c r="AB128" s="916">
        <f t="shared" ref="AB128:AB129" si="87">K136</f>
        <v>9827275.4606281351</v>
      </c>
    </row>
    <row r="129" spans="1:28">
      <c r="A129" s="1017" t="s">
        <v>444</v>
      </c>
      <c r="B129" s="916" t="s">
        <v>116</v>
      </c>
      <c r="C129" s="916" t="s">
        <v>116</v>
      </c>
      <c r="D129" s="914">
        <f>SUM('Cost Structure'!$BJ$21:$BM$21)*D154</f>
        <v>1871875.0867376782</v>
      </c>
      <c r="E129" s="914">
        <f>SUM('Cost Structure'!$BJ$21:$BM$21)*E154</f>
        <v>1871875.0867376782</v>
      </c>
      <c r="F129" s="914">
        <f>SUM('Cost Structure'!$BJ$21:$BM$21)*F154</f>
        <v>1871875.0867376782</v>
      </c>
      <c r="G129" s="914">
        <f>SUM('Cost Structure'!$BJ$21:$BM$21)*G154</f>
        <v>1871875.0867376782</v>
      </c>
      <c r="H129" s="914">
        <f>SUM('Cost Structure'!$BJ$21:$BM$21)*H154</f>
        <v>1746034.7447721199</v>
      </c>
      <c r="I129" s="914">
        <f>SUM('Cost Structure'!$BJ$21:$BM$21)*I154</f>
        <v>1871875.0867376782</v>
      </c>
      <c r="J129" s="914">
        <f>SUM('Cost Structure'!$BJ$21:$BM$21)*J154</f>
        <v>1871875.0867376782</v>
      </c>
      <c r="K129" s="914">
        <f>SUM('Cost Structure'!$BJ$21:$BM$21)*K154</f>
        <v>1871875.0867376782</v>
      </c>
      <c r="R129" s="917" t="s">
        <v>773</v>
      </c>
      <c r="S129" s="918" t="str">
        <f t="shared" si="82"/>
        <v>-</v>
      </c>
      <c r="T129" s="918" t="str">
        <f t="shared" si="82"/>
        <v>-</v>
      </c>
      <c r="U129" s="918">
        <f t="shared" si="82"/>
        <v>5989611.7981305011</v>
      </c>
      <c r="V129" s="918">
        <f t="shared" si="82"/>
        <v>7111984.3902818393</v>
      </c>
      <c r="W129" s="918">
        <f t="shared" si="82"/>
        <v>8365820.4706158806</v>
      </c>
      <c r="X129" s="918">
        <f t="shared" si="83"/>
        <v>9189357.2352936324</v>
      </c>
      <c r="Y129" s="918">
        <f t="shared" si="84"/>
        <v>8472237.3260387946</v>
      </c>
      <c r="Z129" s="918">
        <f t="shared" si="85"/>
        <v>9830451.8170643467</v>
      </c>
      <c r="AA129" s="918">
        <f t="shared" si="86"/>
        <v>10406686.913542142</v>
      </c>
      <c r="AB129" s="918">
        <f t="shared" si="87"/>
        <v>10151446.091978574</v>
      </c>
    </row>
    <row r="130" spans="1:28">
      <c r="A130" s="1017" t="s">
        <v>6</v>
      </c>
      <c r="B130" s="916" t="s">
        <v>116</v>
      </c>
      <c r="C130" s="916" t="s">
        <v>116</v>
      </c>
      <c r="D130" s="914">
        <f>SUM('Cost Structure'!$BJ$22:$BM$22)*B154</f>
        <v>5099544.2357252622</v>
      </c>
      <c r="E130" s="914">
        <f>SUM('Cost Structure'!$BJ$22:$BM$22)*C154</f>
        <v>5099544.2357252622</v>
      </c>
      <c r="F130" s="914">
        <f>SUM('Cost Structure'!$BJ$22:$BM$22)*D154</f>
        <v>4987773.4031614214</v>
      </c>
      <c r="G130" s="914">
        <f>SUM('Cost Structure'!$BJ$22:$BM$22)*E154</f>
        <v>4987773.4031614214</v>
      </c>
      <c r="H130" s="914">
        <f>SUM('Cost Structure'!$BJ$22:$BM$22)*F154</f>
        <v>4987773.4031614214</v>
      </c>
      <c r="I130" s="914">
        <f>SUM('Cost Structure'!$BJ$22:$BM$22)*G154</f>
        <v>4987773.4031614214</v>
      </c>
      <c r="J130" s="914">
        <f>SUM('Cost Structure'!$BJ$22:$BM$22)*H154</f>
        <v>4652460.9054698972</v>
      </c>
      <c r="K130" s="914">
        <f>SUM('Cost Structure'!$BJ$22:$BM$22)*I154</f>
        <v>4987773.4031614214</v>
      </c>
      <c r="R130" s="282" t="s">
        <v>756</v>
      </c>
      <c r="S130" s="916" t="str">
        <f>B145</f>
        <v>-</v>
      </c>
      <c r="T130" s="916" t="str">
        <f>C127</f>
        <v>-</v>
      </c>
      <c r="U130" s="916" t="e">
        <f t="shared" ref="U130:W131" si="88">D145</f>
        <v>#REF!</v>
      </c>
      <c r="V130" s="916" t="e">
        <f t="shared" si="88"/>
        <v>#REF!</v>
      </c>
      <c r="W130" s="916" t="e">
        <f t="shared" si="88"/>
        <v>#REF!</v>
      </c>
      <c r="X130" s="916" t="e">
        <f t="shared" ref="X130:AB130" si="89">G145</f>
        <v>#REF!</v>
      </c>
      <c r="Y130" s="916" t="e">
        <f t="shared" si="89"/>
        <v>#REF!</v>
      </c>
      <c r="Z130" s="916" t="e">
        <f t="shared" si="89"/>
        <v>#REF!</v>
      </c>
      <c r="AA130" s="916" t="e">
        <f t="shared" si="89"/>
        <v>#REF!</v>
      </c>
      <c r="AB130" s="916" t="e">
        <f t="shared" si="89"/>
        <v>#REF!</v>
      </c>
    </row>
    <row r="131" spans="1:28">
      <c r="A131" s="1017" t="s">
        <v>22</v>
      </c>
      <c r="B131" s="916" t="s">
        <v>116</v>
      </c>
      <c r="C131" s="916" t="s">
        <v>116</v>
      </c>
      <c r="D131" s="914">
        <f>SUM('Cost Structure'!$BJ$23:$BM$23)*D154</f>
        <v>467312.99999999994</v>
      </c>
      <c r="E131" s="914">
        <f>SUM('Cost Structure'!$BJ$23:$BM$23)*E154</f>
        <v>467312.99999999994</v>
      </c>
      <c r="F131" s="914">
        <f>SUM('Cost Structure'!$BJ$23:$BM$23)*F154</f>
        <v>467312.99999999994</v>
      </c>
      <c r="G131" s="914">
        <f>SUM('Cost Structure'!$BJ$23:$BM$23)*G154</f>
        <v>467312.99999999994</v>
      </c>
      <c r="H131" s="914">
        <f>SUM('Cost Structure'!$BJ$23:$BM$23)*H154</f>
        <v>435896.99999999994</v>
      </c>
      <c r="I131" s="914">
        <f>SUM('Cost Structure'!$BJ$23:$BM$23)*I154</f>
        <v>467312.99999999994</v>
      </c>
      <c r="J131" s="914">
        <f>SUM('Cost Structure'!$BJ$23:$BM$23)*J154</f>
        <v>467312.99999999994</v>
      </c>
      <c r="K131" s="914">
        <f>SUM('Cost Structure'!$BJ$23:$BM$23)*K154</f>
        <v>467312.99999999994</v>
      </c>
      <c r="R131" s="917" t="s">
        <v>757</v>
      </c>
      <c r="S131" s="918" t="str">
        <f>B146</f>
        <v>-</v>
      </c>
      <c r="T131" s="918" t="str">
        <f>C128</f>
        <v>-</v>
      </c>
      <c r="U131" s="918" t="e">
        <f t="shared" si="88"/>
        <v>#REF!</v>
      </c>
      <c r="V131" s="918" t="e">
        <f t="shared" si="88"/>
        <v>#REF!</v>
      </c>
      <c r="W131" s="918" t="e">
        <f t="shared" si="88"/>
        <v>#REF!</v>
      </c>
      <c r="X131" s="918" t="e">
        <f t="shared" ref="X131:AB131" si="90">G146</f>
        <v>#REF!</v>
      </c>
      <c r="Y131" s="918" t="e">
        <f t="shared" si="90"/>
        <v>#REF!</v>
      </c>
      <c r="Z131" s="918" t="e">
        <f t="shared" si="90"/>
        <v>#REF!</v>
      </c>
      <c r="AA131" s="918" t="e">
        <f t="shared" si="90"/>
        <v>#REF!</v>
      </c>
      <c r="AB131" s="918" t="e">
        <f t="shared" si="90"/>
        <v>#REF!</v>
      </c>
    </row>
    <row r="132" spans="1:28">
      <c r="A132" s="1017" t="s">
        <v>448</v>
      </c>
      <c r="B132" s="916" t="s">
        <v>116</v>
      </c>
      <c r="C132" s="916" t="s">
        <v>116</v>
      </c>
      <c r="D132" s="914">
        <f>SUM('Cost Structure'!$BJ$25:$BM$25)*D154</f>
        <v>52461.292086000001</v>
      </c>
      <c r="E132" s="914">
        <f>SUM('Cost Structure'!$BJ$25:$BM$25)*E154</f>
        <v>52461.292086000001</v>
      </c>
      <c r="F132" s="914">
        <f>SUM('Cost Structure'!$BJ$25:$BM$25)*F154</f>
        <v>52461.292086000001</v>
      </c>
      <c r="G132" s="914">
        <f>SUM('Cost Structure'!$BJ$25:$BM$25)*G154</f>
        <v>52461.292086000001</v>
      </c>
      <c r="H132" s="914">
        <f>SUM('Cost Structure'!$BJ$25:$BM$25)*H154</f>
        <v>48934.482534000002</v>
      </c>
      <c r="I132" s="914">
        <f>SUM('Cost Structure'!$BJ$25:$BM$25)*I154</f>
        <v>52461.292086000001</v>
      </c>
      <c r="J132" s="914">
        <f>SUM('Cost Structure'!$BJ$25:$BM$25)*J154</f>
        <v>52461.292086000001</v>
      </c>
      <c r="K132" s="914">
        <f>SUM('Cost Structure'!$BJ$25:$BM$25)*K154</f>
        <v>52461.292086000001</v>
      </c>
      <c r="R132" s="914" t="s">
        <v>758</v>
      </c>
      <c r="S132" s="916" t="str">
        <f t="shared" ref="S132:W133" si="91">B151</f>
        <v>-</v>
      </c>
      <c r="T132" s="916" t="str">
        <f t="shared" si="91"/>
        <v>-</v>
      </c>
      <c r="U132" s="916">
        <f t="shared" si="91"/>
        <v>4456363.6363636367</v>
      </c>
      <c r="V132" s="916">
        <f t="shared" si="91"/>
        <v>4456363.6363636367</v>
      </c>
      <c r="W132" s="916">
        <f t="shared" si="91"/>
        <v>4456363.6363636367</v>
      </c>
      <c r="X132" s="916">
        <f t="shared" ref="X132:X133" si="92">G151</f>
        <v>4456363.6363636367</v>
      </c>
      <c r="Y132" s="916">
        <f t="shared" ref="Y132:Y133" si="93">H151</f>
        <v>4156776.1650114595</v>
      </c>
      <c r="Z132" s="916">
        <f t="shared" ref="Z132:Z133" si="94">I151</f>
        <v>4456363.6363636367</v>
      </c>
      <c r="AA132" s="916">
        <f t="shared" ref="AA132:AA133" si="95">J151</f>
        <v>4456363.6363636367</v>
      </c>
      <c r="AB132" s="916">
        <f t="shared" ref="AB132:AB133" si="96">K151</f>
        <v>4456363.6363636367</v>
      </c>
    </row>
    <row r="133" spans="1:28">
      <c r="A133" s="1017" t="s">
        <v>446</v>
      </c>
      <c r="B133" s="916" t="s">
        <v>116</v>
      </c>
      <c r="C133" s="916" t="s">
        <v>116</v>
      </c>
      <c r="D133" s="914">
        <f>SUM('Cost Structure'!$BJ$26:$BM$26)*D154</f>
        <v>452019.11999999994</v>
      </c>
      <c r="E133" s="914">
        <f>SUM('Cost Structure'!$BJ$26:$BM$26)*E154</f>
        <v>452019.11999999994</v>
      </c>
      <c r="F133" s="914">
        <f>SUM('Cost Structure'!$BJ$26:$BM$26)*F154</f>
        <v>452019.11999999994</v>
      </c>
      <c r="G133" s="914">
        <f>SUM('Cost Structure'!$BJ$26:$BM$26)*G154</f>
        <v>452019.11999999994</v>
      </c>
      <c r="H133" s="914">
        <f>SUM('Cost Structure'!$BJ$26:$BM$26)*H154</f>
        <v>421631.27999999997</v>
      </c>
      <c r="I133" s="914">
        <f>SUM('Cost Structure'!$BJ$26:$BM$26)*I154</f>
        <v>452019.11999999994</v>
      </c>
      <c r="J133" s="914">
        <f>SUM('Cost Structure'!$BJ$26:$BM$26)*J154</f>
        <v>452019.11999999994</v>
      </c>
      <c r="K133" s="914">
        <f>SUM('Cost Structure'!$BJ$26:$BM$26)*K154</f>
        <v>452019.11999999994</v>
      </c>
      <c r="R133" s="919" t="s">
        <v>759</v>
      </c>
      <c r="S133" s="920" t="str">
        <f t="shared" si="91"/>
        <v>-</v>
      </c>
      <c r="T133" s="918" t="str">
        <f t="shared" si="91"/>
        <v>-</v>
      </c>
      <c r="U133" s="920" t="e">
        <f t="shared" si="91"/>
        <v>#REF!</v>
      </c>
      <c r="V133" s="920" t="e">
        <f t="shared" si="91"/>
        <v>#REF!</v>
      </c>
      <c r="W133" s="920" t="e">
        <f t="shared" si="91"/>
        <v>#REF!</v>
      </c>
      <c r="X133" s="1020" t="e">
        <f t="shared" si="92"/>
        <v>#REF!</v>
      </c>
      <c r="Y133" s="1020" t="e">
        <f t="shared" si="93"/>
        <v>#REF!</v>
      </c>
      <c r="Z133" s="1020" t="e">
        <f t="shared" si="94"/>
        <v>#REF!</v>
      </c>
      <c r="AA133" s="1020" t="e">
        <f t="shared" si="95"/>
        <v>#REF!</v>
      </c>
      <c r="AB133" s="1020" t="e">
        <f t="shared" si="96"/>
        <v>#REF!</v>
      </c>
    </row>
    <row r="134" spans="1:28">
      <c r="A134" s="1017" t="s">
        <v>445</v>
      </c>
      <c r="B134" s="916" t="s">
        <v>116</v>
      </c>
      <c r="C134" s="916" t="s">
        <v>116</v>
      </c>
      <c r="D134" s="914">
        <f>SUM('Cost Structure'!$BJ$27:$BM$27)*D154</f>
        <v>591239.86197363329</v>
      </c>
      <c r="E134" s="914">
        <f>SUM('Cost Structure'!$BJ$27:$BM$27)*E154</f>
        <v>591239.86197363329</v>
      </c>
      <c r="F134" s="914">
        <f>SUM('Cost Structure'!$BJ$27:$BM$27)*F154</f>
        <v>591239.86197363329</v>
      </c>
      <c r="G134" s="914">
        <f>SUM('Cost Structure'!$BJ$27:$BM$27)*G154</f>
        <v>591239.86197363329</v>
      </c>
      <c r="H134" s="914">
        <f>SUM('Cost Structure'!$BJ$27:$BM$27)*H154</f>
        <v>551492.64436196047</v>
      </c>
      <c r="I134" s="914">
        <f>SUM('Cost Structure'!$BJ$27:$BM$27)*I154</f>
        <v>591239.86197363329</v>
      </c>
      <c r="J134" s="914">
        <f>SUM('Cost Structure'!$BJ$27:$BM$27)*J154</f>
        <v>591239.86197363329</v>
      </c>
      <c r="K134" s="914">
        <f>SUM('Cost Structure'!$BJ$27:$BM$27)*K154</f>
        <v>591239.86197363329</v>
      </c>
      <c r="R134" s="922" t="s">
        <v>348</v>
      </c>
      <c r="S134" s="807" t="s">
        <v>116</v>
      </c>
      <c r="T134" s="807" t="s">
        <v>116</v>
      </c>
      <c r="U134" s="807">
        <f>B154</f>
        <v>365</v>
      </c>
      <c r="V134" s="807">
        <f>B154</f>
        <v>365</v>
      </c>
      <c r="W134" s="807">
        <f>B154</f>
        <v>365</v>
      </c>
      <c r="X134" s="807">
        <f>W134</f>
        <v>365</v>
      </c>
      <c r="Y134" s="807">
        <f t="shared" ref="Y134:AB134" si="97">X134</f>
        <v>365</v>
      </c>
      <c r="Z134" s="807">
        <f t="shared" si="97"/>
        <v>365</v>
      </c>
      <c r="AA134" s="807">
        <f t="shared" si="97"/>
        <v>365</v>
      </c>
      <c r="AB134" s="807">
        <f t="shared" si="97"/>
        <v>365</v>
      </c>
    </row>
    <row r="135" spans="1:28">
      <c r="A135" s="1017" t="s">
        <v>450</v>
      </c>
      <c r="B135" s="916" t="s">
        <v>116</v>
      </c>
      <c r="C135" s="916" t="s">
        <v>116</v>
      </c>
      <c r="D135" s="914">
        <f>SUM('Cost Structure'!$BJ$28:$BM$28)*D154</f>
        <v>22434.14775</v>
      </c>
      <c r="E135" s="914">
        <f>SUM('Cost Structure'!$BJ$28:$BM$28)*E154</f>
        <v>22434.14775</v>
      </c>
      <c r="F135" s="914">
        <f>SUM('Cost Structure'!$BJ$28:$BM$28)*F154</f>
        <v>22434.14775</v>
      </c>
      <c r="G135" s="914">
        <f>SUM('Cost Structure'!$BJ$28:$BM$28)*G154</f>
        <v>22434.14775</v>
      </c>
      <c r="H135" s="914">
        <f>SUM('Cost Structure'!$BJ$28:$BM$28)*H154</f>
        <v>20925.96975</v>
      </c>
      <c r="I135" s="914">
        <f>SUM('Cost Structure'!$BJ$28:$BM$28)*I154</f>
        <v>22434.14775</v>
      </c>
      <c r="J135" s="914">
        <f>SUM('Cost Structure'!$BJ$28:$BM$28)*J154</f>
        <v>22434.14775</v>
      </c>
      <c r="K135" s="914">
        <f>SUM('Cost Structure'!$BJ$28:$BM$28)*K154</f>
        <v>22434.14775</v>
      </c>
      <c r="R135" s="922" t="s">
        <v>777</v>
      </c>
      <c r="S135" s="807" t="s">
        <v>116</v>
      </c>
      <c r="T135" s="807" t="s">
        <v>116</v>
      </c>
      <c r="U135" s="807">
        <f>B155</f>
        <v>4194.7761194029854</v>
      </c>
      <c r="V135" s="807">
        <f>B155</f>
        <v>4194.7761194029854</v>
      </c>
      <c r="W135" s="807">
        <f>B155</f>
        <v>4194.7761194029854</v>
      </c>
      <c r="X135" s="807">
        <f t="shared" ref="X135:X136" si="98">W135</f>
        <v>4194.7761194029854</v>
      </c>
      <c r="Y135" s="807">
        <f t="shared" ref="Y135:AB135" si="99">X135</f>
        <v>4194.7761194029854</v>
      </c>
      <c r="Z135" s="807">
        <f t="shared" si="99"/>
        <v>4194.7761194029854</v>
      </c>
      <c r="AA135" s="807">
        <f t="shared" si="99"/>
        <v>4194.7761194029854</v>
      </c>
      <c r="AB135" s="807">
        <f t="shared" si="99"/>
        <v>4194.7761194029854</v>
      </c>
    </row>
    <row r="136" spans="1:28">
      <c r="A136" s="785" t="s">
        <v>754</v>
      </c>
      <c r="B136" s="916" t="s">
        <v>116</v>
      </c>
      <c r="C136" s="916" t="s">
        <v>116</v>
      </c>
      <c r="D136" s="914">
        <f>SUM(D128:D135)</f>
        <v>9939046.293191975</v>
      </c>
      <c r="E136" s="914">
        <f t="shared" ref="E136:K136" si="100">SUM(E128:E135)</f>
        <v>9939046.293191975</v>
      </c>
      <c r="F136" s="914">
        <f t="shared" si="100"/>
        <v>9827275.4606281351</v>
      </c>
      <c r="G136" s="914">
        <f t="shared" si="100"/>
        <v>9827275.4606281351</v>
      </c>
      <c r="H136" s="914">
        <f t="shared" si="100"/>
        <v>9501930.7844959181</v>
      </c>
      <c r="I136" s="914">
        <f t="shared" si="100"/>
        <v>9827275.4606281351</v>
      </c>
      <c r="J136" s="914">
        <f t="shared" si="100"/>
        <v>9491962.9629366118</v>
      </c>
      <c r="K136" s="914">
        <f t="shared" si="100"/>
        <v>9827275.4606281351</v>
      </c>
      <c r="R136" s="784" t="s">
        <v>763</v>
      </c>
      <c r="S136" s="807" t="s">
        <v>116</v>
      </c>
      <c r="T136" s="807" t="s">
        <v>116</v>
      </c>
      <c r="U136" s="807">
        <f>B156</f>
        <v>68945580</v>
      </c>
      <c r="V136" s="807">
        <f>B156</f>
        <v>68945580</v>
      </c>
      <c r="W136" s="807">
        <f>B156</f>
        <v>68945580</v>
      </c>
      <c r="X136" s="807">
        <f t="shared" si="98"/>
        <v>68945580</v>
      </c>
      <c r="Y136" s="807">
        <f t="shared" ref="Y136:AB136" si="101">X136</f>
        <v>68945580</v>
      </c>
      <c r="Z136" s="807">
        <f t="shared" si="101"/>
        <v>68945580</v>
      </c>
      <c r="AA136" s="807">
        <f t="shared" si="101"/>
        <v>68945580</v>
      </c>
      <c r="AB136" s="807">
        <f t="shared" si="101"/>
        <v>68945580</v>
      </c>
    </row>
    <row r="137" spans="1:28">
      <c r="A137" s="726" t="s">
        <v>755</v>
      </c>
      <c r="B137" s="916" t="s">
        <v>116</v>
      </c>
      <c r="C137" s="916" t="s">
        <v>116</v>
      </c>
      <c r="D137" s="919">
        <f>D127-D136</f>
        <v>5989611.7981305011</v>
      </c>
      <c r="E137" s="919">
        <f>E127-E136</f>
        <v>7111984.3902818393</v>
      </c>
      <c r="F137" s="919">
        <f>F127-F136</f>
        <v>8365820.4706158806</v>
      </c>
      <c r="G137" s="919">
        <f t="shared" ref="G137:K137" si="102">G127-G136</f>
        <v>9189357.2352936324</v>
      </c>
      <c r="H137" s="919">
        <f t="shared" si="102"/>
        <v>8472237.3260387946</v>
      </c>
      <c r="I137" s="919">
        <f t="shared" si="102"/>
        <v>9830451.8170643467</v>
      </c>
      <c r="J137" s="919">
        <f t="shared" si="102"/>
        <v>10406686.913542142</v>
      </c>
      <c r="K137" s="919">
        <f t="shared" si="102"/>
        <v>10151446.091978574</v>
      </c>
      <c r="R137" s="922" t="s">
        <v>765</v>
      </c>
      <c r="S137" s="807" t="s">
        <v>116</v>
      </c>
      <c r="T137" s="807" t="s">
        <v>116</v>
      </c>
      <c r="U137" s="807">
        <f>B157</f>
        <v>11.492537313432836</v>
      </c>
      <c r="V137" s="807">
        <f>B157</f>
        <v>11.492537313432836</v>
      </c>
      <c r="W137" s="807">
        <f>B157</f>
        <v>11.492537313432836</v>
      </c>
      <c r="X137" s="807">
        <f>W137</f>
        <v>11.492537313432836</v>
      </c>
      <c r="Y137" s="807">
        <f t="shared" ref="Y137:AB137" si="103">X137</f>
        <v>11.492537313432836</v>
      </c>
      <c r="Z137" s="807">
        <f t="shared" si="103"/>
        <v>11.492537313432836</v>
      </c>
      <c r="AA137" s="807">
        <f t="shared" si="103"/>
        <v>11.492537313432836</v>
      </c>
      <c r="AB137" s="807">
        <f t="shared" si="103"/>
        <v>11.492537313432836</v>
      </c>
    </row>
    <row r="138" spans="1:28">
      <c r="A138" s="1017" t="s">
        <v>458</v>
      </c>
      <c r="B138" s="916" t="s">
        <v>116</v>
      </c>
      <c r="C138" s="916" t="s">
        <v>116</v>
      </c>
      <c r="D138" s="914">
        <f>SUM('Cost Structure'!$BJ$30:$BM$30)*D154</f>
        <v>91853.402048648393</v>
      </c>
      <c r="E138" s="914">
        <f>SUM('Cost Structure'!$BJ$30:$BM$30)*E154</f>
        <v>91853.402048648393</v>
      </c>
      <c r="F138" s="914">
        <f>SUM('Cost Structure'!$BJ$30:$BM$30)*F154</f>
        <v>91853.402048648393</v>
      </c>
      <c r="G138" s="914">
        <f>SUM('Cost Structure'!$BJ$30:$BM$30)*G154</f>
        <v>91853.402048648393</v>
      </c>
      <c r="H138" s="914">
        <f>SUM('Cost Structure'!$BJ$30:$BM$30)*H154</f>
        <v>85678.383423529172</v>
      </c>
      <c r="I138" s="914">
        <f>SUM('Cost Structure'!$BJ$30:$BM$30)*I154</f>
        <v>91853.402048648393</v>
      </c>
      <c r="J138" s="914">
        <f>SUM('Cost Structure'!$BJ$30:$BM$30)*J154</f>
        <v>91853.402048648393</v>
      </c>
      <c r="K138" s="914">
        <f>SUM('Cost Structure'!$BJ$30:$BM$30)*K154</f>
        <v>91853.402048648393</v>
      </c>
      <c r="R138" s="922" t="s">
        <v>767</v>
      </c>
      <c r="S138" s="807" t="str">
        <f>B159</f>
        <v>-</v>
      </c>
      <c r="T138" s="807" t="str">
        <f>C159</f>
        <v>-</v>
      </c>
      <c r="U138" s="1021">
        <f>D159</f>
        <v>0.23103233146087793</v>
      </c>
      <c r="V138" s="1021">
        <f>E159</f>
        <v>0.24731144017461038</v>
      </c>
      <c r="W138" s="1021">
        <f>F159</f>
        <v>0.26387617496645926</v>
      </c>
      <c r="X138" s="1021">
        <f t="shared" ref="X138:AB138" si="104">G159</f>
        <v>0.27582091115807233</v>
      </c>
      <c r="Y138" s="1021">
        <f t="shared" si="104"/>
        <v>0.26070080359806552</v>
      </c>
      <c r="Z138" s="1021">
        <f t="shared" si="104"/>
        <v>0.2851194707143298</v>
      </c>
      <c r="AA138" s="1021">
        <f t="shared" si="104"/>
        <v>0.28861385858932154</v>
      </c>
      <c r="AB138" s="1021">
        <f t="shared" si="104"/>
        <v>0.28977523363508884</v>
      </c>
    </row>
    <row r="139" spans="1:28">
      <c r="A139" s="1017" t="s">
        <v>461</v>
      </c>
      <c r="B139" s="916" t="s">
        <v>116</v>
      </c>
      <c r="C139" s="916" t="s">
        <v>116</v>
      </c>
      <c r="D139" s="914">
        <f>SUM('Cost Structure'!$BJ$31:$BM$31)*D154</f>
        <v>232681.15600800002</v>
      </c>
      <c r="E139" s="914">
        <f>SUM('Cost Structure'!$BJ$31:$BM$31)*E154</f>
        <v>232681.15600800002</v>
      </c>
      <c r="F139" s="914">
        <f>SUM('Cost Structure'!$BJ$31:$BM$31)*F154</f>
        <v>232681.15600800002</v>
      </c>
      <c r="G139" s="914">
        <f>SUM('Cost Structure'!$BJ$31:$BM$31)*G154</f>
        <v>232681.15600800002</v>
      </c>
      <c r="H139" s="914">
        <f>SUM('Cost Structure'!$BJ$31:$BM$31)*H154</f>
        <v>217038.72535200001</v>
      </c>
      <c r="I139" s="914">
        <f>SUM('Cost Structure'!$BJ$31:$BM$31)*I154</f>
        <v>232681.15600800002</v>
      </c>
      <c r="J139" s="914">
        <f>SUM('Cost Structure'!$BJ$31:$BM$31)*J154</f>
        <v>232681.15600800002</v>
      </c>
      <c r="K139" s="914">
        <f>SUM('Cost Structure'!$BJ$31:$BM$31)*K154</f>
        <v>232681.15600800002</v>
      </c>
      <c r="R139" s="922" t="s">
        <v>768</v>
      </c>
      <c r="S139" s="807" t="s">
        <v>116</v>
      </c>
      <c r="T139" s="807" t="str">
        <f>C142</f>
        <v>-</v>
      </c>
      <c r="U139" s="1021">
        <f>B160</f>
        <v>2369.3865918657261</v>
      </c>
      <c r="V139" s="1021">
        <f>B160</f>
        <v>2369.3865918657261</v>
      </c>
      <c r="W139" s="1021">
        <f>B160</f>
        <v>2369.3865918657261</v>
      </c>
      <c r="X139" s="1021">
        <f>W139</f>
        <v>2369.3865918657261</v>
      </c>
      <c r="Y139" s="1021">
        <f t="shared" ref="Y139:AB139" si="105">X139</f>
        <v>2369.3865918657261</v>
      </c>
      <c r="Z139" s="1021">
        <f t="shared" si="105"/>
        <v>2369.3865918657261</v>
      </c>
      <c r="AA139" s="1021">
        <f t="shared" si="105"/>
        <v>2369.3865918657261</v>
      </c>
      <c r="AB139" s="1021">
        <f t="shared" si="105"/>
        <v>2369.3865918657261</v>
      </c>
    </row>
    <row r="140" spans="1:28">
      <c r="A140" s="1017" t="s">
        <v>463</v>
      </c>
      <c r="B140" s="916" t="s">
        <v>116</v>
      </c>
      <c r="C140" s="916" t="s">
        <v>116</v>
      </c>
      <c r="D140" s="914">
        <f>SUM('Cost Structure'!$BJ$32:$BM$32)*D154</f>
        <v>311057.96645280003</v>
      </c>
      <c r="E140" s="914">
        <f>SUM('Cost Structure'!$BJ$32:$BM$32)*E154</f>
        <v>311057.96645280003</v>
      </c>
      <c r="F140" s="914">
        <f>SUM('Cost Structure'!$BJ$32:$BM$32)*F154</f>
        <v>311057.96645280003</v>
      </c>
      <c r="G140" s="914">
        <f>SUM('Cost Structure'!$BJ$32:$BM$32)*G154</f>
        <v>311057.96645280003</v>
      </c>
      <c r="H140" s="914">
        <f>SUM('Cost Structure'!$BJ$32:$BM$32)*H154</f>
        <v>290146.50652320002</v>
      </c>
      <c r="I140" s="914">
        <f>SUM('Cost Structure'!$BJ$32:$BM$32)*I154</f>
        <v>311057.96645280003</v>
      </c>
      <c r="J140" s="914">
        <f>SUM('Cost Structure'!$BJ$32:$BM$32)*J154</f>
        <v>311057.96645280003</v>
      </c>
      <c r="K140" s="914">
        <f>SUM('Cost Structure'!$BJ$32:$BM$32)*K154</f>
        <v>311057.96645280003</v>
      </c>
      <c r="R140" s="922" t="s">
        <v>769</v>
      </c>
      <c r="S140" s="807" t="s">
        <v>116</v>
      </c>
      <c r="T140" s="807" t="s">
        <v>116</v>
      </c>
      <c r="U140" s="1021" t="e">
        <f>B161</f>
        <v>#REF!</v>
      </c>
      <c r="V140" s="1021" t="e">
        <f>B161</f>
        <v>#REF!</v>
      </c>
      <c r="W140" s="1021" t="e">
        <f>B161</f>
        <v>#REF!</v>
      </c>
      <c r="X140" s="1021" t="e">
        <f t="shared" ref="X140:AB141" si="106">W140</f>
        <v>#REF!</v>
      </c>
      <c r="Y140" s="1021" t="e">
        <f t="shared" si="106"/>
        <v>#REF!</v>
      </c>
      <c r="Z140" s="1021" t="e">
        <f t="shared" si="106"/>
        <v>#REF!</v>
      </c>
      <c r="AA140" s="1021" t="e">
        <f t="shared" si="106"/>
        <v>#REF!</v>
      </c>
      <c r="AB140" s="1021" t="e">
        <f t="shared" si="106"/>
        <v>#REF!</v>
      </c>
    </row>
    <row r="141" spans="1:28">
      <c r="A141" s="1017" t="s">
        <v>83</v>
      </c>
      <c r="B141" s="916" t="s">
        <v>116</v>
      </c>
      <c r="C141" s="916" t="s">
        <v>116</v>
      </c>
      <c r="D141" s="914">
        <f>SUM('Cost Structure'!$BJ$33:$BM$33)*D154</f>
        <v>40694.376153545032</v>
      </c>
      <c r="E141" s="914">
        <f>SUM('Cost Structure'!$BJ$33:$BM$33)*E154</f>
        <v>40694.376153545032</v>
      </c>
      <c r="F141" s="914">
        <f>SUM('Cost Structure'!$BJ$33:$BM$33)*F154</f>
        <v>40694.376153545032</v>
      </c>
      <c r="G141" s="914">
        <f>SUM('Cost Structure'!$BJ$33:$BM$33)*G154</f>
        <v>40694.376153545032</v>
      </c>
      <c r="H141" s="914">
        <f>SUM('Cost Structure'!$BJ$33:$BM$33)*H154</f>
        <v>37958.619773474777</v>
      </c>
      <c r="I141" s="914">
        <f>SUM('Cost Structure'!$BJ$33:$BM$33)*I154</f>
        <v>40694.376153545032</v>
      </c>
      <c r="J141" s="914">
        <f>SUM('Cost Structure'!$BJ$33:$BM$33)*J154</f>
        <v>40694.376153545032</v>
      </c>
      <c r="K141" s="914">
        <f>SUM('Cost Structure'!$BJ$33:$BM$33)*K154</f>
        <v>40694.376153545032</v>
      </c>
      <c r="R141" s="922" t="s">
        <v>770</v>
      </c>
      <c r="S141" s="807" t="s">
        <v>116</v>
      </c>
      <c r="T141" s="807" t="str">
        <f>S141</f>
        <v>-</v>
      </c>
      <c r="U141" s="1021">
        <f>B162</f>
        <v>1062.3603047015251</v>
      </c>
      <c r="V141" s="1021">
        <f>B162</f>
        <v>1062.3603047015251</v>
      </c>
      <c r="W141" s="1021">
        <f>B162</f>
        <v>1062.3603047015251</v>
      </c>
      <c r="X141" s="1021">
        <f t="shared" si="106"/>
        <v>1062.3603047015251</v>
      </c>
      <c r="Y141" s="1021">
        <f t="shared" si="106"/>
        <v>1062.3603047015251</v>
      </c>
      <c r="Z141" s="1021">
        <f t="shared" si="106"/>
        <v>1062.3603047015251</v>
      </c>
      <c r="AA141" s="1021">
        <f t="shared" si="106"/>
        <v>1062.3603047015251</v>
      </c>
      <c r="AB141" s="1021">
        <f t="shared" si="106"/>
        <v>1062.3603047015251</v>
      </c>
    </row>
    <row r="142" spans="1:28">
      <c r="A142" s="1017" t="s">
        <v>466</v>
      </c>
      <c r="B142" s="916" t="s">
        <v>116</v>
      </c>
      <c r="C142" s="916" t="s">
        <v>116</v>
      </c>
      <c r="D142" s="914">
        <f>SUM('Cost Structure'!$BJ$34:$BM$34)*D154</f>
        <v>2238438.2824059753</v>
      </c>
      <c r="E142" s="914">
        <f>SUM('Cost Structure'!$BJ$34:$BM$34)*E154</f>
        <v>2238438.2824059753</v>
      </c>
      <c r="F142" s="914">
        <f>SUM('Cost Structure'!$BJ$34:$BM$34)*F154</f>
        <v>2238438.2824059753</v>
      </c>
      <c r="G142" s="914">
        <f>SUM('Cost Structure'!$BJ$34:$BM$34)*G154</f>
        <v>2238438.2824059753</v>
      </c>
      <c r="H142" s="914">
        <f>SUM('Cost Structure'!$BJ$34:$BM$34)*H154</f>
        <v>2087955.0365299436</v>
      </c>
      <c r="I142" s="914">
        <f>SUM('Cost Structure'!$BJ$34:$BM$34)*I154</f>
        <v>2238438.2824059753</v>
      </c>
      <c r="J142" s="914">
        <f>SUM('Cost Structure'!$BJ$34:$BM$34)*J154</f>
        <v>2238438.2824059753</v>
      </c>
      <c r="K142" s="914">
        <f>SUM('Cost Structure'!$BJ$34:$BM$34)*K154</f>
        <v>2238438.2824059753</v>
      </c>
      <c r="R142" s="1029" t="s">
        <v>771</v>
      </c>
      <c r="S142" s="807" t="s">
        <v>116</v>
      </c>
      <c r="T142" s="807" t="str">
        <f>S142</f>
        <v>-</v>
      </c>
      <c r="U142" s="1021" t="e">
        <f>B163</f>
        <v>#REF!</v>
      </c>
      <c r="V142" s="1021" t="e">
        <f>B163</f>
        <v>#REF!</v>
      </c>
      <c r="W142" s="1021" t="e">
        <f>V142</f>
        <v>#REF!</v>
      </c>
      <c r="X142" s="1021" t="e">
        <f t="shared" ref="X142:AB142" si="107">W142</f>
        <v>#REF!</v>
      </c>
      <c r="Y142" s="1021" t="e">
        <f t="shared" si="107"/>
        <v>#REF!</v>
      </c>
      <c r="Z142" s="1021" t="e">
        <f t="shared" si="107"/>
        <v>#REF!</v>
      </c>
      <c r="AA142" s="1021" t="e">
        <f t="shared" si="107"/>
        <v>#REF!</v>
      </c>
      <c r="AB142" s="1021" t="e">
        <f t="shared" si="107"/>
        <v>#REF!</v>
      </c>
    </row>
    <row r="143" spans="1:28">
      <c r="A143" s="1017" t="s">
        <v>776</v>
      </c>
      <c r="B143" s="916" t="s">
        <v>116</v>
      </c>
      <c r="C143" s="916" t="s">
        <v>116</v>
      </c>
      <c r="D143" s="914" t="e">
        <f>SUM('Cost Structure'!$BJ$35:$BM$35)*D154</f>
        <v>#REF!</v>
      </c>
      <c r="E143" s="914" t="e">
        <f>SUM('Cost Structure'!$BJ$35:$BM$35)*E154</f>
        <v>#REF!</v>
      </c>
      <c r="F143" s="914" t="e">
        <f>SUM('Cost Structure'!$BJ$35:$BM$35)*F154</f>
        <v>#REF!</v>
      </c>
      <c r="G143" s="914" t="e">
        <f>SUM('Cost Structure'!$BJ$35:$BM$35)*G154</f>
        <v>#REF!</v>
      </c>
      <c r="H143" s="914" t="e">
        <f>SUM('Cost Structure'!$BJ$35:$BM$35)*H154</f>
        <v>#REF!</v>
      </c>
      <c r="I143" s="914" t="e">
        <f>SUM('Cost Structure'!$BJ$35:$BM$35)*I154</f>
        <v>#REF!</v>
      </c>
      <c r="J143" s="914" t="e">
        <f>SUM('Cost Structure'!$BJ$35:$BM$35)*J154</f>
        <v>#REF!</v>
      </c>
      <c r="K143" s="914" t="e">
        <f>SUM('Cost Structure'!$BJ$35:$BM$35)*K154</f>
        <v>#REF!</v>
      </c>
    </row>
    <row r="144" spans="1:28">
      <c r="A144" s="784" t="s">
        <v>75</v>
      </c>
      <c r="B144" s="916" t="s">
        <v>116</v>
      </c>
      <c r="C144" s="916" t="s">
        <v>116</v>
      </c>
      <c r="D144" s="914">
        <f>SUM('Cost Structure'!$BJ$36:$BM$36)*D154</f>
        <v>1538.4615384615383</v>
      </c>
      <c r="E144" s="914">
        <f>SUM('Cost Structure'!$BJ$36:$BM$36)*E154</f>
        <v>1538.4615384615383</v>
      </c>
      <c r="F144" s="914">
        <f>SUM('Cost Structure'!$BJ$36:$BM$36)*F154</f>
        <v>1538.4615384615383</v>
      </c>
      <c r="G144" s="914">
        <f>SUM('Cost Structure'!$BJ$36:$BM$36)*G154</f>
        <v>1538.4615384615383</v>
      </c>
      <c r="H144" s="914">
        <f>SUM('Cost Structure'!$BJ$36:$BM$36)*H154</f>
        <v>1435.0355526826115</v>
      </c>
      <c r="I144" s="914">
        <f>SUM('Cost Structure'!$BJ$36:$BM$36)*I154</f>
        <v>1538.4615384615383</v>
      </c>
      <c r="J144" s="914">
        <f>SUM('Cost Structure'!$BJ$36:$BM$36)*J154</f>
        <v>1538.4615384615383</v>
      </c>
      <c r="K144" s="914">
        <f>SUM('Cost Structure'!$BJ$36:$BM$36)*K154</f>
        <v>1538.4615384615383</v>
      </c>
    </row>
    <row r="145" spans="1:11">
      <c r="A145" s="785" t="s">
        <v>756</v>
      </c>
      <c r="B145" s="916" t="s">
        <v>116</v>
      </c>
      <c r="C145" s="916" t="s">
        <v>116</v>
      </c>
      <c r="D145" s="914" t="e">
        <f>SUM(D138:D144)</f>
        <v>#REF!</v>
      </c>
      <c r="E145" s="914" t="e">
        <f t="shared" ref="E145:K145" si="108">SUM(E138:E144)</f>
        <v>#REF!</v>
      </c>
      <c r="F145" s="914" t="e">
        <f t="shared" si="108"/>
        <v>#REF!</v>
      </c>
      <c r="G145" s="914" t="e">
        <f t="shared" si="108"/>
        <v>#REF!</v>
      </c>
      <c r="H145" s="914" t="e">
        <f t="shared" si="108"/>
        <v>#REF!</v>
      </c>
      <c r="I145" s="914" t="e">
        <f t="shared" si="108"/>
        <v>#REF!</v>
      </c>
      <c r="J145" s="914" t="e">
        <f t="shared" si="108"/>
        <v>#REF!</v>
      </c>
      <c r="K145" s="914" t="e">
        <f t="shared" si="108"/>
        <v>#REF!</v>
      </c>
    </row>
    <row r="146" spans="1:11">
      <c r="A146" s="726" t="s">
        <v>757</v>
      </c>
      <c r="B146" s="916" t="s">
        <v>116</v>
      </c>
      <c r="C146" s="916" t="s">
        <v>116</v>
      </c>
      <c r="D146" s="919" t="e">
        <f t="shared" ref="D146:K146" si="109">D137-D145</f>
        <v>#REF!</v>
      </c>
      <c r="E146" s="919" t="e">
        <f t="shared" si="109"/>
        <v>#REF!</v>
      </c>
      <c r="F146" s="919" t="e">
        <f t="shared" si="109"/>
        <v>#REF!</v>
      </c>
      <c r="G146" s="919" t="e">
        <f t="shared" si="109"/>
        <v>#REF!</v>
      </c>
      <c r="H146" s="919" t="e">
        <f t="shared" si="109"/>
        <v>#REF!</v>
      </c>
      <c r="I146" s="919" t="e">
        <f t="shared" si="109"/>
        <v>#REF!</v>
      </c>
      <c r="J146" s="919" t="e">
        <f t="shared" si="109"/>
        <v>#REF!</v>
      </c>
      <c r="K146" s="919" t="e">
        <f t="shared" si="109"/>
        <v>#REF!</v>
      </c>
    </row>
    <row r="147" spans="1:11">
      <c r="A147" s="1017" t="s">
        <v>472</v>
      </c>
      <c r="B147" s="916" t="s">
        <v>116</v>
      </c>
      <c r="C147" s="916" t="s">
        <v>116</v>
      </c>
      <c r="D147" s="914">
        <f>SUM('Cost Structure'!BJ38:BM38)</f>
        <v>0</v>
      </c>
      <c r="E147" s="914">
        <f>D147</f>
        <v>0</v>
      </c>
      <c r="F147" s="914">
        <f>D147</f>
        <v>0</v>
      </c>
      <c r="G147" s="914">
        <f t="shared" ref="G147:K147" si="110">E147</f>
        <v>0</v>
      </c>
      <c r="H147" s="914">
        <f t="shared" si="110"/>
        <v>0</v>
      </c>
      <c r="I147" s="914">
        <f t="shared" si="110"/>
        <v>0</v>
      </c>
      <c r="J147" s="914">
        <f t="shared" si="110"/>
        <v>0</v>
      </c>
      <c r="K147" s="914">
        <f t="shared" si="110"/>
        <v>0</v>
      </c>
    </row>
    <row r="148" spans="1:11">
      <c r="A148" s="1017" t="s">
        <v>56</v>
      </c>
      <c r="B148" s="916" t="s">
        <v>116</v>
      </c>
      <c r="C148" s="916" t="s">
        <v>116</v>
      </c>
      <c r="D148" s="914">
        <f>SUM('Cost Structure'!$BJ$39:$BM$39)*D154</f>
        <v>419999.99999999994</v>
      </c>
      <c r="E148" s="914">
        <f>SUM('Cost Structure'!$BJ$39:$BM$39)*E154</f>
        <v>419999.99999999994</v>
      </c>
      <c r="F148" s="914">
        <f>SUM('Cost Structure'!$BJ$39:$BM$39)*F154</f>
        <v>419999.99999999994</v>
      </c>
      <c r="G148" s="914">
        <f>SUM('Cost Structure'!$BJ$39:$BM$39)*G154</f>
        <v>419999.99999999994</v>
      </c>
      <c r="H148" s="914">
        <f>SUM('Cost Structure'!$BJ$39:$BM$39)*H154</f>
        <v>391764.70588235289</v>
      </c>
      <c r="I148" s="914">
        <f>SUM('Cost Structure'!$BJ$39:$BM$39)*I154</f>
        <v>419999.99999999994</v>
      </c>
      <c r="J148" s="914">
        <f>SUM('Cost Structure'!$BJ$39:$BM$39)*J154</f>
        <v>419999.99999999994</v>
      </c>
      <c r="K148" s="914">
        <f>SUM('Cost Structure'!$BJ$39:$BM$39)*K154</f>
        <v>419999.99999999994</v>
      </c>
    </row>
    <row r="149" spans="1:11">
      <c r="A149" s="784" t="s">
        <v>50</v>
      </c>
      <c r="B149" s="916" t="s">
        <v>116</v>
      </c>
      <c r="C149" s="916" t="s">
        <v>116</v>
      </c>
      <c r="D149" s="914">
        <f>SUM('Cost Structure'!$BJ$40:$BM$40)*D154</f>
        <v>1096363.6363636365</v>
      </c>
      <c r="E149" s="914">
        <f>SUM('Cost Structure'!$BJ$40:$BM$40)*E154</f>
        <v>1096363.6363636365</v>
      </c>
      <c r="F149" s="914">
        <f>SUM('Cost Structure'!$BJ$40:$BM$40)*F154</f>
        <v>1096363.6363636365</v>
      </c>
      <c r="G149" s="914">
        <f>SUM('Cost Structure'!$BJ$40:$BM$40)*G154</f>
        <v>1096363.6363636365</v>
      </c>
      <c r="H149" s="914">
        <f>SUM('Cost Structure'!$BJ$40:$BM$40)*H154</f>
        <v>1022658.5179526357</v>
      </c>
      <c r="I149" s="914">
        <f>SUM('Cost Structure'!$BJ$40:$BM$40)*I154</f>
        <v>1096363.6363636365</v>
      </c>
      <c r="J149" s="914">
        <f>SUM('Cost Structure'!$BJ$40:$BM$40)*J154</f>
        <v>1096363.6363636365</v>
      </c>
      <c r="K149" s="914">
        <f>SUM('Cost Structure'!$BJ$40:$BM$40)*K154</f>
        <v>1096363.6363636365</v>
      </c>
    </row>
    <row r="150" spans="1:11">
      <c r="A150" s="784" t="s">
        <v>473</v>
      </c>
      <c r="B150" s="916" t="s">
        <v>116</v>
      </c>
      <c r="C150" s="916" t="s">
        <v>116</v>
      </c>
      <c r="D150" s="914">
        <f>SUM('Cost Structure'!$BJ$41:$BM$41)*D154</f>
        <v>2940000</v>
      </c>
      <c r="E150" s="914">
        <f>SUM('Cost Structure'!$BJ$41:$BM$41)*E154</f>
        <v>2940000</v>
      </c>
      <c r="F150" s="914">
        <f>SUM('Cost Structure'!$BJ$41:$BM$41)*F154</f>
        <v>2940000</v>
      </c>
      <c r="G150" s="914">
        <f>SUM('Cost Structure'!$BJ$41:$BM$41)*G154</f>
        <v>2940000</v>
      </c>
      <c r="H150" s="914">
        <f>SUM('Cost Structure'!$BJ$41:$BM$41)*H154</f>
        <v>2742352.9411764708</v>
      </c>
      <c r="I150" s="914">
        <f>SUM('Cost Structure'!$BJ$41:$BM$41)*I154</f>
        <v>2940000</v>
      </c>
      <c r="J150" s="914">
        <f>SUM('Cost Structure'!$BJ$41:$BM$41)*J154</f>
        <v>2940000</v>
      </c>
      <c r="K150" s="914">
        <f>SUM('Cost Structure'!$BJ$41:$BM$41)*K154</f>
        <v>2940000</v>
      </c>
    </row>
    <row r="151" spans="1:11">
      <c r="A151" s="785" t="s">
        <v>758</v>
      </c>
      <c r="B151" s="916" t="s">
        <v>116</v>
      </c>
      <c r="C151" s="916" t="s">
        <v>116</v>
      </c>
      <c r="D151" s="914">
        <f>SUM(D147:D150)</f>
        <v>4456363.6363636367</v>
      </c>
      <c r="E151" s="914">
        <f t="shared" ref="E151:K151" si="111">SUM(E147:E150)</f>
        <v>4456363.6363636367</v>
      </c>
      <c r="F151" s="914">
        <f t="shared" si="111"/>
        <v>4456363.6363636367</v>
      </c>
      <c r="G151" s="914">
        <f t="shared" si="111"/>
        <v>4456363.6363636367</v>
      </c>
      <c r="H151" s="914">
        <f t="shared" si="111"/>
        <v>4156776.1650114595</v>
      </c>
      <c r="I151" s="914">
        <f t="shared" si="111"/>
        <v>4456363.6363636367</v>
      </c>
      <c r="J151" s="914">
        <f t="shared" si="111"/>
        <v>4456363.6363636367</v>
      </c>
      <c r="K151" s="914">
        <f t="shared" si="111"/>
        <v>4456363.6363636367</v>
      </c>
    </row>
    <row r="152" spans="1:11">
      <c r="A152" s="726" t="s">
        <v>759</v>
      </c>
      <c r="B152" s="916" t="s">
        <v>116</v>
      </c>
      <c r="C152" s="916" t="s">
        <v>116</v>
      </c>
      <c r="D152" s="1018" t="e">
        <f>D146-D151</f>
        <v>#REF!</v>
      </c>
      <c r="E152" s="1018" t="e">
        <f t="shared" ref="E152:K152" si="112">E146-E151</f>
        <v>#REF!</v>
      </c>
      <c r="F152" s="1018" t="e">
        <f>F146-F151</f>
        <v>#REF!</v>
      </c>
      <c r="G152" s="1019" t="e">
        <f t="shared" si="112"/>
        <v>#REF!</v>
      </c>
      <c r="H152" s="1019" t="e">
        <f t="shared" si="112"/>
        <v>#REF!</v>
      </c>
      <c r="I152" s="1019" t="e">
        <f t="shared" si="112"/>
        <v>#REF!</v>
      </c>
      <c r="J152" s="1019" t="e">
        <f t="shared" si="112"/>
        <v>#REF!</v>
      </c>
      <c r="K152" s="1019" t="e">
        <f t="shared" si="112"/>
        <v>#REF!</v>
      </c>
    </row>
    <row r="153" spans="1:11">
      <c r="A153" s="788"/>
    </row>
    <row r="154" spans="1:11" ht="14.45" customHeight="1">
      <c r="A154" s="796" t="s">
        <v>348</v>
      </c>
      <c r="B154" s="1229">
        <f>365-'Maintenance Schedule'!O35-'Maintenance Schedule'!O40</f>
        <v>365</v>
      </c>
      <c r="C154" s="1229">
        <f>365-'Maintenance Schedule'!P35-'Maintenance Schedule'!P40</f>
        <v>365</v>
      </c>
      <c r="D154" s="1229">
        <f>365-'Maintenance Schedule'!Q35-'Maintenance Schedule'!Q40</f>
        <v>357</v>
      </c>
      <c r="E154" s="1229">
        <f>365-'Maintenance Schedule'!R35-'Maintenance Schedule'!R40</f>
        <v>357</v>
      </c>
      <c r="F154" s="1229">
        <f>365-'Maintenance Schedule'!S35-'Maintenance Schedule'!S40</f>
        <v>357</v>
      </c>
      <c r="G154" s="1229">
        <f>365-'Maintenance Schedule'!T35-'Maintenance Schedule'!T40</f>
        <v>357</v>
      </c>
      <c r="H154" s="1229">
        <f>365-'Maintenance Schedule'!U35-'Maintenance Schedule'!U40</f>
        <v>333</v>
      </c>
      <c r="I154" s="1229">
        <f>365-'Maintenance Schedule'!V35-'Maintenance Schedule'!V40</f>
        <v>357</v>
      </c>
      <c r="J154" s="1229">
        <v>357</v>
      </c>
      <c r="K154" s="1229">
        <v>357</v>
      </c>
    </row>
    <row r="155" spans="1:11">
      <c r="A155" s="797" t="s">
        <v>777</v>
      </c>
      <c r="B155" s="1825">
        <f>B157*B154</f>
        <v>4194.7761194029854</v>
      </c>
      <c r="C155" s="1825"/>
      <c r="D155" s="1825"/>
      <c r="E155" s="1825"/>
      <c r="F155" s="1826"/>
    </row>
    <row r="156" spans="1:11">
      <c r="A156" s="798" t="s">
        <v>763</v>
      </c>
      <c r="B156" s="1825">
        <f>B154*27*SUM('Cost Structure'!BJ9:BM9)</f>
        <v>68945580</v>
      </c>
      <c r="C156" s="1825"/>
      <c r="D156" s="1825"/>
      <c r="E156" s="1825"/>
      <c r="F156" s="1826"/>
    </row>
    <row r="157" spans="1:11">
      <c r="A157" s="797" t="s">
        <v>765</v>
      </c>
      <c r="B157" s="1827">
        <f>SUM('Cost Structure'!BJ10:BM10)</f>
        <v>11.492537313432836</v>
      </c>
      <c r="C157" s="1827"/>
      <c r="D157" s="1827"/>
      <c r="E157" s="1827"/>
      <c r="F157" s="1828"/>
    </row>
    <row r="158" spans="1:11">
      <c r="A158" s="799" t="s">
        <v>742</v>
      </c>
      <c r="B158" s="1337"/>
      <c r="C158" s="1337"/>
      <c r="D158" s="1337"/>
      <c r="E158" s="1337"/>
      <c r="F158" s="1829"/>
    </row>
    <row r="159" spans="1:11">
      <c r="A159" s="797" t="s">
        <v>767</v>
      </c>
      <c r="B159" s="800" t="s">
        <v>116</v>
      </c>
      <c r="C159" s="800" t="s">
        <v>116</v>
      </c>
      <c r="D159" s="807">
        <f t="shared" ref="D159:K159" si="113">D127/$B$156</f>
        <v>0.23103233146087793</v>
      </c>
      <c r="E159" s="807">
        <f t="shared" si="113"/>
        <v>0.24731144017461038</v>
      </c>
      <c r="F159" s="808">
        <f t="shared" si="113"/>
        <v>0.26387617496645926</v>
      </c>
      <c r="G159" s="808">
        <f t="shared" si="113"/>
        <v>0.27582091115807233</v>
      </c>
      <c r="H159" s="808">
        <f t="shared" si="113"/>
        <v>0.26070080359806552</v>
      </c>
      <c r="I159" s="808">
        <f t="shared" si="113"/>
        <v>0.2851194707143298</v>
      </c>
      <c r="J159" s="808">
        <f t="shared" si="113"/>
        <v>0.28861385858932154</v>
      </c>
      <c r="K159" s="808">
        <f t="shared" si="113"/>
        <v>0.28977523363508884</v>
      </c>
    </row>
    <row r="160" spans="1:11">
      <c r="A160" s="797" t="s">
        <v>768</v>
      </c>
      <c r="B160" s="1819">
        <f>D136/B155</f>
        <v>2369.3865918657261</v>
      </c>
      <c r="C160" s="1820"/>
      <c r="D160" s="1820"/>
      <c r="E160" s="1820"/>
      <c r="F160" s="1821"/>
    </row>
    <row r="161" spans="1:28">
      <c r="A161" s="797" t="s">
        <v>769</v>
      </c>
      <c r="B161" s="1819" t="e">
        <f>D145/B155</f>
        <v>#REF!</v>
      </c>
      <c r="C161" s="1820"/>
      <c r="D161" s="1820"/>
      <c r="E161" s="1820"/>
      <c r="F161" s="1821"/>
    </row>
    <row r="162" spans="1:28">
      <c r="A162" s="797" t="s">
        <v>770</v>
      </c>
      <c r="B162" s="1819">
        <f>D151/B155</f>
        <v>1062.3603047015251</v>
      </c>
      <c r="C162" s="1820"/>
      <c r="D162" s="1820"/>
      <c r="E162" s="1820"/>
      <c r="F162" s="1821"/>
    </row>
    <row r="163" spans="1:28">
      <c r="A163" s="801" t="s">
        <v>771</v>
      </c>
      <c r="B163" s="1822" t="e">
        <f>SUM(D151,D145,D136)/B155</f>
        <v>#REF!</v>
      </c>
      <c r="C163" s="1823"/>
      <c r="D163" s="1823"/>
      <c r="E163" s="1823"/>
      <c r="F163" s="1824"/>
    </row>
    <row r="164" spans="1:28">
      <c r="A164" s="788"/>
    </row>
    <row r="165" spans="1:28">
      <c r="A165" s="788"/>
    </row>
    <row r="166" spans="1:28">
      <c r="A166" s="788"/>
    </row>
    <row r="167" spans="1:28">
      <c r="A167" s="788"/>
    </row>
    <row r="169" spans="1:28">
      <c r="A169" s="710" t="s">
        <v>782</v>
      </c>
      <c r="B169" s="709"/>
      <c r="C169" s="709"/>
      <c r="D169" s="709"/>
      <c r="E169" s="709"/>
      <c r="F169" s="709"/>
      <c r="G169" s="709"/>
      <c r="H169" s="709"/>
      <c r="I169" s="709"/>
      <c r="R169" s="1022" t="s">
        <v>782</v>
      </c>
      <c r="S169" s="1023"/>
      <c r="T169" s="1023"/>
      <c r="U169" s="1023"/>
      <c r="V169" s="1023"/>
      <c r="W169" s="1023"/>
      <c r="X169" s="1023"/>
      <c r="Y169" s="1023"/>
      <c r="Z169" s="1023"/>
      <c r="AA169" s="1023"/>
      <c r="AB169" s="1023"/>
    </row>
    <row r="170" spans="1:28">
      <c r="A170" s="297"/>
      <c r="B170" s="716">
        <v>2023</v>
      </c>
      <c r="C170" s="714">
        <v>2024</v>
      </c>
      <c r="D170" s="715">
        <v>2025</v>
      </c>
      <c r="E170" s="712">
        <v>2026</v>
      </c>
      <c r="F170" s="713">
        <v>2027</v>
      </c>
      <c r="G170" s="716">
        <v>2028</v>
      </c>
      <c r="H170" s="714">
        <v>2029</v>
      </c>
      <c r="I170" s="715">
        <v>2030</v>
      </c>
      <c r="J170" s="712">
        <v>2031</v>
      </c>
      <c r="K170" s="713">
        <v>2032</v>
      </c>
      <c r="R170" s="282"/>
      <c r="S170" s="1024">
        <v>2023</v>
      </c>
      <c r="T170" s="1025">
        <v>2024</v>
      </c>
      <c r="U170" s="1026">
        <v>2025</v>
      </c>
      <c r="V170" s="1027">
        <v>2026</v>
      </c>
      <c r="W170" s="1028">
        <v>2027</v>
      </c>
      <c r="X170" s="1024">
        <v>2028</v>
      </c>
      <c r="Y170" s="1025">
        <v>2029</v>
      </c>
      <c r="Z170" s="1026">
        <v>2030</v>
      </c>
      <c r="AA170" s="1027">
        <v>2031</v>
      </c>
      <c r="AB170" s="1028">
        <v>2032</v>
      </c>
    </row>
    <row r="171" spans="1:28">
      <c r="A171" s="702" t="s">
        <v>753</v>
      </c>
      <c r="B171" s="787" t="s">
        <v>116</v>
      </c>
      <c r="C171" s="787" t="s">
        <v>116</v>
      </c>
      <c r="D171" s="787" t="s">
        <v>116</v>
      </c>
      <c r="E171" s="794">
        <f>SUM(Profitability!AT59:AT62)</f>
        <v>14861310.326507643</v>
      </c>
      <c r="F171" s="794">
        <f>SUM(Profitability!AU59:AU62)</f>
        <v>16379675.000805466</v>
      </c>
      <c r="G171" s="794">
        <f>SUM(Profitability!AV59:AV62)</f>
        <v>17345619.921309613</v>
      </c>
      <c r="H171" s="794">
        <f>SUM(Profitability!AW59:AW62)</f>
        <v>18167557.126602866</v>
      </c>
      <c r="I171" s="794">
        <f>SUM(Profitability!AX59:AX62)</f>
        <v>17567099.388097107</v>
      </c>
      <c r="J171" s="794">
        <f>SUM(Profitability!AY59:AY62)</f>
        <v>19111403.280703813</v>
      </c>
      <c r="K171" s="794">
        <f>SUM(Profitability!AZ59:AZ62)</f>
        <v>19360120.477030337</v>
      </c>
      <c r="R171" s="917" t="s">
        <v>753</v>
      </c>
      <c r="S171" s="802" t="str">
        <f>B171</f>
        <v>-</v>
      </c>
      <c r="T171" s="802" t="str">
        <f>C171</f>
        <v>-</v>
      </c>
      <c r="U171" s="802" t="str">
        <f>D171</f>
        <v>-</v>
      </c>
      <c r="V171" s="918">
        <f>E171</f>
        <v>14861310.326507643</v>
      </c>
      <c r="W171" s="918">
        <f>F171</f>
        <v>16379675.000805466</v>
      </c>
      <c r="X171" s="918">
        <f t="shared" ref="X171:AB171" si="114">G171</f>
        <v>17345619.921309613</v>
      </c>
      <c r="Y171" s="918">
        <f t="shared" si="114"/>
        <v>18167557.126602866</v>
      </c>
      <c r="Z171" s="918">
        <f t="shared" si="114"/>
        <v>17567099.388097107</v>
      </c>
      <c r="AA171" s="918">
        <f t="shared" si="114"/>
        <v>19111403.280703813</v>
      </c>
      <c r="AB171" s="918">
        <f t="shared" si="114"/>
        <v>19360120.477030337</v>
      </c>
    </row>
    <row r="172" spans="1:28">
      <c r="A172" s="697" t="s">
        <v>443</v>
      </c>
      <c r="B172" s="787"/>
      <c r="C172" s="787"/>
      <c r="D172" s="787"/>
      <c r="E172" s="787">
        <f>SUM('Cost Structure'!$BN$20:$BQ$20)*E198</f>
        <v>1346393.6868506919</v>
      </c>
      <c r="F172" s="787">
        <f>SUM('Cost Structure'!$BN$20:$BQ$20)*F198</f>
        <v>1346393.6868506919</v>
      </c>
      <c r="G172" s="787">
        <f>SUM('Cost Structure'!$BN$20:$BQ$20)*G198</f>
        <v>1335047.6726356579</v>
      </c>
      <c r="H172" s="787">
        <f>SUM('Cost Structure'!$BN$20:$BQ$20)*H198</f>
        <v>1346393.6868506919</v>
      </c>
      <c r="I172" s="787">
        <f>SUM('Cost Structure'!$BN$20:$BQ$20)*I198</f>
        <v>1266971.5873454544</v>
      </c>
      <c r="J172" s="787">
        <f>SUM('Cost Structure'!$BN$20:$BQ$20)*J198</f>
        <v>1335047.6726356579</v>
      </c>
      <c r="K172" s="787">
        <f>SUM('Cost Structure'!$BN$20:$BQ$20)*K198</f>
        <v>1346393.6868506919</v>
      </c>
      <c r="R172" s="785" t="s">
        <v>754</v>
      </c>
      <c r="S172" s="809" t="s">
        <v>116</v>
      </c>
      <c r="T172" s="809" t="s">
        <v>116</v>
      </c>
      <c r="U172" s="809" t="s">
        <v>116</v>
      </c>
      <c r="V172" s="916">
        <f>E180</f>
        <v>9428298.8666559104</v>
      </c>
      <c r="W172" s="916">
        <f>F180</f>
        <v>9405847.0894584786</v>
      </c>
      <c r="X172" s="916">
        <f t="shared" ref="X172:AB172" si="115">G180</f>
        <v>9334068.2588191163</v>
      </c>
      <c r="Y172" s="916">
        <f t="shared" si="115"/>
        <v>9398363.1637259983</v>
      </c>
      <c r="Z172" s="916">
        <f t="shared" si="115"/>
        <v>8903395.2749829348</v>
      </c>
      <c r="AA172" s="916">
        <f t="shared" si="115"/>
        <v>9281680.7786917705</v>
      </c>
      <c r="AB172" s="916">
        <f t="shared" si="115"/>
        <v>9398363.1637259983</v>
      </c>
    </row>
    <row r="173" spans="1:28">
      <c r="A173" s="697" t="s">
        <v>444</v>
      </c>
      <c r="B173" s="787"/>
      <c r="C173" s="787"/>
      <c r="D173" s="787"/>
      <c r="E173" s="787">
        <f>SUM('Cost Structure'!$BN$21:$BQ$21)*E198</f>
        <v>1823436.9551091995</v>
      </c>
      <c r="F173" s="787">
        <f>SUM('Cost Structure'!$BN$21:$BQ$21)*F198</f>
        <v>1823436.9551091995</v>
      </c>
      <c r="G173" s="787">
        <f>SUM('Cost Structure'!$BN$21:$BQ$21)*G198</f>
        <v>1808070.9133526613</v>
      </c>
      <c r="H173" s="787">
        <f>SUM('Cost Structure'!$BN$21:$BQ$21)*H198</f>
        <v>1823436.9551091995</v>
      </c>
      <c r="I173" s="787">
        <f>SUM('Cost Structure'!$BN$21:$BQ$21)*I198</f>
        <v>1715874.6628134323</v>
      </c>
      <c r="J173" s="787">
        <f>SUM('Cost Structure'!$BN$21:$BQ$21)*J198</f>
        <v>1808070.9133526613</v>
      </c>
      <c r="K173" s="787">
        <f>SUM('Cost Structure'!$BN$21:$BQ$21)*K198</f>
        <v>1823436.9551091995</v>
      </c>
      <c r="R173" s="917" t="s">
        <v>773</v>
      </c>
      <c r="S173" s="802" t="s">
        <v>116</v>
      </c>
      <c r="T173" s="802" t="s">
        <v>116</v>
      </c>
      <c r="U173" s="802" t="s">
        <v>116</v>
      </c>
      <c r="V173" s="918">
        <f>E181</f>
        <v>5433011.4598517325</v>
      </c>
      <c r="W173" s="918">
        <f>F181</f>
        <v>6973827.9113469869</v>
      </c>
      <c r="X173" s="918">
        <f t="shared" ref="X173:AB173" si="116">G181</f>
        <v>8011551.6624904964</v>
      </c>
      <c r="Y173" s="918">
        <f t="shared" si="116"/>
        <v>8769193.9628768675</v>
      </c>
      <c r="Z173" s="918">
        <f t="shared" si="116"/>
        <v>8663704.1131141726</v>
      </c>
      <c r="AA173" s="918">
        <f t="shared" si="116"/>
        <v>9829722.5020120423</v>
      </c>
      <c r="AB173" s="918">
        <f t="shared" si="116"/>
        <v>9961757.3133043386</v>
      </c>
    </row>
    <row r="174" spans="1:28">
      <c r="A174" s="697" t="s">
        <v>6</v>
      </c>
      <c r="B174" s="787"/>
      <c r="C174" s="787"/>
      <c r="D174" s="787"/>
      <c r="E174" s="787">
        <f>SUM('Cost Structure'!$BN$22:$BQ$22)*E198</f>
        <v>4840414.8199645532</v>
      </c>
      <c r="F174" s="787">
        <f>SUM('Cost Structure'!$BN$22:$BQ$22)*F198</f>
        <v>4840414.8199645532</v>
      </c>
      <c r="G174" s="787">
        <f>SUM('Cost Structure'!$BN$22:$BQ$22)*G198</f>
        <v>4799624.8074367614</v>
      </c>
      <c r="H174" s="787">
        <f>SUM('Cost Structure'!$BN$22:$BQ$22)*H198</f>
        <v>4840414.8199645532</v>
      </c>
      <c r="I174" s="787">
        <f>SUM('Cost Structure'!$BN$22:$BQ$22)*I198</f>
        <v>4554884.7322700145</v>
      </c>
      <c r="J174" s="787">
        <f>SUM('Cost Structure'!$BN$22:$BQ$22)*J198</f>
        <v>4799624.8074367614</v>
      </c>
      <c r="K174" s="787">
        <f>SUM('Cost Structure'!$BN$22:$BQ$22)*K198</f>
        <v>4840414.8199645532</v>
      </c>
      <c r="R174" s="282" t="s">
        <v>756</v>
      </c>
      <c r="S174" s="809" t="s">
        <v>116</v>
      </c>
      <c r="T174" s="809" t="s">
        <v>116</v>
      </c>
      <c r="U174" s="809" t="s">
        <v>116</v>
      </c>
      <c r="V174" s="916">
        <f>E189</f>
        <v>2855238.7678338238</v>
      </c>
      <c r="W174" s="916">
        <f>F189</f>
        <v>2855238.7678338238</v>
      </c>
      <c r="X174" s="916">
        <f t="shared" ref="X174:AB174" si="117">G189</f>
        <v>2831177.7669812916</v>
      </c>
      <c r="Y174" s="916">
        <f t="shared" si="117"/>
        <v>2855238.7678338238</v>
      </c>
      <c r="Z174" s="916">
        <f t="shared" si="117"/>
        <v>2686811.7618660983</v>
      </c>
      <c r="AA174" s="916">
        <f t="shared" si="117"/>
        <v>2831177.7669812916</v>
      </c>
      <c r="AB174" s="916">
        <f t="shared" si="117"/>
        <v>2855238.7678338238</v>
      </c>
    </row>
    <row r="175" spans="1:28">
      <c r="A175" s="697" t="s">
        <v>22</v>
      </c>
      <c r="B175" s="787"/>
      <c r="C175" s="787"/>
      <c r="D175" s="787"/>
      <c r="E175" s="787">
        <f>SUM('Cost Structure'!$BN$23:$BQ$23)*E198</f>
        <v>466003.99999999994</v>
      </c>
      <c r="F175" s="787">
        <f>SUM('Cost Structure'!$BN$23:$BQ$23)*F198</f>
        <v>466003.99999999994</v>
      </c>
      <c r="G175" s="787">
        <f>SUM('Cost Structure'!$BN$23:$BQ$23)*G198</f>
        <v>462076.99999999994</v>
      </c>
      <c r="H175" s="787">
        <f>SUM('Cost Structure'!$BN$23:$BQ$23)*H198</f>
        <v>466003.99999999994</v>
      </c>
      <c r="I175" s="787">
        <f>SUM('Cost Structure'!$BN$23:$BQ$23)*I198</f>
        <v>438514.99999999994</v>
      </c>
      <c r="J175" s="787">
        <f>SUM('Cost Structure'!$BN$23:$BQ$23)*J198</f>
        <v>462076.99999999994</v>
      </c>
      <c r="K175" s="787">
        <f>SUM('Cost Structure'!$BN$23:$BQ$23)*K198</f>
        <v>466003.99999999994</v>
      </c>
      <c r="R175" s="917" t="s">
        <v>757</v>
      </c>
      <c r="S175" s="802" t="s">
        <v>116</v>
      </c>
      <c r="T175" s="802" t="s">
        <v>116</v>
      </c>
      <c r="U175" s="802" t="s">
        <v>116</v>
      </c>
      <c r="V175" s="918">
        <f>E190</f>
        <v>2577772.6920179087</v>
      </c>
      <c r="W175" s="918">
        <f>F190</f>
        <v>4118589.1435131631</v>
      </c>
      <c r="X175" s="918">
        <f t="shared" ref="X175:AB175" si="118">G190</f>
        <v>5180373.8955092048</v>
      </c>
      <c r="Y175" s="918">
        <f t="shared" si="118"/>
        <v>5913955.1950430442</v>
      </c>
      <c r="Z175" s="918">
        <f t="shared" si="118"/>
        <v>5976892.3512480743</v>
      </c>
      <c r="AA175" s="918">
        <f t="shared" si="118"/>
        <v>6998544.7350307507</v>
      </c>
      <c r="AB175" s="918">
        <f t="shared" si="118"/>
        <v>7106518.5454705153</v>
      </c>
    </row>
    <row r="176" spans="1:28">
      <c r="A176" s="697" t="s">
        <v>448</v>
      </c>
      <c r="B176" s="787"/>
      <c r="C176" s="787"/>
      <c r="D176" s="787"/>
      <c r="E176" s="787">
        <f>SUM('Cost Structure'!$BN$25:$BQ$25)*E198</f>
        <v>41505.107279999997</v>
      </c>
      <c r="F176" s="787">
        <f>SUM('Cost Structure'!$BN$25:$BQ$25)*F198</f>
        <v>41505.107279999997</v>
      </c>
      <c r="G176" s="787">
        <f>SUM('Cost Structure'!$BN$25:$BQ$25)*G198</f>
        <v>41155.34513999999</v>
      </c>
      <c r="H176" s="787">
        <f>SUM('Cost Structure'!$BN$25:$BQ$25)*H198</f>
        <v>41505.107279999997</v>
      </c>
      <c r="I176" s="787">
        <f>SUM('Cost Structure'!$BN$25:$BQ$25)*I198</f>
        <v>39056.772299999997</v>
      </c>
      <c r="J176" s="787">
        <f>SUM('Cost Structure'!$BN$25:$BQ$25)*J198</f>
        <v>41155.34513999999</v>
      </c>
      <c r="K176" s="787">
        <f>SUM('Cost Structure'!$BN$25:$BQ$25)*K198</f>
        <v>41505.107279999997</v>
      </c>
      <c r="R176" s="914" t="s">
        <v>758</v>
      </c>
      <c r="S176" s="809" t="s">
        <v>116</v>
      </c>
      <c r="T176" s="809" t="s">
        <v>116</v>
      </c>
      <c r="U176" s="809" t="s">
        <v>116</v>
      </c>
      <c r="V176" s="916">
        <f>E195</f>
        <v>4482335.0253807111</v>
      </c>
      <c r="W176" s="916">
        <f>F195</f>
        <v>4482335.0253807111</v>
      </c>
      <c r="X176" s="916">
        <f t="shared" ref="X176:AB176" si="119">G195</f>
        <v>4444562.5392117724</v>
      </c>
      <c r="Y176" s="916">
        <f t="shared" si="119"/>
        <v>4482335.0253807111</v>
      </c>
      <c r="Z176" s="916">
        <f t="shared" si="119"/>
        <v>4217927.6221981412</v>
      </c>
      <c r="AA176" s="916">
        <f t="shared" si="119"/>
        <v>4444562.5392117724</v>
      </c>
      <c r="AB176" s="916">
        <f t="shared" si="119"/>
        <v>4482335.0253807111</v>
      </c>
    </row>
    <row r="177" spans="1:28">
      <c r="A177" s="697" t="s">
        <v>446</v>
      </c>
      <c r="B177" s="787"/>
      <c r="C177" s="787"/>
      <c r="D177" s="787"/>
      <c r="E177" s="787">
        <f>SUM('Cost Structure'!$BN$26:$BQ$26)*D198</f>
        <v>441759.5</v>
      </c>
      <c r="F177" s="787">
        <f>SUM('Cost Structure'!$BN$26:$BQ$26)*E198</f>
        <v>430866.8</v>
      </c>
      <c r="G177" s="787">
        <f>SUM('Cost Structure'!$BN$26:$BQ$26)*F198</f>
        <v>430866.8</v>
      </c>
      <c r="H177" s="787">
        <f>SUM('Cost Structure'!$BN$26:$BQ$26)*G198</f>
        <v>427235.89999999997</v>
      </c>
      <c r="I177" s="787">
        <f>SUM('Cost Structure'!$BN$26:$BQ$26)*H198</f>
        <v>430866.8</v>
      </c>
      <c r="J177" s="787">
        <f>SUM('Cost Structure'!$BN$26:$BQ$26)*I198</f>
        <v>405450.5</v>
      </c>
      <c r="K177" s="787">
        <f>SUM('Cost Structure'!$BN$26:$BQ$26)*J198</f>
        <v>427235.89999999997</v>
      </c>
      <c r="R177" s="919" t="s">
        <v>759</v>
      </c>
      <c r="S177" s="802" t="s">
        <v>116</v>
      </c>
      <c r="T177" s="802" t="s">
        <v>116</v>
      </c>
      <c r="U177" s="928" t="s">
        <v>116</v>
      </c>
      <c r="V177" s="920">
        <f>E196</f>
        <v>-1904562.3333628024</v>
      </c>
      <c r="W177" s="920">
        <f>F196</f>
        <v>-363745.88186754799</v>
      </c>
      <c r="X177" s="1020">
        <f t="shared" ref="X177:AB177" si="120">G196</f>
        <v>735811.35629743244</v>
      </c>
      <c r="Y177" s="1020">
        <f t="shared" si="120"/>
        <v>1431620.1696623331</v>
      </c>
      <c r="Z177" s="1020">
        <f t="shared" si="120"/>
        <v>1758964.7290499331</v>
      </c>
      <c r="AA177" s="1020">
        <f t="shared" si="120"/>
        <v>2553982.1958189784</v>
      </c>
      <c r="AB177" s="1020">
        <f t="shared" si="120"/>
        <v>2624183.5200898042</v>
      </c>
    </row>
    <row r="178" spans="1:28">
      <c r="A178" s="697" t="s">
        <v>445</v>
      </c>
      <c r="B178" s="787"/>
      <c r="C178" s="787"/>
      <c r="D178" s="787"/>
      <c r="E178" s="787">
        <f>SUM('Cost Structure'!$BN$27:$BQ$27)*D198</f>
        <v>451931.42980146647</v>
      </c>
      <c r="F178" s="787">
        <f>SUM('Cost Structure'!$BN$27:$BQ$27)*E198</f>
        <v>440787.91509403306</v>
      </c>
      <c r="G178" s="787">
        <f>SUM('Cost Structure'!$BN$27:$BQ$27)*F198</f>
        <v>440787.91509403306</v>
      </c>
      <c r="H178" s="787">
        <f>SUM('Cost Structure'!$BN$27:$BQ$27)*G198</f>
        <v>437073.41019155527</v>
      </c>
      <c r="I178" s="787">
        <f>SUM('Cost Structure'!$BN$27:$BQ$27)*H198</f>
        <v>440787.91509403306</v>
      </c>
      <c r="J178" s="787">
        <f>SUM('Cost Structure'!$BN$27:$BQ$27)*I198</f>
        <v>414786.3807766884</v>
      </c>
      <c r="K178" s="787">
        <f>SUM('Cost Structure'!$BN$27:$BQ$27)*J198</f>
        <v>437073.41019155527</v>
      </c>
      <c r="R178" s="922" t="s">
        <v>348</v>
      </c>
      <c r="S178" s="807" t="s">
        <v>116</v>
      </c>
      <c r="T178" s="807" t="s">
        <v>116</v>
      </c>
      <c r="U178" s="807" t="s">
        <v>116</v>
      </c>
      <c r="V178" s="807">
        <f>B198</f>
        <v>365</v>
      </c>
      <c r="W178" s="807">
        <f>B198</f>
        <v>365</v>
      </c>
      <c r="X178" s="999">
        <f>W178</f>
        <v>365</v>
      </c>
      <c r="Y178" s="999">
        <f t="shared" ref="Y178:AB178" si="121">X178</f>
        <v>365</v>
      </c>
      <c r="Z178" s="999">
        <f t="shared" si="121"/>
        <v>365</v>
      </c>
      <c r="AA178" s="999">
        <f t="shared" si="121"/>
        <v>365</v>
      </c>
      <c r="AB178" s="999">
        <f t="shared" si="121"/>
        <v>365</v>
      </c>
    </row>
    <row r="179" spans="1:28">
      <c r="A179" s="697" t="s">
        <v>450</v>
      </c>
      <c r="B179" s="787"/>
      <c r="C179" s="787"/>
      <c r="D179" s="787"/>
      <c r="E179" s="787">
        <f>SUM('Cost Structure'!$BN$28:$BQ$28)*D198</f>
        <v>16853.36765</v>
      </c>
      <c r="F179" s="787">
        <f>SUM('Cost Structure'!$BN$28:$BQ$28)*E198</f>
        <v>16437.80516</v>
      </c>
      <c r="G179" s="787">
        <f>SUM('Cost Structure'!$BN$28:$BQ$28)*F198</f>
        <v>16437.80516</v>
      </c>
      <c r="H179" s="787">
        <f>SUM('Cost Structure'!$BN$28:$BQ$28)*G198</f>
        <v>16299.284329999999</v>
      </c>
      <c r="I179" s="787">
        <f>SUM('Cost Structure'!$BN$28:$BQ$28)*H198</f>
        <v>16437.80516</v>
      </c>
      <c r="J179" s="787">
        <f>SUM('Cost Structure'!$BN$28:$BQ$28)*I198</f>
        <v>15468.159349999998</v>
      </c>
      <c r="K179" s="787">
        <f>SUM('Cost Structure'!$BN$28:$BQ$28)*J198</f>
        <v>16299.284329999999</v>
      </c>
      <c r="R179" s="922" t="s">
        <v>777</v>
      </c>
      <c r="S179" s="807" t="s">
        <v>116</v>
      </c>
      <c r="T179" s="807" t="s">
        <v>116</v>
      </c>
      <c r="U179" s="807" t="s">
        <v>116</v>
      </c>
      <c r="V179" s="807">
        <f>B199</f>
        <v>3996.6675712347351</v>
      </c>
      <c r="W179" s="807">
        <f>B199</f>
        <v>3996.6675712347351</v>
      </c>
      <c r="X179" s="999">
        <f t="shared" ref="X179:AB181" si="122">W179</f>
        <v>3996.6675712347351</v>
      </c>
      <c r="Y179" s="999">
        <f t="shared" si="122"/>
        <v>3996.6675712347351</v>
      </c>
      <c r="Z179" s="999">
        <f t="shared" si="122"/>
        <v>3996.6675712347351</v>
      </c>
      <c r="AA179" s="999">
        <f t="shared" si="122"/>
        <v>3996.6675712347351</v>
      </c>
      <c r="AB179" s="999">
        <f t="shared" si="122"/>
        <v>3996.6675712347351</v>
      </c>
    </row>
    <row r="180" spans="1:28">
      <c r="A180" s="711" t="s">
        <v>754</v>
      </c>
      <c r="B180" s="787"/>
      <c r="C180" s="787"/>
      <c r="D180" s="787"/>
      <c r="E180" s="787">
        <f>SUM(E172:E179)</f>
        <v>9428298.8666559104</v>
      </c>
      <c r="F180" s="787">
        <f t="shared" ref="F180:K180" si="123">SUM(F172:F179)</f>
        <v>9405847.0894584786</v>
      </c>
      <c r="G180" s="787">
        <f t="shared" si="123"/>
        <v>9334068.2588191163</v>
      </c>
      <c r="H180" s="787">
        <f t="shared" si="123"/>
        <v>9398363.1637259983</v>
      </c>
      <c r="I180" s="787">
        <f t="shared" si="123"/>
        <v>8903395.2749829348</v>
      </c>
      <c r="J180" s="787">
        <f t="shared" si="123"/>
        <v>9281680.7786917705</v>
      </c>
      <c r="K180" s="787">
        <f t="shared" si="123"/>
        <v>9398363.1637259983</v>
      </c>
      <c r="R180" s="784" t="s">
        <v>763</v>
      </c>
      <c r="S180" s="807" t="s">
        <v>116</v>
      </c>
      <c r="T180" s="807" t="s">
        <v>116</v>
      </c>
      <c r="U180" s="807" t="s">
        <v>116</v>
      </c>
      <c r="V180" s="807">
        <f>B200</f>
        <v>67014000</v>
      </c>
      <c r="W180" s="807">
        <f>B200</f>
        <v>67014000</v>
      </c>
      <c r="X180" s="999">
        <f t="shared" si="122"/>
        <v>67014000</v>
      </c>
      <c r="Y180" s="999">
        <f t="shared" si="122"/>
        <v>67014000</v>
      </c>
      <c r="Z180" s="999">
        <f t="shared" si="122"/>
        <v>67014000</v>
      </c>
      <c r="AA180" s="999">
        <f t="shared" si="122"/>
        <v>67014000</v>
      </c>
      <c r="AB180" s="999">
        <f t="shared" si="122"/>
        <v>67014000</v>
      </c>
    </row>
    <row r="181" spans="1:28">
      <c r="A181" s="702" t="s">
        <v>755</v>
      </c>
      <c r="B181" s="794"/>
      <c r="C181" s="794"/>
      <c r="D181" s="794"/>
      <c r="E181" s="794">
        <f>E171-E180</f>
        <v>5433011.4598517325</v>
      </c>
      <c r="F181" s="794">
        <f>F171-F180</f>
        <v>6973827.9113469869</v>
      </c>
      <c r="G181" s="794">
        <f t="shared" ref="G181:K181" si="124">G171-G180</f>
        <v>8011551.6624904964</v>
      </c>
      <c r="H181" s="794">
        <f t="shared" si="124"/>
        <v>8769193.9628768675</v>
      </c>
      <c r="I181" s="794">
        <f t="shared" si="124"/>
        <v>8663704.1131141726</v>
      </c>
      <c r="J181" s="794">
        <f t="shared" si="124"/>
        <v>9829722.5020120423</v>
      </c>
      <c r="K181" s="794">
        <f t="shared" si="124"/>
        <v>9961757.3133043386</v>
      </c>
      <c r="R181" s="922" t="s">
        <v>765</v>
      </c>
      <c r="S181" s="807" t="s">
        <v>116</v>
      </c>
      <c r="T181" s="807" t="s">
        <v>116</v>
      </c>
      <c r="U181" s="807" t="s">
        <v>116</v>
      </c>
      <c r="V181" s="807">
        <f>B201</f>
        <v>10.949774167766398</v>
      </c>
      <c r="W181" s="807">
        <f>B201</f>
        <v>10.949774167766398</v>
      </c>
      <c r="X181" s="999">
        <f t="shared" si="122"/>
        <v>10.949774167766398</v>
      </c>
      <c r="Y181" s="999">
        <f t="shared" si="122"/>
        <v>10.949774167766398</v>
      </c>
      <c r="Z181" s="999">
        <f t="shared" si="122"/>
        <v>10.949774167766398</v>
      </c>
      <c r="AA181" s="999">
        <f t="shared" si="122"/>
        <v>10.949774167766398</v>
      </c>
      <c r="AB181" s="999">
        <f t="shared" si="122"/>
        <v>10.949774167766398</v>
      </c>
    </row>
    <row r="182" spans="1:28">
      <c r="A182" s="697" t="s">
        <v>458</v>
      </c>
      <c r="B182" s="787"/>
      <c r="C182" s="787"/>
      <c r="D182" s="787"/>
      <c r="E182" s="787">
        <f>SUM('Cost Structure'!$BN$30:$BQ$30)*E198</f>
        <v>91813.678618284888</v>
      </c>
      <c r="F182" s="787">
        <f>SUM('Cost Structure'!$BN$30:$BQ$30)*F198</f>
        <v>91813.678618284888</v>
      </c>
      <c r="G182" s="787">
        <f>SUM('Cost Structure'!$BN$30:$BQ$30)*G198</f>
        <v>91039.967843411694</v>
      </c>
      <c r="H182" s="787">
        <f>SUM('Cost Structure'!$BN$30:$BQ$30)*H198</f>
        <v>91813.678618284888</v>
      </c>
      <c r="I182" s="787">
        <f>SUM('Cost Structure'!$BN$30:$BQ$30)*I198</f>
        <v>86397.703194172573</v>
      </c>
      <c r="J182" s="787">
        <f>SUM('Cost Structure'!$BN$30:$BQ$30)*J198</f>
        <v>91039.967843411694</v>
      </c>
      <c r="K182" s="787">
        <f>SUM('Cost Structure'!$BN$30:$BQ$30)*K198</f>
        <v>91813.678618284888</v>
      </c>
      <c r="R182" s="922" t="s">
        <v>767</v>
      </c>
      <c r="S182" s="807" t="str">
        <f>B203</f>
        <v>-</v>
      </c>
      <c r="T182" s="807" t="s">
        <v>116</v>
      </c>
      <c r="U182" s="807" t="s">
        <v>116</v>
      </c>
      <c r="V182" s="1021">
        <f>E203</f>
        <v>0.22176426308693173</v>
      </c>
      <c r="W182" s="1021">
        <f>F203</f>
        <v>0.24442168801751074</v>
      </c>
      <c r="X182" s="1021">
        <f t="shared" ref="X182:AB182" si="125">G203</f>
        <v>0.25883576448666867</v>
      </c>
      <c r="Y182" s="1021">
        <f t="shared" si="125"/>
        <v>0.27110092110011141</v>
      </c>
      <c r="Z182" s="1021">
        <f t="shared" si="125"/>
        <v>0.26214073757867173</v>
      </c>
      <c r="AA182" s="1021">
        <f t="shared" si="125"/>
        <v>0.28518523414068425</v>
      </c>
      <c r="AB182" s="1021">
        <f t="shared" si="125"/>
        <v>0.28889665557988387</v>
      </c>
    </row>
    <row r="183" spans="1:28">
      <c r="A183" s="697" t="s">
        <v>461</v>
      </c>
      <c r="B183" s="787"/>
      <c r="C183" s="787"/>
      <c r="D183" s="787"/>
      <c r="E183" s="787">
        <f>SUM('Cost Structure'!$BN$31:$BQ$31)*E198</f>
        <v>232029.38806400003</v>
      </c>
      <c r="F183" s="787">
        <f>SUM('Cost Structure'!$BN$31:$BQ$31)*F198</f>
        <v>232029.38806400003</v>
      </c>
      <c r="G183" s="787">
        <f>SUM('Cost Structure'!$BN$31:$BQ$31)*G198</f>
        <v>230074.08423200002</v>
      </c>
      <c r="H183" s="787">
        <f>SUM('Cost Structure'!$BN$31:$BQ$31)*H198</f>
        <v>232029.38806400003</v>
      </c>
      <c r="I183" s="787">
        <f>SUM('Cost Structure'!$BN$31:$BQ$31)*I198</f>
        <v>218342.26124000002</v>
      </c>
      <c r="J183" s="787">
        <f>SUM('Cost Structure'!$BN$31:$BQ$31)*J198</f>
        <v>230074.08423200002</v>
      </c>
      <c r="K183" s="787">
        <f>SUM('Cost Structure'!$BN$31:$BQ$31)*K198</f>
        <v>232029.38806400003</v>
      </c>
      <c r="R183" s="922" t="s">
        <v>768</v>
      </c>
      <c r="S183" s="807" t="s">
        <v>116</v>
      </c>
      <c r="T183" s="807" t="s">
        <v>116</v>
      </c>
      <c r="U183" s="807" t="s">
        <v>116</v>
      </c>
      <c r="V183" s="1021">
        <f>B204</f>
        <v>2359.0400498941476</v>
      </c>
      <c r="W183" s="1021">
        <f>B204</f>
        <v>2359.0400498941476</v>
      </c>
      <c r="X183" s="1003">
        <f>W183</f>
        <v>2359.0400498941476</v>
      </c>
      <c r="Y183" s="1003">
        <f t="shared" ref="Y183:AB183" si="126">X183</f>
        <v>2359.0400498941476</v>
      </c>
      <c r="Z183" s="1003">
        <f t="shared" si="126"/>
        <v>2359.0400498941476</v>
      </c>
      <c r="AA183" s="1003">
        <f t="shared" si="126"/>
        <v>2359.0400498941476</v>
      </c>
      <c r="AB183" s="1003">
        <f t="shared" si="126"/>
        <v>2359.0400498941476</v>
      </c>
    </row>
    <row r="184" spans="1:28">
      <c r="A184" s="697" t="s">
        <v>463</v>
      </c>
      <c r="B184" s="787"/>
      <c r="C184" s="787"/>
      <c r="D184" s="787"/>
      <c r="E184" s="787">
        <f>SUM('Cost Structure'!$BN$32:$BQ$32)*E198</f>
        <v>310186.65562240005</v>
      </c>
      <c r="F184" s="787">
        <f>SUM('Cost Structure'!$BN$32:$BQ$32)*F198</f>
        <v>310186.65562240005</v>
      </c>
      <c r="G184" s="787">
        <f>SUM('Cost Structure'!$BN$32:$BQ$32)*G198</f>
        <v>307572.72313120001</v>
      </c>
      <c r="H184" s="787">
        <f>SUM('Cost Structure'!$BN$32:$BQ$32)*H198</f>
        <v>310186.65562240005</v>
      </c>
      <c r="I184" s="787">
        <f>SUM('Cost Structure'!$BN$32:$BQ$32)*I198</f>
        <v>291889.12818400003</v>
      </c>
      <c r="J184" s="787">
        <f>SUM('Cost Structure'!$BN$32:$BQ$32)*J198</f>
        <v>307572.72313120001</v>
      </c>
      <c r="K184" s="787">
        <f>SUM('Cost Structure'!$BN$32:$BQ$32)*K198</f>
        <v>310186.65562240005</v>
      </c>
      <c r="R184" s="922" t="s">
        <v>769</v>
      </c>
      <c r="S184" s="807" t="s">
        <v>116</v>
      </c>
      <c r="T184" s="807" t="s">
        <v>116</v>
      </c>
      <c r="U184" s="807" t="s">
        <v>116</v>
      </c>
      <c r="V184" s="1021">
        <f>B205</f>
        <v>714.40486779132425</v>
      </c>
      <c r="W184" s="1021">
        <f>B205</f>
        <v>714.40486779132425</v>
      </c>
      <c r="X184" s="1003">
        <f t="shared" ref="X184:AB186" si="127">W184</f>
        <v>714.40486779132425</v>
      </c>
      <c r="Y184" s="1003">
        <f t="shared" si="127"/>
        <v>714.40486779132425</v>
      </c>
      <c r="Z184" s="1003">
        <f t="shared" si="127"/>
        <v>714.40486779132425</v>
      </c>
      <c r="AA184" s="1003">
        <f t="shared" si="127"/>
        <v>714.40486779132425</v>
      </c>
      <c r="AB184" s="1003">
        <f t="shared" si="127"/>
        <v>714.40486779132425</v>
      </c>
    </row>
    <row r="185" spans="1:28">
      <c r="A185" s="697" t="s">
        <v>83</v>
      </c>
      <c r="B185" s="787"/>
      <c r="C185" s="787"/>
      <c r="D185" s="787"/>
      <c r="E185" s="787">
        <f>SUM('Cost Structure'!$BN$33:$BQ$33)*E198</f>
        <v>40694.376153545032</v>
      </c>
      <c r="F185" s="787">
        <f>SUM('Cost Structure'!$BN$33:$BQ$33)*F198</f>
        <v>40694.376153545032</v>
      </c>
      <c r="G185" s="787">
        <f>SUM('Cost Structure'!$BN$33:$BQ$33)*G198</f>
        <v>40351.44601741965</v>
      </c>
      <c r="H185" s="787">
        <f>SUM('Cost Structure'!$BN$33:$BQ$33)*H198</f>
        <v>40694.376153545032</v>
      </c>
      <c r="I185" s="787">
        <f>SUM('Cost Structure'!$BN$33:$BQ$33)*I198</f>
        <v>38293.865200667373</v>
      </c>
      <c r="J185" s="787">
        <f>SUM('Cost Structure'!$BN$33:$BQ$33)*J198</f>
        <v>40351.44601741965</v>
      </c>
      <c r="K185" s="787">
        <f>SUM('Cost Structure'!$BN$33:$BQ$33)*K198</f>
        <v>40694.376153545032</v>
      </c>
      <c r="R185" s="922" t="s">
        <v>770</v>
      </c>
      <c r="S185" s="807" t="s">
        <v>116</v>
      </c>
      <c r="T185" s="807" t="s">
        <v>116</v>
      </c>
      <c r="U185" s="807" t="s">
        <v>116</v>
      </c>
      <c r="V185" s="1021">
        <f>B206</f>
        <v>735.61284435065318</v>
      </c>
      <c r="W185" s="1021">
        <f>B206</f>
        <v>735.61284435065318</v>
      </c>
      <c r="X185" s="1003">
        <f t="shared" si="127"/>
        <v>735.61284435065318</v>
      </c>
      <c r="Y185" s="1003">
        <f t="shared" si="127"/>
        <v>735.61284435065318</v>
      </c>
      <c r="Z185" s="1003">
        <f t="shared" si="127"/>
        <v>735.61284435065318</v>
      </c>
      <c r="AA185" s="1003">
        <f t="shared" si="127"/>
        <v>735.61284435065318</v>
      </c>
      <c r="AB185" s="1003">
        <f t="shared" si="127"/>
        <v>735.61284435065318</v>
      </c>
    </row>
    <row r="186" spans="1:28">
      <c r="A186" s="697" t="s">
        <v>466</v>
      </c>
      <c r="B186" s="787"/>
      <c r="C186" s="787"/>
      <c r="D186" s="787"/>
      <c r="E186" s="787">
        <f>SUM('Cost Structure'!$BN$34:$BQ$34)*E198</f>
        <v>2180514.6693755938</v>
      </c>
      <c r="F186" s="787">
        <f>SUM('Cost Structure'!$BN$34:$BQ$34)*F198</f>
        <v>2180514.6693755938</v>
      </c>
      <c r="G186" s="787">
        <f>SUM('Cost Structure'!$BN$34:$BQ$34)*G198</f>
        <v>2162139.5457572602</v>
      </c>
      <c r="H186" s="787">
        <f>SUM('Cost Structure'!$BN$34:$BQ$34)*H198</f>
        <v>2180514.6693755938</v>
      </c>
      <c r="I186" s="787">
        <f>SUM('Cost Structure'!$BN$34:$BQ$34)*I198</f>
        <v>2051888.8040472581</v>
      </c>
      <c r="J186" s="787">
        <f>SUM('Cost Structure'!$BN$34:$BQ$34)*J198</f>
        <v>2162139.5457572602</v>
      </c>
      <c r="K186" s="787">
        <f>SUM('Cost Structure'!$BN$34:$BQ$34)*K198</f>
        <v>2180514.6693755938</v>
      </c>
      <c r="R186" s="1029" t="s">
        <v>771</v>
      </c>
      <c r="S186" s="807" t="s">
        <v>116</v>
      </c>
      <c r="T186" s="807" t="str">
        <f>S186</f>
        <v>-</v>
      </c>
      <c r="U186" s="807" t="str">
        <f>S186</f>
        <v>-</v>
      </c>
      <c r="V186" s="1021">
        <f>B207</f>
        <v>3809.0577620361246</v>
      </c>
      <c r="W186" s="1021">
        <f>V186</f>
        <v>3809.0577620361246</v>
      </c>
      <c r="X186" s="1003">
        <f t="shared" si="127"/>
        <v>3809.0577620361246</v>
      </c>
      <c r="Y186" s="1003">
        <f t="shared" si="127"/>
        <v>3809.0577620361246</v>
      </c>
      <c r="Z186" s="1003">
        <f t="shared" si="127"/>
        <v>3809.0577620361246</v>
      </c>
      <c r="AA186" s="1003">
        <f t="shared" si="127"/>
        <v>3809.0577620361246</v>
      </c>
      <c r="AB186" s="1003">
        <f t="shared" si="127"/>
        <v>3809.0577620361246</v>
      </c>
    </row>
    <row r="187" spans="1:28">
      <c r="A187" s="1017" t="s">
        <v>776</v>
      </c>
      <c r="B187" s="787"/>
      <c r="C187" s="787"/>
      <c r="D187" s="787"/>
      <c r="E187" s="787" t="e">
        <f>SUM('Cost Structure'!$BN$35:$BQ$35)*E198</f>
        <v>#REF!</v>
      </c>
      <c r="F187" s="787" t="e">
        <f>SUM('Cost Structure'!$BN$35:$BQ$35)*F198</f>
        <v>#REF!</v>
      </c>
      <c r="G187" s="787" t="e">
        <f>SUM('Cost Structure'!$BN$35:$BQ$35)*G198</f>
        <v>#REF!</v>
      </c>
      <c r="H187" s="787" t="e">
        <f>SUM('Cost Structure'!$BN$35:$BQ$35)*H198</f>
        <v>#REF!</v>
      </c>
      <c r="I187" s="787" t="e">
        <f>SUM('Cost Structure'!$BN$35:$BQ$35)*I198</f>
        <v>#REF!</v>
      </c>
      <c r="J187" s="787" t="e">
        <f>SUM('Cost Structure'!$BN$35:$BQ$35)*J198</f>
        <v>#REF!</v>
      </c>
      <c r="K187" s="787" t="e">
        <f>SUM('Cost Structure'!$BN$35:$BQ$35)*K198</f>
        <v>#REF!</v>
      </c>
      <c r="R187" s="20"/>
      <c r="S187" s="994"/>
      <c r="T187" s="994"/>
      <c r="U187" s="994"/>
      <c r="V187" s="994"/>
      <c r="W187" s="994"/>
    </row>
    <row r="188" spans="1:28">
      <c r="A188" s="784" t="s">
        <v>75</v>
      </c>
      <c r="B188" s="787"/>
      <c r="C188" s="787"/>
      <c r="D188" s="787"/>
      <c r="E188" s="787">
        <f>SUM('Cost Structure'!$BN$36:$BQ$36)*E198</f>
        <v>1534.1521223874165</v>
      </c>
      <c r="F188" s="787">
        <f>SUM('Cost Structure'!$BN$36:$BQ$36)*F198</f>
        <v>1534.1521223874165</v>
      </c>
      <c r="G188" s="787">
        <f>SUM('Cost Structure'!$BN$36:$BQ$36)*G198</f>
        <v>1521.2238741650506</v>
      </c>
      <c r="H188" s="787">
        <f>SUM('Cost Structure'!$BN$36:$BQ$36)*H198</f>
        <v>1534.1521223874165</v>
      </c>
      <c r="I188" s="787">
        <f>SUM('Cost Structure'!$BN$36:$BQ$36)*I198</f>
        <v>1443.6543848308554</v>
      </c>
      <c r="J188" s="787">
        <f>SUM('Cost Structure'!$BN$36:$BQ$36)*J198</f>
        <v>1521.2238741650506</v>
      </c>
      <c r="K188" s="787">
        <f>SUM('Cost Structure'!$BN$36:$BQ$36)*K198</f>
        <v>1534.1521223874165</v>
      </c>
      <c r="R188" s="20"/>
      <c r="S188" s="994"/>
      <c r="T188" s="994"/>
      <c r="U188" s="994"/>
      <c r="V188" s="994"/>
      <c r="W188" s="994"/>
    </row>
    <row r="189" spans="1:28">
      <c r="A189" s="711" t="s">
        <v>756</v>
      </c>
      <c r="B189" s="787"/>
      <c r="C189" s="787"/>
      <c r="D189" s="787"/>
      <c r="E189" s="787">
        <f t="shared" ref="E189:K189" si="128">SUM(E182:E186)</f>
        <v>2855238.7678338238</v>
      </c>
      <c r="F189" s="787">
        <f t="shared" si="128"/>
        <v>2855238.7678338238</v>
      </c>
      <c r="G189" s="787">
        <f t="shared" si="128"/>
        <v>2831177.7669812916</v>
      </c>
      <c r="H189" s="787">
        <f t="shared" si="128"/>
        <v>2855238.7678338238</v>
      </c>
      <c r="I189" s="787">
        <f t="shared" si="128"/>
        <v>2686811.7618660983</v>
      </c>
      <c r="J189" s="787">
        <f t="shared" si="128"/>
        <v>2831177.7669812916</v>
      </c>
      <c r="K189" s="787">
        <f t="shared" si="128"/>
        <v>2855238.7678338238</v>
      </c>
    </row>
    <row r="190" spans="1:28">
      <c r="A190" s="702" t="s">
        <v>757</v>
      </c>
      <c r="B190" s="787"/>
      <c r="C190" s="787"/>
      <c r="D190" s="787"/>
      <c r="E190" s="794">
        <f>E181-E189</f>
        <v>2577772.6920179087</v>
      </c>
      <c r="F190" s="794">
        <f>F181-F189</f>
        <v>4118589.1435131631</v>
      </c>
      <c r="G190" s="794">
        <f t="shared" ref="G190:K190" si="129">G181-G189</f>
        <v>5180373.8955092048</v>
      </c>
      <c r="H190" s="794">
        <f t="shared" si="129"/>
        <v>5913955.1950430442</v>
      </c>
      <c r="I190" s="794">
        <f t="shared" si="129"/>
        <v>5976892.3512480743</v>
      </c>
      <c r="J190" s="794">
        <f t="shared" si="129"/>
        <v>6998544.7350307507</v>
      </c>
      <c r="K190" s="794">
        <f t="shared" si="129"/>
        <v>7106518.5454705153</v>
      </c>
    </row>
    <row r="191" spans="1:28">
      <c r="A191" s="697" t="s">
        <v>472</v>
      </c>
      <c r="B191" s="787"/>
      <c r="C191" s="787"/>
      <c r="D191" s="787"/>
      <c r="E191" s="787">
        <f>SUM('Cost Structure'!BN38:BQ38)*$B$198</f>
        <v>0</v>
      </c>
      <c r="F191" s="787">
        <f>E191</f>
        <v>0</v>
      </c>
      <c r="G191" s="1000">
        <f>F191</f>
        <v>0</v>
      </c>
      <c r="H191" s="1000">
        <f t="shared" ref="H191:K191" si="130">G191</f>
        <v>0</v>
      </c>
      <c r="I191" s="1000">
        <f t="shared" si="130"/>
        <v>0</v>
      </c>
      <c r="J191" s="1000">
        <f t="shared" si="130"/>
        <v>0</v>
      </c>
      <c r="K191" s="1000">
        <f t="shared" si="130"/>
        <v>0</v>
      </c>
    </row>
    <row r="192" spans="1:28">
      <c r="A192" s="697" t="s">
        <v>56</v>
      </c>
      <c r="B192" s="787"/>
      <c r="C192" s="787"/>
      <c r="D192" s="787"/>
      <c r="E192" s="787">
        <f>SUM('Cost Structure'!$BN$39:$BQ$39)*E198</f>
        <v>419999.99999999994</v>
      </c>
      <c r="F192" s="787">
        <f>SUM('Cost Structure'!$BN$39:$BQ$39)*F198</f>
        <v>419999.99999999994</v>
      </c>
      <c r="G192" s="787">
        <f>SUM('Cost Structure'!$BN$39:$BQ$39)*G198</f>
        <v>416460.67415730329</v>
      </c>
      <c r="H192" s="787">
        <f>SUM('Cost Structure'!$BN$39:$BQ$39)*H198</f>
        <v>419999.99999999994</v>
      </c>
      <c r="I192" s="787">
        <f>SUM('Cost Structure'!$BN$39:$BQ$39)*I198</f>
        <v>395224.71910112351</v>
      </c>
      <c r="J192" s="787">
        <f>SUM('Cost Structure'!$BN$39:$BQ$39)*J198</f>
        <v>416460.67415730329</v>
      </c>
      <c r="K192" s="787">
        <f>SUM('Cost Structure'!$BN$39:$BQ$39)*K198</f>
        <v>419999.99999999994</v>
      </c>
    </row>
    <row r="193" spans="1:11">
      <c r="A193" s="698" t="s">
        <v>50</v>
      </c>
      <c r="B193" s="787"/>
      <c r="C193" s="787"/>
      <c r="D193" s="787"/>
      <c r="E193" s="787">
        <f>SUM('Cost Structure'!$BN$40:$BQ$40)*E198</f>
        <v>1122335.0253807108</v>
      </c>
      <c r="F193" s="787">
        <f>SUM('Cost Structure'!$BN$40:$BQ$40)*F198</f>
        <v>1122335.0253807108</v>
      </c>
      <c r="G193" s="787">
        <f>SUM('Cost Structure'!$BN$40:$BQ$40)*G198</f>
        <v>1112877.1459533451</v>
      </c>
      <c r="H193" s="787">
        <f>SUM('Cost Structure'!$BN$40:$BQ$40)*H198</f>
        <v>1122335.0253807108</v>
      </c>
      <c r="I193" s="787">
        <f>SUM('Cost Structure'!$BN$40:$BQ$40)*I198</f>
        <v>1056129.8693891519</v>
      </c>
      <c r="J193" s="787">
        <f>SUM('Cost Structure'!$BN$40:$BQ$40)*J198</f>
        <v>1112877.1459533451</v>
      </c>
      <c r="K193" s="787">
        <f>SUM('Cost Structure'!$BN$40:$BQ$40)*K198</f>
        <v>1122335.0253807108</v>
      </c>
    </row>
    <row r="194" spans="1:11">
      <c r="A194" s="698" t="s">
        <v>473</v>
      </c>
      <c r="B194" s="787"/>
      <c r="C194" s="787"/>
      <c r="D194" s="787"/>
      <c r="E194" s="787">
        <f>SUM('Cost Structure'!$BN$41:$BQ$41)*E198</f>
        <v>2940000.0000000005</v>
      </c>
      <c r="F194" s="787">
        <f>SUM('Cost Structure'!$BN$41:$BQ$41)*F198</f>
        <v>2940000.0000000005</v>
      </c>
      <c r="G194" s="787">
        <f>SUM('Cost Structure'!$BN$41:$BQ$41)*G198</f>
        <v>2915224.719101124</v>
      </c>
      <c r="H194" s="787">
        <f>SUM('Cost Structure'!$BN$41:$BQ$41)*H198</f>
        <v>2940000.0000000005</v>
      </c>
      <c r="I194" s="787">
        <f>SUM('Cost Structure'!$BN$41:$BQ$41)*I198</f>
        <v>2766573.0337078655</v>
      </c>
      <c r="J194" s="787">
        <f>SUM('Cost Structure'!$BN$41:$BQ$41)*J198</f>
        <v>2915224.719101124</v>
      </c>
      <c r="K194" s="787">
        <f>SUM('Cost Structure'!$BN$41:$BQ$41)*K198</f>
        <v>2940000.0000000005</v>
      </c>
    </row>
    <row r="195" spans="1:11">
      <c r="A195" s="711" t="s">
        <v>758</v>
      </c>
      <c r="B195" s="787"/>
      <c r="C195" s="787"/>
      <c r="D195" s="787"/>
      <c r="E195" s="787">
        <f t="shared" ref="E195:K195" si="131">SUM(E191:E194)</f>
        <v>4482335.0253807111</v>
      </c>
      <c r="F195" s="787">
        <f t="shared" si="131"/>
        <v>4482335.0253807111</v>
      </c>
      <c r="G195" s="787">
        <f t="shared" si="131"/>
        <v>4444562.5392117724</v>
      </c>
      <c r="H195" s="787">
        <f t="shared" si="131"/>
        <v>4482335.0253807111</v>
      </c>
      <c r="I195" s="787">
        <f t="shared" si="131"/>
        <v>4217927.6221981412</v>
      </c>
      <c r="J195" s="787">
        <f t="shared" si="131"/>
        <v>4444562.5392117724</v>
      </c>
      <c r="K195" s="787">
        <f t="shared" si="131"/>
        <v>4482335.0253807111</v>
      </c>
    </row>
    <row r="196" spans="1:11">
      <c r="A196" s="702" t="s">
        <v>759</v>
      </c>
      <c r="B196" s="787"/>
      <c r="C196" s="787"/>
      <c r="D196" s="787"/>
      <c r="E196" s="795">
        <f>E190-E195</f>
        <v>-1904562.3333628024</v>
      </c>
      <c r="F196" s="795">
        <f>F190-F195</f>
        <v>-363745.88186754799</v>
      </c>
      <c r="G196" s="1011">
        <f t="shared" ref="G196:K196" si="132">G190-G195</f>
        <v>735811.35629743244</v>
      </c>
      <c r="H196" s="1011">
        <f t="shared" si="132"/>
        <v>1431620.1696623331</v>
      </c>
      <c r="I196" s="1011">
        <f t="shared" si="132"/>
        <v>1758964.7290499331</v>
      </c>
      <c r="J196" s="1011">
        <f t="shared" si="132"/>
        <v>2553982.1958189784</v>
      </c>
      <c r="K196" s="1011">
        <f t="shared" si="132"/>
        <v>2624183.5200898042</v>
      </c>
    </row>
    <row r="198" spans="1:11" ht="14.45" customHeight="1">
      <c r="A198" s="796" t="s">
        <v>348</v>
      </c>
      <c r="B198" s="1229">
        <f>365-'Maintenance Schedule'!O36-'Maintenance Schedule'!O41</f>
        <v>365</v>
      </c>
      <c r="C198" s="1229">
        <f>365-'Maintenance Schedule'!P36-'Maintenance Schedule'!P41</f>
        <v>365</v>
      </c>
      <c r="D198" s="1229">
        <f>365-'Maintenance Schedule'!Q36-'Maintenance Schedule'!Q41</f>
        <v>365</v>
      </c>
      <c r="E198" s="1229">
        <f>365-'Maintenance Schedule'!R36-'Maintenance Schedule'!R41</f>
        <v>356</v>
      </c>
      <c r="F198" s="1229">
        <f>365-'Maintenance Schedule'!S36-'Maintenance Schedule'!S41</f>
        <v>356</v>
      </c>
      <c r="G198" s="1229">
        <f>365-'Maintenance Schedule'!T36-'Maintenance Schedule'!T41</f>
        <v>353</v>
      </c>
      <c r="H198" s="1229">
        <f>365-'Maintenance Schedule'!U36-'Maintenance Schedule'!U41</f>
        <v>356</v>
      </c>
      <c r="I198" s="1229">
        <f>365-'Maintenance Schedule'!V36-'Maintenance Schedule'!V41</f>
        <v>335</v>
      </c>
      <c r="J198" s="1229">
        <f>365-'Maintenance Schedule'!W36-'Maintenance Schedule'!W41</f>
        <v>353</v>
      </c>
      <c r="K198" s="1229">
        <f>365-'Maintenance Schedule'!X36-'Maintenance Schedule'!X41</f>
        <v>356</v>
      </c>
    </row>
    <row r="199" spans="1:11">
      <c r="A199" s="797" t="s">
        <v>777</v>
      </c>
      <c r="B199" s="1825">
        <f>'Cost Structure'!BN12</f>
        <v>3996.6675712347351</v>
      </c>
      <c r="C199" s="1825"/>
      <c r="D199" s="1825"/>
      <c r="E199" s="1825"/>
      <c r="F199" s="1826"/>
    </row>
    <row r="200" spans="1:11">
      <c r="A200" s="798" t="s">
        <v>763</v>
      </c>
      <c r="B200" s="1825">
        <f>27*B198*SUM('Cost Structure'!BN9:BQ9)</f>
        <v>67014000</v>
      </c>
      <c r="C200" s="1825"/>
      <c r="D200" s="1825"/>
      <c r="E200" s="1825"/>
      <c r="F200" s="1826"/>
    </row>
    <row r="201" spans="1:11">
      <c r="A201" s="797" t="s">
        <v>765</v>
      </c>
      <c r="B201" s="1850">
        <f>B199/B198</f>
        <v>10.949774167766398</v>
      </c>
      <c r="C201" s="1850"/>
      <c r="D201" s="1850"/>
      <c r="E201" s="1850"/>
      <c r="F201" s="1851"/>
    </row>
    <row r="202" spans="1:11">
      <c r="A202" s="799" t="s">
        <v>742</v>
      </c>
      <c r="B202" s="1337"/>
      <c r="C202" s="1337"/>
      <c r="D202" s="1337"/>
      <c r="E202" s="1337"/>
      <c r="F202" s="1829"/>
    </row>
    <row r="203" spans="1:11">
      <c r="A203" s="797" t="s">
        <v>767</v>
      </c>
      <c r="B203" s="800" t="s">
        <v>116</v>
      </c>
      <c r="C203" s="800" t="s">
        <v>116</v>
      </c>
      <c r="D203" s="807" t="s">
        <v>116</v>
      </c>
      <c r="E203" s="807">
        <f>E171/$B$200</f>
        <v>0.22176426308693173</v>
      </c>
      <c r="F203" s="808">
        <f>F171/$B$200</f>
        <v>0.24442168801751074</v>
      </c>
      <c r="G203" s="808">
        <f t="shared" ref="G203:K203" si="133">G171/$B$200</f>
        <v>0.25883576448666867</v>
      </c>
      <c r="H203" s="808">
        <f t="shared" si="133"/>
        <v>0.27110092110011141</v>
      </c>
      <c r="I203" s="808">
        <f t="shared" si="133"/>
        <v>0.26214073757867173</v>
      </c>
      <c r="J203" s="808">
        <f t="shared" si="133"/>
        <v>0.28518523414068425</v>
      </c>
      <c r="K203" s="808">
        <f t="shared" si="133"/>
        <v>0.28889665557988387</v>
      </c>
    </row>
    <row r="204" spans="1:11">
      <c r="A204" s="797" t="s">
        <v>768</v>
      </c>
      <c r="B204" s="1819">
        <f>E180/B199</f>
        <v>2359.0400498941476</v>
      </c>
      <c r="C204" s="1820"/>
      <c r="D204" s="1820"/>
      <c r="E204" s="1820"/>
      <c r="F204" s="1821"/>
    </row>
    <row r="205" spans="1:11">
      <c r="A205" s="797" t="s">
        <v>769</v>
      </c>
      <c r="B205" s="1819">
        <f>E189/B199</f>
        <v>714.40486779132425</v>
      </c>
      <c r="C205" s="1820"/>
      <c r="D205" s="1820"/>
      <c r="E205" s="1820"/>
      <c r="F205" s="1821"/>
    </row>
    <row r="206" spans="1:11">
      <c r="A206" s="797" t="s">
        <v>770</v>
      </c>
      <c r="B206" s="1819">
        <f>E194/B199</f>
        <v>735.61284435065318</v>
      </c>
      <c r="C206" s="1820"/>
      <c r="D206" s="1820"/>
      <c r="E206" s="1820"/>
      <c r="F206" s="1821"/>
    </row>
    <row r="207" spans="1:11" ht="15" thickBot="1">
      <c r="A207" s="801" t="s">
        <v>771</v>
      </c>
      <c r="B207" s="1822">
        <f>SUM(E194,E189,E180)/B199</f>
        <v>3809.0577620361246</v>
      </c>
      <c r="C207" s="1823"/>
      <c r="D207" s="1823"/>
      <c r="E207" s="1823"/>
      <c r="F207" s="1824"/>
    </row>
  </sheetData>
  <mergeCells count="38">
    <mergeCell ref="B204:F204"/>
    <mergeCell ref="B205:F205"/>
    <mergeCell ref="B206:F206"/>
    <mergeCell ref="B207:F207"/>
    <mergeCell ref="B76:F76"/>
    <mergeCell ref="B77:F77"/>
    <mergeCell ref="B78:F78"/>
    <mergeCell ref="B79:F79"/>
    <mergeCell ref="B199:F199"/>
    <mergeCell ref="B200:F200"/>
    <mergeCell ref="B201:F201"/>
    <mergeCell ref="B202:F202"/>
    <mergeCell ref="B111:F111"/>
    <mergeCell ref="B112:F112"/>
    <mergeCell ref="B113:F113"/>
    <mergeCell ref="B114:F114"/>
    <mergeCell ref="B71:F71"/>
    <mergeCell ref="B72:F72"/>
    <mergeCell ref="B73:F73"/>
    <mergeCell ref="B74:F74"/>
    <mergeCell ref="A1:I1"/>
    <mergeCell ref="B2:C2"/>
    <mergeCell ref="D2:E2"/>
    <mergeCell ref="F2:G2"/>
    <mergeCell ref="H2:I2"/>
    <mergeCell ref="A2:A3"/>
    <mergeCell ref="B116:F116"/>
    <mergeCell ref="B117:F117"/>
    <mergeCell ref="B118:F118"/>
    <mergeCell ref="B119:F119"/>
    <mergeCell ref="B161:F161"/>
    <mergeCell ref="B162:F162"/>
    <mergeCell ref="B163:F163"/>
    <mergeCell ref="B155:F155"/>
    <mergeCell ref="B156:F156"/>
    <mergeCell ref="B157:F157"/>
    <mergeCell ref="B158:F158"/>
    <mergeCell ref="B160:F160"/>
  </mergeCells>
  <conditionalFormatting sqref="B4:I26 B69:F69 H71:H73 B73:B74 B76:B78 B75:K75 B70:K70 B43:F43 B53:F53 B44:K52 B62:F62 B54:K61">
    <cfRule type="cellIs" dxfId="14" priority="17" operator="lessThan">
      <formula>0</formula>
    </cfRule>
  </conditionalFormatting>
  <conditionalFormatting sqref="B63:B68 C68:F68 C63:K67">
    <cfRule type="cellIs" dxfId="13" priority="15" operator="lessThan">
      <formula>0</formula>
    </cfRule>
  </conditionalFormatting>
  <conditionalFormatting sqref="B113:B114 B116:B118 B115:K115 B110:K110">
    <cfRule type="cellIs" dxfId="12" priority="14" operator="lessThan">
      <formula>0</formula>
    </cfRule>
  </conditionalFormatting>
  <conditionalFormatting sqref="B157:B158 B160:B162 B159:K159 B154:K154">
    <cfRule type="cellIs" dxfId="11" priority="13" operator="lessThan">
      <formula>0</formula>
    </cfRule>
  </conditionalFormatting>
  <conditionalFormatting sqref="B201:B202 B204:B206 B203:K203 B198:K198">
    <cfRule type="cellIs" dxfId="10" priority="12" operator="lessThan">
      <formula>0</formula>
    </cfRule>
  </conditionalFormatting>
  <conditionalFormatting sqref="S53 S55:S57 S54:AB54 S50:AB50 T51:AB53">
    <cfRule type="cellIs" dxfId="9" priority="11" operator="lessThan">
      <formula>0</formula>
    </cfRule>
  </conditionalFormatting>
  <conditionalFormatting sqref="S44:W44">
    <cfRule type="cellIs" dxfId="8" priority="10" operator="lessThan">
      <formula>0</formula>
    </cfRule>
  </conditionalFormatting>
  <conditionalFormatting sqref="S90:AB98">
    <cfRule type="cellIs" dxfId="7" priority="9" operator="lessThan">
      <formula>0</formula>
    </cfRule>
  </conditionalFormatting>
  <conditionalFormatting sqref="S84:AB84">
    <cfRule type="cellIs" dxfId="6" priority="8" operator="lessThan">
      <formula>0</formula>
    </cfRule>
  </conditionalFormatting>
  <conditionalFormatting sqref="S139:S141 S134:AB134 T135:AB137 S138:AB138 T139:AB139 X140:AB141">
    <cfRule type="cellIs" dxfId="5" priority="7" operator="lessThan">
      <formula>0</formula>
    </cfRule>
  </conditionalFormatting>
  <conditionalFormatting sqref="S128:AB128">
    <cfRule type="cellIs" dxfId="4" priority="6" operator="lessThan">
      <formula>0</formula>
    </cfRule>
  </conditionalFormatting>
  <conditionalFormatting sqref="S178:W178 S182:S185 V179:W183 T179:U185 X182:AB182">
    <cfRule type="cellIs" dxfId="3" priority="5" operator="lessThan">
      <formula>0</formula>
    </cfRule>
  </conditionalFormatting>
  <conditionalFormatting sqref="S174 S176 S172:AB172">
    <cfRule type="cellIs" dxfId="2" priority="4" operator="lessThan">
      <formula>0</formula>
    </cfRule>
  </conditionalFormatting>
  <conditionalFormatting sqref="G43:K43 G53:K53 G62:K62">
    <cfRule type="cellIs" dxfId="1" priority="3" operator="lessThan">
      <formula>0</formula>
    </cfRule>
  </conditionalFormatting>
  <conditionalFormatting sqref="G68:K68">
    <cfRule type="cellIs" dxfId="0" priority="2" operator="lessThan">
      <formula>0</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22441-B388-47A9-8077-56F3D0BC3E98}">
  <sheetPr codeName="Sheet14"/>
  <dimension ref="A1:AT46"/>
  <sheetViews>
    <sheetView topLeftCell="C10" zoomScale="104" zoomScaleNormal="145" workbookViewId="0">
      <selection activeCell="M21" sqref="M21"/>
    </sheetView>
  </sheetViews>
  <sheetFormatPr defaultRowHeight="14.45"/>
  <cols>
    <col min="1" max="1" width="15.28515625" bestFit="1" customWidth="1"/>
    <col min="3" max="3" width="8" customWidth="1"/>
    <col min="4" max="4" width="11.7109375" bestFit="1" customWidth="1"/>
    <col min="5" max="5" width="5.28515625" customWidth="1"/>
    <col min="8" max="8" width="13.5703125" bestFit="1" customWidth="1"/>
    <col min="9" max="9" width="12.7109375" bestFit="1" customWidth="1"/>
    <col min="12" max="12" width="13.140625" bestFit="1" customWidth="1"/>
    <col min="13" max="13" width="31" customWidth="1"/>
    <col min="15" max="15" width="17.5703125" customWidth="1"/>
    <col min="18" max="18" width="17.7109375" bestFit="1" customWidth="1"/>
    <col min="22" max="22" width="12.85546875" bestFit="1" customWidth="1"/>
    <col min="23" max="23" width="13.140625" bestFit="1" customWidth="1"/>
  </cols>
  <sheetData>
    <row r="1" spans="1:46">
      <c r="A1" s="298" t="s">
        <v>783</v>
      </c>
      <c r="B1" s="1640" t="s">
        <v>784</v>
      </c>
      <c r="C1" s="1640"/>
      <c r="D1" s="1640" t="s">
        <v>785</v>
      </c>
      <c r="E1" s="1640"/>
      <c r="G1" s="1556" t="s">
        <v>786</v>
      </c>
      <c r="H1" s="1556"/>
      <c r="I1" s="1556"/>
      <c r="J1" s="1556"/>
      <c r="K1" s="1556"/>
      <c r="L1" s="1556"/>
      <c r="M1" s="1556"/>
      <c r="N1" s="58"/>
      <c r="V1" s="1556" t="s">
        <v>787</v>
      </c>
      <c r="W1" s="1556"/>
    </row>
    <row r="2" spans="1:46">
      <c r="A2" s="297" t="s">
        <v>788</v>
      </c>
      <c r="B2" s="297">
        <v>400</v>
      </c>
      <c r="C2" s="297" t="s">
        <v>789</v>
      </c>
      <c r="D2" s="1273">
        <f>8/24</f>
        <v>0.33333333333333331</v>
      </c>
      <c r="E2" s="297" t="s">
        <v>790</v>
      </c>
      <c r="G2" s="297"/>
      <c r="H2" s="297" t="s">
        <v>791</v>
      </c>
      <c r="I2" s="297" t="s">
        <v>792</v>
      </c>
      <c r="J2" s="297" t="s">
        <v>793</v>
      </c>
      <c r="K2" s="297" t="s">
        <v>794</v>
      </c>
      <c r="L2" s="297" t="s">
        <v>795</v>
      </c>
      <c r="M2" s="297" t="s">
        <v>796</v>
      </c>
      <c r="V2" s="297" t="s">
        <v>794</v>
      </c>
      <c r="W2" s="297" t="s">
        <v>795</v>
      </c>
    </row>
    <row r="3" spans="1:46">
      <c r="A3" s="297" t="s">
        <v>797</v>
      </c>
      <c r="B3" s="297">
        <v>1500</v>
      </c>
      <c r="C3" s="297" t="s">
        <v>789</v>
      </c>
      <c r="D3" s="297">
        <v>1</v>
      </c>
      <c r="E3" s="297" t="s">
        <v>790</v>
      </c>
      <c r="G3" s="297" t="s">
        <v>655</v>
      </c>
      <c r="H3" s="1271">
        <v>7.9130743206373459</v>
      </c>
      <c r="I3" s="1271">
        <f>$B$2/H3/30</f>
        <v>1.6849751175165788</v>
      </c>
      <c r="J3" s="1271">
        <f>$B$3/H3/30</f>
        <v>6.3186566906871695</v>
      </c>
      <c r="K3" s="1271">
        <f>$B$4/H3/30</f>
        <v>31.593283453435852</v>
      </c>
      <c r="L3" s="1271">
        <f>$B$5/H3/30</f>
        <v>84.248755875828934</v>
      </c>
      <c r="M3" s="1271">
        <f>L3/12</f>
        <v>7.0207296563190775</v>
      </c>
      <c r="P3">
        <f>H3*365</f>
        <v>2888.2721270326315</v>
      </c>
      <c r="V3" s="278">
        <f>K3/12</f>
        <v>2.6327736211196542</v>
      </c>
      <c r="W3" s="278">
        <f>L3/12</f>
        <v>7.0207296563190775</v>
      </c>
    </row>
    <row r="4" spans="1:46">
      <c r="A4" s="297" t="s">
        <v>798</v>
      </c>
      <c r="B4" s="297">
        <v>7500</v>
      </c>
      <c r="C4" s="297" t="s">
        <v>789</v>
      </c>
      <c r="D4" s="297">
        <v>3</v>
      </c>
      <c r="E4" s="297" t="s">
        <v>790</v>
      </c>
      <c r="G4" s="297" t="s">
        <v>672</v>
      </c>
      <c r="H4" s="1271">
        <v>10.858571019316818</v>
      </c>
      <c r="I4" s="1271">
        <f t="shared" ref="I4:I6" si="0">$B$2/H4/30</f>
        <v>1.2279086547957412</v>
      </c>
      <c r="J4" s="1271">
        <f t="shared" ref="J4:J6" si="1">$B$3/H4/30</f>
        <v>4.6046574554840296</v>
      </c>
      <c r="K4" s="1271">
        <f>$B$4/H4/30</f>
        <v>23.023287277420145</v>
      </c>
      <c r="L4" s="1271">
        <f>$B$5/H4/30</f>
        <v>61.395432739787061</v>
      </c>
      <c r="M4" s="1271">
        <f t="shared" ref="M4:M6" si="2">L4/12</f>
        <v>5.1162860616489221</v>
      </c>
      <c r="P4">
        <f>H4*365</f>
        <v>3963.3784220506386</v>
      </c>
      <c r="Q4">
        <v>3</v>
      </c>
      <c r="R4">
        <v>1</v>
      </c>
      <c r="S4">
        <v>2</v>
      </c>
      <c r="T4">
        <v>4</v>
      </c>
      <c r="V4" s="278">
        <f t="shared" ref="V4:W6" si="3">K4/12</f>
        <v>1.9186072731183454</v>
      </c>
      <c r="W4" s="278">
        <f t="shared" si="3"/>
        <v>5.1162860616489221</v>
      </c>
    </row>
    <row r="5" spans="1:46">
      <c r="A5" s="297" t="s">
        <v>799</v>
      </c>
      <c r="B5" s="297">
        <v>20000</v>
      </c>
      <c r="C5" s="297" t="s">
        <v>789</v>
      </c>
      <c r="D5" s="297">
        <v>21</v>
      </c>
      <c r="E5" s="297" t="s">
        <v>790</v>
      </c>
      <c r="G5" s="297" t="s">
        <v>674</v>
      </c>
      <c r="H5" s="1271">
        <v>10.241023682200153</v>
      </c>
      <c r="I5" s="1271">
        <f t="shared" si="0"/>
        <v>1.3019531784217919</v>
      </c>
      <c r="J5" s="1271">
        <f t="shared" si="1"/>
        <v>4.882324419081721</v>
      </c>
      <c r="K5" s="1271">
        <f>$B$4/H5/30</f>
        <v>24.4116220954086</v>
      </c>
      <c r="L5" s="1271">
        <f>$B$5/H5/30</f>
        <v>65.097658921089604</v>
      </c>
      <c r="M5" s="1271">
        <f t="shared" si="2"/>
        <v>5.4248049100908</v>
      </c>
      <c r="P5">
        <f>H5*365</f>
        <v>3737.9736440030556</v>
      </c>
      <c r="Q5">
        <f>$P$5/$B2*$D2</f>
        <v>3.1149780366692128</v>
      </c>
      <c r="R5">
        <f>$P$4/$B2*$D2</f>
        <v>3.3028153517088654</v>
      </c>
      <c r="S5">
        <f>$P$3/$B2*$D2</f>
        <v>2.4068934391938592</v>
      </c>
      <c r="T5">
        <f>$P$6/$B2*$D2</f>
        <v>3.429693067567936</v>
      </c>
      <c r="V5" s="278">
        <f t="shared" si="3"/>
        <v>2.0343018412840501</v>
      </c>
      <c r="W5" s="278">
        <f t="shared" si="3"/>
        <v>5.4248049100908</v>
      </c>
    </row>
    <row r="6" spans="1:46">
      <c r="G6" s="1061" t="s">
        <v>750</v>
      </c>
      <c r="H6" s="1272">
        <v>11.27570323583979</v>
      </c>
      <c r="I6" s="1272">
        <f t="shared" si="0"/>
        <v>1.1824835271429786</v>
      </c>
      <c r="J6" s="1272">
        <f t="shared" si="1"/>
        <v>4.4343132267861707</v>
      </c>
      <c r="K6" s="1272">
        <f>$B$4/H6/30</f>
        <v>22.171566133930853</v>
      </c>
      <c r="L6" s="1272">
        <f>$B$5/H6/30</f>
        <v>59.124176357148933</v>
      </c>
      <c r="M6" s="1272">
        <f t="shared" si="2"/>
        <v>4.9270146964290777</v>
      </c>
      <c r="P6">
        <f>H6*365</f>
        <v>4115.6316810815233</v>
      </c>
      <c r="Q6">
        <f>$P$5/$B3*$D3</f>
        <v>2.4919824293353705</v>
      </c>
      <c r="R6">
        <f>$P$5/$B3*$D3</f>
        <v>2.4919824293353705</v>
      </c>
      <c r="S6">
        <f>$P$5/$B3*$D3</f>
        <v>2.4919824293353705</v>
      </c>
      <c r="T6">
        <f>$P$5/$B3*$D3</f>
        <v>2.4919824293353705</v>
      </c>
      <c r="V6" s="278">
        <f t="shared" si="3"/>
        <v>1.8476305111609044</v>
      </c>
      <c r="W6" s="278">
        <f t="shared" si="3"/>
        <v>4.9270146964290777</v>
      </c>
    </row>
    <row r="7" spans="1:46">
      <c r="D7">
        <f>B2/H3</f>
        <v>50.549253525497363</v>
      </c>
      <c r="G7" s="1838" t="s">
        <v>800</v>
      </c>
      <c r="H7" s="1838"/>
      <c r="I7" s="1838"/>
      <c r="J7" s="1838"/>
      <c r="K7" s="1838"/>
      <c r="L7" s="1838"/>
      <c r="M7" s="1838"/>
      <c r="N7" s="58"/>
      <c r="Q7">
        <f>Q5+Q6</f>
        <v>5.6069604660045833</v>
      </c>
      <c r="R7">
        <f>R5+R6</f>
        <v>5.7947977810442364</v>
      </c>
      <c r="S7">
        <f>S5+S6</f>
        <v>4.8988758685292293</v>
      </c>
      <c r="T7">
        <f>T5+T6</f>
        <v>5.9216754969033065</v>
      </c>
    </row>
    <row r="8" spans="1:46">
      <c r="D8">
        <f>D2/D7</f>
        <v>6.5942286005311211E-3</v>
      </c>
      <c r="G8" s="282"/>
      <c r="H8" s="282" t="s">
        <v>791</v>
      </c>
      <c r="I8" s="282" t="s">
        <v>792</v>
      </c>
      <c r="J8" s="282" t="s">
        <v>793</v>
      </c>
      <c r="K8" s="282" t="s">
        <v>794</v>
      </c>
      <c r="L8" s="282" t="s">
        <v>795</v>
      </c>
      <c r="M8" s="282"/>
      <c r="Q8">
        <f>Q7/365*24</f>
        <v>0.36867685255920546</v>
      </c>
      <c r="R8">
        <f>R7/365*24</f>
        <v>0.38102779930153885</v>
      </c>
      <c r="S8">
        <f>S7/365*24</f>
        <v>0.32211786532794934</v>
      </c>
      <c r="T8">
        <f>T7/365*24</f>
        <v>0.38937044363199824</v>
      </c>
    </row>
    <row r="9" spans="1:46">
      <c r="D9">
        <f>D8*24</f>
        <v>0.1582614864127469</v>
      </c>
      <c r="G9" s="282" t="s">
        <v>655</v>
      </c>
      <c r="H9" s="1225">
        <v>7.9130743206373459</v>
      </c>
      <c r="I9" s="282">
        <f t="shared" ref="I9:L12" si="4">12/I3</f>
        <v>7.1217668885736112</v>
      </c>
      <c r="J9" s="282">
        <f t="shared" si="4"/>
        <v>1.8991378369529632</v>
      </c>
      <c r="K9" s="282">
        <f>12/K3</f>
        <v>0.37982756739059259</v>
      </c>
      <c r="L9" s="282">
        <f t="shared" si="4"/>
        <v>0.14243533777147224</v>
      </c>
      <c r="M9" s="282"/>
      <c r="AI9" s="1288"/>
      <c r="AJ9" s="1288"/>
      <c r="AK9" s="1288"/>
      <c r="AL9" s="1288"/>
      <c r="AM9" s="1288"/>
      <c r="AN9" s="1288"/>
      <c r="AO9" s="1288"/>
      <c r="AP9" s="1288"/>
      <c r="AQ9" s="1288"/>
      <c r="AR9" s="1288"/>
      <c r="AS9" s="1288"/>
      <c r="AT9" s="1288"/>
    </row>
    <row r="10" spans="1:46">
      <c r="G10" s="282" t="s">
        <v>672</v>
      </c>
      <c r="H10" s="1225">
        <v>10.858571019316818</v>
      </c>
      <c r="I10" s="282">
        <f t="shared" si="4"/>
        <v>9.7727139173851363</v>
      </c>
      <c r="J10" s="282">
        <f t="shared" si="4"/>
        <v>2.606057044636036</v>
      </c>
      <c r="K10" s="282">
        <f t="shared" si="4"/>
        <v>0.5212114089272073</v>
      </c>
      <c r="L10" s="282">
        <f t="shared" si="4"/>
        <v>0.19545427834770271</v>
      </c>
      <c r="M10" s="282"/>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row>
    <row r="11" spans="1:46">
      <c r="G11" s="282" t="s">
        <v>674</v>
      </c>
      <c r="H11" s="1225">
        <v>10.241023682200153</v>
      </c>
      <c r="I11" s="282">
        <f t="shared" si="4"/>
        <v>9.2169213139801389</v>
      </c>
      <c r="J11" s="282">
        <f t="shared" si="4"/>
        <v>2.4578456837280362</v>
      </c>
      <c r="K11" s="282">
        <f t="shared" si="4"/>
        <v>0.49156913674560737</v>
      </c>
      <c r="L11" s="282">
        <f t="shared" si="4"/>
        <v>0.18433842627960276</v>
      </c>
      <c r="M11" s="282"/>
    </row>
    <row r="12" spans="1:46">
      <c r="G12" s="282" t="s">
        <v>750</v>
      </c>
      <c r="H12" s="1225">
        <v>11.27570323583979</v>
      </c>
      <c r="I12" s="282">
        <f t="shared" si="4"/>
        <v>10.148132912255813</v>
      </c>
      <c r="J12" s="282">
        <f t="shared" si="4"/>
        <v>2.7061687766015492</v>
      </c>
      <c r="K12" s="282">
        <f>12/K6</f>
        <v>0.54123375532030993</v>
      </c>
      <c r="L12" s="282">
        <f t="shared" si="4"/>
        <v>0.20296265824511622</v>
      </c>
      <c r="M12" s="282"/>
    </row>
    <row r="13" spans="1:46" ht="14.45" customHeight="1">
      <c r="H13" s="1853" t="s">
        <v>801</v>
      </c>
      <c r="I13" s="1854"/>
      <c r="J13" s="1854"/>
      <c r="K13" s="1854"/>
      <c r="L13" s="1854"/>
      <c r="M13" s="1855"/>
      <c r="N13" s="58"/>
    </row>
    <row r="14" spans="1:46">
      <c r="H14" s="297"/>
      <c r="I14" s="282" t="s">
        <v>792</v>
      </c>
      <c r="J14" s="282" t="s">
        <v>793</v>
      </c>
      <c r="K14" s="282" t="s">
        <v>802</v>
      </c>
      <c r="L14" s="282" t="s">
        <v>803</v>
      </c>
      <c r="M14" s="297" t="s">
        <v>804</v>
      </c>
      <c r="R14" t="s">
        <v>805</v>
      </c>
    </row>
    <row r="15" spans="1:46">
      <c r="H15" s="297" t="s">
        <v>655</v>
      </c>
      <c r="I15" s="1226">
        <f>I9*$D$2</f>
        <v>2.3739222961912034</v>
      </c>
      <c r="J15" s="1226">
        <f>J9*$D$3</f>
        <v>1.8991378369529632</v>
      </c>
      <c r="K15" s="1226">
        <f>K9*$D$4</f>
        <v>1.1394827021717777</v>
      </c>
      <c r="L15" s="1226">
        <f>L9*$D$5</f>
        <v>2.9911420932009172</v>
      </c>
      <c r="M15" s="1226">
        <f>ROUNDUP(J15,0)+1</f>
        <v>3</v>
      </c>
      <c r="O15" s="733"/>
      <c r="R15">
        <f>365-M15</f>
        <v>362</v>
      </c>
    </row>
    <row r="16" spans="1:46">
      <c r="B16">
        <f>B4/H3</f>
        <v>947.79850360307557</v>
      </c>
      <c r="H16" s="297" t="s">
        <v>672</v>
      </c>
      <c r="I16" s="1226">
        <f>I10*$D$2</f>
        <v>3.2575713057950453</v>
      </c>
      <c r="J16" s="1226">
        <f>J10*$D$3</f>
        <v>2.606057044636036</v>
      </c>
      <c r="K16" s="1226">
        <f>K10*$D$4</f>
        <v>1.5636342267816219</v>
      </c>
      <c r="L16" s="1226">
        <f>L10*$D$5</f>
        <v>4.1045398453017565</v>
      </c>
      <c r="M16" s="1226">
        <f>ROUNDUP(J16,0)+1</f>
        <v>4</v>
      </c>
      <c r="O16" s="733"/>
      <c r="R16">
        <f t="shared" ref="R16:R18" si="5">365-M16</f>
        <v>361</v>
      </c>
    </row>
    <row r="17" spans="2:21">
      <c r="B17">
        <f>B16/30</f>
        <v>31.593283453435852</v>
      </c>
      <c r="H17" s="297" t="s">
        <v>674</v>
      </c>
      <c r="I17" s="1226">
        <f>I11*$D$2</f>
        <v>3.0723071046600463</v>
      </c>
      <c r="J17" s="1226">
        <f>J11*$D$3</f>
        <v>2.4578456837280362</v>
      </c>
      <c r="K17" s="1226">
        <f>K11*$D$4</f>
        <v>1.4747074102368221</v>
      </c>
      <c r="L17" s="1226">
        <f>L11*$D$5</f>
        <v>3.8711069518716581</v>
      </c>
      <c r="M17" s="297">
        <f>ROUNDUP(J17,0)</f>
        <v>3</v>
      </c>
      <c r="O17" s="733"/>
      <c r="R17">
        <f t="shared" si="5"/>
        <v>362</v>
      </c>
    </row>
    <row r="18" spans="2:21">
      <c r="H18" s="297" t="s">
        <v>750</v>
      </c>
      <c r="I18" s="1226">
        <f>I12*$D$2</f>
        <v>3.3827109707519374</v>
      </c>
      <c r="J18" s="1226">
        <f>J12*$D$3</f>
        <v>2.7061687766015492</v>
      </c>
      <c r="K18" s="1226">
        <f>K12*$D$4</f>
        <v>1.6237012659609298</v>
      </c>
      <c r="L18" s="1226">
        <f>L12*$D$5</f>
        <v>4.2622158231474403</v>
      </c>
      <c r="M18" s="297">
        <f>ROUNDUP(J18,0)</f>
        <v>3</v>
      </c>
      <c r="O18" s="733"/>
      <c r="R18">
        <f t="shared" si="5"/>
        <v>362</v>
      </c>
    </row>
    <row r="20" spans="2:21">
      <c r="M20" s="1288" t="s">
        <v>799</v>
      </c>
      <c r="N20" s="1288"/>
      <c r="O20" s="1288"/>
    </row>
    <row r="21" spans="2:21">
      <c r="N21" t="s">
        <v>806</v>
      </c>
      <c r="O21" t="s">
        <v>807</v>
      </c>
      <c r="R21" cm="1">
        <f t="array" ref="R21:U21">TRANSPOSE(R15:R18)</f>
        <v>362</v>
      </c>
      <c r="S21">
        <v>361</v>
      </c>
      <c r="T21">
        <v>362</v>
      </c>
      <c r="U21">
        <v>362</v>
      </c>
    </row>
    <row r="22" spans="2:21">
      <c r="L22" s="297" t="s">
        <v>655</v>
      </c>
      <c r="M22">
        <f>M3-7</f>
        <v>2.0729656319077527E-2</v>
      </c>
      <c r="N22">
        <v>7</v>
      </c>
      <c r="O22">
        <f>ROUNDUP(M22*12,0)</f>
        <v>1</v>
      </c>
    </row>
    <row r="23" spans="2:21">
      <c r="L23" s="297" t="s">
        <v>672</v>
      </c>
      <c r="M23">
        <f>M4-5</f>
        <v>0.11628606164892208</v>
      </c>
      <c r="N23">
        <v>5</v>
      </c>
      <c r="O23">
        <f t="shared" ref="O23:O25" si="6">ROUNDUP(M23*12,0)</f>
        <v>2</v>
      </c>
    </row>
    <row r="24" spans="2:21">
      <c r="L24" s="297" t="s">
        <v>674</v>
      </c>
      <c r="M24">
        <f>M5-5</f>
        <v>0.42480491009080001</v>
      </c>
      <c r="N24">
        <v>5</v>
      </c>
      <c r="O24">
        <f t="shared" si="6"/>
        <v>6</v>
      </c>
    </row>
    <row r="25" spans="2:21">
      <c r="L25" s="297" t="s">
        <v>750</v>
      </c>
      <c r="M25">
        <f>M6-4</f>
        <v>0.92701469642907774</v>
      </c>
      <c r="N25">
        <v>4</v>
      </c>
      <c r="O25">
        <f t="shared" si="6"/>
        <v>12</v>
      </c>
    </row>
    <row r="27" spans="2:21">
      <c r="M27" s="1288" t="s">
        <v>798</v>
      </c>
      <c r="N27" s="1288"/>
      <c r="O27" s="1288"/>
    </row>
    <row r="28" spans="2:21">
      <c r="N28" t="s">
        <v>807</v>
      </c>
      <c r="O28" t="s">
        <v>808</v>
      </c>
    </row>
    <row r="29" spans="2:21">
      <c r="M29" s="297" t="s">
        <v>655</v>
      </c>
      <c r="N29">
        <v>12</v>
      </c>
      <c r="O29">
        <f>ROUNDUP((K3-N29)*30,0)</f>
        <v>588</v>
      </c>
    </row>
    <row r="30" spans="2:21">
      <c r="M30" s="297" t="s">
        <v>672</v>
      </c>
      <c r="N30">
        <v>9</v>
      </c>
      <c r="O30">
        <f>ROUNDUP((K4-N30)*30,0)</f>
        <v>421</v>
      </c>
    </row>
    <row r="31" spans="2:21">
      <c r="M31" s="297" t="s">
        <v>674</v>
      </c>
      <c r="N31">
        <v>9</v>
      </c>
      <c r="O31">
        <f>ROUNDUP((K5-N31)*30,0)</f>
        <v>463</v>
      </c>
    </row>
    <row r="32" spans="2:21">
      <c r="M32" s="297" t="s">
        <v>750</v>
      </c>
      <c r="N32">
        <v>8</v>
      </c>
      <c r="O32">
        <f>ROUNDUP((K6-N32)*30,0)</f>
        <v>426</v>
      </c>
    </row>
    <row r="35" spans="2:6" ht="14.45" customHeight="1">
      <c r="B35" s="1838" t="s">
        <v>800</v>
      </c>
      <c r="C35" s="1838"/>
      <c r="D35" s="1838"/>
      <c r="E35" s="1838"/>
      <c r="F35" s="1838"/>
    </row>
    <row r="36" spans="2:6">
      <c r="B36" s="282"/>
      <c r="C36" s="282" t="s">
        <v>792</v>
      </c>
      <c r="D36" s="282" t="s">
        <v>793</v>
      </c>
      <c r="E36" s="282" t="s">
        <v>802</v>
      </c>
      <c r="F36" s="282" t="s">
        <v>803</v>
      </c>
    </row>
    <row r="37" spans="2:6">
      <c r="B37" s="282" t="s">
        <v>655</v>
      </c>
      <c r="C37" s="1225">
        <v>23.739222961912038</v>
      </c>
      <c r="D37" s="1225">
        <v>3.7982756739059265</v>
      </c>
      <c r="E37" s="1225">
        <v>0.94956891847648162</v>
      </c>
      <c r="F37" s="1225">
        <v>0.14243533777147224</v>
      </c>
    </row>
    <row r="38" spans="2:6">
      <c r="B38" s="282" t="s">
        <v>672</v>
      </c>
      <c r="C38" s="1225">
        <v>32.575713057950452</v>
      </c>
      <c r="D38" s="1225">
        <v>5.2121140892720721</v>
      </c>
      <c r="E38" s="1225">
        <v>1.303028522318018</v>
      </c>
      <c r="F38" s="1225">
        <v>0.19545427834770271</v>
      </c>
    </row>
    <row r="39" spans="2:6">
      <c r="B39" s="282" t="s">
        <v>674</v>
      </c>
      <c r="C39" s="1225">
        <v>30.723071046600456</v>
      </c>
      <c r="D39" s="1225">
        <v>4.9156913674560725</v>
      </c>
      <c r="E39" s="1225">
        <v>1.2289228418640181</v>
      </c>
      <c r="F39" s="1225">
        <v>0.18433842627960276</v>
      </c>
    </row>
    <row r="40" spans="2:6">
      <c r="B40" s="282" t="s">
        <v>750</v>
      </c>
      <c r="C40" s="1225">
        <v>33.827109707519369</v>
      </c>
      <c r="D40" s="1225">
        <v>5.4123375532030984</v>
      </c>
      <c r="E40" s="1225">
        <v>1.3530843883007746</v>
      </c>
      <c r="F40" s="1225">
        <v>0.20296265824511622</v>
      </c>
    </row>
    <row r="42" spans="2:6">
      <c r="B42" s="1410" t="s">
        <v>791</v>
      </c>
      <c r="C42" s="1852"/>
    </row>
    <row r="43" spans="2:6">
      <c r="B43" s="282" t="s">
        <v>655</v>
      </c>
      <c r="C43" s="1225">
        <v>7.9130743206373459</v>
      </c>
    </row>
    <row r="44" spans="2:6">
      <c r="B44" s="282" t="s">
        <v>672</v>
      </c>
      <c r="C44" s="1225">
        <v>10.858571019316818</v>
      </c>
    </row>
    <row r="45" spans="2:6">
      <c r="B45" s="282" t="s">
        <v>674</v>
      </c>
      <c r="C45" s="1225">
        <v>10.241023682200153</v>
      </c>
    </row>
    <row r="46" spans="2:6">
      <c r="B46" s="282" t="s">
        <v>750</v>
      </c>
      <c r="C46" s="1225">
        <v>11.27570323583979</v>
      </c>
    </row>
  </sheetData>
  <mergeCells count="11">
    <mergeCell ref="B42:C42"/>
    <mergeCell ref="V1:W1"/>
    <mergeCell ref="AI9:AT9"/>
    <mergeCell ref="M20:O20"/>
    <mergeCell ref="B35:F35"/>
    <mergeCell ref="H13:M13"/>
    <mergeCell ref="M27:O27"/>
    <mergeCell ref="G7:M7"/>
    <mergeCell ref="G1:M1"/>
    <mergeCell ref="B1:C1"/>
    <mergeCell ref="D1:E1"/>
  </mergeCells>
  <phoneticPr fontId="8" type="noConversion"/>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A478D-6829-4996-AC55-3A092E56F7DA}">
  <dimension ref="A1:FA150"/>
  <sheetViews>
    <sheetView tabSelected="1" zoomScale="80" zoomScaleNormal="115" workbookViewId="0">
      <selection activeCell="F29" sqref="F29"/>
    </sheetView>
  </sheetViews>
  <sheetFormatPr defaultRowHeight="14.45"/>
  <cols>
    <col min="1" max="1" width="37.28515625" customWidth="1"/>
  </cols>
  <sheetData>
    <row r="1" spans="1:157">
      <c r="A1" s="1076"/>
      <c r="B1" s="1875">
        <v>2023</v>
      </c>
      <c r="C1" s="1876"/>
      <c r="D1" s="1876"/>
      <c r="E1" s="1876"/>
      <c r="F1" s="1876"/>
      <c r="G1" s="1876"/>
      <c r="H1" s="1876"/>
      <c r="I1" s="1876"/>
      <c r="J1" s="1876"/>
      <c r="K1" s="1876"/>
      <c r="L1" s="1876"/>
      <c r="M1" s="1877"/>
      <c r="N1" s="1878">
        <v>2024</v>
      </c>
      <c r="O1" s="1879"/>
      <c r="P1" s="1879"/>
      <c r="Q1" s="1879"/>
      <c r="R1" s="1879"/>
      <c r="S1" s="1879"/>
      <c r="T1" s="1879"/>
      <c r="U1" s="1879"/>
      <c r="V1" s="1879"/>
      <c r="W1" s="1879"/>
      <c r="X1" s="1879"/>
      <c r="Y1" s="1880"/>
      <c r="Z1" s="1881">
        <v>2025</v>
      </c>
      <c r="AA1" s="1882"/>
      <c r="AB1" s="1882"/>
      <c r="AC1" s="1882"/>
      <c r="AD1" s="1882"/>
      <c r="AE1" s="1882"/>
      <c r="AF1" s="1882"/>
      <c r="AG1" s="1882"/>
      <c r="AH1" s="1882"/>
      <c r="AI1" s="1882"/>
      <c r="AJ1" s="1882"/>
      <c r="AK1" s="1882"/>
      <c r="AL1" s="1712">
        <v>2026</v>
      </c>
      <c r="AM1" s="1712"/>
      <c r="AN1" s="1712"/>
      <c r="AO1" s="1712"/>
      <c r="AP1" s="1712"/>
      <c r="AQ1" s="1712"/>
      <c r="AR1" s="1712"/>
      <c r="AS1" s="1712"/>
      <c r="AT1" s="1712"/>
      <c r="AU1" s="1712"/>
      <c r="AV1" s="1712"/>
      <c r="AW1" s="1712"/>
      <c r="AX1" s="1883">
        <v>2027</v>
      </c>
      <c r="AY1" s="1883"/>
      <c r="AZ1" s="1883"/>
      <c r="BA1" s="1883"/>
      <c r="BB1" s="1883"/>
      <c r="BC1" s="1883"/>
      <c r="BD1" s="1883"/>
      <c r="BE1" s="1883"/>
      <c r="BF1" s="1883"/>
      <c r="BG1" s="1883"/>
      <c r="BH1" s="1883"/>
      <c r="BI1" s="1883"/>
      <c r="BJ1" s="1884">
        <v>2028</v>
      </c>
      <c r="BK1" s="1884"/>
      <c r="BL1" s="1884"/>
      <c r="BM1" s="1884"/>
      <c r="BN1" s="1884"/>
      <c r="BO1" s="1884"/>
      <c r="BP1" s="1884"/>
      <c r="BQ1" s="1884"/>
      <c r="BR1" s="1884"/>
      <c r="BS1" s="1884"/>
      <c r="BT1" s="1884"/>
      <c r="BU1" s="1884"/>
      <c r="BV1" s="1885">
        <v>2029</v>
      </c>
      <c r="BW1" s="1885"/>
      <c r="BX1" s="1885"/>
      <c r="BY1" s="1885"/>
      <c r="BZ1" s="1885"/>
      <c r="CA1" s="1885"/>
      <c r="CB1" s="1885"/>
      <c r="CC1" s="1885"/>
      <c r="CD1" s="1885"/>
      <c r="CE1" s="1885"/>
      <c r="CF1" s="1885"/>
      <c r="CG1" s="1885"/>
      <c r="CH1" s="1886">
        <v>2030</v>
      </c>
      <c r="CI1" s="1886"/>
      <c r="CJ1" s="1886"/>
      <c r="CK1" s="1886"/>
      <c r="CL1" s="1886"/>
      <c r="CM1" s="1886"/>
      <c r="CN1" s="1886"/>
      <c r="CO1" s="1886"/>
      <c r="CP1" s="1886"/>
      <c r="CQ1" s="1886"/>
      <c r="CR1" s="1886"/>
      <c r="CS1" s="1886"/>
      <c r="CT1" s="1887">
        <v>2031</v>
      </c>
      <c r="CU1" s="1887"/>
      <c r="CV1" s="1887"/>
      <c r="CW1" s="1887"/>
      <c r="CX1" s="1887"/>
      <c r="CY1" s="1887"/>
      <c r="CZ1" s="1887"/>
      <c r="DA1" s="1887"/>
      <c r="DB1" s="1887"/>
      <c r="DC1" s="1887"/>
      <c r="DD1" s="1887"/>
      <c r="DE1" s="1887"/>
      <c r="DF1" s="1883">
        <v>2032</v>
      </c>
      <c r="DG1" s="1883"/>
      <c r="DH1" s="1883"/>
      <c r="DI1" s="1883"/>
      <c r="DJ1" s="1883"/>
      <c r="DK1" s="1883"/>
      <c r="DL1" s="1883"/>
      <c r="DM1" s="1883"/>
      <c r="DN1" s="1883"/>
      <c r="DO1" s="1883"/>
      <c r="DP1" s="1883"/>
      <c r="DQ1" s="1883"/>
      <c r="DR1" s="1288"/>
      <c r="DS1" s="1288"/>
      <c r="DT1" s="1288"/>
      <c r="DU1" s="1288"/>
      <c r="DV1" s="1288"/>
      <c r="DW1" s="1288"/>
      <c r="DX1" s="1288"/>
      <c r="DY1" s="1288"/>
      <c r="DZ1" s="1288"/>
      <c r="EA1" s="1288"/>
      <c r="EB1" s="1288"/>
      <c r="EC1" s="1288"/>
      <c r="ED1" s="1288"/>
      <c r="EE1" s="1288"/>
      <c r="EF1" s="1288"/>
      <c r="EG1" s="1288"/>
      <c r="EH1" s="1288"/>
      <c r="EI1" s="1288"/>
      <c r="EJ1" s="1288"/>
      <c r="EK1" s="1288"/>
      <c r="EL1" s="1288"/>
      <c r="EM1" s="1288"/>
      <c r="EN1" s="1288"/>
      <c r="EO1" s="1288"/>
    </row>
    <row r="2" spans="1:157">
      <c r="A2" s="1077"/>
      <c r="B2" s="264" t="s">
        <v>809</v>
      </c>
      <c r="C2" s="300" t="s">
        <v>810</v>
      </c>
      <c r="D2" s="300" t="s">
        <v>811</v>
      </c>
      <c r="E2" s="300" t="s">
        <v>812</v>
      </c>
      <c r="F2" s="300" t="s">
        <v>813</v>
      </c>
      <c r="G2" s="300" t="s">
        <v>814</v>
      </c>
      <c r="H2" s="300" t="s">
        <v>815</v>
      </c>
      <c r="I2" s="300" t="s">
        <v>816</v>
      </c>
      <c r="J2" s="300" t="s">
        <v>817</v>
      </c>
      <c r="K2" s="300" t="s">
        <v>818</v>
      </c>
      <c r="L2" s="300" t="s">
        <v>819</v>
      </c>
      <c r="M2" s="65" t="s">
        <v>820</v>
      </c>
      <c r="N2" s="62" t="s">
        <v>809</v>
      </c>
      <c r="O2" s="300" t="s">
        <v>810</v>
      </c>
      <c r="P2" s="300" t="s">
        <v>811</v>
      </c>
      <c r="Q2" s="300" t="s">
        <v>812</v>
      </c>
      <c r="R2" s="300" t="s">
        <v>813</v>
      </c>
      <c r="S2" s="300" t="s">
        <v>814</v>
      </c>
      <c r="T2" s="300" t="s">
        <v>815</v>
      </c>
      <c r="U2" s="300" t="s">
        <v>816</v>
      </c>
      <c r="V2" s="300" t="s">
        <v>817</v>
      </c>
      <c r="W2" s="300" t="s">
        <v>818</v>
      </c>
      <c r="X2" s="300" t="s">
        <v>819</v>
      </c>
      <c r="Y2" s="65" t="s">
        <v>820</v>
      </c>
      <c r="Z2" s="264" t="s">
        <v>809</v>
      </c>
      <c r="AA2" s="300" t="s">
        <v>810</v>
      </c>
      <c r="AB2" s="300" t="s">
        <v>811</v>
      </c>
      <c r="AC2" s="300" t="s">
        <v>812</v>
      </c>
      <c r="AD2" s="300" t="s">
        <v>813</v>
      </c>
      <c r="AE2" s="300" t="s">
        <v>814</v>
      </c>
      <c r="AF2" s="300" t="s">
        <v>815</v>
      </c>
      <c r="AG2" s="300" t="s">
        <v>816</v>
      </c>
      <c r="AH2" s="300" t="s">
        <v>817</v>
      </c>
      <c r="AI2" s="300" t="s">
        <v>818</v>
      </c>
      <c r="AJ2" s="300" t="s">
        <v>819</v>
      </c>
      <c r="AK2" s="300" t="s">
        <v>820</v>
      </c>
      <c r="AL2" s="300" t="s">
        <v>809</v>
      </c>
      <c r="AM2" s="300" t="s">
        <v>810</v>
      </c>
      <c r="AN2" s="300" t="s">
        <v>811</v>
      </c>
      <c r="AO2" s="300" t="s">
        <v>812</v>
      </c>
      <c r="AP2" s="300" t="s">
        <v>813</v>
      </c>
      <c r="AQ2" s="300" t="s">
        <v>814</v>
      </c>
      <c r="AR2" s="300" t="s">
        <v>815</v>
      </c>
      <c r="AS2" s="300" t="s">
        <v>816</v>
      </c>
      <c r="AT2" s="300" t="s">
        <v>817</v>
      </c>
      <c r="AU2" s="300" t="s">
        <v>818</v>
      </c>
      <c r="AV2" s="300" t="s">
        <v>819</v>
      </c>
      <c r="AW2" s="300" t="s">
        <v>820</v>
      </c>
      <c r="AX2" s="300" t="s">
        <v>809</v>
      </c>
      <c r="AY2" s="300" t="s">
        <v>810</v>
      </c>
      <c r="AZ2" s="300" t="s">
        <v>811</v>
      </c>
      <c r="BA2" s="300" t="s">
        <v>812</v>
      </c>
      <c r="BB2" s="300" t="s">
        <v>813</v>
      </c>
      <c r="BC2" s="300" t="s">
        <v>814</v>
      </c>
      <c r="BD2" s="300" t="s">
        <v>815</v>
      </c>
      <c r="BE2" s="300" t="s">
        <v>816</v>
      </c>
      <c r="BF2" s="300" t="s">
        <v>817</v>
      </c>
      <c r="BG2" s="300" t="s">
        <v>818</v>
      </c>
      <c r="BH2" s="300" t="s">
        <v>819</v>
      </c>
      <c r="BI2" s="300" t="s">
        <v>820</v>
      </c>
      <c r="BJ2" s="300" t="s">
        <v>809</v>
      </c>
      <c r="BK2" s="300" t="s">
        <v>810</v>
      </c>
      <c r="BL2" s="300" t="s">
        <v>811</v>
      </c>
      <c r="BM2" s="300" t="s">
        <v>812</v>
      </c>
      <c r="BN2" s="300" t="s">
        <v>813</v>
      </c>
      <c r="BO2" s="300" t="s">
        <v>814</v>
      </c>
      <c r="BP2" s="300" t="s">
        <v>815</v>
      </c>
      <c r="BQ2" s="300" t="s">
        <v>816</v>
      </c>
      <c r="BR2" s="300" t="s">
        <v>817</v>
      </c>
      <c r="BS2" s="300" t="s">
        <v>818</v>
      </c>
      <c r="BT2" s="300" t="s">
        <v>819</v>
      </c>
      <c r="BU2" s="300" t="s">
        <v>820</v>
      </c>
      <c r="BV2" s="300" t="s">
        <v>809</v>
      </c>
      <c r="BW2" s="300" t="s">
        <v>810</v>
      </c>
      <c r="BX2" s="300" t="s">
        <v>811</v>
      </c>
      <c r="BY2" s="300" t="s">
        <v>812</v>
      </c>
      <c r="BZ2" s="300" t="s">
        <v>813</v>
      </c>
      <c r="CA2" s="300" t="s">
        <v>814</v>
      </c>
      <c r="CB2" s="300" t="s">
        <v>815</v>
      </c>
      <c r="CC2" s="300" t="s">
        <v>816</v>
      </c>
      <c r="CD2" s="300" t="s">
        <v>817</v>
      </c>
      <c r="CE2" s="300" t="s">
        <v>818</v>
      </c>
      <c r="CF2" s="300" t="s">
        <v>819</v>
      </c>
      <c r="CG2" s="300" t="s">
        <v>820</v>
      </c>
      <c r="CH2" s="300" t="s">
        <v>809</v>
      </c>
      <c r="CI2" s="300" t="s">
        <v>810</v>
      </c>
      <c r="CJ2" s="300" t="s">
        <v>811</v>
      </c>
      <c r="CK2" s="300" t="s">
        <v>812</v>
      </c>
      <c r="CL2" s="300" t="s">
        <v>813</v>
      </c>
      <c r="CM2" s="300" t="s">
        <v>814</v>
      </c>
      <c r="CN2" s="300" t="s">
        <v>815</v>
      </c>
      <c r="CO2" s="300" t="s">
        <v>816</v>
      </c>
      <c r="CP2" s="300" t="s">
        <v>817</v>
      </c>
      <c r="CQ2" s="300" t="s">
        <v>818</v>
      </c>
      <c r="CR2" s="300" t="s">
        <v>819</v>
      </c>
      <c r="CS2" s="300" t="s">
        <v>820</v>
      </c>
      <c r="CT2" s="300" t="s">
        <v>809</v>
      </c>
      <c r="CU2" s="300" t="s">
        <v>810</v>
      </c>
      <c r="CV2" s="300" t="s">
        <v>811</v>
      </c>
      <c r="CW2" s="300" t="s">
        <v>812</v>
      </c>
      <c r="CX2" s="300" t="s">
        <v>813</v>
      </c>
      <c r="CY2" s="300" t="s">
        <v>814</v>
      </c>
      <c r="CZ2" s="300" t="s">
        <v>815</v>
      </c>
      <c r="DA2" s="300" t="s">
        <v>816</v>
      </c>
      <c r="DB2" s="300" t="s">
        <v>817</v>
      </c>
      <c r="DC2" s="300" t="s">
        <v>818</v>
      </c>
      <c r="DD2" s="300" t="s">
        <v>819</v>
      </c>
      <c r="DE2" s="300" t="s">
        <v>820</v>
      </c>
      <c r="DF2" s="300" t="s">
        <v>809</v>
      </c>
      <c r="DG2" s="300" t="s">
        <v>810</v>
      </c>
      <c r="DH2" s="300" t="s">
        <v>811</v>
      </c>
      <c r="DI2" s="300" t="s">
        <v>812</v>
      </c>
      <c r="DJ2" s="300" t="s">
        <v>813</v>
      </c>
      <c r="DK2" s="300" t="s">
        <v>814</v>
      </c>
      <c r="DL2" s="300" t="s">
        <v>815</v>
      </c>
      <c r="DM2" s="300" t="s">
        <v>816</v>
      </c>
      <c r="DN2" s="300" t="s">
        <v>817</v>
      </c>
      <c r="DO2" s="300" t="s">
        <v>818</v>
      </c>
      <c r="DP2" s="300" t="s">
        <v>819</v>
      </c>
      <c r="DQ2" s="300" t="s">
        <v>820</v>
      </c>
      <c r="DR2" s="58"/>
      <c r="DS2" s="58"/>
      <c r="DT2" s="58"/>
      <c r="DU2" s="58"/>
      <c r="DV2" s="58"/>
      <c r="DW2" s="58"/>
      <c r="DX2" s="58"/>
      <c r="DY2" s="58"/>
      <c r="DZ2" s="58"/>
      <c r="EA2" s="58"/>
      <c r="EB2" s="58"/>
      <c r="EC2" s="58"/>
      <c r="ED2" s="58"/>
      <c r="EE2" s="58"/>
      <c r="EF2" s="58"/>
      <c r="EG2" s="58"/>
      <c r="EH2" s="58"/>
      <c r="EI2" s="58"/>
      <c r="EJ2" s="58"/>
      <c r="EK2" s="58"/>
      <c r="EL2" s="58"/>
      <c r="EM2" s="58"/>
      <c r="EN2" s="58"/>
      <c r="EO2" s="58"/>
    </row>
    <row r="3" spans="1:157">
      <c r="A3" s="1078" t="s">
        <v>655</v>
      </c>
      <c r="B3" s="1047"/>
      <c r="C3" s="297"/>
      <c r="D3" s="297"/>
      <c r="E3" s="297"/>
      <c r="F3" s="297"/>
      <c r="G3" s="297"/>
      <c r="H3" s="297"/>
      <c r="I3" s="297"/>
      <c r="J3" s="297"/>
      <c r="K3" s="297"/>
      <c r="L3" s="297"/>
      <c r="M3" s="1058"/>
      <c r="N3" s="1048"/>
      <c r="O3" s="297"/>
      <c r="P3" s="297"/>
      <c r="Q3" s="297"/>
      <c r="R3" s="297"/>
      <c r="S3" s="297"/>
      <c r="T3" s="297"/>
      <c r="U3" s="297"/>
      <c r="V3" s="297"/>
      <c r="W3" s="297"/>
      <c r="X3" s="297"/>
      <c r="Y3" s="1049"/>
      <c r="Z3" s="1046"/>
      <c r="AA3" s="297"/>
      <c r="AB3" s="297"/>
      <c r="AC3" s="297"/>
      <c r="AD3" s="297"/>
      <c r="AE3" s="297"/>
      <c r="AF3" s="297"/>
      <c r="AG3" s="297"/>
      <c r="AH3" s="297"/>
      <c r="AI3" s="297"/>
      <c r="AJ3" s="297"/>
      <c r="AK3" s="297"/>
      <c r="AL3" s="297"/>
      <c r="AM3" s="1045"/>
      <c r="AN3" s="297"/>
      <c r="AO3" s="297"/>
      <c r="AP3" s="297"/>
      <c r="AQ3" s="297"/>
      <c r="AR3" s="297"/>
      <c r="AS3" s="297"/>
      <c r="AT3" s="297"/>
      <c r="AU3" s="297"/>
      <c r="AV3" s="297"/>
      <c r="AW3" s="297"/>
      <c r="AX3" s="297"/>
      <c r="AY3" s="297"/>
      <c r="AZ3" s="1045"/>
      <c r="BA3" s="297"/>
      <c r="BB3" s="297"/>
      <c r="BC3" s="297"/>
      <c r="BD3" s="297"/>
      <c r="BE3" s="297"/>
      <c r="BF3" s="297"/>
      <c r="BG3" s="297"/>
      <c r="BH3" s="297"/>
      <c r="BI3" s="297"/>
      <c r="BJ3" s="297"/>
      <c r="BK3" s="297"/>
      <c r="BL3" s="297"/>
      <c r="BM3" s="1045"/>
      <c r="BN3" s="297"/>
      <c r="BO3" s="297"/>
      <c r="BP3" s="297"/>
      <c r="BQ3" s="297"/>
      <c r="BR3" s="297"/>
      <c r="BS3" s="297"/>
      <c r="BT3" s="297"/>
      <c r="BU3" s="297"/>
      <c r="BV3" s="1057"/>
      <c r="BW3" s="1060"/>
      <c r="BX3" s="297"/>
      <c r="BY3" s="297"/>
      <c r="BZ3" s="1045"/>
      <c r="CA3" s="297"/>
      <c r="CB3" s="297"/>
      <c r="CC3" s="297"/>
      <c r="CD3" s="297"/>
      <c r="CE3" s="297"/>
      <c r="CF3" s="297"/>
      <c r="CG3" s="297"/>
      <c r="CH3" s="297"/>
      <c r="CI3" s="297"/>
      <c r="CJ3" s="297"/>
      <c r="CK3" s="297"/>
      <c r="CL3" s="297"/>
      <c r="CM3" s="1045"/>
      <c r="CN3" s="297"/>
      <c r="CO3" s="297"/>
      <c r="CP3" s="297"/>
      <c r="CQ3" s="297"/>
      <c r="CR3" s="297"/>
      <c r="CS3" s="297"/>
      <c r="CT3" s="297"/>
      <c r="CU3" s="297"/>
      <c r="CV3" s="297"/>
      <c r="CW3" s="297"/>
      <c r="CX3" s="297"/>
      <c r="CY3" s="297"/>
      <c r="CZ3" s="1045"/>
      <c r="DA3" s="297"/>
      <c r="DB3" s="297"/>
      <c r="DC3" s="297"/>
      <c r="DD3" s="297"/>
      <c r="DE3" s="297"/>
      <c r="DF3" s="297"/>
      <c r="DG3" s="297"/>
      <c r="DH3" s="297"/>
      <c r="DI3" s="297"/>
      <c r="DJ3" s="297"/>
      <c r="DK3" s="297"/>
      <c r="DL3" s="297"/>
      <c r="DM3" s="1045"/>
      <c r="DN3" s="297"/>
      <c r="DO3" s="297"/>
      <c r="DP3" s="297"/>
      <c r="DQ3" s="297"/>
    </row>
    <row r="4" spans="1:157">
      <c r="A4" s="1078" t="s">
        <v>672</v>
      </c>
      <c r="B4" s="1047"/>
      <c r="C4" s="297"/>
      <c r="D4" s="297"/>
      <c r="E4" s="297"/>
      <c r="F4" s="297"/>
      <c r="G4" s="297"/>
      <c r="H4" s="297"/>
      <c r="I4" s="297"/>
      <c r="J4" s="1045"/>
      <c r="K4" s="297"/>
      <c r="L4" s="297"/>
      <c r="M4" s="1049"/>
      <c r="N4" s="1048"/>
      <c r="O4" s="297"/>
      <c r="P4" s="297"/>
      <c r="Q4" s="297"/>
      <c r="R4" s="297"/>
      <c r="S4" s="1045"/>
      <c r="T4" s="297"/>
      <c r="U4" s="297"/>
      <c r="V4" s="297"/>
      <c r="W4" s="297"/>
      <c r="X4" s="297"/>
      <c r="Y4" s="1049"/>
      <c r="Z4" s="1047"/>
      <c r="AA4" s="297"/>
      <c r="AB4" s="1045"/>
      <c r="AC4" s="297"/>
      <c r="AD4" s="297"/>
      <c r="AE4" s="297"/>
      <c r="AF4" s="297"/>
      <c r="AG4" s="297"/>
      <c r="AH4" s="297"/>
      <c r="AI4" s="297"/>
      <c r="AJ4" s="297"/>
      <c r="AK4" s="1045"/>
      <c r="AL4" s="297"/>
      <c r="AM4" s="297"/>
      <c r="AN4" s="297"/>
      <c r="AO4" s="297"/>
      <c r="AP4" s="297"/>
      <c r="AQ4" s="297"/>
      <c r="AR4" s="297"/>
      <c r="AS4" s="297"/>
      <c r="AT4" s="297"/>
      <c r="AU4" s="1045"/>
      <c r="AV4" s="297"/>
      <c r="AW4" s="297"/>
      <c r="AX4" s="297"/>
      <c r="AY4" s="1057"/>
      <c r="AZ4" s="1060"/>
      <c r="BA4" s="297"/>
      <c r="BB4" s="297"/>
      <c r="BC4" s="297"/>
      <c r="BD4" s="1045"/>
      <c r="BE4" s="297"/>
      <c r="BF4" s="297"/>
      <c r="BG4" s="297"/>
      <c r="BH4" s="297"/>
      <c r="BI4" s="297"/>
      <c r="BJ4" s="297"/>
      <c r="BK4" s="297"/>
      <c r="BL4" s="297"/>
      <c r="BM4" s="1045"/>
      <c r="BN4" s="297"/>
      <c r="BO4" s="297"/>
      <c r="BP4" s="297"/>
      <c r="BQ4" s="297"/>
      <c r="BR4" s="297"/>
      <c r="BS4" s="297"/>
      <c r="BT4" s="297"/>
      <c r="BU4" s="297"/>
      <c r="BV4" s="1045"/>
      <c r="BW4" s="297"/>
      <c r="BX4" s="297"/>
      <c r="BY4" s="297"/>
      <c r="BZ4" s="297"/>
      <c r="CA4" s="297"/>
      <c r="CB4" s="297"/>
      <c r="CC4" s="297"/>
      <c r="CD4" s="297"/>
      <c r="CE4" s="1045"/>
      <c r="CF4" s="297"/>
      <c r="CG4" s="297"/>
      <c r="CH4" s="297"/>
      <c r="CI4" s="297"/>
      <c r="CJ4" s="297"/>
      <c r="CK4" s="297"/>
      <c r="CL4" s="297"/>
      <c r="CM4" s="297"/>
      <c r="CN4" s="1045"/>
      <c r="CO4" s="297"/>
      <c r="CP4" s="297"/>
      <c r="CQ4" s="297"/>
      <c r="CR4" s="297"/>
      <c r="CS4" s="297"/>
      <c r="CT4" s="297"/>
      <c r="CU4" s="297"/>
      <c r="CV4" s="297"/>
      <c r="CW4" s="1045"/>
      <c r="CX4" s="297"/>
      <c r="CY4" s="297"/>
      <c r="CZ4" s="297"/>
      <c r="DA4" s="297"/>
      <c r="DB4" s="297"/>
      <c r="DC4" s="297"/>
      <c r="DD4" s="297"/>
      <c r="DE4" s="297"/>
      <c r="DF4" s="1045"/>
      <c r="DG4" s="297"/>
      <c r="DH4" s="297"/>
      <c r="DI4" s="297"/>
      <c r="DJ4" s="297"/>
      <c r="DK4" s="297"/>
      <c r="DL4" s="297"/>
      <c r="DM4" s="297"/>
      <c r="DN4" s="297"/>
      <c r="DO4" s="1045"/>
      <c r="DP4" s="297"/>
      <c r="DQ4" s="297"/>
    </row>
    <row r="5" spans="1:157">
      <c r="A5" s="1078" t="s">
        <v>674</v>
      </c>
      <c r="B5" s="1047"/>
      <c r="C5" s="297"/>
      <c r="D5" s="297"/>
      <c r="E5" s="297"/>
      <c r="F5" s="297"/>
      <c r="G5" s="297"/>
      <c r="H5" s="297"/>
      <c r="I5" s="297"/>
      <c r="J5" s="297"/>
      <c r="K5" s="297"/>
      <c r="L5" s="297"/>
      <c r="M5" s="297"/>
      <c r="N5" s="297"/>
      <c r="O5" s="297"/>
      <c r="P5" s="297"/>
      <c r="Q5" s="297"/>
      <c r="R5" s="297"/>
      <c r="S5" s="297"/>
      <c r="T5" s="297"/>
      <c r="U5" s="297"/>
      <c r="V5" s="297"/>
      <c r="W5" s="297"/>
      <c r="X5" s="297"/>
      <c r="Y5" s="297"/>
      <c r="Z5" s="1047"/>
      <c r="AA5" s="297"/>
      <c r="AB5" s="297"/>
      <c r="AC5" s="297"/>
      <c r="AD5" s="297"/>
      <c r="AE5" s="297"/>
      <c r="AF5" s="297"/>
      <c r="AG5" s="297"/>
      <c r="AH5" s="1045"/>
      <c r="AI5" s="297"/>
      <c r="AJ5" s="297"/>
      <c r="AK5" s="1049"/>
      <c r="AL5" s="1048"/>
      <c r="AM5" s="297"/>
      <c r="AN5" s="297"/>
      <c r="AO5" s="297"/>
      <c r="AP5" s="297"/>
      <c r="AQ5" s="297"/>
      <c r="AR5" s="1045"/>
      <c r="AS5" s="297"/>
      <c r="AT5" s="297"/>
      <c r="AU5" s="297"/>
      <c r="AV5" s="297"/>
      <c r="AW5" s="1049"/>
      <c r="AX5" s="1047"/>
      <c r="AY5" s="297"/>
      <c r="AZ5" s="297"/>
      <c r="BA5" s="297"/>
      <c r="BB5" s="1059"/>
      <c r="BC5" s="297"/>
      <c r="BD5" s="297"/>
      <c r="BE5" s="297"/>
      <c r="BF5" s="297"/>
      <c r="BG5" s="297"/>
      <c r="BH5" s="297"/>
      <c r="BI5" s="297"/>
      <c r="BJ5" s="297"/>
      <c r="BK5" s="297"/>
      <c r="BL5" s="1059"/>
      <c r="BM5" s="297"/>
      <c r="BN5" s="297"/>
      <c r="BO5" s="297"/>
      <c r="BP5" s="297"/>
      <c r="BQ5" s="297"/>
      <c r="BR5" s="297"/>
      <c r="BS5" s="297"/>
      <c r="BT5" s="297"/>
      <c r="BU5" s="297"/>
      <c r="BV5" s="1059"/>
      <c r="BW5" s="297"/>
      <c r="BX5" s="297"/>
      <c r="BY5" s="297"/>
      <c r="BZ5" s="297"/>
      <c r="CA5" s="1057"/>
      <c r="CB5" s="1060"/>
      <c r="CC5" s="297"/>
      <c r="CD5" s="297"/>
      <c r="CE5" s="297"/>
      <c r="CF5" s="1059"/>
      <c r="CG5" s="297"/>
      <c r="CH5" s="297"/>
      <c r="CI5" s="297"/>
      <c r="CJ5" s="297"/>
      <c r="CK5" s="297"/>
      <c r="CL5" s="297"/>
      <c r="CM5" s="297"/>
      <c r="CN5" s="297"/>
      <c r="CO5" s="297"/>
      <c r="CP5" s="1059"/>
      <c r="CQ5" s="297"/>
      <c r="CR5" s="297"/>
      <c r="CS5" s="297"/>
      <c r="CT5" s="297"/>
      <c r="CU5" s="297"/>
      <c r="CV5" s="297"/>
      <c r="CW5" s="297"/>
      <c r="CX5" s="297"/>
      <c r="CY5" s="297"/>
      <c r="CZ5" s="1045"/>
      <c r="DA5" s="297"/>
      <c r="DB5" s="297"/>
      <c r="DC5" s="297"/>
      <c r="DD5" s="297"/>
      <c r="DE5" s="297"/>
      <c r="DF5" s="297"/>
      <c r="DG5" s="297"/>
      <c r="DH5" s="297"/>
      <c r="DI5" s="297"/>
      <c r="DJ5" s="1045"/>
      <c r="DK5" s="297"/>
      <c r="DL5" s="297"/>
      <c r="DM5" s="297"/>
      <c r="DN5" s="297"/>
      <c r="DO5" s="297"/>
      <c r="DP5" s="297"/>
      <c r="DQ5" s="1064"/>
    </row>
    <row r="6" spans="1:157" ht="15" thickBot="1">
      <c r="A6" s="1079" t="s">
        <v>750</v>
      </c>
      <c r="B6" s="1065"/>
      <c r="C6" s="1061"/>
      <c r="D6" s="1061"/>
      <c r="E6" s="1061"/>
      <c r="F6" s="1061"/>
      <c r="G6" s="1061"/>
      <c r="H6" s="1061"/>
      <c r="I6" s="1061"/>
      <c r="J6" s="1061"/>
      <c r="K6" s="1061"/>
      <c r="L6" s="1061"/>
      <c r="M6" s="1061"/>
      <c r="N6" s="1061"/>
      <c r="O6" s="1061"/>
      <c r="P6" s="1061"/>
      <c r="Q6" s="1061"/>
      <c r="R6" s="1061"/>
      <c r="S6" s="1061"/>
      <c r="T6" s="1061"/>
      <c r="U6" s="1061"/>
      <c r="V6" s="1061"/>
      <c r="W6" s="1061"/>
      <c r="X6" s="1061"/>
      <c r="Y6" s="1061"/>
      <c r="Z6" s="1061"/>
      <c r="AA6" s="1061"/>
      <c r="AB6" s="1061"/>
      <c r="AC6" s="1061"/>
      <c r="AD6" s="1061"/>
      <c r="AE6" s="1061"/>
      <c r="AF6" s="1061"/>
      <c r="AG6" s="1061"/>
      <c r="AH6" s="1061"/>
      <c r="AI6" s="1061"/>
      <c r="AJ6" s="1061"/>
      <c r="AK6" s="1061"/>
      <c r="AL6" s="1065"/>
      <c r="AM6" s="1061"/>
      <c r="AN6" s="1061"/>
      <c r="AO6" s="1061"/>
      <c r="AP6" s="1061"/>
      <c r="AQ6" s="1061"/>
      <c r="AR6" s="1061"/>
      <c r="AS6" s="1062"/>
      <c r="AT6" s="1061"/>
      <c r="AU6" s="1061"/>
      <c r="AV6" s="1061"/>
      <c r="AW6" s="1063"/>
      <c r="AX6" s="1050"/>
      <c r="AY6" s="1051"/>
      <c r="AZ6" s="1051"/>
      <c r="BA6" s="1051"/>
      <c r="BB6" s="1052"/>
      <c r="BC6" s="1051"/>
      <c r="BD6" s="1051"/>
      <c r="BE6" s="1051"/>
      <c r="BF6" s="1051"/>
      <c r="BG6" s="1051"/>
      <c r="BH6" s="1051"/>
      <c r="BI6" s="1053"/>
      <c r="BJ6" s="1047"/>
      <c r="BK6" s="1045"/>
      <c r="BL6" s="297"/>
      <c r="BM6" s="297"/>
      <c r="BN6" s="297"/>
      <c r="BO6" s="297"/>
      <c r="BP6" s="297"/>
      <c r="BQ6" s="297"/>
      <c r="BR6" s="297"/>
      <c r="BS6" s="297"/>
      <c r="BT6" s="1045"/>
      <c r="BU6" s="297"/>
      <c r="BV6" s="297"/>
      <c r="BW6" s="297"/>
      <c r="BX6" s="297"/>
      <c r="BY6" s="297"/>
      <c r="BZ6" s="297"/>
      <c r="CA6" s="297"/>
      <c r="CB6" s="297"/>
      <c r="CC6" s="1045"/>
      <c r="CD6" s="297"/>
      <c r="CE6" s="297"/>
      <c r="CF6" s="297"/>
      <c r="CG6" s="297"/>
      <c r="CH6" s="1057"/>
      <c r="CI6" s="1060"/>
      <c r="CJ6" s="297"/>
      <c r="CK6" s="297"/>
      <c r="CL6" s="1045"/>
      <c r="CM6" s="297"/>
      <c r="CN6" s="297"/>
      <c r="CO6" s="297"/>
      <c r="CP6" s="297"/>
      <c r="CQ6" s="297"/>
      <c r="CR6" s="297"/>
      <c r="CS6" s="297"/>
      <c r="CT6" s="297"/>
      <c r="CU6" s="1045"/>
      <c r="CV6" s="297"/>
      <c r="CW6" s="297"/>
      <c r="CX6" s="297"/>
      <c r="CY6" s="297"/>
      <c r="CZ6" s="297"/>
      <c r="DA6" s="297"/>
      <c r="DB6" s="297"/>
      <c r="DC6" s="297"/>
      <c r="DD6" s="1045"/>
      <c r="DE6" s="297"/>
      <c r="DF6" s="297"/>
      <c r="DG6" s="297"/>
      <c r="DH6" s="297"/>
      <c r="DI6" s="297"/>
      <c r="DJ6" s="297"/>
      <c r="DK6" s="297"/>
      <c r="DL6" s="297"/>
      <c r="DM6" s="1045"/>
      <c r="DN6" s="297"/>
      <c r="DO6" s="297"/>
      <c r="DP6" s="297"/>
      <c r="DQ6" s="1064"/>
    </row>
    <row r="7" spans="1:157" ht="15" thickBot="1">
      <c r="A7" s="1075" t="s">
        <v>821</v>
      </c>
      <c r="B7" s="1703">
        <v>3</v>
      </c>
      <c r="C7" s="1704"/>
      <c r="D7" s="1704"/>
      <c r="E7" s="1704"/>
      <c r="F7" s="1704"/>
      <c r="G7" s="1704"/>
      <c r="H7" s="1704"/>
      <c r="I7" s="1704"/>
      <c r="J7" s="1704"/>
      <c r="K7" s="1704"/>
      <c r="L7" s="1704"/>
      <c r="M7" s="1705"/>
      <c r="N7" s="1703">
        <v>0</v>
      </c>
      <c r="O7" s="1704"/>
      <c r="P7" s="1704"/>
      <c r="Q7" s="1704"/>
      <c r="R7" s="1704"/>
      <c r="S7" s="1704"/>
      <c r="T7" s="1704"/>
      <c r="U7" s="1704"/>
      <c r="V7" s="1704"/>
      <c r="W7" s="1704"/>
      <c r="X7" s="1704"/>
      <c r="Y7" s="1705"/>
      <c r="Z7" s="1703">
        <v>3</v>
      </c>
      <c r="AA7" s="1704"/>
      <c r="AB7" s="1704"/>
      <c r="AC7" s="1704"/>
      <c r="AD7" s="1704"/>
      <c r="AE7" s="1704"/>
      <c r="AF7" s="1704"/>
      <c r="AG7" s="1704"/>
      <c r="AH7" s="1704"/>
      <c r="AI7" s="1704"/>
      <c r="AJ7" s="1704"/>
      <c r="AK7" s="1705"/>
      <c r="AL7" s="1703">
        <v>3</v>
      </c>
      <c r="AM7" s="1704"/>
      <c r="AN7" s="1704"/>
      <c r="AO7" s="1704"/>
      <c r="AP7" s="1704"/>
      <c r="AQ7" s="1704"/>
      <c r="AR7" s="1704"/>
      <c r="AS7" s="1704"/>
      <c r="AT7" s="1704"/>
      <c r="AU7" s="1704"/>
      <c r="AV7" s="1704"/>
      <c r="AW7" s="1705"/>
      <c r="AX7" s="1703">
        <v>3</v>
      </c>
      <c r="AY7" s="1704"/>
      <c r="AZ7" s="1704"/>
      <c r="BA7" s="1704"/>
      <c r="BB7" s="1704"/>
      <c r="BC7" s="1704"/>
      <c r="BD7" s="1704"/>
      <c r="BE7" s="1704"/>
      <c r="BF7" s="1704"/>
      <c r="BG7" s="1704"/>
      <c r="BH7" s="1704"/>
      <c r="BI7" s="1705"/>
      <c r="BJ7" s="1703">
        <v>3</v>
      </c>
      <c r="BK7" s="1704"/>
      <c r="BL7" s="1704"/>
      <c r="BM7" s="1704"/>
      <c r="BN7" s="1704"/>
      <c r="BO7" s="1704"/>
      <c r="BP7" s="1704"/>
      <c r="BQ7" s="1704"/>
      <c r="BR7" s="1704"/>
      <c r="BS7" s="1704"/>
      <c r="BT7" s="1704"/>
      <c r="BU7" s="1705"/>
      <c r="BV7" s="1703">
        <v>24</v>
      </c>
      <c r="BW7" s="1704"/>
      <c r="BX7" s="1704"/>
      <c r="BY7" s="1704"/>
      <c r="BZ7" s="1704"/>
      <c r="CA7" s="1704"/>
      <c r="CB7" s="1704"/>
      <c r="CC7" s="1704"/>
      <c r="CD7" s="1704"/>
      <c r="CE7" s="1704"/>
      <c r="CF7" s="1704"/>
      <c r="CG7" s="1705"/>
      <c r="CH7" s="1703">
        <v>3</v>
      </c>
      <c r="CI7" s="1704"/>
      <c r="CJ7" s="1704"/>
      <c r="CK7" s="1704"/>
      <c r="CL7" s="1704"/>
      <c r="CM7" s="1704"/>
      <c r="CN7" s="1704"/>
      <c r="CO7" s="1704"/>
      <c r="CP7" s="1704"/>
      <c r="CQ7" s="1704"/>
      <c r="CR7" s="1704"/>
      <c r="CS7" s="1705"/>
      <c r="CT7" s="1703">
        <v>3</v>
      </c>
      <c r="CU7" s="1704"/>
      <c r="CV7" s="1704"/>
      <c r="CW7" s="1704"/>
      <c r="CX7" s="1704"/>
      <c r="CY7" s="1704"/>
      <c r="CZ7" s="1704"/>
      <c r="DA7" s="1704"/>
      <c r="DB7" s="1704"/>
      <c r="DC7" s="1704"/>
      <c r="DD7" s="1704"/>
      <c r="DE7" s="1705"/>
      <c r="DF7" s="1703">
        <v>3</v>
      </c>
      <c r="DG7" s="1704"/>
      <c r="DH7" s="1704"/>
      <c r="DI7" s="1704"/>
      <c r="DJ7" s="1704"/>
      <c r="DK7" s="1704"/>
      <c r="DL7" s="1704"/>
      <c r="DM7" s="1704"/>
      <c r="DN7" s="1704"/>
      <c r="DO7" s="1704"/>
      <c r="DP7" s="1704"/>
      <c r="DQ7" s="1890"/>
    </row>
    <row r="8" spans="1:157" ht="15" thickBot="1">
      <c r="A8" s="1064" t="s">
        <v>822</v>
      </c>
      <c r="B8" s="1334">
        <v>3</v>
      </c>
      <c r="C8" s="1335"/>
      <c r="D8" s="1335"/>
      <c r="E8" s="1335"/>
      <c r="F8" s="1335"/>
      <c r="G8" s="1335"/>
      <c r="H8" s="1335"/>
      <c r="I8" s="1335"/>
      <c r="J8" s="1335"/>
      <c r="K8" s="1335"/>
      <c r="L8" s="1335"/>
      <c r="M8" s="1336"/>
      <c r="N8" s="1334">
        <v>3</v>
      </c>
      <c r="O8" s="1335"/>
      <c r="P8" s="1335"/>
      <c r="Q8" s="1335"/>
      <c r="R8" s="1335"/>
      <c r="S8" s="1335"/>
      <c r="T8" s="1335"/>
      <c r="U8" s="1335"/>
      <c r="V8" s="1335"/>
      <c r="W8" s="1335"/>
      <c r="X8" s="1335"/>
      <c r="Y8" s="1336"/>
      <c r="Z8" s="1334">
        <v>6</v>
      </c>
      <c r="AA8" s="1335"/>
      <c r="AB8" s="1335"/>
      <c r="AC8" s="1335"/>
      <c r="AD8" s="1335"/>
      <c r="AE8" s="1335"/>
      <c r="AF8" s="1335"/>
      <c r="AG8" s="1335"/>
      <c r="AH8" s="1335"/>
      <c r="AI8" s="1335"/>
      <c r="AJ8" s="1335"/>
      <c r="AK8" s="1336"/>
      <c r="AL8" s="1334">
        <v>3</v>
      </c>
      <c r="AM8" s="1335"/>
      <c r="AN8" s="1335"/>
      <c r="AO8" s="1335"/>
      <c r="AP8" s="1335"/>
      <c r="AQ8" s="1335"/>
      <c r="AR8" s="1335"/>
      <c r="AS8" s="1335"/>
      <c r="AT8" s="1335"/>
      <c r="AU8" s="1335"/>
      <c r="AV8" s="1335"/>
      <c r="AW8" s="1336"/>
      <c r="AX8" s="1334">
        <v>24</v>
      </c>
      <c r="AY8" s="1335"/>
      <c r="AZ8" s="1335"/>
      <c r="BA8" s="1335"/>
      <c r="BB8" s="1335"/>
      <c r="BC8" s="1335"/>
      <c r="BD8" s="1335"/>
      <c r="BE8" s="1335"/>
      <c r="BF8" s="1335"/>
      <c r="BG8" s="1335"/>
      <c r="BH8" s="1335"/>
      <c r="BI8" s="1336"/>
      <c r="BJ8" s="1334">
        <v>3</v>
      </c>
      <c r="BK8" s="1335"/>
      <c r="BL8" s="1335"/>
      <c r="BM8" s="1335"/>
      <c r="BN8" s="1335"/>
      <c r="BO8" s="1335"/>
      <c r="BP8" s="1335"/>
      <c r="BQ8" s="1335"/>
      <c r="BR8" s="1335"/>
      <c r="BS8" s="1335"/>
      <c r="BT8" s="1335"/>
      <c r="BU8" s="1336"/>
      <c r="BV8" s="1334">
        <v>6</v>
      </c>
      <c r="BW8" s="1335"/>
      <c r="BX8" s="1335"/>
      <c r="BY8" s="1335"/>
      <c r="BZ8" s="1335"/>
      <c r="CA8" s="1335"/>
      <c r="CB8" s="1335"/>
      <c r="CC8" s="1335"/>
      <c r="CD8" s="1335"/>
      <c r="CE8" s="1335"/>
      <c r="CF8" s="1335"/>
      <c r="CG8" s="1336"/>
      <c r="CH8" s="1334">
        <v>3</v>
      </c>
      <c r="CI8" s="1335"/>
      <c r="CJ8" s="1335"/>
      <c r="CK8" s="1335"/>
      <c r="CL8" s="1335"/>
      <c r="CM8" s="1335"/>
      <c r="CN8" s="1335"/>
      <c r="CO8" s="1335"/>
      <c r="CP8" s="1335"/>
      <c r="CQ8" s="1335"/>
      <c r="CR8" s="1335"/>
      <c r="CS8" s="1336"/>
      <c r="CT8" s="1334">
        <v>3</v>
      </c>
      <c r="CU8" s="1335"/>
      <c r="CV8" s="1335"/>
      <c r="CW8" s="1335"/>
      <c r="CX8" s="1335"/>
      <c r="CY8" s="1335"/>
      <c r="CZ8" s="1335"/>
      <c r="DA8" s="1335"/>
      <c r="DB8" s="1335"/>
      <c r="DC8" s="1335"/>
      <c r="DD8" s="1335"/>
      <c r="DE8" s="1336"/>
      <c r="DF8" s="1334">
        <v>6</v>
      </c>
      <c r="DG8" s="1335"/>
      <c r="DH8" s="1335"/>
      <c r="DI8" s="1335"/>
      <c r="DJ8" s="1335"/>
      <c r="DK8" s="1335"/>
      <c r="DL8" s="1335"/>
      <c r="DM8" s="1335"/>
      <c r="DN8" s="1335"/>
      <c r="DO8" s="1335"/>
      <c r="DP8" s="1335"/>
      <c r="DQ8" s="1889"/>
    </row>
    <row r="9" spans="1:157" ht="15" thickBot="1">
      <c r="A9" s="1068" t="s">
        <v>823</v>
      </c>
      <c r="B9" s="1872" t="s">
        <v>116</v>
      </c>
      <c r="C9" s="1873"/>
      <c r="D9" s="1873"/>
      <c r="E9" s="1873"/>
      <c r="F9" s="1873"/>
      <c r="G9" s="1873"/>
      <c r="H9" s="1873"/>
      <c r="I9" s="1873"/>
      <c r="J9" s="1873"/>
      <c r="K9" s="1873"/>
      <c r="L9" s="1873"/>
      <c r="M9" s="1874"/>
      <c r="N9" s="1888" t="s">
        <v>116</v>
      </c>
      <c r="O9" s="1888"/>
      <c r="P9" s="1888"/>
      <c r="Q9" s="1888"/>
      <c r="R9" s="1888"/>
      <c r="S9" s="1888"/>
      <c r="T9" s="1888"/>
      <c r="U9" s="1888"/>
      <c r="V9" s="1888"/>
      <c r="W9" s="1888"/>
      <c r="X9" s="1888"/>
      <c r="Y9" s="1888"/>
      <c r="Z9" s="1872">
        <v>3</v>
      </c>
      <c r="AA9" s="1873"/>
      <c r="AB9" s="1873"/>
      <c r="AC9" s="1873"/>
      <c r="AD9" s="1873"/>
      <c r="AE9" s="1873"/>
      <c r="AF9" s="1873"/>
      <c r="AG9" s="1873"/>
      <c r="AH9" s="1873"/>
      <c r="AI9" s="1873"/>
      <c r="AJ9" s="1873"/>
      <c r="AK9" s="1874"/>
      <c r="AL9" s="1872">
        <v>3</v>
      </c>
      <c r="AM9" s="1873"/>
      <c r="AN9" s="1873"/>
      <c r="AO9" s="1873"/>
      <c r="AP9" s="1873"/>
      <c r="AQ9" s="1873"/>
      <c r="AR9" s="1873"/>
      <c r="AS9" s="1873"/>
      <c r="AT9" s="1873"/>
      <c r="AU9" s="1873"/>
      <c r="AV9" s="1873"/>
      <c r="AW9" s="1874"/>
      <c r="AX9" s="1872">
        <v>3</v>
      </c>
      <c r="AY9" s="1873"/>
      <c r="AZ9" s="1873"/>
      <c r="BA9" s="1873"/>
      <c r="BB9" s="1873"/>
      <c r="BC9" s="1873"/>
      <c r="BD9" s="1873"/>
      <c r="BE9" s="1873"/>
      <c r="BF9" s="1873"/>
      <c r="BG9" s="1873"/>
      <c r="BH9" s="1873"/>
      <c r="BI9" s="1874"/>
      <c r="BJ9" s="1872">
        <v>3</v>
      </c>
      <c r="BK9" s="1873"/>
      <c r="BL9" s="1873"/>
      <c r="BM9" s="1873"/>
      <c r="BN9" s="1873"/>
      <c r="BO9" s="1873"/>
      <c r="BP9" s="1873"/>
      <c r="BQ9" s="1873"/>
      <c r="BR9" s="1873"/>
      <c r="BS9" s="1873"/>
      <c r="BT9" s="1873"/>
      <c r="BU9" s="1874"/>
      <c r="BV9" s="1872">
        <v>27</v>
      </c>
      <c r="BW9" s="1873"/>
      <c r="BX9" s="1873"/>
      <c r="BY9" s="1873"/>
      <c r="BZ9" s="1873"/>
      <c r="CA9" s="1873"/>
      <c r="CB9" s="1873"/>
      <c r="CC9" s="1873"/>
      <c r="CD9" s="1873"/>
      <c r="CE9" s="1873"/>
      <c r="CF9" s="1873"/>
      <c r="CG9" s="1874"/>
      <c r="CH9" s="1872">
        <v>3</v>
      </c>
      <c r="CI9" s="1873"/>
      <c r="CJ9" s="1873"/>
      <c r="CK9" s="1873"/>
      <c r="CL9" s="1873"/>
      <c r="CM9" s="1873"/>
      <c r="CN9" s="1873"/>
      <c r="CO9" s="1873"/>
      <c r="CP9" s="1873"/>
      <c r="CQ9" s="1873"/>
      <c r="CR9" s="1873"/>
      <c r="CS9" s="1874"/>
      <c r="CT9" s="1872">
        <v>3</v>
      </c>
      <c r="CU9" s="1873"/>
      <c r="CV9" s="1873"/>
      <c r="CW9" s="1873"/>
      <c r="CX9" s="1873"/>
      <c r="CY9" s="1873"/>
      <c r="CZ9" s="1873"/>
      <c r="DA9" s="1873"/>
      <c r="DB9" s="1873"/>
      <c r="DC9" s="1873"/>
      <c r="DD9" s="1873"/>
      <c r="DE9" s="1874"/>
      <c r="DF9" s="1872">
        <v>3</v>
      </c>
      <c r="DG9" s="1873"/>
      <c r="DH9" s="1873"/>
      <c r="DI9" s="1873"/>
      <c r="DJ9" s="1873"/>
      <c r="DK9" s="1873"/>
      <c r="DL9" s="1873"/>
      <c r="DM9" s="1873"/>
      <c r="DN9" s="1873"/>
      <c r="DO9" s="1873"/>
      <c r="DP9" s="1873"/>
      <c r="DQ9" s="1873"/>
      <c r="DR9" s="58"/>
      <c r="DS9" s="58"/>
      <c r="DT9" s="58"/>
      <c r="DU9" s="58"/>
      <c r="DV9" s="58"/>
      <c r="DW9" s="58"/>
      <c r="DX9" s="58"/>
      <c r="DY9" s="58"/>
      <c r="DZ9" s="58"/>
      <c r="EA9" s="58"/>
      <c r="EB9" s="58"/>
      <c r="EC9" s="58"/>
      <c r="ED9" s="58"/>
      <c r="EE9" s="58"/>
      <c r="EF9" s="58"/>
      <c r="EG9" s="58"/>
      <c r="EH9" s="58"/>
      <c r="EI9" s="58"/>
      <c r="EJ9" s="58"/>
      <c r="EK9" s="58"/>
      <c r="EL9" s="58"/>
      <c r="EM9" s="58"/>
      <c r="EN9" s="58"/>
      <c r="EO9" s="58"/>
    </row>
    <row r="10" spans="1:157" ht="15" thickBot="1">
      <c r="A10" s="1069" t="s">
        <v>824</v>
      </c>
      <c r="B10" s="1359" t="s">
        <v>116</v>
      </c>
      <c r="C10" s="1360"/>
      <c r="D10" s="1360"/>
      <c r="E10" s="1360"/>
      <c r="F10" s="1360"/>
      <c r="G10" s="1360"/>
      <c r="H10" s="1360"/>
      <c r="I10" s="1360"/>
      <c r="J10" s="1360"/>
      <c r="K10" s="1360"/>
      <c r="L10" s="1360"/>
      <c r="M10" s="1361"/>
      <c r="N10" s="1359" t="s">
        <v>116</v>
      </c>
      <c r="O10" s="1360"/>
      <c r="P10" s="1360"/>
      <c r="Q10" s="1360"/>
      <c r="R10" s="1360"/>
      <c r="S10" s="1360"/>
      <c r="T10" s="1360"/>
      <c r="U10" s="1360"/>
      <c r="V10" s="1360"/>
      <c r="W10" s="1360"/>
      <c r="X10" s="1360"/>
      <c r="Y10" s="1361"/>
      <c r="Z10" s="1359" t="s">
        <v>116</v>
      </c>
      <c r="AA10" s="1360"/>
      <c r="AB10" s="1360"/>
      <c r="AC10" s="1360"/>
      <c r="AD10" s="1360"/>
      <c r="AE10" s="1360"/>
      <c r="AF10" s="1360"/>
      <c r="AG10" s="1360"/>
      <c r="AH10" s="1360"/>
      <c r="AI10" s="1360"/>
      <c r="AJ10" s="1360"/>
      <c r="AK10" s="1361"/>
      <c r="AL10" s="1359">
        <v>3</v>
      </c>
      <c r="AM10" s="1360"/>
      <c r="AN10" s="1360"/>
      <c r="AO10" s="1360"/>
      <c r="AP10" s="1360"/>
      <c r="AQ10" s="1360"/>
      <c r="AR10" s="1360"/>
      <c r="AS10" s="1360"/>
      <c r="AT10" s="1360"/>
      <c r="AU10" s="1360"/>
      <c r="AV10" s="1360"/>
      <c r="AW10" s="1361"/>
      <c r="AX10" s="1359">
        <v>3</v>
      </c>
      <c r="AY10" s="1360"/>
      <c r="AZ10" s="1360"/>
      <c r="BA10" s="1360"/>
      <c r="BB10" s="1360"/>
      <c r="BC10" s="1360"/>
      <c r="BD10" s="1360"/>
      <c r="BE10" s="1360"/>
      <c r="BF10" s="1360"/>
      <c r="BG10" s="1360"/>
      <c r="BH10" s="1360"/>
      <c r="BI10" s="1361"/>
      <c r="BJ10" s="1891">
        <v>6</v>
      </c>
      <c r="BK10" s="1892"/>
      <c r="BL10" s="1892"/>
      <c r="BM10" s="1892"/>
      <c r="BN10" s="1892"/>
      <c r="BO10" s="1892"/>
      <c r="BP10" s="1892"/>
      <c r="BQ10" s="1892"/>
      <c r="BR10" s="1892"/>
      <c r="BS10" s="1892"/>
      <c r="BT10" s="1892"/>
      <c r="BU10" s="1893"/>
      <c r="BV10" s="1359">
        <v>3</v>
      </c>
      <c r="BW10" s="1360"/>
      <c r="BX10" s="1360"/>
      <c r="BY10" s="1360"/>
      <c r="BZ10" s="1360"/>
      <c r="CA10" s="1360"/>
      <c r="CB10" s="1360"/>
      <c r="CC10" s="1360"/>
      <c r="CD10" s="1360"/>
      <c r="CE10" s="1360"/>
      <c r="CF10" s="1360"/>
      <c r="CG10" s="1361"/>
      <c r="CH10" s="1359">
        <v>24</v>
      </c>
      <c r="CI10" s="1360"/>
      <c r="CJ10" s="1360"/>
      <c r="CK10" s="1360"/>
      <c r="CL10" s="1360"/>
      <c r="CM10" s="1360"/>
      <c r="CN10" s="1360"/>
      <c r="CO10" s="1360"/>
      <c r="CP10" s="1360"/>
      <c r="CQ10" s="1360"/>
      <c r="CR10" s="1360"/>
      <c r="CS10" s="1361"/>
      <c r="CT10" s="1359">
        <v>6</v>
      </c>
      <c r="CU10" s="1360"/>
      <c r="CV10" s="1360"/>
      <c r="CW10" s="1360"/>
      <c r="CX10" s="1360"/>
      <c r="CY10" s="1360"/>
      <c r="CZ10" s="1360"/>
      <c r="DA10" s="1360"/>
      <c r="DB10" s="1360"/>
      <c r="DC10" s="1360"/>
      <c r="DD10" s="1360"/>
      <c r="DE10" s="1361"/>
      <c r="DF10" s="1359">
        <v>3</v>
      </c>
      <c r="DG10" s="1360"/>
      <c r="DH10" s="1360"/>
      <c r="DI10" s="1360"/>
      <c r="DJ10" s="1360"/>
      <c r="DK10" s="1360"/>
      <c r="DL10" s="1360"/>
      <c r="DM10" s="1360"/>
      <c r="DN10" s="1360"/>
      <c r="DO10" s="1360"/>
      <c r="DP10" s="1360"/>
      <c r="DQ10" s="1360"/>
      <c r="DR10" s="58"/>
      <c r="DS10" s="58"/>
      <c r="DT10" s="58"/>
      <c r="DU10" s="58"/>
      <c r="DV10" s="58"/>
      <c r="DW10" s="58"/>
      <c r="DX10" s="58"/>
      <c r="DY10" s="58"/>
      <c r="DZ10" s="58"/>
      <c r="EA10" s="58"/>
      <c r="EB10" s="58"/>
      <c r="EC10" s="58"/>
      <c r="ED10" s="58"/>
      <c r="EE10" s="58"/>
      <c r="EF10" s="58"/>
      <c r="EG10" s="58"/>
      <c r="EH10" s="58"/>
      <c r="EI10" s="58"/>
      <c r="EJ10" s="58"/>
      <c r="EK10" s="58"/>
      <c r="EL10" s="58"/>
      <c r="EM10" s="58"/>
      <c r="EN10" s="58"/>
      <c r="EO10" s="58"/>
      <c r="EP10" s="58"/>
      <c r="EQ10" s="58"/>
      <c r="ER10" s="58"/>
      <c r="ES10" s="58"/>
      <c r="ET10" s="58"/>
      <c r="EU10" s="58"/>
      <c r="EV10" s="58"/>
      <c r="EW10" s="58"/>
      <c r="EX10" s="58"/>
      <c r="EY10" s="58"/>
      <c r="EZ10" s="58"/>
      <c r="FA10" s="58"/>
    </row>
    <row r="11" spans="1:157" ht="15" thickBot="1">
      <c r="A11" s="1631"/>
      <c r="B11" s="1632"/>
      <c r="C11" s="1632"/>
      <c r="D11" s="1632"/>
      <c r="E11" s="1632"/>
      <c r="F11" s="1632"/>
      <c r="G11" s="1632"/>
      <c r="H11" s="1632"/>
      <c r="I11" s="1632"/>
      <c r="J11" s="1632"/>
      <c r="K11" s="1632"/>
      <c r="L11" s="1632"/>
      <c r="M11" s="1632"/>
      <c r="N11" s="1632"/>
      <c r="O11" s="1632"/>
      <c r="P11" s="1632"/>
      <c r="Q11" s="1632"/>
      <c r="R11" s="1632"/>
      <c r="S11" s="1632"/>
      <c r="T11" s="1632"/>
      <c r="U11" s="1632"/>
      <c r="V11" s="1632"/>
      <c r="W11" s="1632"/>
      <c r="X11" s="1632"/>
      <c r="Y11" s="1632"/>
      <c r="Z11" s="1632"/>
      <c r="AA11" s="1632"/>
      <c r="AB11" s="1632"/>
      <c r="AC11" s="1632"/>
      <c r="AD11" s="1632"/>
      <c r="AE11" s="1632"/>
      <c r="AF11" s="1632"/>
      <c r="AG11" s="1632"/>
      <c r="AH11" s="1632"/>
      <c r="AI11" s="1632"/>
      <c r="AJ11" s="1632"/>
      <c r="AK11" s="1632"/>
      <c r="AL11" s="1632"/>
      <c r="AM11" s="1632"/>
      <c r="AN11" s="1632"/>
      <c r="AO11" s="1632"/>
      <c r="AP11" s="1632"/>
      <c r="AQ11" s="1632"/>
      <c r="AR11" s="1632"/>
      <c r="AS11" s="1632"/>
      <c r="AT11" s="1632"/>
      <c r="AU11" s="1632"/>
      <c r="AV11" s="1632"/>
      <c r="AW11" s="1632"/>
      <c r="AX11" s="1632"/>
      <c r="AY11" s="1632"/>
      <c r="AZ11" s="1632"/>
      <c r="BA11" s="1632"/>
      <c r="BB11" s="1632"/>
      <c r="BC11" s="1632"/>
      <c r="BD11" s="1632"/>
      <c r="BE11" s="1632"/>
      <c r="BF11" s="1632"/>
      <c r="BG11" s="1632"/>
      <c r="BH11" s="1632"/>
      <c r="BI11" s="1632"/>
      <c r="BJ11" s="1632"/>
      <c r="BK11" s="1632"/>
      <c r="BL11" s="1632"/>
      <c r="BM11" s="1632"/>
      <c r="BN11" s="1632"/>
      <c r="BO11" s="1632"/>
      <c r="BP11" s="1632"/>
      <c r="BQ11" s="1632"/>
      <c r="BR11" s="1632"/>
      <c r="BS11" s="1632"/>
      <c r="BT11" s="1632"/>
      <c r="BU11" s="1632"/>
      <c r="BV11" s="1632"/>
      <c r="BW11" s="1632"/>
      <c r="BX11" s="1632"/>
      <c r="BY11" s="1632"/>
      <c r="BZ11" s="1632"/>
      <c r="CA11" s="1632"/>
      <c r="CB11" s="1632"/>
      <c r="CC11" s="1632"/>
      <c r="CD11" s="1632"/>
      <c r="CE11" s="1632"/>
      <c r="CF11" s="1632"/>
      <c r="CG11" s="1632"/>
      <c r="CH11" s="1632"/>
      <c r="CI11" s="1632"/>
      <c r="CJ11" s="1632"/>
      <c r="CK11" s="1632"/>
      <c r="CL11" s="1632"/>
      <c r="CM11" s="1632"/>
      <c r="CN11" s="1632"/>
      <c r="CO11" s="1632"/>
      <c r="CP11" s="1632"/>
      <c r="CQ11" s="1632"/>
      <c r="CR11" s="1632"/>
      <c r="CS11" s="1632"/>
      <c r="CT11" s="1632"/>
      <c r="CU11" s="1632"/>
      <c r="CV11" s="1632"/>
      <c r="CW11" s="1632"/>
      <c r="CX11" s="1632"/>
      <c r="CY11" s="1632"/>
      <c r="CZ11" s="1632"/>
      <c r="DA11" s="1632"/>
      <c r="DB11" s="1632"/>
      <c r="DC11" s="1632"/>
      <c r="DD11" s="1632"/>
      <c r="DE11" s="1632"/>
      <c r="DF11" s="1632"/>
      <c r="DG11" s="1632"/>
      <c r="DH11" s="1632"/>
      <c r="DI11" s="1632"/>
      <c r="DJ11" s="1632"/>
      <c r="DK11" s="1632"/>
      <c r="DL11" s="1632"/>
      <c r="DM11" s="1632"/>
      <c r="DN11" s="1632"/>
      <c r="DO11" s="1632"/>
      <c r="DP11" s="1632"/>
      <c r="DQ11" s="1632"/>
      <c r="DR11" s="58"/>
      <c r="DS11" s="58"/>
      <c r="DT11" s="58"/>
      <c r="DU11" s="58"/>
      <c r="DV11" s="58"/>
      <c r="DW11" s="58"/>
      <c r="DX11" s="58"/>
      <c r="DY11" s="58"/>
      <c r="DZ11" s="58"/>
      <c r="EA11" s="58"/>
      <c r="EB11" s="58"/>
      <c r="EC11" s="58"/>
      <c r="ED11" s="58"/>
      <c r="EE11" s="58"/>
      <c r="EF11" s="58"/>
      <c r="EG11" s="58"/>
      <c r="EH11" s="58"/>
      <c r="EI11" s="58"/>
      <c r="EJ11" s="58"/>
      <c r="EK11" s="58"/>
      <c r="EL11" s="58"/>
      <c r="EM11" s="58"/>
      <c r="EN11" s="58"/>
      <c r="EO11" s="58"/>
      <c r="EP11" s="58"/>
      <c r="EQ11" s="58"/>
      <c r="ER11" s="58"/>
      <c r="ES11" s="58"/>
      <c r="ET11" s="58"/>
      <c r="EU11" s="58"/>
      <c r="EV11" s="58"/>
      <c r="EW11" s="58"/>
      <c r="EX11" s="58"/>
      <c r="EY11" s="58"/>
      <c r="EZ11" s="58"/>
      <c r="FA11" s="58"/>
    </row>
    <row r="12" spans="1:157" ht="15" thickBot="1">
      <c r="A12" s="1071" t="s">
        <v>825</v>
      </c>
      <c r="B12" s="1523">
        <v>5</v>
      </c>
      <c r="C12" s="1524"/>
      <c r="D12" s="1524"/>
      <c r="E12" s="1524"/>
      <c r="F12" s="1524"/>
      <c r="G12" s="1524"/>
      <c r="H12" s="1524"/>
      <c r="I12" s="1524"/>
      <c r="J12" s="1524"/>
      <c r="K12" s="1524"/>
      <c r="L12" s="1524"/>
      <c r="M12" s="1525"/>
      <c r="N12" s="1523">
        <v>5</v>
      </c>
      <c r="O12" s="1524"/>
      <c r="P12" s="1524"/>
      <c r="Q12" s="1524"/>
      <c r="R12" s="1524"/>
      <c r="S12" s="1524"/>
      <c r="T12" s="1524"/>
      <c r="U12" s="1524"/>
      <c r="V12" s="1524"/>
      <c r="W12" s="1524"/>
      <c r="X12" s="1524"/>
      <c r="Y12" s="1525"/>
      <c r="Z12" s="1523">
        <v>5</v>
      </c>
      <c r="AA12" s="1524"/>
      <c r="AB12" s="1524"/>
      <c r="AC12" s="1524"/>
      <c r="AD12" s="1524"/>
      <c r="AE12" s="1524"/>
      <c r="AF12" s="1524"/>
      <c r="AG12" s="1524"/>
      <c r="AH12" s="1524"/>
      <c r="AI12" s="1524"/>
      <c r="AJ12" s="1524"/>
      <c r="AK12" s="1525"/>
      <c r="AL12" s="1523">
        <v>5</v>
      </c>
      <c r="AM12" s="1524"/>
      <c r="AN12" s="1524"/>
      <c r="AO12" s="1524"/>
      <c r="AP12" s="1524"/>
      <c r="AQ12" s="1524"/>
      <c r="AR12" s="1524"/>
      <c r="AS12" s="1524"/>
      <c r="AT12" s="1524"/>
      <c r="AU12" s="1524"/>
      <c r="AV12" s="1524"/>
      <c r="AW12" s="1525"/>
      <c r="AX12" s="1523">
        <v>5</v>
      </c>
      <c r="AY12" s="1524"/>
      <c r="AZ12" s="1524"/>
      <c r="BA12" s="1524"/>
      <c r="BB12" s="1524"/>
      <c r="BC12" s="1524"/>
      <c r="BD12" s="1524"/>
      <c r="BE12" s="1524"/>
      <c r="BF12" s="1524"/>
      <c r="BG12" s="1524"/>
      <c r="BH12" s="1524"/>
      <c r="BI12" s="1525"/>
      <c r="BJ12" s="1523">
        <v>5</v>
      </c>
      <c r="BK12" s="1524"/>
      <c r="BL12" s="1524"/>
      <c r="BM12" s="1524"/>
      <c r="BN12" s="1524"/>
      <c r="BO12" s="1524"/>
      <c r="BP12" s="1524"/>
      <c r="BQ12" s="1524"/>
      <c r="BR12" s="1524"/>
      <c r="BS12" s="1524"/>
      <c r="BT12" s="1524"/>
      <c r="BU12" s="1525"/>
      <c r="BV12" s="1523">
        <v>5</v>
      </c>
      <c r="BW12" s="1524"/>
      <c r="BX12" s="1524"/>
      <c r="BY12" s="1524"/>
      <c r="BZ12" s="1524"/>
      <c r="CA12" s="1524"/>
      <c r="CB12" s="1524"/>
      <c r="CC12" s="1524"/>
      <c r="CD12" s="1524"/>
      <c r="CE12" s="1524"/>
      <c r="CF12" s="1524"/>
      <c r="CG12" s="1525"/>
      <c r="CH12" s="1523">
        <v>5</v>
      </c>
      <c r="CI12" s="1524"/>
      <c r="CJ12" s="1524"/>
      <c r="CK12" s="1524"/>
      <c r="CL12" s="1524"/>
      <c r="CM12" s="1524"/>
      <c r="CN12" s="1524"/>
      <c r="CO12" s="1524"/>
      <c r="CP12" s="1524"/>
      <c r="CQ12" s="1524"/>
      <c r="CR12" s="1524"/>
      <c r="CS12" s="1525"/>
      <c r="CT12" s="1523">
        <v>5</v>
      </c>
      <c r="CU12" s="1524"/>
      <c r="CV12" s="1524"/>
      <c r="CW12" s="1524"/>
      <c r="CX12" s="1524"/>
      <c r="CY12" s="1524"/>
      <c r="CZ12" s="1524"/>
      <c r="DA12" s="1524"/>
      <c r="DB12" s="1524"/>
      <c r="DC12" s="1524"/>
      <c r="DD12" s="1524"/>
      <c r="DE12" s="1525"/>
      <c r="DF12" s="1523">
        <v>5</v>
      </c>
      <c r="DG12" s="1524"/>
      <c r="DH12" s="1524"/>
      <c r="DI12" s="1524"/>
      <c r="DJ12" s="1524"/>
      <c r="DK12" s="1524"/>
      <c r="DL12" s="1524"/>
      <c r="DM12" s="1524"/>
      <c r="DN12" s="1524"/>
      <c r="DO12" s="1524"/>
      <c r="DP12" s="1524"/>
      <c r="DQ12" s="1524"/>
      <c r="DR12" s="58"/>
      <c r="DS12" s="58"/>
      <c r="DT12" s="58"/>
      <c r="DU12" s="58"/>
      <c r="DV12" s="58"/>
      <c r="DW12" s="58"/>
      <c r="DX12" s="58"/>
      <c r="DY12" s="58"/>
      <c r="DZ12" s="58"/>
      <c r="EA12" s="58"/>
      <c r="EB12" s="58"/>
      <c r="EC12" s="58"/>
      <c r="ED12" s="58"/>
      <c r="EE12" s="58"/>
      <c r="EF12" s="58"/>
      <c r="EG12" s="58"/>
      <c r="EH12" s="58"/>
      <c r="EI12" s="58"/>
      <c r="EJ12" s="58"/>
      <c r="EK12" s="58"/>
      <c r="EL12" s="58"/>
      <c r="EM12" s="58"/>
      <c r="EN12" s="58"/>
      <c r="EO12" s="58"/>
      <c r="EP12" s="58"/>
      <c r="EQ12" s="58"/>
      <c r="ER12" s="58"/>
      <c r="ES12" s="58"/>
      <c r="ET12" s="58"/>
      <c r="EU12" s="58"/>
      <c r="EV12" s="58"/>
      <c r="EW12" s="58"/>
      <c r="EX12" s="58"/>
      <c r="EY12" s="58"/>
      <c r="EZ12" s="58"/>
      <c r="FA12" s="58"/>
    </row>
    <row r="13" spans="1:157" ht="15" thickBot="1">
      <c r="A13" s="1072" t="s">
        <v>826</v>
      </c>
      <c r="B13" s="1317">
        <v>7</v>
      </c>
      <c r="C13" s="1318"/>
      <c r="D13" s="1318"/>
      <c r="E13" s="1318"/>
      <c r="F13" s="1318"/>
      <c r="G13" s="1318"/>
      <c r="H13" s="1318"/>
      <c r="I13" s="1318"/>
      <c r="J13" s="1318"/>
      <c r="K13" s="1318"/>
      <c r="L13" s="1318"/>
      <c r="M13" s="1319"/>
      <c r="N13" s="1317">
        <v>7</v>
      </c>
      <c r="O13" s="1318"/>
      <c r="P13" s="1318"/>
      <c r="Q13" s="1318"/>
      <c r="R13" s="1318"/>
      <c r="S13" s="1318"/>
      <c r="T13" s="1318"/>
      <c r="U13" s="1318"/>
      <c r="V13" s="1318"/>
      <c r="W13" s="1318"/>
      <c r="X13" s="1318"/>
      <c r="Y13" s="1319"/>
      <c r="Z13" s="1317">
        <v>7</v>
      </c>
      <c r="AA13" s="1318"/>
      <c r="AB13" s="1318"/>
      <c r="AC13" s="1318"/>
      <c r="AD13" s="1318"/>
      <c r="AE13" s="1318"/>
      <c r="AF13" s="1318"/>
      <c r="AG13" s="1318"/>
      <c r="AH13" s="1318"/>
      <c r="AI13" s="1318"/>
      <c r="AJ13" s="1318"/>
      <c r="AK13" s="1319"/>
      <c r="AL13" s="1317">
        <v>7</v>
      </c>
      <c r="AM13" s="1318"/>
      <c r="AN13" s="1318"/>
      <c r="AO13" s="1318"/>
      <c r="AP13" s="1318"/>
      <c r="AQ13" s="1318"/>
      <c r="AR13" s="1318"/>
      <c r="AS13" s="1318"/>
      <c r="AT13" s="1318"/>
      <c r="AU13" s="1318"/>
      <c r="AV13" s="1318"/>
      <c r="AW13" s="1319"/>
      <c r="AX13" s="1317">
        <v>7</v>
      </c>
      <c r="AY13" s="1318"/>
      <c r="AZ13" s="1318"/>
      <c r="BA13" s="1318"/>
      <c r="BB13" s="1318"/>
      <c r="BC13" s="1318"/>
      <c r="BD13" s="1318"/>
      <c r="BE13" s="1318"/>
      <c r="BF13" s="1318"/>
      <c r="BG13" s="1318"/>
      <c r="BH13" s="1318"/>
      <c r="BI13" s="1319"/>
      <c r="BJ13" s="1317">
        <v>7</v>
      </c>
      <c r="BK13" s="1318"/>
      <c r="BL13" s="1318"/>
      <c r="BM13" s="1318"/>
      <c r="BN13" s="1318"/>
      <c r="BO13" s="1318"/>
      <c r="BP13" s="1318"/>
      <c r="BQ13" s="1318"/>
      <c r="BR13" s="1318"/>
      <c r="BS13" s="1318"/>
      <c r="BT13" s="1318"/>
      <c r="BU13" s="1319"/>
      <c r="BV13" s="1317">
        <v>7</v>
      </c>
      <c r="BW13" s="1318"/>
      <c r="BX13" s="1318"/>
      <c r="BY13" s="1318"/>
      <c r="BZ13" s="1318"/>
      <c r="CA13" s="1318"/>
      <c r="CB13" s="1318"/>
      <c r="CC13" s="1318"/>
      <c r="CD13" s="1318"/>
      <c r="CE13" s="1318"/>
      <c r="CF13" s="1318"/>
      <c r="CG13" s="1319"/>
      <c r="CH13" s="1317">
        <v>7</v>
      </c>
      <c r="CI13" s="1318"/>
      <c r="CJ13" s="1318"/>
      <c r="CK13" s="1318"/>
      <c r="CL13" s="1318"/>
      <c r="CM13" s="1318"/>
      <c r="CN13" s="1318"/>
      <c r="CO13" s="1318"/>
      <c r="CP13" s="1318"/>
      <c r="CQ13" s="1318"/>
      <c r="CR13" s="1318"/>
      <c r="CS13" s="1319"/>
      <c r="CT13" s="1317">
        <v>7</v>
      </c>
      <c r="CU13" s="1318"/>
      <c r="CV13" s="1318"/>
      <c r="CW13" s="1318"/>
      <c r="CX13" s="1318"/>
      <c r="CY13" s="1318"/>
      <c r="CZ13" s="1318"/>
      <c r="DA13" s="1318"/>
      <c r="DB13" s="1318"/>
      <c r="DC13" s="1318"/>
      <c r="DD13" s="1318"/>
      <c r="DE13" s="1319"/>
      <c r="DF13" s="1317">
        <v>7</v>
      </c>
      <c r="DG13" s="1318"/>
      <c r="DH13" s="1318"/>
      <c r="DI13" s="1318"/>
      <c r="DJ13" s="1318"/>
      <c r="DK13" s="1318"/>
      <c r="DL13" s="1318"/>
      <c r="DM13" s="1318"/>
      <c r="DN13" s="1318"/>
      <c r="DO13" s="1318"/>
      <c r="DP13" s="1318"/>
      <c r="DQ13" s="1319"/>
      <c r="DR13" s="58"/>
      <c r="DS13" s="58"/>
      <c r="DT13" s="58"/>
      <c r="DU13" s="58"/>
      <c r="DV13" s="58"/>
      <c r="DW13" s="58"/>
      <c r="DX13" s="58"/>
      <c r="DY13" s="58"/>
      <c r="DZ13" s="58"/>
      <c r="EA13" s="58"/>
      <c r="EB13" s="58"/>
      <c r="EC13" s="58"/>
      <c r="ED13" s="58"/>
      <c r="EE13" s="58"/>
      <c r="EF13" s="58"/>
      <c r="EG13" s="58"/>
      <c r="EH13" s="58"/>
      <c r="EI13" s="58"/>
      <c r="EJ13" s="58"/>
      <c r="EK13" s="58"/>
      <c r="EL13" s="58"/>
      <c r="EM13" s="58"/>
      <c r="EN13" s="58"/>
      <c r="EO13" s="58"/>
      <c r="EP13" s="58"/>
      <c r="EQ13" s="58"/>
      <c r="ER13" s="58"/>
      <c r="ES13" s="58"/>
      <c r="ET13" s="58"/>
      <c r="EU13" s="58"/>
      <c r="EV13" s="58"/>
      <c r="EW13" s="58"/>
      <c r="EX13" s="58"/>
      <c r="EY13" s="58"/>
      <c r="EZ13" s="58"/>
      <c r="FA13" s="58"/>
    </row>
    <row r="14" spans="1:157" ht="15" thickBot="1">
      <c r="A14" s="1073" t="s">
        <v>827</v>
      </c>
      <c r="B14" s="1872" t="s">
        <v>116</v>
      </c>
      <c r="C14" s="1873"/>
      <c r="D14" s="1873"/>
      <c r="E14" s="1873"/>
      <c r="F14" s="1873"/>
      <c r="G14" s="1873"/>
      <c r="H14" s="1873"/>
      <c r="I14" s="1873"/>
      <c r="J14" s="1873"/>
      <c r="K14" s="1873"/>
      <c r="L14" s="1873"/>
      <c r="M14" s="1874"/>
      <c r="N14" s="1872" t="s">
        <v>116</v>
      </c>
      <c r="O14" s="1873"/>
      <c r="P14" s="1873"/>
      <c r="Q14" s="1873"/>
      <c r="R14" s="1873"/>
      <c r="S14" s="1873"/>
      <c r="T14" s="1873"/>
      <c r="U14" s="1873"/>
      <c r="V14" s="1873"/>
      <c r="W14" s="1873"/>
      <c r="X14" s="1873"/>
      <c r="Y14" s="1874"/>
      <c r="Z14" s="1872">
        <v>5</v>
      </c>
      <c r="AA14" s="1873"/>
      <c r="AB14" s="1873"/>
      <c r="AC14" s="1873"/>
      <c r="AD14" s="1873"/>
      <c r="AE14" s="1873"/>
      <c r="AF14" s="1873"/>
      <c r="AG14" s="1873"/>
      <c r="AH14" s="1873"/>
      <c r="AI14" s="1873"/>
      <c r="AJ14" s="1873"/>
      <c r="AK14" s="1874"/>
      <c r="AL14" s="1872">
        <v>5</v>
      </c>
      <c r="AM14" s="1873"/>
      <c r="AN14" s="1873"/>
      <c r="AO14" s="1873"/>
      <c r="AP14" s="1873"/>
      <c r="AQ14" s="1873"/>
      <c r="AR14" s="1873"/>
      <c r="AS14" s="1873"/>
      <c r="AT14" s="1873"/>
      <c r="AU14" s="1873"/>
      <c r="AV14" s="1873"/>
      <c r="AW14" s="1874"/>
      <c r="AX14" s="1872">
        <v>5</v>
      </c>
      <c r="AY14" s="1873"/>
      <c r="AZ14" s="1873"/>
      <c r="BA14" s="1873"/>
      <c r="BB14" s="1873"/>
      <c r="BC14" s="1873"/>
      <c r="BD14" s="1873"/>
      <c r="BE14" s="1873"/>
      <c r="BF14" s="1873"/>
      <c r="BG14" s="1873"/>
      <c r="BH14" s="1873"/>
      <c r="BI14" s="1874"/>
      <c r="BJ14" s="1872">
        <v>5</v>
      </c>
      <c r="BK14" s="1873"/>
      <c r="BL14" s="1873"/>
      <c r="BM14" s="1873"/>
      <c r="BN14" s="1873"/>
      <c r="BO14" s="1873"/>
      <c r="BP14" s="1873"/>
      <c r="BQ14" s="1873"/>
      <c r="BR14" s="1873"/>
      <c r="BS14" s="1873"/>
      <c r="BT14" s="1873"/>
      <c r="BU14" s="1874"/>
      <c r="BV14" s="1872">
        <v>5</v>
      </c>
      <c r="BW14" s="1873"/>
      <c r="BX14" s="1873"/>
      <c r="BY14" s="1873"/>
      <c r="BZ14" s="1873"/>
      <c r="CA14" s="1873"/>
      <c r="CB14" s="1873"/>
      <c r="CC14" s="1873"/>
      <c r="CD14" s="1873"/>
      <c r="CE14" s="1873"/>
      <c r="CF14" s="1873"/>
      <c r="CG14" s="1874"/>
      <c r="CH14" s="1872">
        <v>5</v>
      </c>
      <c r="CI14" s="1873"/>
      <c r="CJ14" s="1873"/>
      <c r="CK14" s="1873"/>
      <c r="CL14" s="1873"/>
      <c r="CM14" s="1873"/>
      <c r="CN14" s="1873"/>
      <c r="CO14" s="1873"/>
      <c r="CP14" s="1873"/>
      <c r="CQ14" s="1873"/>
      <c r="CR14" s="1873"/>
      <c r="CS14" s="1874"/>
      <c r="CT14" s="1872">
        <v>5</v>
      </c>
      <c r="CU14" s="1873"/>
      <c r="CV14" s="1873"/>
      <c r="CW14" s="1873"/>
      <c r="CX14" s="1873"/>
      <c r="CY14" s="1873"/>
      <c r="CZ14" s="1873"/>
      <c r="DA14" s="1873"/>
      <c r="DB14" s="1873"/>
      <c r="DC14" s="1873"/>
      <c r="DD14" s="1873"/>
      <c r="DE14" s="1874"/>
      <c r="DF14" s="1872">
        <v>5</v>
      </c>
      <c r="DG14" s="1873"/>
      <c r="DH14" s="1873"/>
      <c r="DI14" s="1873"/>
      <c r="DJ14" s="1873"/>
      <c r="DK14" s="1873"/>
      <c r="DL14" s="1873"/>
      <c r="DM14" s="1873"/>
      <c r="DN14" s="1873"/>
      <c r="DO14" s="1873"/>
      <c r="DP14" s="1873"/>
      <c r="DQ14" s="1874"/>
      <c r="DR14" s="58"/>
      <c r="DS14" s="58"/>
      <c r="DT14" s="58"/>
      <c r="DU14" s="58"/>
      <c r="DV14" s="58"/>
      <c r="DW14" s="58"/>
      <c r="DX14" s="58"/>
      <c r="DY14" s="58"/>
      <c r="DZ14" s="58"/>
      <c r="EA14" s="58"/>
      <c r="EB14" s="58"/>
      <c r="EC14" s="58"/>
      <c r="ED14" s="58"/>
      <c r="EE14" s="58"/>
      <c r="EF14" s="58"/>
      <c r="EG14" s="58"/>
      <c r="EH14" s="58"/>
      <c r="EI14" s="58"/>
      <c r="EJ14" s="58"/>
      <c r="EK14" s="58"/>
      <c r="EL14" s="58"/>
      <c r="EM14" s="58"/>
      <c r="EN14" s="58"/>
      <c r="EO14" s="58"/>
      <c r="EP14" s="58"/>
      <c r="EQ14" s="58"/>
      <c r="ER14" s="58"/>
      <c r="ES14" s="58"/>
      <c r="ET14" s="58"/>
      <c r="EU14" s="58"/>
      <c r="EV14" s="58"/>
      <c r="EW14" s="58"/>
      <c r="EX14" s="58"/>
      <c r="EY14" s="58"/>
      <c r="EZ14" s="58"/>
      <c r="FA14" s="58"/>
    </row>
    <row r="15" spans="1:157" ht="15" thickBot="1">
      <c r="A15" s="1074" t="s">
        <v>828</v>
      </c>
      <c r="B15" s="1317" t="s">
        <v>116</v>
      </c>
      <c r="C15" s="1318"/>
      <c r="D15" s="1318"/>
      <c r="E15" s="1318"/>
      <c r="F15" s="1318"/>
      <c r="G15" s="1318"/>
      <c r="H15" s="1318"/>
      <c r="I15" s="1318"/>
      <c r="J15" s="1318"/>
      <c r="K15" s="1318"/>
      <c r="L15" s="1318"/>
      <c r="M15" s="1319"/>
      <c r="N15" s="1317" t="s">
        <v>116</v>
      </c>
      <c r="O15" s="1318"/>
      <c r="P15" s="1318"/>
      <c r="Q15" s="1318"/>
      <c r="R15" s="1318"/>
      <c r="S15" s="1318"/>
      <c r="T15" s="1318"/>
      <c r="U15" s="1318"/>
      <c r="V15" s="1318"/>
      <c r="W15" s="1318"/>
      <c r="X15" s="1318"/>
      <c r="Y15" s="1319"/>
      <c r="Z15" s="1317" t="s">
        <v>116</v>
      </c>
      <c r="AA15" s="1318"/>
      <c r="AB15" s="1318"/>
      <c r="AC15" s="1318"/>
      <c r="AD15" s="1318"/>
      <c r="AE15" s="1318"/>
      <c r="AF15" s="1318"/>
      <c r="AG15" s="1318"/>
      <c r="AH15" s="1318"/>
      <c r="AI15" s="1318"/>
      <c r="AJ15" s="1318"/>
      <c r="AK15" s="1319"/>
      <c r="AL15" s="1317">
        <v>6</v>
      </c>
      <c r="AM15" s="1318"/>
      <c r="AN15" s="1318"/>
      <c r="AO15" s="1318"/>
      <c r="AP15" s="1318"/>
      <c r="AQ15" s="1318"/>
      <c r="AR15" s="1318"/>
      <c r="AS15" s="1318"/>
      <c r="AT15" s="1318"/>
      <c r="AU15" s="1318"/>
      <c r="AV15" s="1318"/>
      <c r="AW15" s="1319"/>
      <c r="AX15" s="1317">
        <v>6</v>
      </c>
      <c r="AY15" s="1318"/>
      <c r="AZ15" s="1318"/>
      <c r="BA15" s="1318"/>
      <c r="BB15" s="1318"/>
      <c r="BC15" s="1318"/>
      <c r="BD15" s="1318"/>
      <c r="BE15" s="1318"/>
      <c r="BF15" s="1318"/>
      <c r="BG15" s="1318"/>
      <c r="BH15" s="1318"/>
      <c r="BI15" s="1319"/>
      <c r="BJ15" s="1317">
        <v>6</v>
      </c>
      <c r="BK15" s="1318"/>
      <c r="BL15" s="1318"/>
      <c r="BM15" s="1318"/>
      <c r="BN15" s="1318"/>
      <c r="BO15" s="1318"/>
      <c r="BP15" s="1318"/>
      <c r="BQ15" s="1318"/>
      <c r="BR15" s="1318"/>
      <c r="BS15" s="1318"/>
      <c r="BT15" s="1318"/>
      <c r="BU15" s="1319"/>
      <c r="BV15" s="1317">
        <v>6</v>
      </c>
      <c r="BW15" s="1318"/>
      <c r="BX15" s="1318"/>
      <c r="BY15" s="1318"/>
      <c r="BZ15" s="1318"/>
      <c r="CA15" s="1318"/>
      <c r="CB15" s="1318"/>
      <c r="CC15" s="1318"/>
      <c r="CD15" s="1318"/>
      <c r="CE15" s="1318"/>
      <c r="CF15" s="1318"/>
      <c r="CG15" s="1319"/>
      <c r="CH15" s="1317">
        <v>6</v>
      </c>
      <c r="CI15" s="1318"/>
      <c r="CJ15" s="1318"/>
      <c r="CK15" s="1318"/>
      <c r="CL15" s="1318"/>
      <c r="CM15" s="1318"/>
      <c r="CN15" s="1318"/>
      <c r="CO15" s="1318"/>
      <c r="CP15" s="1318"/>
      <c r="CQ15" s="1318"/>
      <c r="CR15" s="1318"/>
      <c r="CS15" s="1319"/>
      <c r="CT15" s="1317">
        <v>6</v>
      </c>
      <c r="CU15" s="1318"/>
      <c r="CV15" s="1318"/>
      <c r="CW15" s="1318"/>
      <c r="CX15" s="1318"/>
      <c r="CY15" s="1318"/>
      <c r="CZ15" s="1318"/>
      <c r="DA15" s="1318"/>
      <c r="DB15" s="1318"/>
      <c r="DC15" s="1318"/>
      <c r="DD15" s="1318"/>
      <c r="DE15" s="1319"/>
      <c r="DF15" s="1317">
        <v>6</v>
      </c>
      <c r="DG15" s="1318"/>
      <c r="DH15" s="1318"/>
      <c r="DI15" s="1318"/>
      <c r="DJ15" s="1318"/>
      <c r="DK15" s="1318"/>
      <c r="DL15" s="1318"/>
      <c r="DM15" s="1318"/>
      <c r="DN15" s="1318"/>
      <c r="DO15" s="1318"/>
      <c r="DP15" s="1318"/>
      <c r="DQ15" s="1319"/>
      <c r="DR15" s="58"/>
      <c r="DS15" s="58"/>
      <c r="DT15" s="58"/>
      <c r="DU15" s="58"/>
      <c r="DV15" s="58"/>
      <c r="DW15" s="58"/>
      <c r="DX15" s="58"/>
      <c r="DY15" s="58"/>
      <c r="DZ15" s="58"/>
      <c r="EA15" s="58"/>
      <c r="EB15" s="58"/>
      <c r="EC15" s="58"/>
      <c r="ED15" s="58"/>
      <c r="EE15" s="58"/>
      <c r="EF15" s="58"/>
      <c r="EG15" s="58"/>
      <c r="EH15" s="58"/>
      <c r="EI15" s="58"/>
      <c r="EJ15" s="58"/>
      <c r="EK15" s="58"/>
      <c r="EL15" s="58"/>
      <c r="EM15" s="58"/>
      <c r="EN15" s="58"/>
      <c r="EO15" s="58"/>
      <c r="EP15" s="58"/>
      <c r="EQ15" s="58"/>
      <c r="ER15" s="58"/>
      <c r="ES15" s="58"/>
      <c r="ET15" s="58"/>
      <c r="EU15" s="58"/>
      <c r="EV15" s="58"/>
      <c r="EW15" s="58"/>
      <c r="EX15" s="58"/>
      <c r="EY15" s="58"/>
      <c r="EZ15" s="58"/>
      <c r="FA15" s="58"/>
    </row>
    <row r="16" spans="1:157" ht="15" thickBot="1">
      <c r="A16" s="1631"/>
      <c r="B16" s="1632"/>
      <c r="C16" s="1632"/>
      <c r="D16" s="1632"/>
      <c r="E16" s="1632"/>
      <c r="F16" s="1632"/>
      <c r="G16" s="1632"/>
      <c r="H16" s="1632"/>
      <c r="I16" s="1632"/>
      <c r="J16" s="1632"/>
      <c r="K16" s="1632"/>
      <c r="L16" s="1632"/>
      <c r="M16" s="1632"/>
      <c r="N16" s="1632"/>
      <c r="O16" s="1632"/>
      <c r="P16" s="1632"/>
      <c r="Q16" s="1632"/>
      <c r="R16" s="1632"/>
      <c r="S16" s="1632"/>
      <c r="T16" s="1632"/>
      <c r="U16" s="1632"/>
      <c r="V16" s="1632"/>
      <c r="W16" s="1632"/>
      <c r="X16" s="1632"/>
      <c r="Y16" s="1632"/>
      <c r="Z16" s="1632"/>
      <c r="AA16" s="1632"/>
      <c r="AB16" s="1632"/>
      <c r="AC16" s="1632"/>
      <c r="AD16" s="1632"/>
      <c r="AE16" s="1632"/>
      <c r="AF16" s="1632"/>
      <c r="AG16" s="1632"/>
      <c r="AH16" s="1632"/>
      <c r="AI16" s="1632"/>
      <c r="AJ16" s="1632"/>
      <c r="AK16" s="1632"/>
      <c r="AL16" s="1632"/>
      <c r="AM16" s="1632"/>
      <c r="AN16" s="1632"/>
      <c r="AO16" s="1632"/>
      <c r="AP16" s="1632"/>
      <c r="AQ16" s="1632"/>
      <c r="AR16" s="1632"/>
      <c r="AS16" s="1632"/>
      <c r="AT16" s="1632"/>
      <c r="AU16" s="1632"/>
      <c r="AV16" s="1632"/>
      <c r="AW16" s="1632"/>
      <c r="AX16" s="1632"/>
      <c r="AY16" s="1632"/>
      <c r="AZ16" s="1632"/>
      <c r="BA16" s="1632"/>
      <c r="BB16" s="1632"/>
      <c r="BC16" s="1632"/>
      <c r="BD16" s="1632"/>
      <c r="BE16" s="1632"/>
      <c r="BF16" s="1632"/>
      <c r="BG16" s="1632"/>
      <c r="BH16" s="1632"/>
      <c r="BI16" s="1632"/>
      <c r="BJ16" s="1632"/>
      <c r="BK16" s="1632"/>
      <c r="BL16" s="1632"/>
      <c r="BM16" s="1632"/>
      <c r="BN16" s="1632"/>
      <c r="BO16" s="1632"/>
      <c r="BP16" s="1632"/>
      <c r="BQ16" s="1632"/>
      <c r="BR16" s="1632"/>
      <c r="BS16" s="1632"/>
      <c r="BT16" s="1632"/>
      <c r="BU16" s="1632"/>
      <c r="BV16" s="1632"/>
      <c r="BW16" s="1632"/>
      <c r="BX16" s="1632"/>
      <c r="BY16" s="1632"/>
      <c r="BZ16" s="1632"/>
      <c r="CA16" s="1632"/>
      <c r="CB16" s="1632"/>
      <c r="CC16" s="1632"/>
      <c r="CD16" s="1632"/>
      <c r="CE16" s="1632"/>
      <c r="CF16" s="1632"/>
      <c r="CG16" s="1632"/>
      <c r="CH16" s="1632"/>
      <c r="CI16" s="1632"/>
      <c r="CJ16" s="1632"/>
      <c r="CK16" s="1632"/>
      <c r="CL16" s="1632"/>
      <c r="CM16" s="1632"/>
      <c r="CN16" s="1632"/>
      <c r="CO16" s="1632"/>
      <c r="CP16" s="1632"/>
      <c r="CQ16" s="1632"/>
      <c r="CR16" s="1632"/>
      <c r="CS16" s="1632"/>
      <c r="CT16" s="1632"/>
      <c r="CU16" s="1632"/>
      <c r="CV16" s="1632"/>
      <c r="CW16" s="1632"/>
      <c r="CX16" s="1632"/>
      <c r="CY16" s="1632"/>
      <c r="CZ16" s="1632"/>
      <c r="DA16" s="1632"/>
      <c r="DB16" s="1632"/>
      <c r="DC16" s="1632"/>
      <c r="DD16" s="1632"/>
      <c r="DE16" s="1632"/>
      <c r="DF16" s="1632"/>
      <c r="DG16" s="1632"/>
      <c r="DH16" s="1632"/>
      <c r="DI16" s="1632"/>
      <c r="DJ16" s="1632"/>
      <c r="DK16" s="1632"/>
      <c r="DL16" s="1632"/>
      <c r="DM16" s="1632"/>
      <c r="DN16" s="1632"/>
      <c r="DO16" s="1632"/>
      <c r="DP16" s="1632"/>
      <c r="DQ16" s="1633"/>
      <c r="DR16" s="58"/>
      <c r="DS16" s="58"/>
      <c r="DT16" s="58"/>
      <c r="DU16" s="58"/>
      <c r="DV16" s="58"/>
      <c r="DW16" s="58"/>
      <c r="DX16" s="58"/>
      <c r="DY16" s="58"/>
      <c r="DZ16" s="58"/>
      <c r="EA16" s="58"/>
      <c r="EB16" s="58"/>
      <c r="EC16" s="58"/>
      <c r="ED16" s="58"/>
      <c r="EE16" s="58"/>
      <c r="EF16" s="58"/>
      <c r="EG16" s="58"/>
      <c r="EH16" s="58"/>
      <c r="EI16" s="58"/>
      <c r="EJ16" s="58"/>
      <c r="EK16" s="58"/>
      <c r="EL16" s="58"/>
      <c r="EM16" s="58"/>
      <c r="EN16" s="58"/>
      <c r="EO16" s="58"/>
      <c r="EP16" s="58"/>
      <c r="EQ16" s="58"/>
      <c r="ER16" s="58"/>
      <c r="ES16" s="58"/>
      <c r="ET16" s="58"/>
      <c r="EU16" s="58"/>
      <c r="EV16" s="58"/>
      <c r="EW16" s="58"/>
      <c r="EX16" s="58"/>
      <c r="EY16" s="58"/>
      <c r="EZ16" s="58"/>
      <c r="FA16" s="58"/>
    </row>
    <row r="17" spans="1:157" ht="15" thickBot="1">
      <c r="A17" s="1071" t="s">
        <v>829</v>
      </c>
      <c r="B17" s="1523">
        <f>365-(B7+B12)</f>
        <v>357</v>
      </c>
      <c r="C17" s="1524"/>
      <c r="D17" s="1524"/>
      <c r="E17" s="1524"/>
      <c r="F17" s="1524"/>
      <c r="G17" s="1524"/>
      <c r="H17" s="1524"/>
      <c r="I17" s="1524"/>
      <c r="J17" s="1524"/>
      <c r="K17" s="1524"/>
      <c r="L17" s="1524"/>
      <c r="M17" s="1525"/>
      <c r="N17" s="1523">
        <f>365-(N7+N12)</f>
        <v>360</v>
      </c>
      <c r="O17" s="1524"/>
      <c r="P17" s="1524"/>
      <c r="Q17" s="1524"/>
      <c r="R17" s="1524"/>
      <c r="S17" s="1524"/>
      <c r="T17" s="1524"/>
      <c r="U17" s="1524"/>
      <c r="V17" s="1524"/>
      <c r="W17" s="1524"/>
      <c r="X17" s="1524"/>
      <c r="Y17" s="1525"/>
      <c r="Z17" s="1523">
        <f t="shared" ref="Z17" si="0">365-(Z7+Z12)</f>
        <v>357</v>
      </c>
      <c r="AA17" s="1524"/>
      <c r="AB17" s="1524"/>
      <c r="AC17" s="1524"/>
      <c r="AD17" s="1524"/>
      <c r="AE17" s="1524"/>
      <c r="AF17" s="1524"/>
      <c r="AG17" s="1524"/>
      <c r="AH17" s="1524"/>
      <c r="AI17" s="1524"/>
      <c r="AJ17" s="1524"/>
      <c r="AK17" s="1525"/>
      <c r="AL17" s="1523">
        <f t="shared" ref="AL17" si="1">365-(AL7+AL12)</f>
        <v>357</v>
      </c>
      <c r="AM17" s="1524"/>
      <c r="AN17" s="1524"/>
      <c r="AO17" s="1524"/>
      <c r="AP17" s="1524"/>
      <c r="AQ17" s="1524"/>
      <c r="AR17" s="1524"/>
      <c r="AS17" s="1524"/>
      <c r="AT17" s="1524"/>
      <c r="AU17" s="1524"/>
      <c r="AV17" s="1524"/>
      <c r="AW17" s="1525"/>
      <c r="AX17" s="1523">
        <f t="shared" ref="AX17" si="2">365-(AX7+AX12)</f>
        <v>357</v>
      </c>
      <c r="AY17" s="1524"/>
      <c r="AZ17" s="1524"/>
      <c r="BA17" s="1524"/>
      <c r="BB17" s="1524"/>
      <c r="BC17" s="1524"/>
      <c r="BD17" s="1524"/>
      <c r="BE17" s="1524"/>
      <c r="BF17" s="1524"/>
      <c r="BG17" s="1524"/>
      <c r="BH17" s="1524"/>
      <c r="BI17" s="1525"/>
      <c r="BJ17" s="1523">
        <f t="shared" ref="BJ17" si="3">365-(BJ7+BJ12)</f>
        <v>357</v>
      </c>
      <c r="BK17" s="1524"/>
      <c r="BL17" s="1524"/>
      <c r="BM17" s="1524"/>
      <c r="BN17" s="1524"/>
      <c r="BO17" s="1524"/>
      <c r="BP17" s="1524"/>
      <c r="BQ17" s="1524"/>
      <c r="BR17" s="1524"/>
      <c r="BS17" s="1524"/>
      <c r="BT17" s="1524"/>
      <c r="BU17" s="1525"/>
      <c r="BV17" s="1523">
        <f t="shared" ref="BV17" si="4">365-(BV7+BV12)</f>
        <v>336</v>
      </c>
      <c r="BW17" s="1524"/>
      <c r="BX17" s="1524"/>
      <c r="BY17" s="1524"/>
      <c r="BZ17" s="1524"/>
      <c r="CA17" s="1524"/>
      <c r="CB17" s="1524"/>
      <c r="CC17" s="1524"/>
      <c r="CD17" s="1524"/>
      <c r="CE17" s="1524"/>
      <c r="CF17" s="1524"/>
      <c r="CG17" s="1525"/>
      <c r="CH17" s="1523">
        <f t="shared" ref="CH17" si="5">365-(CH7+CH12)</f>
        <v>357</v>
      </c>
      <c r="CI17" s="1524"/>
      <c r="CJ17" s="1524"/>
      <c r="CK17" s="1524"/>
      <c r="CL17" s="1524"/>
      <c r="CM17" s="1524"/>
      <c r="CN17" s="1524"/>
      <c r="CO17" s="1524"/>
      <c r="CP17" s="1524"/>
      <c r="CQ17" s="1524"/>
      <c r="CR17" s="1524"/>
      <c r="CS17" s="1525"/>
      <c r="CT17" s="1523">
        <f t="shared" ref="CT17" si="6">365-(CT7+CT12)</f>
        <v>357</v>
      </c>
      <c r="CU17" s="1524"/>
      <c r="CV17" s="1524"/>
      <c r="CW17" s="1524"/>
      <c r="CX17" s="1524"/>
      <c r="CY17" s="1524"/>
      <c r="CZ17" s="1524"/>
      <c r="DA17" s="1524"/>
      <c r="DB17" s="1524"/>
      <c r="DC17" s="1524"/>
      <c r="DD17" s="1524"/>
      <c r="DE17" s="1525"/>
      <c r="DF17" s="1523">
        <f t="shared" ref="DF17" si="7">365-(DF7+DF12)</f>
        <v>357</v>
      </c>
      <c r="DG17" s="1524"/>
      <c r="DH17" s="1524"/>
      <c r="DI17" s="1524"/>
      <c r="DJ17" s="1524"/>
      <c r="DK17" s="1524"/>
      <c r="DL17" s="1524"/>
      <c r="DM17" s="1524"/>
      <c r="DN17" s="1524"/>
      <c r="DO17" s="1524"/>
      <c r="DP17" s="1524"/>
      <c r="DQ17" s="1525"/>
      <c r="DR17" s="58"/>
      <c r="DS17" s="58"/>
      <c r="DT17" s="58"/>
      <c r="DU17" s="58"/>
      <c r="DV17" s="58"/>
      <c r="DW17" s="58"/>
      <c r="DX17" s="58"/>
      <c r="DY17" s="58"/>
      <c r="DZ17" s="58"/>
      <c r="EA17" s="58"/>
      <c r="EB17" s="58"/>
      <c r="EC17" s="58"/>
      <c r="ED17" s="58"/>
      <c r="EE17" s="58"/>
      <c r="EF17" s="58"/>
      <c r="EG17" s="58"/>
      <c r="EH17" s="58"/>
      <c r="EI17" s="58"/>
      <c r="EJ17" s="58"/>
      <c r="EK17" s="58"/>
      <c r="EL17" s="58"/>
      <c r="EM17" s="58"/>
      <c r="EN17" s="58"/>
      <c r="EO17" s="58"/>
      <c r="EP17" s="58"/>
      <c r="EQ17" s="58"/>
      <c r="ER17" s="58"/>
      <c r="ES17" s="58"/>
      <c r="ET17" s="58"/>
      <c r="EU17" s="58"/>
      <c r="EV17" s="58"/>
      <c r="EW17" s="58"/>
      <c r="EX17" s="58"/>
      <c r="EY17" s="58"/>
      <c r="EZ17" s="58"/>
      <c r="FA17" s="58"/>
    </row>
    <row r="18" spans="1:157" ht="15" thickBot="1">
      <c r="A18" s="1072" t="s">
        <v>830</v>
      </c>
      <c r="B18" s="1869">
        <f>365-(B8+B13)</f>
        <v>355</v>
      </c>
      <c r="C18" s="1870"/>
      <c r="D18" s="1870"/>
      <c r="E18" s="1870"/>
      <c r="F18" s="1870"/>
      <c r="G18" s="1870"/>
      <c r="H18" s="1870"/>
      <c r="I18" s="1870"/>
      <c r="J18" s="1870"/>
      <c r="K18" s="1870"/>
      <c r="L18" s="1870"/>
      <c r="M18" s="1871"/>
      <c r="N18" s="1869">
        <f t="shared" ref="N18" si="8">365-(N8+N13)</f>
        <v>355</v>
      </c>
      <c r="O18" s="1870"/>
      <c r="P18" s="1870"/>
      <c r="Q18" s="1870"/>
      <c r="R18" s="1870"/>
      <c r="S18" s="1870"/>
      <c r="T18" s="1870"/>
      <c r="U18" s="1870"/>
      <c r="V18" s="1870"/>
      <c r="W18" s="1870"/>
      <c r="X18" s="1870"/>
      <c r="Y18" s="1871"/>
      <c r="Z18" s="1869">
        <f t="shared" ref="Z18:AX20" si="9">365-(Z8+Z13)</f>
        <v>352</v>
      </c>
      <c r="AA18" s="1870"/>
      <c r="AB18" s="1870"/>
      <c r="AC18" s="1870"/>
      <c r="AD18" s="1870"/>
      <c r="AE18" s="1870"/>
      <c r="AF18" s="1870"/>
      <c r="AG18" s="1870"/>
      <c r="AH18" s="1870"/>
      <c r="AI18" s="1870"/>
      <c r="AJ18" s="1870"/>
      <c r="AK18" s="1871"/>
      <c r="AL18" s="1869">
        <f t="shared" ref="AL18" si="10">365-(AL8+AL13)</f>
        <v>355</v>
      </c>
      <c r="AM18" s="1870"/>
      <c r="AN18" s="1870"/>
      <c r="AO18" s="1870"/>
      <c r="AP18" s="1870"/>
      <c r="AQ18" s="1870"/>
      <c r="AR18" s="1870"/>
      <c r="AS18" s="1870"/>
      <c r="AT18" s="1870"/>
      <c r="AU18" s="1870"/>
      <c r="AV18" s="1870"/>
      <c r="AW18" s="1871"/>
      <c r="AX18" s="1869">
        <f t="shared" ref="AX18" si="11">365-(AX8+AX13)</f>
        <v>334</v>
      </c>
      <c r="AY18" s="1870"/>
      <c r="AZ18" s="1870"/>
      <c r="BA18" s="1870"/>
      <c r="BB18" s="1870"/>
      <c r="BC18" s="1870"/>
      <c r="BD18" s="1870"/>
      <c r="BE18" s="1870"/>
      <c r="BF18" s="1870"/>
      <c r="BG18" s="1870"/>
      <c r="BH18" s="1870"/>
      <c r="BI18" s="1871"/>
      <c r="BJ18" s="1869">
        <f t="shared" ref="BJ18:CH20" si="12">365-(BJ8+BJ13)</f>
        <v>355</v>
      </c>
      <c r="BK18" s="1870"/>
      <c r="BL18" s="1870"/>
      <c r="BM18" s="1870"/>
      <c r="BN18" s="1870"/>
      <c r="BO18" s="1870"/>
      <c r="BP18" s="1870"/>
      <c r="BQ18" s="1870"/>
      <c r="BR18" s="1870"/>
      <c r="BS18" s="1870"/>
      <c r="BT18" s="1870"/>
      <c r="BU18" s="1871"/>
      <c r="BV18" s="1869">
        <f t="shared" ref="BV18" si="13">365-(BV8+BV13)</f>
        <v>352</v>
      </c>
      <c r="BW18" s="1870"/>
      <c r="BX18" s="1870"/>
      <c r="BY18" s="1870"/>
      <c r="BZ18" s="1870"/>
      <c r="CA18" s="1870"/>
      <c r="CB18" s="1870"/>
      <c r="CC18" s="1870"/>
      <c r="CD18" s="1870"/>
      <c r="CE18" s="1870"/>
      <c r="CF18" s="1870"/>
      <c r="CG18" s="1871"/>
      <c r="CH18" s="1869">
        <f t="shared" ref="CH18" si="14">365-(CH8+CH13)</f>
        <v>355</v>
      </c>
      <c r="CI18" s="1870"/>
      <c r="CJ18" s="1870"/>
      <c r="CK18" s="1870"/>
      <c r="CL18" s="1870"/>
      <c r="CM18" s="1870"/>
      <c r="CN18" s="1870"/>
      <c r="CO18" s="1870"/>
      <c r="CP18" s="1870"/>
      <c r="CQ18" s="1870"/>
      <c r="CR18" s="1870"/>
      <c r="CS18" s="1871"/>
      <c r="CT18" s="1869">
        <f t="shared" ref="CT18:DF20" si="15">365-(CT8+CT13)</f>
        <v>355</v>
      </c>
      <c r="CU18" s="1870"/>
      <c r="CV18" s="1870"/>
      <c r="CW18" s="1870"/>
      <c r="CX18" s="1870"/>
      <c r="CY18" s="1870"/>
      <c r="CZ18" s="1870"/>
      <c r="DA18" s="1870"/>
      <c r="DB18" s="1870"/>
      <c r="DC18" s="1870"/>
      <c r="DD18" s="1870"/>
      <c r="DE18" s="1871"/>
      <c r="DF18" s="1869">
        <f t="shared" ref="DF18" si="16">365-(DF8+DF13)</f>
        <v>352</v>
      </c>
      <c r="DG18" s="1870"/>
      <c r="DH18" s="1870"/>
      <c r="DI18" s="1870"/>
      <c r="DJ18" s="1870"/>
      <c r="DK18" s="1870"/>
      <c r="DL18" s="1870"/>
      <c r="DM18" s="1870"/>
      <c r="DN18" s="1870"/>
      <c r="DO18" s="1870"/>
      <c r="DP18" s="1870"/>
      <c r="DQ18" s="1871"/>
      <c r="DR18" s="58"/>
      <c r="DS18" s="58"/>
      <c r="DT18" s="58"/>
      <c r="DU18" s="58"/>
      <c r="DV18" s="58"/>
      <c r="DW18" s="58"/>
      <c r="DX18" s="58"/>
      <c r="DY18" s="58"/>
      <c r="DZ18" s="58"/>
      <c r="EA18" s="58"/>
      <c r="EB18" s="58"/>
      <c r="EC18" s="58"/>
      <c r="ED18" s="58"/>
      <c r="EE18" s="58"/>
      <c r="EF18" s="58"/>
      <c r="EG18" s="58"/>
      <c r="EH18" s="58"/>
      <c r="EI18" s="58"/>
      <c r="EJ18" s="58"/>
      <c r="EK18" s="58"/>
      <c r="EL18" s="58"/>
      <c r="EM18" s="58"/>
      <c r="EN18" s="58"/>
      <c r="EO18" s="58"/>
      <c r="EP18" s="58"/>
      <c r="EQ18" s="58"/>
      <c r="ER18" s="58"/>
      <c r="ES18" s="58"/>
      <c r="ET18" s="58"/>
      <c r="EU18" s="58"/>
      <c r="EV18" s="58"/>
      <c r="EW18" s="58"/>
      <c r="EX18" s="58"/>
      <c r="EY18" s="58"/>
      <c r="EZ18" s="58"/>
      <c r="FA18" s="58"/>
    </row>
    <row r="19" spans="1:157" ht="15" thickBot="1">
      <c r="A19" s="1073" t="s">
        <v>831</v>
      </c>
      <c r="B19" s="1872" t="s">
        <v>116</v>
      </c>
      <c r="C19" s="1873"/>
      <c r="D19" s="1873"/>
      <c r="E19" s="1873"/>
      <c r="F19" s="1873"/>
      <c r="G19" s="1873"/>
      <c r="H19" s="1873"/>
      <c r="I19" s="1873"/>
      <c r="J19" s="1873"/>
      <c r="K19" s="1873"/>
      <c r="L19" s="1873"/>
      <c r="M19" s="1874"/>
      <c r="N19" s="1872" t="s">
        <v>116</v>
      </c>
      <c r="O19" s="1873"/>
      <c r="P19" s="1873"/>
      <c r="Q19" s="1873"/>
      <c r="R19" s="1873"/>
      <c r="S19" s="1873"/>
      <c r="T19" s="1873"/>
      <c r="U19" s="1873"/>
      <c r="V19" s="1873"/>
      <c r="W19" s="1873"/>
      <c r="X19" s="1873"/>
      <c r="Y19" s="1874"/>
      <c r="Z19" s="1872">
        <f t="shared" si="9"/>
        <v>357</v>
      </c>
      <c r="AA19" s="1873"/>
      <c r="AB19" s="1873"/>
      <c r="AC19" s="1873"/>
      <c r="AD19" s="1873"/>
      <c r="AE19" s="1873"/>
      <c r="AF19" s="1873"/>
      <c r="AG19" s="1873"/>
      <c r="AH19" s="1873"/>
      <c r="AI19" s="1873"/>
      <c r="AJ19" s="1873"/>
      <c r="AK19" s="1874"/>
      <c r="AL19" s="1872">
        <f t="shared" si="9"/>
        <v>357</v>
      </c>
      <c r="AM19" s="1873"/>
      <c r="AN19" s="1873"/>
      <c r="AO19" s="1873"/>
      <c r="AP19" s="1873"/>
      <c r="AQ19" s="1873"/>
      <c r="AR19" s="1873"/>
      <c r="AS19" s="1873"/>
      <c r="AT19" s="1873"/>
      <c r="AU19" s="1873"/>
      <c r="AV19" s="1873"/>
      <c r="AW19" s="1874"/>
      <c r="AX19" s="1872">
        <f t="shared" si="9"/>
        <v>357</v>
      </c>
      <c r="AY19" s="1873"/>
      <c r="AZ19" s="1873"/>
      <c r="BA19" s="1873"/>
      <c r="BB19" s="1873"/>
      <c r="BC19" s="1873"/>
      <c r="BD19" s="1873"/>
      <c r="BE19" s="1873"/>
      <c r="BF19" s="1873"/>
      <c r="BG19" s="1873"/>
      <c r="BH19" s="1873"/>
      <c r="BI19" s="1874"/>
      <c r="BJ19" s="1872">
        <f t="shared" si="12"/>
        <v>357</v>
      </c>
      <c r="BK19" s="1873"/>
      <c r="BL19" s="1873"/>
      <c r="BM19" s="1873"/>
      <c r="BN19" s="1873"/>
      <c r="BO19" s="1873"/>
      <c r="BP19" s="1873"/>
      <c r="BQ19" s="1873"/>
      <c r="BR19" s="1873"/>
      <c r="BS19" s="1873"/>
      <c r="BT19" s="1873"/>
      <c r="BU19" s="1874"/>
      <c r="BV19" s="1872">
        <f t="shared" si="12"/>
        <v>333</v>
      </c>
      <c r="BW19" s="1873"/>
      <c r="BX19" s="1873"/>
      <c r="BY19" s="1873"/>
      <c r="BZ19" s="1873"/>
      <c r="CA19" s="1873"/>
      <c r="CB19" s="1873"/>
      <c r="CC19" s="1873"/>
      <c r="CD19" s="1873"/>
      <c r="CE19" s="1873"/>
      <c r="CF19" s="1873"/>
      <c r="CG19" s="1874"/>
      <c r="CH19" s="1872">
        <f t="shared" si="12"/>
        <v>357</v>
      </c>
      <c r="CI19" s="1873"/>
      <c r="CJ19" s="1873"/>
      <c r="CK19" s="1873"/>
      <c r="CL19" s="1873"/>
      <c r="CM19" s="1873"/>
      <c r="CN19" s="1873"/>
      <c r="CO19" s="1873"/>
      <c r="CP19" s="1873"/>
      <c r="CQ19" s="1873"/>
      <c r="CR19" s="1873"/>
      <c r="CS19" s="1874"/>
      <c r="CT19" s="1872">
        <f t="shared" si="15"/>
        <v>357</v>
      </c>
      <c r="CU19" s="1873"/>
      <c r="CV19" s="1873"/>
      <c r="CW19" s="1873"/>
      <c r="CX19" s="1873"/>
      <c r="CY19" s="1873"/>
      <c r="CZ19" s="1873"/>
      <c r="DA19" s="1873"/>
      <c r="DB19" s="1873"/>
      <c r="DC19" s="1873"/>
      <c r="DD19" s="1873"/>
      <c r="DE19" s="1874"/>
      <c r="DF19" s="1872">
        <f t="shared" si="15"/>
        <v>357</v>
      </c>
      <c r="DG19" s="1873"/>
      <c r="DH19" s="1873"/>
      <c r="DI19" s="1873"/>
      <c r="DJ19" s="1873"/>
      <c r="DK19" s="1873"/>
      <c r="DL19" s="1873"/>
      <c r="DM19" s="1873"/>
      <c r="DN19" s="1873"/>
      <c r="DO19" s="1873"/>
      <c r="DP19" s="1873"/>
      <c r="DQ19" s="1874"/>
      <c r="DR19" s="58"/>
      <c r="DS19" s="58"/>
      <c r="DT19" s="58"/>
      <c r="DU19" s="58"/>
      <c r="DV19" s="58"/>
      <c r="DW19" s="58"/>
      <c r="DX19" s="58"/>
      <c r="DY19" s="58"/>
      <c r="DZ19" s="58"/>
      <c r="EA19" s="58"/>
      <c r="EB19" s="58"/>
      <c r="EC19" s="58"/>
      <c r="ED19" s="58"/>
      <c r="EE19" s="58"/>
      <c r="EF19" s="58"/>
      <c r="EG19" s="58"/>
      <c r="EH19" s="58"/>
      <c r="EI19" s="58"/>
      <c r="EJ19" s="58"/>
      <c r="EK19" s="58"/>
      <c r="EL19" s="58"/>
      <c r="EM19" s="58"/>
      <c r="EN19" s="58"/>
      <c r="EO19" s="58"/>
      <c r="EP19" s="58"/>
      <c r="EQ19" s="58"/>
      <c r="ER19" s="58"/>
      <c r="ES19" s="58"/>
      <c r="ET19" s="58"/>
      <c r="EU19" s="58"/>
      <c r="EV19" s="58"/>
      <c r="EW19" s="58"/>
      <c r="EX19" s="58"/>
      <c r="EY19" s="58"/>
      <c r="EZ19" s="58"/>
      <c r="FA19" s="58"/>
    </row>
    <row r="20" spans="1:157" ht="15" thickBot="1">
      <c r="A20" s="1074" t="s">
        <v>832</v>
      </c>
      <c r="B20" s="1317" t="s">
        <v>116</v>
      </c>
      <c r="C20" s="1318"/>
      <c r="D20" s="1318"/>
      <c r="E20" s="1318"/>
      <c r="F20" s="1318"/>
      <c r="G20" s="1318"/>
      <c r="H20" s="1318"/>
      <c r="I20" s="1318"/>
      <c r="J20" s="1318"/>
      <c r="K20" s="1318"/>
      <c r="L20" s="1318"/>
      <c r="M20" s="1319"/>
      <c r="N20" s="1317" t="s">
        <v>116</v>
      </c>
      <c r="O20" s="1318"/>
      <c r="P20" s="1318"/>
      <c r="Q20" s="1318"/>
      <c r="R20" s="1318"/>
      <c r="S20" s="1318"/>
      <c r="T20" s="1318"/>
      <c r="U20" s="1318"/>
      <c r="V20" s="1318"/>
      <c r="W20" s="1318"/>
      <c r="X20" s="1318"/>
      <c r="Y20" s="1319"/>
      <c r="Z20" s="1317" t="s">
        <v>116</v>
      </c>
      <c r="AA20" s="1318"/>
      <c r="AB20" s="1318"/>
      <c r="AC20" s="1318"/>
      <c r="AD20" s="1318"/>
      <c r="AE20" s="1318"/>
      <c r="AF20" s="1318"/>
      <c r="AG20" s="1318"/>
      <c r="AH20" s="1318"/>
      <c r="AI20" s="1318"/>
      <c r="AJ20" s="1318"/>
      <c r="AK20" s="1319"/>
      <c r="AL20" s="1869">
        <f t="shared" si="9"/>
        <v>356</v>
      </c>
      <c r="AM20" s="1870"/>
      <c r="AN20" s="1870"/>
      <c r="AO20" s="1870"/>
      <c r="AP20" s="1870"/>
      <c r="AQ20" s="1870"/>
      <c r="AR20" s="1870"/>
      <c r="AS20" s="1870"/>
      <c r="AT20" s="1870"/>
      <c r="AU20" s="1870"/>
      <c r="AV20" s="1870"/>
      <c r="AW20" s="1871"/>
      <c r="AX20" s="1869">
        <f t="shared" si="9"/>
        <v>356</v>
      </c>
      <c r="AY20" s="1870"/>
      <c r="AZ20" s="1870"/>
      <c r="BA20" s="1870"/>
      <c r="BB20" s="1870"/>
      <c r="BC20" s="1870"/>
      <c r="BD20" s="1870"/>
      <c r="BE20" s="1870"/>
      <c r="BF20" s="1870"/>
      <c r="BG20" s="1870"/>
      <c r="BH20" s="1870"/>
      <c r="BI20" s="1871"/>
      <c r="BJ20" s="1869">
        <f t="shared" si="12"/>
        <v>353</v>
      </c>
      <c r="BK20" s="1870"/>
      <c r="BL20" s="1870"/>
      <c r="BM20" s="1870"/>
      <c r="BN20" s="1870"/>
      <c r="BO20" s="1870"/>
      <c r="BP20" s="1870"/>
      <c r="BQ20" s="1870"/>
      <c r="BR20" s="1870"/>
      <c r="BS20" s="1870"/>
      <c r="BT20" s="1870"/>
      <c r="BU20" s="1871"/>
      <c r="BV20" s="1869">
        <f t="shared" si="12"/>
        <v>356</v>
      </c>
      <c r="BW20" s="1870"/>
      <c r="BX20" s="1870"/>
      <c r="BY20" s="1870"/>
      <c r="BZ20" s="1870"/>
      <c r="CA20" s="1870"/>
      <c r="CB20" s="1870"/>
      <c r="CC20" s="1870"/>
      <c r="CD20" s="1870"/>
      <c r="CE20" s="1870"/>
      <c r="CF20" s="1870"/>
      <c r="CG20" s="1871"/>
      <c r="CH20" s="1869">
        <f t="shared" si="12"/>
        <v>335</v>
      </c>
      <c r="CI20" s="1870"/>
      <c r="CJ20" s="1870"/>
      <c r="CK20" s="1870"/>
      <c r="CL20" s="1870"/>
      <c r="CM20" s="1870"/>
      <c r="CN20" s="1870"/>
      <c r="CO20" s="1870"/>
      <c r="CP20" s="1870"/>
      <c r="CQ20" s="1870"/>
      <c r="CR20" s="1870"/>
      <c r="CS20" s="1871"/>
      <c r="CT20" s="1869">
        <f t="shared" si="15"/>
        <v>353</v>
      </c>
      <c r="CU20" s="1870"/>
      <c r="CV20" s="1870"/>
      <c r="CW20" s="1870"/>
      <c r="CX20" s="1870"/>
      <c r="CY20" s="1870"/>
      <c r="CZ20" s="1870"/>
      <c r="DA20" s="1870"/>
      <c r="DB20" s="1870"/>
      <c r="DC20" s="1870"/>
      <c r="DD20" s="1870"/>
      <c r="DE20" s="1871"/>
      <c r="DF20" s="1869">
        <f t="shared" si="15"/>
        <v>356</v>
      </c>
      <c r="DG20" s="1870"/>
      <c r="DH20" s="1870"/>
      <c r="DI20" s="1870"/>
      <c r="DJ20" s="1870"/>
      <c r="DK20" s="1870"/>
      <c r="DL20" s="1870"/>
      <c r="DM20" s="1870"/>
      <c r="DN20" s="1870"/>
      <c r="DO20" s="1870"/>
      <c r="DP20" s="1870"/>
      <c r="DQ20" s="1871"/>
      <c r="DR20" s="58"/>
      <c r="DS20" s="58"/>
      <c r="DT20" s="58"/>
      <c r="DU20" s="58"/>
      <c r="DV20" s="58"/>
      <c r="DW20" s="58"/>
      <c r="DX20" s="58"/>
      <c r="DY20" s="58"/>
      <c r="DZ20" s="58"/>
      <c r="EA20" s="58"/>
      <c r="EB20" s="58"/>
      <c r="EC20" s="58"/>
      <c r="ED20" s="58"/>
      <c r="EE20" s="58"/>
      <c r="EF20" s="58"/>
      <c r="EG20" s="58"/>
      <c r="EH20" s="58"/>
      <c r="EI20" s="58"/>
      <c r="EJ20" s="58"/>
      <c r="EK20" s="58"/>
      <c r="EL20" s="58"/>
      <c r="EM20" s="58"/>
      <c r="EN20" s="58"/>
      <c r="EO20" s="58"/>
      <c r="EP20" s="58"/>
      <c r="EQ20" s="58"/>
      <c r="ER20" s="58"/>
      <c r="ES20" s="58"/>
      <c r="ET20" s="58"/>
      <c r="EU20" s="58"/>
      <c r="EV20" s="58"/>
      <c r="EW20" s="58"/>
      <c r="EX20" s="58"/>
      <c r="EY20" s="58"/>
      <c r="EZ20" s="58"/>
      <c r="FA20" s="58"/>
    </row>
    <row r="21" spans="1:157" ht="15" thickBot="1">
      <c r="A21" s="1631"/>
      <c r="B21" s="1632"/>
      <c r="C21" s="1632"/>
      <c r="D21" s="1632"/>
      <c r="E21" s="1632"/>
      <c r="F21" s="1632"/>
      <c r="G21" s="1632"/>
      <c r="H21" s="1632"/>
      <c r="I21" s="1632"/>
      <c r="J21" s="1632"/>
      <c r="K21" s="1632"/>
      <c r="L21" s="1632"/>
      <c r="M21" s="1632"/>
      <c r="N21" s="1632"/>
      <c r="O21" s="1632"/>
      <c r="P21" s="1632"/>
      <c r="Q21" s="1632"/>
      <c r="R21" s="1632"/>
      <c r="S21" s="1632"/>
      <c r="T21" s="1632"/>
      <c r="U21" s="1632"/>
      <c r="V21" s="1632"/>
      <c r="W21" s="1632"/>
      <c r="X21" s="1632"/>
      <c r="Y21" s="1632"/>
      <c r="Z21" s="1632"/>
      <c r="AA21" s="1632"/>
      <c r="AB21" s="1632"/>
      <c r="AC21" s="1632"/>
      <c r="AD21" s="1632"/>
      <c r="AE21" s="1632"/>
      <c r="AF21" s="1632"/>
      <c r="AG21" s="1632"/>
      <c r="AH21" s="1632"/>
      <c r="AI21" s="1632"/>
      <c r="AJ21" s="1632"/>
      <c r="AK21" s="1632"/>
      <c r="AL21" s="1632"/>
      <c r="AM21" s="1632"/>
      <c r="AN21" s="1632"/>
      <c r="AO21" s="1632"/>
      <c r="AP21" s="1632"/>
      <c r="AQ21" s="1632"/>
      <c r="AR21" s="1632"/>
      <c r="AS21" s="1632"/>
      <c r="AT21" s="1632"/>
      <c r="AU21" s="1632"/>
      <c r="AV21" s="1632"/>
      <c r="AW21" s="1632"/>
      <c r="AX21" s="1632"/>
      <c r="AY21" s="1632"/>
      <c r="AZ21" s="1632"/>
      <c r="BA21" s="1632"/>
      <c r="BB21" s="1632"/>
      <c r="BC21" s="1632"/>
      <c r="BD21" s="1632"/>
      <c r="BE21" s="1632"/>
      <c r="BF21" s="1632"/>
      <c r="BG21" s="1632"/>
      <c r="BH21" s="1632"/>
      <c r="BI21" s="1632"/>
      <c r="BJ21" s="1632"/>
      <c r="BK21" s="1632"/>
      <c r="BL21" s="1632"/>
      <c r="BM21" s="1632"/>
      <c r="BN21" s="1632"/>
      <c r="BO21" s="1632"/>
      <c r="BP21" s="1632"/>
      <c r="BQ21" s="1632"/>
      <c r="BR21" s="1632"/>
      <c r="BS21" s="1632"/>
      <c r="BT21" s="1632"/>
      <c r="BU21" s="1632"/>
      <c r="BV21" s="1632"/>
      <c r="BW21" s="1632"/>
      <c r="BX21" s="1632"/>
      <c r="BY21" s="1632"/>
      <c r="BZ21" s="1632"/>
      <c r="CA21" s="1632"/>
      <c r="CB21" s="1632"/>
      <c r="CC21" s="1632"/>
      <c r="CD21" s="1632"/>
      <c r="CE21" s="1632"/>
      <c r="CF21" s="1632"/>
      <c r="CG21" s="1632"/>
      <c r="CH21" s="1632"/>
      <c r="CI21" s="1632"/>
      <c r="CJ21" s="1632"/>
      <c r="CK21" s="1632"/>
      <c r="CL21" s="1632"/>
      <c r="CM21" s="1632"/>
      <c r="CN21" s="1632"/>
      <c r="CO21" s="1632"/>
      <c r="CP21" s="1632"/>
      <c r="CQ21" s="1632"/>
      <c r="CR21" s="1632"/>
      <c r="CS21" s="1632"/>
      <c r="CT21" s="1632"/>
      <c r="CU21" s="1632"/>
      <c r="CV21" s="1632"/>
      <c r="CW21" s="1632"/>
      <c r="CX21" s="1632"/>
      <c r="CY21" s="1632"/>
      <c r="CZ21" s="1632"/>
      <c r="DA21" s="1632"/>
      <c r="DB21" s="1632"/>
      <c r="DC21" s="1632"/>
      <c r="DD21" s="1632"/>
      <c r="DE21" s="1632"/>
      <c r="DF21" s="1632"/>
      <c r="DG21" s="1632"/>
      <c r="DH21" s="1632"/>
      <c r="DI21" s="1632"/>
      <c r="DJ21" s="1632"/>
      <c r="DK21" s="1632"/>
      <c r="DL21" s="1632"/>
      <c r="DM21" s="1632"/>
      <c r="DN21" s="1632"/>
      <c r="DO21" s="1632"/>
      <c r="DP21" s="1632"/>
      <c r="DQ21" s="1633"/>
      <c r="DR21" s="58"/>
      <c r="DS21" s="58"/>
      <c r="DT21" s="58"/>
      <c r="DU21" s="58"/>
      <c r="DV21" s="58"/>
      <c r="DW21" s="58"/>
      <c r="DX21" s="58"/>
      <c r="DY21" s="58"/>
      <c r="DZ21" s="58"/>
      <c r="EA21" s="58"/>
      <c r="EB21" s="58"/>
      <c r="EC21" s="58"/>
      <c r="ED21" s="58"/>
      <c r="EE21" s="58"/>
      <c r="EF21" s="58"/>
      <c r="EG21" s="58"/>
      <c r="EH21" s="58"/>
      <c r="EI21" s="58"/>
      <c r="EJ21" s="58"/>
      <c r="EK21" s="58"/>
      <c r="EL21" s="58"/>
      <c r="EM21" s="58"/>
      <c r="EN21" s="58"/>
      <c r="EO21" s="58"/>
      <c r="EP21" s="58"/>
      <c r="EQ21" s="58"/>
      <c r="ER21" s="58"/>
      <c r="ES21" s="58"/>
      <c r="ET21" s="58"/>
      <c r="EU21" s="58"/>
      <c r="EV21" s="58"/>
      <c r="EW21" s="58"/>
      <c r="EX21" s="58"/>
      <c r="EY21" s="58"/>
      <c r="EZ21" s="58"/>
      <c r="FA21" s="58"/>
    </row>
    <row r="22" spans="1:157" ht="15" thickBot="1">
      <c r="A22" s="1070" t="s">
        <v>833</v>
      </c>
      <c r="B22" s="1894">
        <f>SUM(B7:M10)+SUM(B12:M15)</f>
        <v>18</v>
      </c>
      <c r="C22" s="1895"/>
      <c r="D22" s="1895"/>
      <c r="E22" s="1895"/>
      <c r="F22" s="1895"/>
      <c r="G22" s="1895"/>
      <c r="H22" s="1895"/>
      <c r="I22" s="1895"/>
      <c r="J22" s="1895"/>
      <c r="K22" s="1895"/>
      <c r="L22" s="1895"/>
      <c r="M22" s="1896"/>
      <c r="N22" s="1894">
        <f>SUM(N7:Y10)+SUM(N12:Y15)</f>
        <v>15</v>
      </c>
      <c r="O22" s="1895"/>
      <c r="P22" s="1895"/>
      <c r="Q22" s="1895"/>
      <c r="R22" s="1895"/>
      <c r="S22" s="1895"/>
      <c r="T22" s="1895"/>
      <c r="U22" s="1895"/>
      <c r="V22" s="1895"/>
      <c r="W22" s="1895"/>
      <c r="X22" s="1895"/>
      <c r="Y22" s="1896"/>
      <c r="Z22" s="1894">
        <f t="shared" ref="Z22" si="17">SUM(Z7:AK10)+SUM(Z12:AK15)</f>
        <v>29</v>
      </c>
      <c r="AA22" s="1895"/>
      <c r="AB22" s="1895"/>
      <c r="AC22" s="1895"/>
      <c r="AD22" s="1895"/>
      <c r="AE22" s="1895"/>
      <c r="AF22" s="1895"/>
      <c r="AG22" s="1895"/>
      <c r="AH22" s="1895"/>
      <c r="AI22" s="1895"/>
      <c r="AJ22" s="1895"/>
      <c r="AK22" s="1896"/>
      <c r="AL22" s="1894">
        <f t="shared" ref="AL22" si="18">SUM(AL7:AW10)+SUM(AL12:AW15)</f>
        <v>35</v>
      </c>
      <c r="AM22" s="1895"/>
      <c r="AN22" s="1895"/>
      <c r="AO22" s="1895"/>
      <c r="AP22" s="1895"/>
      <c r="AQ22" s="1895"/>
      <c r="AR22" s="1895"/>
      <c r="AS22" s="1895"/>
      <c r="AT22" s="1895"/>
      <c r="AU22" s="1895"/>
      <c r="AV22" s="1895"/>
      <c r="AW22" s="1896"/>
      <c r="AX22" s="1894">
        <f t="shared" ref="AX22" si="19">SUM(AX7:BI10)+SUM(AX12:BI15)</f>
        <v>56</v>
      </c>
      <c r="AY22" s="1895"/>
      <c r="AZ22" s="1895"/>
      <c r="BA22" s="1895"/>
      <c r="BB22" s="1895"/>
      <c r="BC22" s="1895"/>
      <c r="BD22" s="1895"/>
      <c r="BE22" s="1895"/>
      <c r="BF22" s="1895"/>
      <c r="BG22" s="1895"/>
      <c r="BH22" s="1895"/>
      <c r="BI22" s="1896"/>
      <c r="BJ22" s="1894">
        <f t="shared" ref="BJ22" si="20">SUM(BJ7:BU10)+SUM(BJ12:BU15)</f>
        <v>38</v>
      </c>
      <c r="BK22" s="1895"/>
      <c r="BL22" s="1895"/>
      <c r="BM22" s="1895"/>
      <c r="BN22" s="1895"/>
      <c r="BO22" s="1895"/>
      <c r="BP22" s="1895"/>
      <c r="BQ22" s="1895"/>
      <c r="BR22" s="1895"/>
      <c r="BS22" s="1895"/>
      <c r="BT22" s="1895"/>
      <c r="BU22" s="1896"/>
      <c r="BV22" s="1894">
        <f t="shared" ref="BV22" si="21">SUM(BV7:CG10)+SUM(BV12:CG15)</f>
        <v>83</v>
      </c>
      <c r="BW22" s="1895"/>
      <c r="BX22" s="1895"/>
      <c r="BY22" s="1895"/>
      <c r="BZ22" s="1895"/>
      <c r="CA22" s="1895"/>
      <c r="CB22" s="1895"/>
      <c r="CC22" s="1895"/>
      <c r="CD22" s="1895"/>
      <c r="CE22" s="1895"/>
      <c r="CF22" s="1895"/>
      <c r="CG22" s="1896"/>
      <c r="CH22" s="1894">
        <f t="shared" ref="CH22" si="22">SUM(CH7:CS10)+SUM(CH12:CS15)</f>
        <v>56</v>
      </c>
      <c r="CI22" s="1895"/>
      <c r="CJ22" s="1895"/>
      <c r="CK22" s="1895"/>
      <c r="CL22" s="1895"/>
      <c r="CM22" s="1895"/>
      <c r="CN22" s="1895"/>
      <c r="CO22" s="1895"/>
      <c r="CP22" s="1895"/>
      <c r="CQ22" s="1895"/>
      <c r="CR22" s="1895"/>
      <c r="CS22" s="1896"/>
      <c r="CT22" s="1894">
        <f t="shared" ref="CT22" si="23">SUM(CT7:DE10)+SUM(CT12:DE15)</f>
        <v>38</v>
      </c>
      <c r="CU22" s="1895"/>
      <c r="CV22" s="1895"/>
      <c r="CW22" s="1895"/>
      <c r="CX22" s="1895"/>
      <c r="CY22" s="1895"/>
      <c r="CZ22" s="1895"/>
      <c r="DA22" s="1895"/>
      <c r="DB22" s="1895"/>
      <c r="DC22" s="1895"/>
      <c r="DD22" s="1895"/>
      <c r="DE22" s="1896"/>
      <c r="DF22" s="1894">
        <f t="shared" ref="DF22" si="24">SUM(DF7:DQ10)+SUM(DF12:DQ15)</f>
        <v>38</v>
      </c>
      <c r="DG22" s="1895"/>
      <c r="DH22" s="1895"/>
      <c r="DI22" s="1895"/>
      <c r="DJ22" s="1895"/>
      <c r="DK22" s="1895"/>
      <c r="DL22" s="1895"/>
      <c r="DM22" s="1895"/>
      <c r="DN22" s="1895"/>
      <c r="DO22" s="1895"/>
      <c r="DP22" s="1895"/>
      <c r="DQ22" s="1896"/>
    </row>
    <row r="23" spans="1:157" ht="15" thickBot="1">
      <c r="A23" s="351" t="s">
        <v>834</v>
      </c>
      <c r="B23" s="1520">
        <f>365*2-B22</f>
        <v>712</v>
      </c>
      <c r="C23" s="1521"/>
      <c r="D23" s="1521"/>
      <c r="E23" s="1521"/>
      <c r="F23" s="1521"/>
      <c r="G23" s="1521"/>
      <c r="H23" s="1521"/>
      <c r="I23" s="1521"/>
      <c r="J23" s="1521"/>
      <c r="K23" s="1521"/>
      <c r="L23" s="1521"/>
      <c r="M23" s="1522"/>
      <c r="N23" s="1520">
        <f t="shared" ref="N23" si="25">365*2-N22</f>
        <v>715</v>
      </c>
      <c r="O23" s="1521"/>
      <c r="P23" s="1521"/>
      <c r="Q23" s="1521"/>
      <c r="R23" s="1521"/>
      <c r="S23" s="1521"/>
      <c r="T23" s="1521"/>
      <c r="U23" s="1521"/>
      <c r="V23" s="1521"/>
      <c r="W23" s="1521"/>
      <c r="X23" s="1521"/>
      <c r="Y23" s="1522"/>
      <c r="Z23" s="1520">
        <f>365*3-Z22</f>
        <v>1066</v>
      </c>
      <c r="AA23" s="1521"/>
      <c r="AB23" s="1521"/>
      <c r="AC23" s="1521"/>
      <c r="AD23" s="1521"/>
      <c r="AE23" s="1521"/>
      <c r="AF23" s="1521"/>
      <c r="AG23" s="1521"/>
      <c r="AH23" s="1521"/>
      <c r="AI23" s="1521"/>
      <c r="AJ23" s="1521"/>
      <c r="AK23" s="1522"/>
      <c r="AL23" s="1520">
        <f>365*4-AL22</f>
        <v>1425</v>
      </c>
      <c r="AM23" s="1521"/>
      <c r="AN23" s="1521"/>
      <c r="AO23" s="1521"/>
      <c r="AP23" s="1521"/>
      <c r="AQ23" s="1521"/>
      <c r="AR23" s="1521"/>
      <c r="AS23" s="1521"/>
      <c r="AT23" s="1521"/>
      <c r="AU23" s="1521"/>
      <c r="AV23" s="1521"/>
      <c r="AW23" s="1522"/>
      <c r="AX23" s="1520">
        <f t="shared" ref="AX23" si="26">365*4-AX22</f>
        <v>1404</v>
      </c>
      <c r="AY23" s="1521"/>
      <c r="AZ23" s="1521"/>
      <c r="BA23" s="1521"/>
      <c r="BB23" s="1521"/>
      <c r="BC23" s="1521"/>
      <c r="BD23" s="1521"/>
      <c r="BE23" s="1521"/>
      <c r="BF23" s="1521"/>
      <c r="BG23" s="1521"/>
      <c r="BH23" s="1521"/>
      <c r="BI23" s="1522"/>
      <c r="BJ23" s="1520">
        <f t="shared" ref="BJ23" si="27">365*4-BJ22</f>
        <v>1422</v>
      </c>
      <c r="BK23" s="1521"/>
      <c r="BL23" s="1521"/>
      <c r="BM23" s="1521"/>
      <c r="BN23" s="1521"/>
      <c r="BO23" s="1521"/>
      <c r="BP23" s="1521"/>
      <c r="BQ23" s="1521"/>
      <c r="BR23" s="1521"/>
      <c r="BS23" s="1521"/>
      <c r="BT23" s="1521"/>
      <c r="BU23" s="1522"/>
      <c r="BV23" s="1520">
        <f t="shared" ref="BV23" si="28">365*4-BV22</f>
        <v>1377</v>
      </c>
      <c r="BW23" s="1521"/>
      <c r="BX23" s="1521"/>
      <c r="BY23" s="1521"/>
      <c r="BZ23" s="1521"/>
      <c r="CA23" s="1521"/>
      <c r="CB23" s="1521"/>
      <c r="CC23" s="1521"/>
      <c r="CD23" s="1521"/>
      <c r="CE23" s="1521"/>
      <c r="CF23" s="1521"/>
      <c r="CG23" s="1522"/>
      <c r="CH23" s="1520">
        <f t="shared" ref="CH23" si="29">365*4-CH22</f>
        <v>1404</v>
      </c>
      <c r="CI23" s="1521"/>
      <c r="CJ23" s="1521"/>
      <c r="CK23" s="1521"/>
      <c r="CL23" s="1521"/>
      <c r="CM23" s="1521"/>
      <c r="CN23" s="1521"/>
      <c r="CO23" s="1521"/>
      <c r="CP23" s="1521"/>
      <c r="CQ23" s="1521"/>
      <c r="CR23" s="1521"/>
      <c r="CS23" s="1522"/>
      <c r="CT23" s="1520">
        <f t="shared" ref="CT23" si="30">365*4-CT22</f>
        <v>1422</v>
      </c>
      <c r="CU23" s="1521"/>
      <c r="CV23" s="1521"/>
      <c r="CW23" s="1521"/>
      <c r="CX23" s="1521"/>
      <c r="CY23" s="1521"/>
      <c r="CZ23" s="1521"/>
      <c r="DA23" s="1521"/>
      <c r="DB23" s="1521"/>
      <c r="DC23" s="1521"/>
      <c r="DD23" s="1521"/>
      <c r="DE23" s="1522"/>
      <c r="DF23" s="1520">
        <f t="shared" ref="DF23" si="31">365*4-DF22</f>
        <v>1422</v>
      </c>
      <c r="DG23" s="1521"/>
      <c r="DH23" s="1521"/>
      <c r="DI23" s="1521"/>
      <c r="DJ23" s="1521"/>
      <c r="DK23" s="1521"/>
      <c r="DL23" s="1521"/>
      <c r="DM23" s="1521"/>
      <c r="DN23" s="1521"/>
      <c r="DO23" s="1521"/>
      <c r="DP23" s="1521"/>
      <c r="DQ23" s="1522"/>
    </row>
    <row r="29" spans="1:157" ht="15" thickBot="1"/>
    <row r="30" spans="1:157">
      <c r="N30" s="1866" t="s">
        <v>835</v>
      </c>
      <c r="O30" s="1867"/>
      <c r="P30" s="1867"/>
      <c r="Q30" s="1867"/>
      <c r="R30" s="1867"/>
      <c r="S30" s="1867"/>
      <c r="T30" s="1867"/>
      <c r="U30" s="1867"/>
      <c r="V30" s="1867"/>
      <c r="W30" s="1867"/>
      <c r="X30" s="1868"/>
      <c r="AC30" t="s">
        <v>836</v>
      </c>
      <c r="AD30" t="s">
        <v>837</v>
      </c>
      <c r="AE30" t="s">
        <v>838</v>
      </c>
      <c r="AF30" t="s">
        <v>839</v>
      </c>
    </row>
    <row r="31" spans="1:157">
      <c r="N31" s="1864" t="s">
        <v>840</v>
      </c>
      <c r="O31" s="1556"/>
      <c r="P31" s="1556"/>
      <c r="Q31" s="1556"/>
      <c r="R31" s="1556"/>
      <c r="S31" s="1556"/>
      <c r="T31" s="1556"/>
      <c r="U31" s="1556"/>
      <c r="V31" s="1556"/>
      <c r="W31" s="1556"/>
      <c r="X31" s="1865"/>
      <c r="AC31" cm="1">
        <f t="array" ref="AC31:AF150">TRANSPOSE(B17:DQ20)</f>
        <v>357</v>
      </c>
      <c r="AD31">
        <v>355</v>
      </c>
      <c r="AE31" t="str">
        <v>-</v>
      </c>
      <c r="AF31" t="str">
        <v>-</v>
      </c>
    </row>
    <row r="32" spans="1:157">
      <c r="N32" s="1048"/>
      <c r="O32" s="297">
        <v>2023</v>
      </c>
      <c r="P32" s="297">
        <v>2024</v>
      </c>
      <c r="Q32" s="297">
        <v>2025</v>
      </c>
      <c r="R32" s="297">
        <v>2026</v>
      </c>
      <c r="S32" s="297">
        <v>2027</v>
      </c>
      <c r="T32" s="297">
        <v>2028</v>
      </c>
      <c r="U32" s="297">
        <v>2029</v>
      </c>
      <c r="V32" s="297">
        <v>2030</v>
      </c>
      <c r="W32" s="297">
        <v>2031</v>
      </c>
      <c r="X32" s="1049">
        <v>2032</v>
      </c>
      <c r="AC32">
        <v>0</v>
      </c>
      <c r="AD32">
        <v>0</v>
      </c>
      <c r="AE32">
        <v>0</v>
      </c>
      <c r="AF32">
        <v>0</v>
      </c>
    </row>
    <row r="33" spans="1:32">
      <c r="A33" s="268"/>
      <c r="B33" t="s">
        <v>841</v>
      </c>
      <c r="N33" s="1048" t="s">
        <v>842</v>
      </c>
      <c r="O33" s="297">
        <f>B12</f>
        <v>5</v>
      </c>
      <c r="P33" s="297">
        <v>5</v>
      </c>
      <c r="Q33" s="297">
        <v>5</v>
      </c>
      <c r="R33" s="297">
        <v>5</v>
      </c>
      <c r="S33" s="297">
        <v>5</v>
      </c>
      <c r="T33" s="297">
        <v>5</v>
      </c>
      <c r="U33" s="297">
        <f>BV12</f>
        <v>5</v>
      </c>
      <c r="V33" s="297">
        <f>CH12</f>
        <v>5</v>
      </c>
      <c r="W33" s="297">
        <v>5</v>
      </c>
      <c r="X33" s="297">
        <v>5</v>
      </c>
      <c r="AC33">
        <v>0</v>
      </c>
      <c r="AD33">
        <v>0</v>
      </c>
      <c r="AE33">
        <v>0</v>
      </c>
      <c r="AF33">
        <v>0</v>
      </c>
    </row>
    <row r="34" spans="1:32">
      <c r="A34" s="1054"/>
      <c r="B34" t="s">
        <v>843</v>
      </c>
      <c r="N34" s="1048" t="s">
        <v>844</v>
      </c>
      <c r="O34" s="297">
        <v>7</v>
      </c>
      <c r="P34" s="297">
        <v>7</v>
      </c>
      <c r="Q34" s="297">
        <v>7</v>
      </c>
      <c r="R34" s="297">
        <v>7</v>
      </c>
      <c r="S34" s="297">
        <v>7</v>
      </c>
      <c r="T34" s="297">
        <v>7</v>
      </c>
      <c r="U34" s="297">
        <f t="shared" ref="U34:U36" si="32">BV13</f>
        <v>7</v>
      </c>
      <c r="V34" s="297">
        <f t="shared" ref="V34:V36" si="33">CH13</f>
        <v>7</v>
      </c>
      <c r="W34" s="297">
        <v>7</v>
      </c>
      <c r="X34" s="297">
        <v>7</v>
      </c>
      <c r="AC34">
        <v>0</v>
      </c>
      <c r="AD34">
        <v>0</v>
      </c>
      <c r="AE34">
        <v>0</v>
      </c>
      <c r="AF34">
        <v>0</v>
      </c>
    </row>
    <row r="35" spans="1:32">
      <c r="A35" s="1055"/>
      <c r="B35" t="s">
        <v>845</v>
      </c>
      <c r="N35" s="1048" t="s">
        <v>846</v>
      </c>
      <c r="O35" s="297"/>
      <c r="P35" s="297"/>
      <c r="Q35" s="297">
        <v>5</v>
      </c>
      <c r="R35" s="297">
        <v>5</v>
      </c>
      <c r="S35" s="297">
        <v>5</v>
      </c>
      <c r="T35" s="297">
        <v>5</v>
      </c>
      <c r="U35" s="297">
        <f t="shared" si="32"/>
        <v>5</v>
      </c>
      <c r="V35" s="297">
        <f t="shared" si="33"/>
        <v>5</v>
      </c>
      <c r="W35" s="297">
        <v>5</v>
      </c>
      <c r="X35" s="297">
        <v>5</v>
      </c>
      <c r="AC35">
        <v>0</v>
      </c>
      <c r="AD35">
        <v>0</v>
      </c>
      <c r="AE35">
        <v>0</v>
      </c>
      <c r="AF35">
        <v>0</v>
      </c>
    </row>
    <row r="36" spans="1:32">
      <c r="A36" s="1056"/>
      <c r="B36" t="s">
        <v>847</v>
      </c>
      <c r="N36" s="1048" t="s">
        <v>848</v>
      </c>
      <c r="O36" s="297"/>
      <c r="P36" s="297"/>
      <c r="Q36" s="297"/>
      <c r="R36" s="297">
        <v>6</v>
      </c>
      <c r="S36" s="297">
        <v>6</v>
      </c>
      <c r="T36" s="297">
        <v>6</v>
      </c>
      <c r="U36" s="297">
        <f t="shared" si="32"/>
        <v>6</v>
      </c>
      <c r="V36" s="297">
        <f t="shared" si="33"/>
        <v>6</v>
      </c>
      <c r="W36" s="297">
        <v>6</v>
      </c>
      <c r="X36" s="297">
        <v>6</v>
      </c>
      <c r="AC36">
        <v>0</v>
      </c>
      <c r="AD36">
        <v>0</v>
      </c>
      <c r="AE36">
        <v>0</v>
      </c>
      <c r="AF36">
        <v>0</v>
      </c>
    </row>
    <row r="37" spans="1:32" ht="14.45" customHeight="1">
      <c r="N37" s="1864" t="s">
        <v>849</v>
      </c>
      <c r="O37" s="1556"/>
      <c r="P37" s="1556"/>
      <c r="Q37" s="1556"/>
      <c r="R37" s="1556"/>
      <c r="S37" s="1556"/>
      <c r="T37" s="1556"/>
      <c r="U37" s="1556"/>
      <c r="V37" s="1556"/>
      <c r="W37" s="1556"/>
      <c r="X37" s="1865"/>
      <c r="AC37">
        <v>0</v>
      </c>
      <c r="AD37">
        <v>0</v>
      </c>
      <c r="AE37">
        <v>0</v>
      </c>
      <c r="AF37">
        <v>0</v>
      </c>
    </row>
    <row r="38" spans="1:32">
      <c r="N38" s="1048" t="s">
        <v>842</v>
      </c>
      <c r="O38" s="297">
        <v>3</v>
      </c>
      <c r="P38" s="297">
        <v>0</v>
      </c>
      <c r="Q38" s="297">
        <v>3</v>
      </c>
      <c r="R38" s="297">
        <v>3</v>
      </c>
      <c r="S38" s="297">
        <v>3</v>
      </c>
      <c r="T38" s="297">
        <v>3</v>
      </c>
      <c r="U38" s="297">
        <f>BV7</f>
        <v>24</v>
      </c>
      <c r="V38" s="297">
        <f>CH7</f>
        <v>3</v>
      </c>
      <c r="W38" s="297">
        <f>CT7</f>
        <v>3</v>
      </c>
      <c r="X38" s="1049">
        <f>DF7</f>
        <v>3</v>
      </c>
      <c r="AC38">
        <v>0</v>
      </c>
      <c r="AD38">
        <v>0</v>
      </c>
      <c r="AE38">
        <v>0</v>
      </c>
      <c r="AF38">
        <v>0</v>
      </c>
    </row>
    <row r="39" spans="1:32">
      <c r="G39" s="1556" t="s">
        <v>799</v>
      </c>
      <c r="H39" s="1556"/>
      <c r="N39" s="1048" t="s">
        <v>844</v>
      </c>
      <c r="O39" s="297">
        <v>3</v>
      </c>
      <c r="P39" s="297">
        <v>3</v>
      </c>
      <c r="Q39" s="297">
        <v>6</v>
      </c>
      <c r="R39" s="297">
        <v>3</v>
      </c>
      <c r="S39" s="297">
        <v>24</v>
      </c>
      <c r="T39" s="297">
        <v>3</v>
      </c>
      <c r="U39" s="297">
        <f t="shared" ref="U39:U41" si="34">BV8</f>
        <v>6</v>
      </c>
      <c r="V39" s="297">
        <f t="shared" ref="V39:V41" si="35">CH8</f>
        <v>3</v>
      </c>
      <c r="W39" s="297">
        <f t="shared" ref="W39:W41" si="36">CT8</f>
        <v>3</v>
      </c>
      <c r="X39" s="1049">
        <f t="shared" ref="X39:X41" si="37">DF8</f>
        <v>6</v>
      </c>
      <c r="AC39">
        <v>0</v>
      </c>
      <c r="AD39">
        <v>0</v>
      </c>
      <c r="AE39">
        <v>0</v>
      </c>
      <c r="AF39">
        <v>0</v>
      </c>
    </row>
    <row r="40" spans="1:32">
      <c r="F40" t="s">
        <v>850</v>
      </c>
      <c r="G40" s="297" t="s">
        <v>806</v>
      </c>
      <c r="H40" s="297" t="s">
        <v>807</v>
      </c>
      <c r="I40" t="s">
        <v>851</v>
      </c>
      <c r="N40" s="1048" t="s">
        <v>846</v>
      </c>
      <c r="O40" s="297"/>
      <c r="P40" s="297"/>
      <c r="Q40" s="297">
        <v>3</v>
      </c>
      <c r="R40" s="297">
        <v>3</v>
      </c>
      <c r="S40" s="297">
        <v>3</v>
      </c>
      <c r="T40" s="297">
        <v>3</v>
      </c>
      <c r="U40" s="297">
        <f t="shared" si="34"/>
        <v>27</v>
      </c>
      <c r="V40" s="297">
        <f t="shared" si="35"/>
        <v>3</v>
      </c>
      <c r="W40" s="297">
        <f t="shared" si="36"/>
        <v>3</v>
      </c>
      <c r="X40" s="1049">
        <f t="shared" si="37"/>
        <v>3</v>
      </c>
      <c r="AC40">
        <v>0</v>
      </c>
      <c r="AD40">
        <v>0</v>
      </c>
      <c r="AE40">
        <v>0</v>
      </c>
      <c r="AF40">
        <v>0</v>
      </c>
    </row>
    <row r="41" spans="1:32">
      <c r="F41">
        <v>1</v>
      </c>
      <c r="G41" s="297">
        <v>7</v>
      </c>
      <c r="H41" s="297">
        <v>1</v>
      </c>
      <c r="I41" s="1863" t="s">
        <v>852</v>
      </c>
      <c r="N41" s="1048" t="s">
        <v>848</v>
      </c>
      <c r="O41" s="297"/>
      <c r="P41" s="297"/>
      <c r="Q41" s="297"/>
      <c r="R41" s="297">
        <v>3</v>
      </c>
      <c r="S41" s="297">
        <v>3</v>
      </c>
      <c r="T41" s="297">
        <v>6</v>
      </c>
      <c r="U41" s="297">
        <f t="shared" si="34"/>
        <v>3</v>
      </c>
      <c r="V41" s="297">
        <f t="shared" si="35"/>
        <v>24</v>
      </c>
      <c r="W41" s="297">
        <f t="shared" si="36"/>
        <v>6</v>
      </c>
      <c r="X41" s="1049">
        <f t="shared" si="37"/>
        <v>3</v>
      </c>
      <c r="AC41">
        <v>0</v>
      </c>
      <c r="AD41">
        <v>0</v>
      </c>
      <c r="AE41">
        <v>0</v>
      </c>
      <c r="AF41">
        <v>0</v>
      </c>
    </row>
    <row r="42" spans="1:32" ht="15" thickBot="1">
      <c r="F42">
        <v>2</v>
      </c>
      <c r="G42" s="297">
        <v>5</v>
      </c>
      <c r="H42" s="297">
        <v>2</v>
      </c>
      <c r="I42" s="1863"/>
      <c r="N42" s="1050" t="s">
        <v>853</v>
      </c>
      <c r="O42" s="1051">
        <f>SUM(O33:O36)+SUM(O38:O41)</f>
        <v>18</v>
      </c>
      <c r="P42" s="1051">
        <f t="shared" ref="P42:V42" si="38">SUM(P33:P36)+SUM(P38:P41)</f>
        <v>15</v>
      </c>
      <c r="Q42" s="1051">
        <f t="shared" si="38"/>
        <v>29</v>
      </c>
      <c r="R42" s="1051">
        <f t="shared" si="38"/>
        <v>35</v>
      </c>
      <c r="S42" s="1051">
        <f t="shared" si="38"/>
        <v>56</v>
      </c>
      <c r="T42" s="1051">
        <f t="shared" si="38"/>
        <v>38</v>
      </c>
      <c r="U42" s="1051">
        <f t="shared" si="38"/>
        <v>83</v>
      </c>
      <c r="V42" s="1051">
        <f t="shared" si="38"/>
        <v>56</v>
      </c>
      <c r="W42" s="1051">
        <f t="shared" ref="W42:X42" si="39">SUM(W33:W36)+SUM(W38:W41)</f>
        <v>38</v>
      </c>
      <c r="X42" s="1053">
        <f t="shared" si="39"/>
        <v>38</v>
      </c>
      <c r="AC42">
        <v>0</v>
      </c>
      <c r="AD42">
        <v>0</v>
      </c>
      <c r="AE42">
        <v>0</v>
      </c>
      <c r="AF42">
        <v>0</v>
      </c>
    </row>
    <row r="43" spans="1:32">
      <c r="F43">
        <v>3</v>
      </c>
      <c r="G43" s="297">
        <v>5</v>
      </c>
      <c r="H43" s="297">
        <v>6</v>
      </c>
      <c r="I43" s="1863"/>
      <c r="AC43">
        <v>360</v>
      </c>
      <c r="AD43">
        <v>355</v>
      </c>
      <c r="AE43" t="str">
        <v>-</v>
      </c>
      <c r="AF43" t="str">
        <v>-</v>
      </c>
    </row>
    <row r="44" spans="1:32">
      <c r="F44">
        <v>4</v>
      </c>
      <c r="G44" s="297">
        <v>4</v>
      </c>
      <c r="H44" s="297">
        <v>12</v>
      </c>
      <c r="I44" s="1863"/>
      <c r="AC44">
        <v>0</v>
      </c>
      <c r="AD44">
        <v>0</v>
      </c>
      <c r="AE44">
        <v>0</v>
      </c>
      <c r="AF44">
        <v>0</v>
      </c>
    </row>
    <row r="45" spans="1:32">
      <c r="G45" s="297"/>
      <c r="H45" s="297"/>
      <c r="AC45">
        <v>0</v>
      </c>
      <c r="AD45">
        <v>0</v>
      </c>
      <c r="AE45">
        <v>0</v>
      </c>
      <c r="AF45">
        <v>0</v>
      </c>
    </row>
    <row r="46" spans="1:32">
      <c r="G46" s="300" t="s">
        <v>798</v>
      </c>
      <c r="H46" s="300"/>
      <c r="AC46">
        <v>0</v>
      </c>
      <c r="AD46">
        <v>0</v>
      </c>
      <c r="AE46">
        <v>0</v>
      </c>
      <c r="AF46">
        <v>0</v>
      </c>
    </row>
    <row r="47" spans="1:32">
      <c r="F47" t="s">
        <v>850</v>
      </c>
      <c r="G47" s="297" t="s">
        <v>807</v>
      </c>
      <c r="H47" s="297" t="s">
        <v>808</v>
      </c>
      <c r="I47" t="s">
        <v>851</v>
      </c>
      <c r="AC47">
        <v>0</v>
      </c>
      <c r="AD47">
        <v>0</v>
      </c>
      <c r="AE47">
        <v>0</v>
      </c>
      <c r="AF47">
        <v>0</v>
      </c>
    </row>
    <row r="48" spans="1:32">
      <c r="F48">
        <v>1</v>
      </c>
      <c r="G48" s="297">
        <v>12</v>
      </c>
      <c r="H48" s="297">
        <v>20</v>
      </c>
      <c r="I48" s="1036" t="s">
        <v>854</v>
      </c>
      <c r="AC48">
        <v>0</v>
      </c>
      <c r="AD48">
        <v>0</v>
      </c>
      <c r="AE48">
        <v>0</v>
      </c>
      <c r="AF48">
        <v>0</v>
      </c>
    </row>
    <row r="49" spans="2:32">
      <c r="F49">
        <v>2</v>
      </c>
      <c r="G49" s="297">
        <v>9</v>
      </c>
      <c r="H49" s="297">
        <v>7</v>
      </c>
      <c r="I49" s="1036"/>
      <c r="AC49">
        <v>0</v>
      </c>
      <c r="AD49">
        <v>0</v>
      </c>
      <c r="AE49">
        <v>0</v>
      </c>
      <c r="AF49">
        <v>0</v>
      </c>
    </row>
    <row r="50" spans="2:32">
      <c r="F50">
        <v>3</v>
      </c>
      <c r="G50" s="297">
        <v>9</v>
      </c>
      <c r="H50" s="297">
        <v>23</v>
      </c>
      <c r="I50" s="1036"/>
      <c r="AC50">
        <v>0</v>
      </c>
      <c r="AD50">
        <v>0</v>
      </c>
      <c r="AE50">
        <v>0</v>
      </c>
      <c r="AF50">
        <v>0</v>
      </c>
    </row>
    <row r="51" spans="2:32">
      <c r="F51">
        <v>4</v>
      </c>
      <c r="G51" s="297">
        <v>8</v>
      </c>
      <c r="H51" s="297">
        <v>27</v>
      </c>
      <c r="I51" s="1036"/>
      <c r="AC51">
        <v>0</v>
      </c>
      <c r="AD51">
        <v>0</v>
      </c>
      <c r="AE51">
        <v>0</v>
      </c>
      <c r="AF51">
        <v>0</v>
      </c>
    </row>
    <row r="52" spans="2:32">
      <c r="AC52">
        <v>0</v>
      </c>
      <c r="AD52">
        <v>0</v>
      </c>
      <c r="AE52">
        <v>0</v>
      </c>
      <c r="AF52">
        <v>0</v>
      </c>
    </row>
    <row r="53" spans="2:32">
      <c r="AC53">
        <v>0</v>
      </c>
      <c r="AD53">
        <v>0</v>
      </c>
      <c r="AE53">
        <v>0</v>
      </c>
      <c r="AF53">
        <v>0</v>
      </c>
    </row>
    <row r="54" spans="2:32">
      <c r="AC54">
        <v>0</v>
      </c>
      <c r="AD54">
        <v>0</v>
      </c>
      <c r="AE54">
        <v>0</v>
      </c>
      <c r="AF54">
        <v>0</v>
      </c>
    </row>
    <row r="55" spans="2:32">
      <c r="B55" s="1856" t="s">
        <v>706</v>
      </c>
      <c r="C55" s="1857"/>
      <c r="D55" s="1857"/>
      <c r="E55" s="1858"/>
      <c r="F55" s="708">
        <v>2023</v>
      </c>
      <c r="G55" s="708">
        <v>2024</v>
      </c>
      <c r="H55" s="708">
        <v>2025</v>
      </c>
      <c r="I55" s="708">
        <v>2026</v>
      </c>
      <c r="J55" s="708">
        <v>2027</v>
      </c>
      <c r="K55" s="708">
        <v>2028</v>
      </c>
      <c r="L55" s="708">
        <v>2029</v>
      </c>
      <c r="M55" s="708">
        <v>2030</v>
      </c>
      <c r="N55" s="708">
        <v>2031</v>
      </c>
      <c r="O55" s="750">
        <v>2032</v>
      </c>
      <c r="AC55">
        <v>357</v>
      </c>
      <c r="AD55">
        <v>352</v>
      </c>
      <c r="AE55">
        <v>357</v>
      </c>
      <c r="AF55" t="str">
        <v>-</v>
      </c>
    </row>
    <row r="56" spans="2:32">
      <c r="B56" s="1859" t="s">
        <v>829</v>
      </c>
      <c r="C56" s="1860"/>
      <c r="D56" s="1860"/>
      <c r="E56" s="1860"/>
      <c r="F56">
        <f>AC31</f>
        <v>357</v>
      </c>
      <c r="AC56">
        <v>0</v>
      </c>
      <c r="AD56">
        <v>0</v>
      </c>
      <c r="AE56">
        <v>0</v>
      </c>
      <c r="AF56">
        <v>0</v>
      </c>
    </row>
    <row r="57" spans="2:32">
      <c r="B57" s="1691" t="s">
        <v>830</v>
      </c>
      <c r="C57" s="1288"/>
      <c r="D57" s="1288"/>
      <c r="E57" s="1288"/>
      <c r="AC57">
        <v>0</v>
      </c>
      <c r="AD57">
        <v>0</v>
      </c>
      <c r="AE57">
        <v>0</v>
      </c>
      <c r="AF57">
        <v>0</v>
      </c>
    </row>
    <row r="58" spans="2:32">
      <c r="B58" s="1861" t="s">
        <v>831</v>
      </c>
      <c r="C58" s="1862"/>
      <c r="D58" s="1862"/>
      <c r="E58" s="1862"/>
      <c r="AC58">
        <v>0</v>
      </c>
      <c r="AD58">
        <v>0</v>
      </c>
      <c r="AE58">
        <v>0</v>
      </c>
      <c r="AF58">
        <v>0</v>
      </c>
    </row>
    <row r="59" spans="2:32">
      <c r="B59" s="1691" t="s">
        <v>832</v>
      </c>
      <c r="C59" s="1288"/>
      <c r="D59" s="1288"/>
      <c r="E59" s="1288"/>
      <c r="AC59">
        <v>0</v>
      </c>
      <c r="AD59">
        <v>0</v>
      </c>
      <c r="AE59">
        <v>0</v>
      </c>
      <c r="AF59">
        <v>0</v>
      </c>
    </row>
    <row r="60" spans="2:32">
      <c r="AC60">
        <v>0</v>
      </c>
      <c r="AD60">
        <v>0</v>
      </c>
      <c r="AE60">
        <v>0</v>
      </c>
      <c r="AF60">
        <v>0</v>
      </c>
    </row>
    <row r="61" spans="2:32">
      <c r="AC61">
        <v>0</v>
      </c>
      <c r="AD61">
        <v>0</v>
      </c>
      <c r="AE61">
        <v>0</v>
      </c>
      <c r="AF61">
        <v>0</v>
      </c>
    </row>
    <row r="62" spans="2:32">
      <c r="AC62">
        <v>0</v>
      </c>
      <c r="AD62">
        <v>0</v>
      </c>
      <c r="AE62">
        <v>0</v>
      </c>
      <c r="AF62">
        <v>0</v>
      </c>
    </row>
    <row r="63" spans="2:32">
      <c r="AC63">
        <v>0</v>
      </c>
      <c r="AD63">
        <v>0</v>
      </c>
      <c r="AE63">
        <v>0</v>
      </c>
      <c r="AF63">
        <v>0</v>
      </c>
    </row>
    <row r="64" spans="2:32">
      <c r="AC64">
        <v>0</v>
      </c>
      <c r="AD64">
        <v>0</v>
      </c>
      <c r="AE64">
        <v>0</v>
      </c>
      <c r="AF64">
        <v>0</v>
      </c>
    </row>
    <row r="65" spans="29:32">
      <c r="AC65">
        <v>0</v>
      </c>
      <c r="AD65">
        <v>0</v>
      </c>
      <c r="AE65">
        <v>0</v>
      </c>
      <c r="AF65">
        <v>0</v>
      </c>
    </row>
    <row r="66" spans="29:32">
      <c r="AC66">
        <v>0</v>
      </c>
      <c r="AD66">
        <v>0</v>
      </c>
      <c r="AE66">
        <v>0</v>
      </c>
      <c r="AF66">
        <v>0</v>
      </c>
    </row>
    <row r="67" spans="29:32">
      <c r="AC67">
        <v>357</v>
      </c>
      <c r="AD67">
        <v>355</v>
      </c>
      <c r="AE67">
        <v>357</v>
      </c>
      <c r="AF67">
        <v>356</v>
      </c>
    </row>
    <row r="68" spans="29:32">
      <c r="AC68">
        <v>0</v>
      </c>
      <c r="AD68">
        <v>0</v>
      </c>
      <c r="AE68">
        <v>0</v>
      </c>
      <c r="AF68">
        <v>0</v>
      </c>
    </row>
    <row r="69" spans="29:32">
      <c r="AC69">
        <v>0</v>
      </c>
      <c r="AD69">
        <v>0</v>
      </c>
      <c r="AE69">
        <v>0</v>
      </c>
      <c r="AF69">
        <v>0</v>
      </c>
    </row>
    <row r="70" spans="29:32">
      <c r="AC70">
        <v>0</v>
      </c>
      <c r="AD70">
        <v>0</v>
      </c>
      <c r="AE70">
        <v>0</v>
      </c>
      <c r="AF70">
        <v>0</v>
      </c>
    </row>
    <row r="71" spans="29:32">
      <c r="AC71">
        <v>0</v>
      </c>
      <c r="AD71">
        <v>0</v>
      </c>
      <c r="AE71">
        <v>0</v>
      </c>
      <c r="AF71">
        <v>0</v>
      </c>
    </row>
    <row r="72" spans="29:32">
      <c r="AC72">
        <v>0</v>
      </c>
      <c r="AD72">
        <v>0</v>
      </c>
      <c r="AE72">
        <v>0</v>
      </c>
      <c r="AF72">
        <v>0</v>
      </c>
    </row>
    <row r="73" spans="29:32">
      <c r="AC73">
        <v>0</v>
      </c>
      <c r="AD73">
        <v>0</v>
      </c>
      <c r="AE73">
        <v>0</v>
      </c>
      <c r="AF73">
        <v>0</v>
      </c>
    </row>
    <row r="74" spans="29:32">
      <c r="AC74">
        <v>0</v>
      </c>
      <c r="AD74">
        <v>0</v>
      </c>
      <c r="AE74">
        <v>0</v>
      </c>
      <c r="AF74">
        <v>0</v>
      </c>
    </row>
    <row r="75" spans="29:32">
      <c r="AC75">
        <v>0</v>
      </c>
      <c r="AD75">
        <v>0</v>
      </c>
      <c r="AE75">
        <v>0</v>
      </c>
      <c r="AF75">
        <v>0</v>
      </c>
    </row>
    <row r="76" spans="29:32">
      <c r="AC76">
        <v>0</v>
      </c>
      <c r="AD76">
        <v>0</v>
      </c>
      <c r="AE76">
        <v>0</v>
      </c>
      <c r="AF76">
        <v>0</v>
      </c>
    </row>
    <row r="77" spans="29:32">
      <c r="AC77">
        <v>0</v>
      </c>
      <c r="AD77">
        <v>0</v>
      </c>
      <c r="AE77">
        <v>0</v>
      </c>
      <c r="AF77">
        <v>0</v>
      </c>
    </row>
    <row r="78" spans="29:32">
      <c r="AC78">
        <v>0</v>
      </c>
      <c r="AD78">
        <v>0</v>
      </c>
      <c r="AE78">
        <v>0</v>
      </c>
      <c r="AF78">
        <v>0</v>
      </c>
    </row>
    <row r="79" spans="29:32">
      <c r="AC79">
        <v>357</v>
      </c>
      <c r="AD79">
        <v>334</v>
      </c>
      <c r="AE79">
        <v>357</v>
      </c>
      <c r="AF79">
        <v>356</v>
      </c>
    </row>
    <row r="80" spans="29:32">
      <c r="AC80">
        <v>0</v>
      </c>
      <c r="AD80">
        <v>0</v>
      </c>
      <c r="AE80">
        <v>0</v>
      </c>
      <c r="AF80">
        <v>0</v>
      </c>
    </row>
    <row r="81" spans="29:32">
      <c r="AC81">
        <v>0</v>
      </c>
      <c r="AD81">
        <v>0</v>
      </c>
      <c r="AE81">
        <v>0</v>
      </c>
      <c r="AF81">
        <v>0</v>
      </c>
    </row>
    <row r="82" spans="29:32">
      <c r="AC82">
        <v>0</v>
      </c>
      <c r="AD82">
        <v>0</v>
      </c>
      <c r="AE82">
        <v>0</v>
      </c>
      <c r="AF82">
        <v>0</v>
      </c>
    </row>
    <row r="83" spans="29:32">
      <c r="AC83">
        <v>0</v>
      </c>
      <c r="AD83">
        <v>0</v>
      </c>
      <c r="AE83">
        <v>0</v>
      </c>
      <c r="AF83">
        <v>0</v>
      </c>
    </row>
    <row r="84" spans="29:32">
      <c r="AC84">
        <v>0</v>
      </c>
      <c r="AD84">
        <v>0</v>
      </c>
      <c r="AE84">
        <v>0</v>
      </c>
      <c r="AF84">
        <v>0</v>
      </c>
    </row>
    <row r="85" spans="29:32">
      <c r="AC85">
        <v>0</v>
      </c>
      <c r="AD85">
        <v>0</v>
      </c>
      <c r="AE85">
        <v>0</v>
      </c>
      <c r="AF85">
        <v>0</v>
      </c>
    </row>
    <row r="86" spans="29:32">
      <c r="AC86">
        <v>0</v>
      </c>
      <c r="AD86">
        <v>0</v>
      </c>
      <c r="AE86">
        <v>0</v>
      </c>
      <c r="AF86">
        <v>0</v>
      </c>
    </row>
    <row r="87" spans="29:32">
      <c r="AC87">
        <v>0</v>
      </c>
      <c r="AD87">
        <v>0</v>
      </c>
      <c r="AE87">
        <v>0</v>
      </c>
      <c r="AF87">
        <v>0</v>
      </c>
    </row>
    <row r="88" spans="29:32">
      <c r="AC88">
        <v>0</v>
      </c>
      <c r="AD88">
        <v>0</v>
      </c>
      <c r="AE88">
        <v>0</v>
      </c>
      <c r="AF88">
        <v>0</v>
      </c>
    </row>
    <row r="89" spans="29:32">
      <c r="AC89">
        <v>0</v>
      </c>
      <c r="AD89">
        <v>0</v>
      </c>
      <c r="AE89">
        <v>0</v>
      </c>
      <c r="AF89">
        <v>0</v>
      </c>
    </row>
    <row r="90" spans="29:32">
      <c r="AC90">
        <v>0</v>
      </c>
      <c r="AD90">
        <v>0</v>
      </c>
      <c r="AE90">
        <v>0</v>
      </c>
      <c r="AF90">
        <v>0</v>
      </c>
    </row>
    <row r="91" spans="29:32">
      <c r="AC91">
        <v>357</v>
      </c>
      <c r="AD91">
        <v>355</v>
      </c>
      <c r="AE91">
        <v>357</v>
      </c>
      <c r="AF91">
        <v>353</v>
      </c>
    </row>
    <row r="92" spans="29:32">
      <c r="AC92">
        <v>0</v>
      </c>
      <c r="AD92">
        <v>0</v>
      </c>
      <c r="AE92">
        <v>0</v>
      </c>
      <c r="AF92">
        <v>0</v>
      </c>
    </row>
    <row r="93" spans="29:32">
      <c r="AC93">
        <v>0</v>
      </c>
      <c r="AD93">
        <v>0</v>
      </c>
      <c r="AE93">
        <v>0</v>
      </c>
      <c r="AF93">
        <v>0</v>
      </c>
    </row>
    <row r="94" spans="29:32">
      <c r="AC94">
        <v>0</v>
      </c>
      <c r="AD94">
        <v>0</v>
      </c>
      <c r="AE94">
        <v>0</v>
      </c>
      <c r="AF94">
        <v>0</v>
      </c>
    </row>
    <row r="95" spans="29:32">
      <c r="AC95">
        <v>0</v>
      </c>
      <c r="AD95">
        <v>0</v>
      </c>
      <c r="AE95">
        <v>0</v>
      </c>
      <c r="AF95">
        <v>0</v>
      </c>
    </row>
    <row r="96" spans="29:32">
      <c r="AC96">
        <v>0</v>
      </c>
      <c r="AD96">
        <v>0</v>
      </c>
      <c r="AE96">
        <v>0</v>
      </c>
      <c r="AF96">
        <v>0</v>
      </c>
    </row>
    <row r="97" spans="29:32">
      <c r="AC97">
        <v>0</v>
      </c>
      <c r="AD97">
        <v>0</v>
      </c>
      <c r="AE97">
        <v>0</v>
      </c>
      <c r="AF97">
        <v>0</v>
      </c>
    </row>
    <row r="98" spans="29:32">
      <c r="AC98">
        <v>0</v>
      </c>
      <c r="AD98">
        <v>0</v>
      </c>
      <c r="AE98">
        <v>0</v>
      </c>
      <c r="AF98">
        <v>0</v>
      </c>
    </row>
    <row r="99" spans="29:32">
      <c r="AC99">
        <v>0</v>
      </c>
      <c r="AD99">
        <v>0</v>
      </c>
      <c r="AE99">
        <v>0</v>
      </c>
      <c r="AF99">
        <v>0</v>
      </c>
    </row>
    <row r="100" spans="29:32">
      <c r="AC100">
        <v>0</v>
      </c>
      <c r="AD100">
        <v>0</v>
      </c>
      <c r="AE100">
        <v>0</v>
      </c>
      <c r="AF100">
        <v>0</v>
      </c>
    </row>
    <row r="101" spans="29:32">
      <c r="AC101">
        <v>0</v>
      </c>
      <c r="AD101">
        <v>0</v>
      </c>
      <c r="AE101">
        <v>0</v>
      </c>
      <c r="AF101">
        <v>0</v>
      </c>
    </row>
    <row r="102" spans="29:32">
      <c r="AC102">
        <v>0</v>
      </c>
      <c r="AD102">
        <v>0</v>
      </c>
      <c r="AE102">
        <v>0</v>
      </c>
      <c r="AF102">
        <v>0</v>
      </c>
    </row>
    <row r="103" spans="29:32">
      <c r="AC103">
        <v>336</v>
      </c>
      <c r="AD103">
        <v>352</v>
      </c>
      <c r="AE103">
        <v>333</v>
      </c>
      <c r="AF103">
        <v>356</v>
      </c>
    </row>
    <row r="104" spans="29:32">
      <c r="AC104">
        <v>0</v>
      </c>
      <c r="AD104">
        <v>0</v>
      </c>
      <c r="AE104">
        <v>0</v>
      </c>
      <c r="AF104">
        <v>0</v>
      </c>
    </row>
    <row r="105" spans="29:32">
      <c r="AC105">
        <v>0</v>
      </c>
      <c r="AD105">
        <v>0</v>
      </c>
      <c r="AE105">
        <v>0</v>
      </c>
      <c r="AF105">
        <v>0</v>
      </c>
    </row>
    <row r="106" spans="29:32">
      <c r="AC106">
        <v>0</v>
      </c>
      <c r="AD106">
        <v>0</v>
      </c>
      <c r="AE106">
        <v>0</v>
      </c>
      <c r="AF106">
        <v>0</v>
      </c>
    </row>
    <row r="107" spans="29:32">
      <c r="AC107">
        <v>0</v>
      </c>
      <c r="AD107">
        <v>0</v>
      </c>
      <c r="AE107">
        <v>0</v>
      </c>
      <c r="AF107">
        <v>0</v>
      </c>
    </row>
    <row r="108" spans="29:32">
      <c r="AC108">
        <v>0</v>
      </c>
      <c r="AD108">
        <v>0</v>
      </c>
      <c r="AE108">
        <v>0</v>
      </c>
      <c r="AF108">
        <v>0</v>
      </c>
    </row>
    <row r="109" spans="29:32">
      <c r="AC109">
        <v>0</v>
      </c>
      <c r="AD109">
        <v>0</v>
      </c>
      <c r="AE109">
        <v>0</v>
      </c>
      <c r="AF109">
        <v>0</v>
      </c>
    </row>
    <row r="110" spans="29:32">
      <c r="AC110">
        <v>0</v>
      </c>
      <c r="AD110">
        <v>0</v>
      </c>
      <c r="AE110">
        <v>0</v>
      </c>
      <c r="AF110">
        <v>0</v>
      </c>
    </row>
    <row r="111" spans="29:32">
      <c r="AC111">
        <v>0</v>
      </c>
      <c r="AD111">
        <v>0</v>
      </c>
      <c r="AE111">
        <v>0</v>
      </c>
      <c r="AF111">
        <v>0</v>
      </c>
    </row>
    <row r="112" spans="29:32">
      <c r="AC112">
        <v>0</v>
      </c>
      <c r="AD112">
        <v>0</v>
      </c>
      <c r="AE112">
        <v>0</v>
      </c>
      <c r="AF112">
        <v>0</v>
      </c>
    </row>
    <row r="113" spans="29:32">
      <c r="AC113">
        <v>0</v>
      </c>
      <c r="AD113">
        <v>0</v>
      </c>
      <c r="AE113">
        <v>0</v>
      </c>
      <c r="AF113">
        <v>0</v>
      </c>
    </row>
    <row r="114" spans="29:32">
      <c r="AC114">
        <v>0</v>
      </c>
      <c r="AD114">
        <v>0</v>
      </c>
      <c r="AE114">
        <v>0</v>
      </c>
      <c r="AF114">
        <v>0</v>
      </c>
    </row>
    <row r="115" spans="29:32">
      <c r="AC115">
        <v>357</v>
      </c>
      <c r="AD115">
        <v>355</v>
      </c>
      <c r="AE115">
        <v>357</v>
      </c>
      <c r="AF115">
        <v>335</v>
      </c>
    </row>
    <row r="116" spans="29:32">
      <c r="AC116">
        <v>0</v>
      </c>
      <c r="AD116">
        <v>0</v>
      </c>
      <c r="AE116">
        <v>0</v>
      </c>
      <c r="AF116">
        <v>0</v>
      </c>
    </row>
    <row r="117" spans="29:32">
      <c r="AC117">
        <v>0</v>
      </c>
      <c r="AD117">
        <v>0</v>
      </c>
      <c r="AE117">
        <v>0</v>
      </c>
      <c r="AF117">
        <v>0</v>
      </c>
    </row>
    <row r="118" spans="29:32">
      <c r="AC118">
        <v>0</v>
      </c>
      <c r="AD118">
        <v>0</v>
      </c>
      <c r="AE118">
        <v>0</v>
      </c>
      <c r="AF118">
        <v>0</v>
      </c>
    </row>
    <row r="119" spans="29:32">
      <c r="AC119">
        <v>0</v>
      </c>
      <c r="AD119">
        <v>0</v>
      </c>
      <c r="AE119">
        <v>0</v>
      </c>
      <c r="AF119">
        <v>0</v>
      </c>
    </row>
    <row r="120" spans="29:32">
      <c r="AC120">
        <v>0</v>
      </c>
      <c r="AD120">
        <v>0</v>
      </c>
      <c r="AE120">
        <v>0</v>
      </c>
      <c r="AF120">
        <v>0</v>
      </c>
    </row>
    <row r="121" spans="29:32">
      <c r="AC121">
        <v>0</v>
      </c>
      <c r="AD121">
        <v>0</v>
      </c>
      <c r="AE121">
        <v>0</v>
      </c>
      <c r="AF121">
        <v>0</v>
      </c>
    </row>
    <row r="122" spans="29:32">
      <c r="AC122">
        <v>0</v>
      </c>
      <c r="AD122">
        <v>0</v>
      </c>
      <c r="AE122">
        <v>0</v>
      </c>
      <c r="AF122">
        <v>0</v>
      </c>
    </row>
    <row r="123" spans="29:32">
      <c r="AC123">
        <v>0</v>
      </c>
      <c r="AD123">
        <v>0</v>
      </c>
      <c r="AE123">
        <v>0</v>
      </c>
      <c r="AF123">
        <v>0</v>
      </c>
    </row>
    <row r="124" spans="29:32">
      <c r="AC124">
        <v>0</v>
      </c>
      <c r="AD124">
        <v>0</v>
      </c>
      <c r="AE124">
        <v>0</v>
      </c>
      <c r="AF124">
        <v>0</v>
      </c>
    </row>
    <row r="125" spans="29:32">
      <c r="AC125">
        <v>0</v>
      </c>
      <c r="AD125">
        <v>0</v>
      </c>
      <c r="AE125">
        <v>0</v>
      </c>
      <c r="AF125">
        <v>0</v>
      </c>
    </row>
    <row r="126" spans="29:32">
      <c r="AC126">
        <v>0</v>
      </c>
      <c r="AD126">
        <v>0</v>
      </c>
      <c r="AE126">
        <v>0</v>
      </c>
      <c r="AF126">
        <v>0</v>
      </c>
    </row>
    <row r="127" spans="29:32">
      <c r="AC127">
        <v>357</v>
      </c>
      <c r="AD127">
        <v>355</v>
      </c>
      <c r="AE127">
        <v>357</v>
      </c>
      <c r="AF127">
        <v>353</v>
      </c>
    </row>
    <row r="128" spans="29:32">
      <c r="AC128">
        <v>0</v>
      </c>
      <c r="AD128">
        <v>0</v>
      </c>
      <c r="AE128">
        <v>0</v>
      </c>
      <c r="AF128">
        <v>0</v>
      </c>
    </row>
    <row r="129" spans="29:32">
      <c r="AC129">
        <v>0</v>
      </c>
      <c r="AD129">
        <v>0</v>
      </c>
      <c r="AE129">
        <v>0</v>
      </c>
      <c r="AF129">
        <v>0</v>
      </c>
    </row>
    <row r="130" spans="29:32">
      <c r="AC130">
        <v>0</v>
      </c>
      <c r="AD130">
        <v>0</v>
      </c>
      <c r="AE130">
        <v>0</v>
      </c>
      <c r="AF130">
        <v>0</v>
      </c>
    </row>
    <row r="131" spans="29:32">
      <c r="AC131">
        <v>0</v>
      </c>
      <c r="AD131">
        <v>0</v>
      </c>
      <c r="AE131">
        <v>0</v>
      </c>
      <c r="AF131">
        <v>0</v>
      </c>
    </row>
    <row r="132" spans="29:32">
      <c r="AC132">
        <v>0</v>
      </c>
      <c r="AD132">
        <v>0</v>
      </c>
      <c r="AE132">
        <v>0</v>
      </c>
      <c r="AF132">
        <v>0</v>
      </c>
    </row>
    <row r="133" spans="29:32">
      <c r="AC133">
        <v>0</v>
      </c>
      <c r="AD133">
        <v>0</v>
      </c>
      <c r="AE133">
        <v>0</v>
      </c>
      <c r="AF133">
        <v>0</v>
      </c>
    </row>
    <row r="134" spans="29:32">
      <c r="AC134">
        <v>0</v>
      </c>
      <c r="AD134">
        <v>0</v>
      </c>
      <c r="AE134">
        <v>0</v>
      </c>
      <c r="AF134">
        <v>0</v>
      </c>
    </row>
    <row r="135" spans="29:32">
      <c r="AC135">
        <v>0</v>
      </c>
      <c r="AD135">
        <v>0</v>
      </c>
      <c r="AE135">
        <v>0</v>
      </c>
      <c r="AF135">
        <v>0</v>
      </c>
    </row>
    <row r="136" spans="29:32">
      <c r="AC136">
        <v>0</v>
      </c>
      <c r="AD136">
        <v>0</v>
      </c>
      <c r="AE136">
        <v>0</v>
      </c>
      <c r="AF136">
        <v>0</v>
      </c>
    </row>
    <row r="137" spans="29:32">
      <c r="AC137">
        <v>0</v>
      </c>
      <c r="AD137">
        <v>0</v>
      </c>
      <c r="AE137">
        <v>0</v>
      </c>
      <c r="AF137">
        <v>0</v>
      </c>
    </row>
    <row r="138" spans="29:32">
      <c r="AC138">
        <v>0</v>
      </c>
      <c r="AD138">
        <v>0</v>
      </c>
      <c r="AE138">
        <v>0</v>
      </c>
      <c r="AF138">
        <v>0</v>
      </c>
    </row>
    <row r="139" spans="29:32">
      <c r="AC139">
        <v>357</v>
      </c>
      <c r="AD139">
        <v>352</v>
      </c>
      <c r="AE139">
        <v>357</v>
      </c>
      <c r="AF139">
        <v>356</v>
      </c>
    </row>
    <row r="140" spans="29:32">
      <c r="AC140">
        <v>0</v>
      </c>
      <c r="AD140">
        <v>0</v>
      </c>
      <c r="AE140">
        <v>0</v>
      </c>
      <c r="AF140">
        <v>0</v>
      </c>
    </row>
    <row r="141" spans="29:32">
      <c r="AC141">
        <v>0</v>
      </c>
      <c r="AD141">
        <v>0</v>
      </c>
      <c r="AE141">
        <v>0</v>
      </c>
      <c r="AF141">
        <v>0</v>
      </c>
    </row>
    <row r="142" spans="29:32">
      <c r="AC142">
        <v>0</v>
      </c>
      <c r="AD142">
        <v>0</v>
      </c>
      <c r="AE142">
        <v>0</v>
      </c>
      <c r="AF142">
        <v>0</v>
      </c>
    </row>
    <row r="143" spans="29:32">
      <c r="AC143">
        <v>0</v>
      </c>
      <c r="AD143">
        <v>0</v>
      </c>
      <c r="AE143">
        <v>0</v>
      </c>
      <c r="AF143">
        <v>0</v>
      </c>
    </row>
    <row r="144" spans="29:32">
      <c r="AC144">
        <v>0</v>
      </c>
      <c r="AD144">
        <v>0</v>
      </c>
      <c r="AE144">
        <v>0</v>
      </c>
      <c r="AF144">
        <v>0</v>
      </c>
    </row>
    <row r="145" spans="29:32">
      <c r="AC145">
        <v>0</v>
      </c>
      <c r="AD145">
        <v>0</v>
      </c>
      <c r="AE145">
        <v>0</v>
      </c>
      <c r="AF145">
        <v>0</v>
      </c>
    </row>
    <row r="146" spans="29:32">
      <c r="AC146">
        <v>0</v>
      </c>
      <c r="AD146">
        <v>0</v>
      </c>
      <c r="AE146">
        <v>0</v>
      </c>
      <c r="AF146">
        <v>0</v>
      </c>
    </row>
    <row r="147" spans="29:32">
      <c r="AC147">
        <v>0</v>
      </c>
      <c r="AD147">
        <v>0</v>
      </c>
      <c r="AE147">
        <v>0</v>
      </c>
      <c r="AF147">
        <v>0</v>
      </c>
    </row>
    <row r="148" spans="29:32">
      <c r="AC148">
        <v>0</v>
      </c>
      <c r="AD148">
        <v>0</v>
      </c>
      <c r="AE148">
        <v>0</v>
      </c>
      <c r="AF148">
        <v>0</v>
      </c>
    </row>
    <row r="149" spans="29:32">
      <c r="AC149">
        <v>0</v>
      </c>
      <c r="AD149">
        <v>0</v>
      </c>
      <c r="AE149">
        <v>0</v>
      </c>
      <c r="AF149">
        <v>0</v>
      </c>
    </row>
    <row r="150" spans="29:32">
      <c r="AC150">
        <v>0</v>
      </c>
      <c r="AD150">
        <v>0</v>
      </c>
      <c r="AE150">
        <v>0</v>
      </c>
      <c r="AF150">
        <v>0</v>
      </c>
    </row>
  </sheetData>
  <mergeCells count="165">
    <mergeCell ref="BJ10:BU10"/>
    <mergeCell ref="BV22:CG22"/>
    <mergeCell ref="CH22:CS22"/>
    <mergeCell ref="CT22:DE22"/>
    <mergeCell ref="DF22:DQ22"/>
    <mergeCell ref="B22:M22"/>
    <mergeCell ref="N22:Y22"/>
    <mergeCell ref="Z22:AK22"/>
    <mergeCell ref="AL22:AW22"/>
    <mergeCell ref="AX22:BI22"/>
    <mergeCell ref="BJ22:BU22"/>
    <mergeCell ref="AX10:BI10"/>
    <mergeCell ref="BV10:CG10"/>
    <mergeCell ref="CH10:CS10"/>
    <mergeCell ref="CT10:DE10"/>
    <mergeCell ref="DF10:DQ10"/>
    <mergeCell ref="DF15:DQ15"/>
    <mergeCell ref="AX14:BI14"/>
    <mergeCell ref="BJ14:BU14"/>
    <mergeCell ref="BV12:CG12"/>
    <mergeCell ref="CH12:CS12"/>
    <mergeCell ref="Z12:AK12"/>
    <mergeCell ref="AL12:AW12"/>
    <mergeCell ref="AX12:BI12"/>
    <mergeCell ref="AL8:AW8"/>
    <mergeCell ref="DF8:DQ8"/>
    <mergeCell ref="CT7:DE7"/>
    <mergeCell ref="DF7:DQ7"/>
    <mergeCell ref="B8:M8"/>
    <mergeCell ref="Z9:AK9"/>
    <mergeCell ref="AX7:BI7"/>
    <mergeCell ref="BJ7:BU7"/>
    <mergeCell ref="BV7:CG7"/>
    <mergeCell ref="CH7:CS7"/>
    <mergeCell ref="AX8:BI8"/>
    <mergeCell ref="BJ8:BU8"/>
    <mergeCell ref="BV8:CG8"/>
    <mergeCell ref="CH8:CS8"/>
    <mergeCell ref="CT8:DE8"/>
    <mergeCell ref="AX9:BI9"/>
    <mergeCell ref="BJ9:BU9"/>
    <mergeCell ref="BV9:CG9"/>
    <mergeCell ref="CH9:CS9"/>
    <mergeCell ref="CT9:DE9"/>
    <mergeCell ref="DF9:DQ9"/>
    <mergeCell ref="B7:M7"/>
    <mergeCell ref="N7:Y7"/>
    <mergeCell ref="Z7:AK7"/>
    <mergeCell ref="AL7:AW7"/>
    <mergeCell ref="G39:H39"/>
    <mergeCell ref="B9:M9"/>
    <mergeCell ref="B10:M10"/>
    <mergeCell ref="N9:Y9"/>
    <mergeCell ref="N10:Y10"/>
    <mergeCell ref="Z10:AK10"/>
    <mergeCell ref="B12:M12"/>
    <mergeCell ref="B13:M13"/>
    <mergeCell ref="B14:M14"/>
    <mergeCell ref="B15:M15"/>
    <mergeCell ref="AL10:AW10"/>
    <mergeCell ref="N8:Y8"/>
    <mergeCell ref="AL9:AW9"/>
    <mergeCell ref="N14:Y14"/>
    <mergeCell ref="Z14:AK14"/>
    <mergeCell ref="AL14:AW14"/>
    <mergeCell ref="A11:DQ11"/>
    <mergeCell ref="AL15:AW15"/>
    <mergeCell ref="AX15:BI15"/>
    <mergeCell ref="Z8:AK8"/>
    <mergeCell ref="CT12:DE12"/>
    <mergeCell ref="DF12:DQ12"/>
    <mergeCell ref="N12:Y12"/>
    <mergeCell ref="ED1:EO1"/>
    <mergeCell ref="B1:M1"/>
    <mergeCell ref="N1:Y1"/>
    <mergeCell ref="Z1:AK1"/>
    <mergeCell ref="AL1:AW1"/>
    <mergeCell ref="AX1:BI1"/>
    <mergeCell ref="BJ1:BU1"/>
    <mergeCell ref="BV1:CG1"/>
    <mergeCell ref="CH1:CS1"/>
    <mergeCell ref="CT1:DE1"/>
    <mergeCell ref="DF1:DQ1"/>
    <mergeCell ref="DR1:EC1"/>
    <mergeCell ref="BJ12:BU12"/>
    <mergeCell ref="AL23:AW23"/>
    <mergeCell ref="AX23:BI23"/>
    <mergeCell ref="AX13:BI13"/>
    <mergeCell ref="AL13:AW13"/>
    <mergeCell ref="Z13:AK13"/>
    <mergeCell ref="N13:Y13"/>
    <mergeCell ref="DF13:DQ13"/>
    <mergeCell ref="CT13:DE13"/>
    <mergeCell ref="CH13:CS13"/>
    <mergeCell ref="BV13:CG13"/>
    <mergeCell ref="BJ13:BU13"/>
    <mergeCell ref="BV14:CG14"/>
    <mergeCell ref="CH14:CS14"/>
    <mergeCell ref="CT14:DE14"/>
    <mergeCell ref="DF14:DQ14"/>
    <mergeCell ref="N15:Y15"/>
    <mergeCell ref="Z15:AK15"/>
    <mergeCell ref="BJ15:BU15"/>
    <mergeCell ref="BV15:CG15"/>
    <mergeCell ref="CH15:CS15"/>
    <mergeCell ref="CT15:DE15"/>
    <mergeCell ref="A16:DQ16"/>
    <mergeCell ref="B17:M17"/>
    <mergeCell ref="N17:Y17"/>
    <mergeCell ref="Z17:AK17"/>
    <mergeCell ref="AL17:AW17"/>
    <mergeCell ref="AX17:BI17"/>
    <mergeCell ref="BJ17:BU17"/>
    <mergeCell ref="BV17:CG17"/>
    <mergeCell ref="CH17:CS17"/>
    <mergeCell ref="CT17:DE17"/>
    <mergeCell ref="DF17:DQ17"/>
    <mergeCell ref="BJ18:BU18"/>
    <mergeCell ref="BV18:CG18"/>
    <mergeCell ref="CH18:CS18"/>
    <mergeCell ref="CT18:DE18"/>
    <mergeCell ref="DF18:DQ18"/>
    <mergeCell ref="B18:M18"/>
    <mergeCell ref="N18:Y18"/>
    <mergeCell ref="Z18:AK18"/>
    <mergeCell ref="AL18:AW18"/>
    <mergeCell ref="AX18:BI18"/>
    <mergeCell ref="BJ19:BU19"/>
    <mergeCell ref="BV19:CG19"/>
    <mergeCell ref="CH19:CS19"/>
    <mergeCell ref="CT19:DE19"/>
    <mergeCell ref="DF19:DQ19"/>
    <mergeCell ref="B19:M19"/>
    <mergeCell ref="N19:Y19"/>
    <mergeCell ref="Z19:AK19"/>
    <mergeCell ref="AL19:AW19"/>
    <mergeCell ref="AX19:BI19"/>
    <mergeCell ref="BJ20:BU20"/>
    <mergeCell ref="BV20:CG20"/>
    <mergeCell ref="CH20:CS20"/>
    <mergeCell ref="CT20:DE20"/>
    <mergeCell ref="DF20:DQ20"/>
    <mergeCell ref="B20:M20"/>
    <mergeCell ref="N20:Y20"/>
    <mergeCell ref="Z20:AK20"/>
    <mergeCell ref="AL20:AW20"/>
    <mergeCell ref="AX20:BI20"/>
    <mergeCell ref="B59:E59"/>
    <mergeCell ref="A21:DQ21"/>
    <mergeCell ref="B55:E55"/>
    <mergeCell ref="B56:E56"/>
    <mergeCell ref="B57:E57"/>
    <mergeCell ref="B58:E58"/>
    <mergeCell ref="BJ23:BU23"/>
    <mergeCell ref="BV23:CG23"/>
    <mergeCell ref="CH23:CS23"/>
    <mergeCell ref="CT23:DE23"/>
    <mergeCell ref="DF23:DQ23"/>
    <mergeCell ref="B23:M23"/>
    <mergeCell ref="N23:Y23"/>
    <mergeCell ref="Z23:AK23"/>
    <mergeCell ref="I41:I44"/>
    <mergeCell ref="N37:X37"/>
    <mergeCell ref="N31:X31"/>
    <mergeCell ref="N30:X30"/>
  </mergeCells>
  <phoneticPr fontId="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09B-D52D-415A-8035-6B537ED1E068}">
  <dimension ref="C2:M24"/>
  <sheetViews>
    <sheetView topLeftCell="A11" workbookViewId="0">
      <selection activeCell="C21" sqref="C21:M24"/>
    </sheetView>
  </sheetViews>
  <sheetFormatPr defaultRowHeight="14.45"/>
  <sheetData>
    <row r="2" spans="4:13">
      <c r="E2" t="s">
        <v>489</v>
      </c>
      <c r="F2" t="s">
        <v>490</v>
      </c>
      <c r="G2" t="s">
        <v>491</v>
      </c>
      <c r="H2" t="s">
        <v>492</v>
      </c>
    </row>
    <row r="3" spans="4:13">
      <c r="E3">
        <v>357</v>
      </c>
      <c r="F3">
        <v>355</v>
      </c>
      <c r="G3" t="s">
        <v>116</v>
      </c>
      <c r="H3" t="s">
        <v>116</v>
      </c>
    </row>
    <row r="4" spans="4:13">
      <c r="E4">
        <v>360</v>
      </c>
      <c r="F4">
        <v>355</v>
      </c>
      <c r="G4" t="s">
        <v>116</v>
      </c>
      <c r="H4" t="s">
        <v>116</v>
      </c>
    </row>
    <row r="5" spans="4:13">
      <c r="E5">
        <v>357</v>
      </c>
      <c r="F5">
        <v>352</v>
      </c>
      <c r="G5">
        <v>357</v>
      </c>
      <c r="H5" t="s">
        <v>116</v>
      </c>
    </row>
    <row r="6" spans="4:13">
      <c r="E6">
        <v>357</v>
      </c>
      <c r="F6">
        <v>355</v>
      </c>
      <c r="G6">
        <v>357</v>
      </c>
      <c r="H6">
        <v>356</v>
      </c>
    </row>
    <row r="7" spans="4:13">
      <c r="E7">
        <v>357</v>
      </c>
      <c r="F7">
        <v>334</v>
      </c>
      <c r="G7">
        <v>357</v>
      </c>
      <c r="H7">
        <v>356</v>
      </c>
    </row>
    <row r="8" spans="4:13">
      <c r="E8">
        <v>357</v>
      </c>
      <c r="F8">
        <v>355</v>
      </c>
      <c r="G8">
        <v>357</v>
      </c>
      <c r="H8">
        <v>353</v>
      </c>
    </row>
    <row r="9" spans="4:13">
      <c r="E9">
        <v>336</v>
      </c>
      <c r="F9">
        <v>352</v>
      </c>
      <c r="G9">
        <v>333</v>
      </c>
      <c r="H9">
        <v>356</v>
      </c>
    </row>
    <row r="10" spans="4:13">
      <c r="E10">
        <v>357</v>
      </c>
      <c r="F10">
        <v>355</v>
      </c>
      <c r="G10">
        <v>357</v>
      </c>
      <c r="H10">
        <v>335</v>
      </c>
    </row>
    <row r="11" spans="4:13">
      <c r="E11">
        <v>357</v>
      </c>
      <c r="F11">
        <v>355</v>
      </c>
      <c r="G11">
        <v>357</v>
      </c>
      <c r="H11">
        <v>353</v>
      </c>
    </row>
    <row r="12" spans="4:13">
      <c r="E12">
        <v>357</v>
      </c>
      <c r="F12">
        <v>352</v>
      </c>
      <c r="G12">
        <v>357</v>
      </c>
      <c r="H12">
        <v>356</v>
      </c>
    </row>
    <row r="16" spans="4:13">
      <c r="D16" cm="1">
        <f t="array" ref="D16:M19">TRANSPOSE(E3:H12)</f>
        <v>357</v>
      </c>
      <c r="E16">
        <v>360</v>
      </c>
      <c r="F16">
        <v>357</v>
      </c>
      <c r="G16">
        <v>357</v>
      </c>
      <c r="H16">
        <v>357</v>
      </c>
      <c r="I16">
        <v>357</v>
      </c>
      <c r="J16">
        <v>336</v>
      </c>
      <c r="K16">
        <v>357</v>
      </c>
      <c r="L16">
        <v>357</v>
      </c>
      <c r="M16">
        <v>357</v>
      </c>
    </row>
    <row r="17" spans="3:13">
      <c r="D17">
        <v>355</v>
      </c>
      <c r="E17">
        <v>355</v>
      </c>
      <c r="F17">
        <v>352</v>
      </c>
      <c r="G17">
        <v>355</v>
      </c>
      <c r="H17">
        <v>334</v>
      </c>
      <c r="I17">
        <v>355</v>
      </c>
      <c r="J17">
        <v>352</v>
      </c>
      <c r="K17">
        <v>355</v>
      </c>
      <c r="L17">
        <v>355</v>
      </c>
      <c r="M17">
        <v>352</v>
      </c>
    </row>
    <row r="18" spans="3:13">
      <c r="D18" t="str">
        <v>-</v>
      </c>
      <c r="E18" t="str">
        <v>-</v>
      </c>
      <c r="F18">
        <v>357</v>
      </c>
      <c r="G18">
        <v>357</v>
      </c>
      <c r="H18">
        <v>357</v>
      </c>
      <c r="I18">
        <v>357</v>
      </c>
      <c r="J18">
        <v>333</v>
      </c>
      <c r="K18">
        <v>357</v>
      </c>
      <c r="L18">
        <v>357</v>
      </c>
      <c r="M18">
        <v>357</v>
      </c>
    </row>
    <row r="19" spans="3:13">
      <c r="D19" t="str">
        <v>-</v>
      </c>
      <c r="E19" t="str">
        <v>-</v>
      </c>
      <c r="F19" t="str">
        <v>-</v>
      </c>
      <c r="G19">
        <v>356</v>
      </c>
      <c r="H19">
        <v>356</v>
      </c>
      <c r="I19">
        <v>353</v>
      </c>
      <c r="J19">
        <v>356</v>
      </c>
      <c r="K19">
        <v>335</v>
      </c>
      <c r="L19">
        <v>353</v>
      </c>
      <c r="M19">
        <v>356</v>
      </c>
    </row>
    <row r="21" spans="3:13">
      <c r="C21" t="s">
        <v>489</v>
      </c>
      <c r="D21">
        <v>357</v>
      </c>
      <c r="E21">
        <v>360</v>
      </c>
      <c r="F21">
        <v>357</v>
      </c>
      <c r="G21">
        <v>357</v>
      </c>
      <c r="H21">
        <v>357</v>
      </c>
      <c r="I21">
        <v>357</v>
      </c>
      <c r="J21">
        <v>336</v>
      </c>
      <c r="K21">
        <v>357</v>
      </c>
      <c r="L21">
        <v>357</v>
      </c>
      <c r="M21">
        <v>357</v>
      </c>
    </row>
    <row r="22" spans="3:13">
      <c r="C22" t="s">
        <v>490</v>
      </c>
      <c r="D22">
        <v>355</v>
      </c>
      <c r="E22">
        <v>355</v>
      </c>
      <c r="F22">
        <v>352</v>
      </c>
      <c r="G22">
        <v>355</v>
      </c>
      <c r="H22">
        <v>334</v>
      </c>
      <c r="I22">
        <v>355</v>
      </c>
      <c r="J22">
        <v>352</v>
      </c>
      <c r="K22">
        <v>355</v>
      </c>
      <c r="L22">
        <v>355</v>
      </c>
      <c r="M22">
        <v>352</v>
      </c>
    </row>
    <row r="23" spans="3:13">
      <c r="C23" t="s">
        <v>491</v>
      </c>
      <c r="D23" t="s">
        <v>116</v>
      </c>
      <c r="E23" t="s">
        <v>116</v>
      </c>
      <c r="F23">
        <v>357</v>
      </c>
      <c r="G23">
        <v>357</v>
      </c>
      <c r="H23">
        <v>357</v>
      </c>
      <c r="I23">
        <v>357</v>
      </c>
      <c r="J23">
        <v>333</v>
      </c>
      <c r="K23">
        <v>357</v>
      </c>
      <c r="L23">
        <v>357</v>
      </c>
      <c r="M23">
        <v>357</v>
      </c>
    </row>
    <row r="24" spans="3:13">
      <c r="C24" t="s">
        <v>492</v>
      </c>
      <c r="D24" t="s">
        <v>116</v>
      </c>
      <c r="E24" t="s">
        <v>116</v>
      </c>
      <c r="F24" t="s">
        <v>116</v>
      </c>
      <c r="G24">
        <v>356</v>
      </c>
      <c r="H24">
        <v>356</v>
      </c>
      <c r="I24">
        <v>353</v>
      </c>
      <c r="J24">
        <v>356</v>
      </c>
      <c r="K24">
        <v>335</v>
      </c>
      <c r="L24">
        <v>353</v>
      </c>
      <c r="M24">
        <v>356</v>
      </c>
    </row>
  </sheetData>
  <phoneticPr fontId="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F32F59756D1304AAD35175B10D6C372" ma:contentTypeVersion="13" ma:contentTypeDescription="Create a new document." ma:contentTypeScope="" ma:versionID="ce3c1515825e86235019a21ba693f440">
  <xsd:schema xmlns:xsd="http://www.w3.org/2001/XMLSchema" xmlns:xs="http://www.w3.org/2001/XMLSchema" xmlns:p="http://schemas.microsoft.com/office/2006/metadata/properties" xmlns:ns3="2c403a1c-68ea-407d-be4d-ff017c4211d2" xmlns:ns4="1309dac9-2039-4428-8887-0a1e760d8231" targetNamespace="http://schemas.microsoft.com/office/2006/metadata/properties" ma:root="true" ma:fieldsID="77e3b9961007aa3a47a899eaf45590bd" ns3:_="" ns4:_="">
    <xsd:import namespace="2c403a1c-68ea-407d-be4d-ff017c4211d2"/>
    <xsd:import namespace="1309dac9-2039-4428-8887-0a1e760d8231"/>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403a1c-68ea-407d-be4d-ff017c4211d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309dac9-2039-4428-8887-0a1e760d8231"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SharingHintHash" ma:index="19"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3A2DE0C-45BC-4240-99E9-C5BC46D70507}"/>
</file>

<file path=customXml/itemProps2.xml><?xml version="1.0" encoding="utf-8"?>
<ds:datastoreItem xmlns:ds="http://schemas.openxmlformats.org/officeDocument/2006/customXml" ds:itemID="{91FA9CC4-C21A-4F33-856C-D0F7C757E06E}"/>
</file>

<file path=customXml/itemProps3.xml><?xml version="1.0" encoding="utf-8"?>
<ds:datastoreItem xmlns:ds="http://schemas.openxmlformats.org/officeDocument/2006/customXml" ds:itemID="{20EEDAE5-87D1-456B-AC51-83CB6C0894B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Adi Kelvianto</dc:creator>
  <cp:keywords/>
  <dc:description/>
  <cp:lastModifiedBy/>
  <cp:revision/>
  <dcterms:created xsi:type="dcterms:W3CDTF">2021-09-21T14:02:37Z</dcterms:created>
  <dcterms:modified xsi:type="dcterms:W3CDTF">2022-08-20T12:58:34Z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0x0101002F32F59756D1304AAD35175B10D6C372</vt:lpwstr>
  </property>
</Properties>
</file>